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0) TrainDevTest Splits Info" sheetId="2" r:id="rId6"/>
    <sheet state="visible" name="L0) Screening (2418)" sheetId="3" r:id="rId7"/>
    <sheet state="visible" name="Jaureguiberry et al - Import (1" sheetId="4" r:id="rId8"/>
    <sheet state="visible" name="Keck et al - import (1711)" sheetId="5" r:id="rId9"/>
    <sheet state="visible" name="Shaw et al - import (418)" sheetId="6" r:id="rId10"/>
    <sheet state="visible" name="Murphy et al - import (142)" sheetId="7" r:id="rId11"/>
    <sheet state="visible" name="Ecosystem Change - Import (31)" sheetId="8" r:id="rId12"/>
  </sheets>
  <definedNames>
    <definedName hidden="1" localSheetId="2" name="_xlnm._FilterDatabase">'L0) Screening (2418)'!$A$1:$F$2419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tc={389ffe27-0367-40d2-82db-e2910a68a94f}</author>
  </authors>
  <commentList>
    <comment authorId="0" xr:uid="{389ffe27-0367-40d2-82db-e2910a68a94f}" ref="F1">
      <text>
        <t xml:space="preserve">[Threaded comment]
 Your version of Excel allows you to read this threaded comment; however, any edits to it will get removed if the file is opened in a newer version of Excel. Learn more: https://go.microsoft.com/fwlink/?linkid=870924
Comment:
	Note that the examples here include only "Eligible" records. For ineligible examples, see other datasets called "Annotated Screening".
Why eligible only?
All examples here are reproduced from previous reviews or red list of ecosystem database. By design, the outputs reported there are reporting some form of biodiversity change with anthro sources as driver. All examples obtain are by design assumed as eligible for this map.
</t>
      </text>
    </comment>
  </commentList>
</comments>
</file>

<file path=xl/sharedStrings.xml><?xml version="1.0" encoding="utf-8"?>
<sst xmlns="http://schemas.openxmlformats.org/spreadsheetml/2006/main" count="14531" uniqueCount="9664">
  <si>
    <t>Reference Screening Dataset</t>
  </si>
  <si>
    <r>
      <rPr>
        <rFont val="Arial"/>
        <color theme="1"/>
      </rPr>
      <t xml:space="preserve">A set of </t>
    </r>
    <r>
      <rPr>
        <rFont val="Arial"/>
        <b/>
        <color theme="1"/>
      </rPr>
      <t>2,418 records collected from previously published reviews</t>
    </r>
    <r>
      <rPr>
        <rFont val="Arial"/>
        <color theme="1"/>
      </rPr>
      <t>, all assumed "Eligible" for this systematic map. 
Since each record was read in full by the original review authors and included as part of a review documenting biodiversity change driven by anthropogenic pressures, these records can be safely treated as eligible for this map. 
To validate and assess the consistency of this assumption, a subset of records was manually annotated; results are presented in the separate Annotated Screening Dataset and the consistency checking section.</t>
    </r>
  </si>
  <si>
    <t>Concept</t>
  </si>
  <si>
    <r>
      <rPr>
        <rFont val="Arial"/>
        <color theme="1"/>
      </rPr>
      <t>Biodiversity includes diversity: within species, between species, and of ecosystems.</t>
    </r>
    <r>
      <rPr>
        <rFont val="Arial"/>
        <i/>
        <color theme="1"/>
      </rPr>
      <t xml:space="preserve"> (CBD, 1992)</t>
    </r>
    <r>
      <rPr>
        <rFont val="Arial"/>
        <color theme="1"/>
      </rPr>
      <t xml:space="preserve"> </t>
    </r>
    <r>
      <rPr>
        <rFont val="Arial"/>
        <i/>
        <color theme="1"/>
      </rPr>
      <t>(See Supplementary text-1 of Protocol for more)</t>
    </r>
  </si>
  <si>
    <t>Operationalization of Biodiversity</t>
  </si>
  <si>
    <t>Genetic change</t>
  </si>
  <si>
    <t>- Analyzing changes "within"
- change within species in genetic composition or genetic diversity</t>
  </si>
  <si>
    <t>Species or population change</t>
  </si>
  <si>
    <t xml:space="preserve">- Analyzing changes "within"
- change in a taxon, species, or population, including deterioration in abundance, occupancy, distribution, persistence, or extinction risk.
</t>
  </si>
  <si>
    <t>Community change</t>
  </si>
  <si>
    <t>- Analyzing changes "between"
- change in an assemblage or community, including deterioration in composition, richness, diversity, structure, ...</t>
  </si>
  <si>
    <t>Ecosystem change</t>
  </si>
  <si>
    <t>- Ecosystem as functional unit of living 
- change in an ecosystem as a living ecological system, including deterioration in structure, function, integrity, extent, connectivity, degradation, fragmentation, or collapse risk</t>
  </si>
  <si>
    <t>Source</t>
  </si>
  <si>
    <t>Scope notes</t>
  </si>
  <si>
    <t>Notes on why records are "Eligible"</t>
  </si>
  <si>
    <t>Screening Reference Dataset: Eligible records examples with varying confidence per source
(n= 2430 in total; 2418 after deduplication)</t>
  </si>
  <si>
    <t>Jaureguiberry (2022)</t>
  </si>
  <si>
    <t>(n= 128) ; Operationalization focus: All covered</t>
  </si>
  <si>
    <t>All records here were read in full by authors before marking studies as eligible; Each record relates to at least one of the five IPBES driver. We assume high confidence in "Eligibility" labels here</t>
  </si>
  <si>
    <t>Keck (2025)</t>
  </si>
  <si>
    <t>(n= 1711) Operationalization focus: Community Change: composition &amp; local diversity</t>
  </si>
  <si>
    <t>All records after search were manually reviewed by authors in full-text
The eligibiltiy criteria focus exclusively on anthro impact and includes records only where some project of biological communities is given. We assume high confidence of eligibility labels here</t>
  </si>
  <si>
    <t>Shaw (2025)</t>
  </si>
  <si>
    <t>(n= 418) Operationalization focus: Genetic diversity</t>
  </si>
  <si>
    <t>Manual screening of records and their full text pdfs were done by authors. However, there's no restriction of anthropogenic activities as source of genetic diversity loss. Eligibility labels here may be false positives at times. We assume a medium confidence in labels here</t>
  </si>
  <si>
    <t>Murphy (2014)</t>
  </si>
  <si>
    <t>(n= 142) Operationalization focus: Community change , Species richness</t>
  </si>
  <si>
    <t>Authors included studies as eligible after applying pre-defined criterias on full-texts obtained; We assume high confidence in eligibility labels here because the focus of review here is changes in species richness due to anthro impacts</t>
  </si>
  <si>
    <t>Red List of Ecosystems database</t>
  </si>
  <si>
    <t>(n= 31) Operationalization focus: Ecosystem change</t>
  </si>
  <si>
    <t>RLE database contains records for the assessments that are exhibiting some ecosystem risk. The inclusion in the database is considered "Eligible" implicitly assuming these are reviewed and read in full before inclusion in database. The records here manually compilied from the assessment text available online from database.
Here, the ecosystem risks can be due to different sources, including anthro source and more. The labels here may include few false positives; we assume medium confidence of eligibility labels here</t>
  </si>
  <si>
    <t>For each of the source mentioned here, an indivdual .xlsx sheet is provided. It shows how the data made available by original source authors was used to reproduce these eligible records. 
Here in this sheet, only final outputs obtained from each source are added.</t>
  </si>
  <si>
    <t>Given all these records were read in full and considered eligible for biodiveristy changes driven by anthropogenic activities, here we assume these as "reference" examples where our screening process should mark these as "Eligibile" records.</t>
  </si>
  <si>
    <t>Final Dataset</t>
  </si>
  <si>
    <t>L0) Screening (2418)</t>
  </si>
  <si>
    <t>Train, Test, Dev Splits Information</t>
  </si>
  <si>
    <t>L0) Train/Dev/Test Splits Info</t>
  </si>
  <si>
    <t xml:space="preserve">See another dataset named "Annotated Screening" containing examples manually annotated by authors </t>
  </si>
  <si>
    <t>here</t>
  </si>
  <si>
    <t>Split %</t>
  </si>
  <si>
    <t>Train (60), Dev (20), Test (20)</t>
  </si>
  <si>
    <t>Reproduce splits using</t>
  </si>
  <si>
    <t>Package "data_helpers" in provided code was used with seed = 42 to create splits. 
It assumes that L0) Screening full dataset is present at path "data/labels/l0"</t>
  </si>
  <si>
    <t>Straified based on source of data (Jaureguiberry, keck, shaw, murphy, rle)</t>
  </si>
  <si>
    <t>total</t>
  </si>
  <si>
    <t>train</t>
  </si>
  <si>
    <t>dev</t>
  </si>
  <si>
    <t>test</t>
  </si>
  <si>
    <t>Article Title</t>
  </si>
  <si>
    <t>Abstract</t>
  </si>
  <si>
    <t>DOI</t>
  </si>
  <si>
    <t>source</t>
  </si>
  <si>
    <t>UT (Unique WOS ID)</t>
  </si>
  <si>
    <t>eligbility</t>
  </si>
  <si>
    <t>Assessing risks to marine ecosystems with indicators, ecosystem models and experts</t>
  </si>
  <si>
    <t>Assessing risks to marine ecosystems is critical due to their biological and economic importance, and because many have recently undergone regime shifts due to overfishing and environmental change. Yet defining collapsed ecosystem states, selecting informative indicators and reconstructing long-term marine ecosystem changes remains challenging. The IUCN Red List of Ecosystems constitutes the global standard for quantifying risks to ecosystems and we conducted the first Red List assessment of an offshore marine ecosystem, focusing on the southern Benguela in South Africa. We used an analogous but collapsed ecosystem – the northern Benguela – to help define collapse in the southern Benguela and derived collapse thresholds with structured expert elicitation (i.e. repeatable estimation by expert judgment). To capture complex ecosystem dynamics and reconstruct historical ecosystem states, we used environmental indicators as well as survey-, catch- and model-based indicators. We listed the ecosystem in 1960 and 2015 as Endangered, with assessment outcomes robust to alternative model parametrizations. While many indicators improved between 1960 and 2015, seabird populations have suffered large declines since 1900 and remain at risk, pointing towards ongoing management priorities. Catch-based indicators often over-estimated risks compared to survey- and model-based indicators, warning against listing ecosystems as threatened solely based on indicators of pressure. We show that risk assessments provide a framework for interpreting data from indicators, ecosystem models and experts to inform the management of marine ecosystems. This work highlights the feasibility of conducting Red List of Ecosystems assessments for marine ecosystems.</t>
  </si>
  <si>
    <t>na</t>
  </si>
  <si>
    <t>RLE Database</t>
  </si>
  <si>
    <t>["ELIGIBLE"]</t>
  </si>
  <si>
    <t>An ecosystem risk assessment of temperate and tropical forests of the Americas with an outlook on future conservation strategies</t>
  </si>
  <si>
    <t>Forests of the Americas and the Caribbean are undergoing rapid change as human populations increase and land use intensifies. We applied the IUCN Red List of Ecosystems (RLE) criteria and simple cost-efficiency analyses to provide the first regional perspective on patterns of relative risk integrated across multiple threats. Based on six indicators of ecosystem distribution and function, we find that 80% of the forest types and 85% of the current forest area is potentially threatened based on RLE criteria. Twelve forest types are Critically Endangered due to past or projected future deforestation, and Tropical Dry Forests and Woodland have highest threat scores. To efficiently reduce risks to forest ecosystems at national levels, scenario analyses show that countries would need to combine large forest protection measures with focused actions, tailored to their sociopolitical context, to help restore ecological functions in a selection of threatened forest types.</t>
  </si>
  <si>
    <t>Mangroves of the Western Coral Triangle</t>
  </si>
  <si>
    <t>The 'Mangroves of the Western Coral Triangle' is a regional ecosystem subgroup (level 4 unit of the IUCN Global Ecosystem Typology. It includes intertidal forests and shrublands of the following marine ecoregions in the Western Coral  Triangle  province:  Banda  Sea,  Eastern  Philippines,  Halmahera,  Lesser  Sunda,  Northeast  Sulawesi, Palawan/North Borneo, Papua, and Sulawesi Sea/Makassar Strait. The diverse biota of this provinceincludes 48 species of true mangroves, plus many mangrove-associated taxa. Mangroveshad a mapped extent of 19,821 km2in 2020, representing 13.4% of the global mangrove resource by area.  Although only 4.7 % of the province’s mangroves occur on carbonate sediments, they include fragile patches of vegetation on many of the thousands of islands in the Western Coral Triangle, Mangroves are threatened by illegal logging,  conversion  for  agriculture  or  aquaculture,  and  industrial,  urban  and  tourism  development,  including coastal land reclamation and mining. They are also threatened by climate change, especially sea-level rise, and by increasingly frequent typhoons and tropical storms.Today the Western Coral Triangle mangroves cover ≈32% less than our estimate for 1970 based on national studies. The rate of loss declined to -6.6% from 1996 to 2020 and has slowed further since 2015. The Western Coral Triangle mangroves are estimated to decrease by -18% over the next 50 years. They are also threatened by future sea-level rise (SLR). Under a mid-high to extreme SLR scenario, more than 30% of the mangroves would be submerged by 2070. Moreover, we estimate that 4% of the mangroves are undergoing degradation and this could rise to 10.7% over a 50-year period based on analysis of the decay of vegetation indexes. These estimates are very conservative; however, no other data sources were available to measure environmental degradation at the provincelevel. Overall, the Western Coral Triangle mangrove ecosystem is assessed as Vulnerable (VU).VU</t>
  </si>
  <si>
    <t>Mangroves of The Bay of Bengal</t>
  </si>
  <si>
    <t>Mangroves of the Bay of Bengal is a regional ecosystem subgroup (level 4 unit of the IUCN Global Ecosystem Typology) spanning parts of South and Southeast Asia. It includes coastal areas of eastern India, Bangladesh, and northern and central Myanmar, and contains one of the largest single mangrove ecosystems in the world: the Sundarbans.Mangroves dominate along the extensive coastal waterways of the Ganges-Brahmaputra and Ayeyarwady deltas in  India-Bangladesh  and  Myanmar,respectively.  They  occur  on  mainly  coastal  alluvial  sediments  deposited  by these  and  other  river  systems.  Their  mapped  extent  in  2020  was  10,250  km2,  representing  7%  of  the  global mangrove area. The Bay of Bengal provincemangroves are threatened by highpopulation pressure and intense natural resources use, including mangrove-associated fisheries and conversion to agriculture or aquaculture. Mangrove degradation and  conversion  have  caused  serious  coastal  erosion.  Destructive  cyclones  exacerbated  by  climate  change  also cause  coastal  erosion  and  damage  to  mangroves,  while  reduced  freshwater  flows  and  salinity  intrusion  in  the Sundarbans are threatening salt-sensitive mangrove tree species like Heritiera formes. This species is classified as Endangered (EN) by IUCN, whileBruguiera hainesiiand Sonneratia griffithiiare Critically Endangered (CR).Today the Bay of Bengal mangroves cover ≈8% less than our broad estimation for 1970. The rate of decline has slowed since 2015 and, if the present rate persists, an overall decrease of -12% is projected over the next 50 years. However, they are expected to be resilient to even extreme sea-level rise scenarios, due to high sediment supply and vertical accretion. We estimate that 5% of the Bay of Bengal mangroves are undergoing degradation. This value could rise to 15% over a 50-year period based on decay of vegetation indexes. Overall, the Bay of Bengal mangrove ecosystem is assessed as Least Concern (LC).</t>
  </si>
  <si>
    <t>Mangroves of the South China Sea</t>
  </si>
  <si>
    <t>The 'Mangroves of South China Sea' is a regional ecosystem subgroup (level 4 unit of the IUCN Global Ecosystem Typology in the South China Sea province. It includes intertidal forests and shrublands of the marine ecoregions of the Gulf of Tonkin, South China Sea Oceanic Islands and Southern China. The diverse biota of this ecoregion is characterised by 42 species of true mangroves, plus many associated taxa. There is a significant decline in species diversity with increasing latitude towards the northern limit of mangroves in Fujian Province. Two species: Avicennia rumphianaand Camptostemon philippinensisare in the IUCN Red List of threatened species.  The South China Sea ecoregion mangroves are mainly scattered open coast and estuarine formations, except in the Red River Delta. Their mapped extent in 2020 was 543 km2representing only 0.4% of the global mangrove resource. The current threats to mangroves are mainly from coastal urbanisation and industrialisation, sea dyke construction, pollution,  and  climate-related  impacts,  especially  from  typhoons,  which  occur  frequently  in  thisprovince.Today, the South China Sea mangroves cover ≈36% less than in 1970 based on national studies. The South China Sea mangroves are also threatened by sea-level rise(SLR). Under a mid-high SLR scenario, and considering the limited coastal sediment supply, 50% of the mangrove area will be submerged by 2070. Moreover, we estimate that ≈3.5% of the mangroves are undergoing degradation. Based on analysis of the decay of vegetation indexes, this could rise to 10.2% over a 50-year period. These estimates are very conservative; however, no other data sources were available to measure environmental degradation at the ecoregion level. Considering the significant effect of future SLR, the South China Sea mangroves are assessed as Endangered (EN).EN</t>
  </si>
  <si>
    <t>Mangroves of the Sunda Shelf</t>
  </si>
  <si>
    <t>The 'Mangroves of the Sunda Shelf' is a regional ecosystem subgroup (level 4 unit of the IUCN Global Ecosystem Typology in the Sunda Shelf province. It includes intertidal forests and shrublands of the marine regions of the Malacca Straits, Gulf of Thailand, southern Viet Nam and the Sunda Shelf/Java Sea. This provincehas a tropical climate with protracted rainfall that provides very favourable conditions for mangroves. The rich mangrove biota includes 49 species of true mangrove plants and many mangrove-associated taxa. Five mangrove species are in the IUCN Red List of threatened species.Mangroves in the Sunda Shelf provincehad a mapped extent in 2020 of 12,350 km2, representing 8.4% of the global mangrove resource by area. The main threats to mangroves are conversion for agricultural and aquaculture use, or for coastal infrastructure development. These practices impact on the remaining mangroves through coastal erosion,  land  subsidence  and  pollution.  Climate  change  (especially  sea-level  rise)  is  an  additional  and  serious threat.Today the Sunda Shelf mangroves cover ≈ 35% less than our broad estimations for 1970, based on country level studies;  however,  the  rate  of  area  loss  slowed to -4.8%  from  1996  to  2020 and  has  decelerated  further  since 2010. The Sunda Shelf mangrove area is estimated to decrease by 13.7% over the next 50 years. Moreover, we estimate  that  3.4%  of  the  mangroves  are  undergoing  degradation,  and  this  could  rise  to  10%  over  a  50-year period, based on an analysis of the decay of vegetation indexes. These estimates are very conservative; however, no other data sources were available to measure environmental degradation at the provincelevel. More than 30% of the Sunda Shelf mangrove extent could be submerged by 2070 due to sea-level rise. Overall, the Sunda Shelf mangrove ecosystem is assessed as Vulnerable (VU) under subcriteria A1 and C2.VU</t>
  </si>
  <si>
    <t>Mangroves of the Andaman</t>
  </si>
  <si>
    <t>The 'Mangroves of the Andaman' is a regional ecosystem subgroup (level 4 unit of the IUCN Global Ecosystem Typology) within the Andaman province. It includes intertidal forests and shrublands of the marine ecoregions of the Andaman and Nicobar Islands; theAndaman Sea Coral Coast of Myanmar and Thailand; and northwest Sumatra. The diverse biota is characterised by 43 species of true mangroves, plus many mangrove-associated plant species. Three mangrove species are in the IUCN Red List of Threatened Species:Sonneratia griffithii, Bruguiera hainesiiand Heritiera fomes.Mangroves in this provincehad a mapped extent of 4,938 km2 in 2020, representing 3.4% of the global mangrove resource  by  area.  The  Andaman  mangroves  are  threatened  widely  by  wood  extraction,  encroachment  and conversion for agriculture or aquaculture, and by coastal infrastructure projects in more specific locations. They also face threats from climate change, mainly in the form of sea-level rise (SLR), especially along the northwest coast of Sumatra. The Andaman mangrove ecosystem is thought to have undergone a major decline in extent around the early 20th century. Today the ecosystem covers 16% less than our broad estimations for 1970 based on national studies. However, the net area loss since 1996 isonly -1.2% and there has been a further deceleration in area loss  since  2015.  Under  a  mid-high SLR scenario (IPCC RCP6) ≈21% of the Andaman mangroves would be submerged  by  2070.  Moreover,  we  estimated  that  2.1%  of  the  Andaman  mangroves  are  undergoing degradation and this could rise to 6% over a 50-year period based on an analysis of the decay of vegetation indexes.  These  estimates  are  very  conservative;  however,  there  were  no  other  data  sources  available  to measure environmental degradation at the provincelevel. Overall, the status of the Andaman mangrove ecosystem is assessed as Least Concern (LC).LC</t>
  </si>
  <si>
    <t>Scientific Foundations for an IUCN Red List of Ecosystems</t>
  </si>
  <si>
    <t>An understanding of risks to biodiversity is needed for planning action to slow current rates of decline and secure ecosystem services for future human use. Although the IUCN Red List criteria provide an effective assessment protocol for species, a standard global assessment of risks to higher levels of biodiversity is currently limited. In 2008, IUCN initiated development of risk assessment criteria to support a global Red List of ecosystems. We present a new conceptual model for ecosystem risk assessment founded on a synthesis of relevant ecological theories. To support the model, we review key elements of ecosystem definition and introduce the concept of ecosystem collapse, an analogue of species extinction. The model identifies four distributional and functional symptoms of ecosystem risk as a basis for assessment criteria: A) rates of decline in ecosystem distribution; B) restricted distributions with continuing declines or threats; C) rates of environmental (abiotic) degradation; and D) rates of disruption to biotic processes. A fifth criterion, E) quantitative estimates of the risk of ecosystem collapse, enables integrated assessment of multiple processes and provides a conceptual anchor for the other criteria. We present the theoretical rationale for the construction and interpretation of each criterion. The assessment protocol and threat categories mirror those of the IUCN Red List of species. A trial of the protocol on terrestrial, subterranean, freshwater and marine ecosystems from around the world shows that its concepts are workable and its outcomes are robust, that required data are available, and that results are consistent with assessments carried out by local experts and authorities. The new protocol provides a consistent, practical and theoretically grounded framework for establishing a systematic Red List of the world’s ecosystems. This will complement the Red List of species and strengthen global capacity to report on and monitor the status of biodiversity</t>
  </si>
  <si>
    <t>Threatened ecosystems of Myanmar: An IUCN Red List of Ecosystems Assessment.</t>
  </si>
  <si>
    <t>The Myanmar National Ecosystem Assessment contributes to the GEF funded Strengthening Sustainability of Protected Area Management in Myanmar project. To support the Myanmar National Ecosystem Assessment, Myanmar’s terrestrial ecosystems were assessed under the International Union for the Conservation of Nature (IUCN) Red List of Ecosystems Categories and Criteria. This report summarises the methods and findings of the assessment, including detailed ecological descriptions of the 64 ecosystem types assessed. A total of 64 ecosystem types were identified and evaluated under the IUCN Red List of Ecosystems categories and criteria. Twenty-nine (45.3%) ecosystems were assigned a threatened status, consisting of 8 (12.5%) Critically Endangered ecosystem types, 9 (14.1%) Endangered and 12 (18.8%) Vulnerable ecosystem types. One ecosystem type, Central Ayeyarwady Palm Savanna ecosystem types was confirmed as Collapsed. A further two ecosystem types, Ayeyarwady kanazo swamp forest and Southern Rakhine hills evergreen rainforest, were assessed with an upper plausible status outcome of Collapsed, although their final assessment was Critically Endangered. Twenty-eight ecosystem types were assessed as Near Threatened or Least Concern. However, a post-assessment expert review by experts suggested that 11 of the 25 Least Concern ecosystems could qualify for a different assessment outcome if more data was available. These 11 ecosystems were reclassified to Data Deficient. Thus, 17 of Myanmar’s ecosystem types were classified as Data Deficient. Data deficient ecosystem types were primarily ecosystems for which there were historical records, but with insufficient published information to assess the criteria (e.g. Rocky Tanintharyi karst). Alternatively, there were insufficient distribution records to incorporate into our mapping workflow to allow assessments of Criterion A and B (e.g. Grassy saltmarsh). Data deficient ecosystems also tended to occur in regions that were inaccessible to field researchers due to travel restrictions (e.g. Shan limestone grasslands). Urgent further work to confirm the distribution and assess the status of these data deficient ecosystems is recommended. This IUCN Red List of Ecosystems assessment has shown a dire situation for Myanmar’s ecosystems. Of the area assessed, nearly two-thirds (64%, 426,628 km2) is mapped as a natural ecosystem type, but of this over half (57.8%, 24,750 km2) of remaining area contains a threatened ecosystem type (CR, EN or VU). This means over one third of Myanmar’s land area contains threatened ecosystems. There needs to be an increase in conservation efforts to reverse this situation and slow the trajectory towards collapse for ecosystems that are not currently threatened. Conservation planning will be key to identify what are the best conservation actions and where to apply them to reduce the risk of collapse for Myanmar’s natural ecosystems.</t>
  </si>
  <si>
    <t>Assessing risks to ecosystems within biodiversity hotspots: a case study from southwestern Australia</t>
  </si>
  <si>
    <t>The south west of Western Australia is a global biodiversity hotspot that contains a suite of highly restricted and threatened ecosystems. In common with some other global hotspots, this region has high levels of alpha, beta and gamma diversity characterized by local endemism and spatial turnover of species. The region therefore includes a suite of highly localized species assemblages in complex mosaics across the landscape. Such landscapes pose particular challenges for assessing risks to biodiversity because the status of the most extensive species assemblages within broad scale assessment units tends to mask the status of those that are most restricted. Hence, risk assessments at different thematic scales may sometimes reveal different outcomes and salient threats. We examined these expectations by applying the IUCN Red List criteria for ecosystems at a fine thematic scale to assess risks to shrublands on southern Swan Coastal Plain ironstones, one of the most restricted ecosystems in the region, distinguished by its component suite of endemic flora. The ecosystem was found to be critically endangered due to its declining distribution and restricted current extent in combination with threats, particularly weed invasion. These outcomes suggest two scaling effects when a broader suite of assemblages in the region are considered; the perceived levels of risk may be less extreme; and the main threatening processes that influence risk assessment outcomes rank differently in importance. Both effects are critical to future management to promote persistence of ecosystems, as the priorities and actions will vary between local and regional scales, as will their conservation outcomes. In this case the major needs are to limit vegetation clearing and water extraction and mitigate the invasion of weeds and impacts of disease. The relative emphasis on these strategies varies between local and regional scales.</t>
  </si>
  <si>
    <t>Risks to a mountain summit ecosystem with endemic biota in southwestern Australia</t>
  </si>
  <si>
    <t>Throughout the world, mountains provide unique environments with attendant endemic species. In the otherwise subdued landscapes of the floristically diverse Southwest Western Australian Floristic Region, the Stirling Range provides the region's only distinctly montane environments. On the highest peaks of the Range the characteristic heathland (Kwongan) of the region becomes a dense shrub thicket with many endemic species and is known as the Eastern Stirling Range Montane Heath and Thicket. We assessed the conservation status of the Montane Heath and Thicket using the IUCN Red list criteria for ecosystems. We found the ecosystem to be Critically Endangered based on its naturally limited geographic extent and area of occupancy in combination with the impacts of the plant pathogen Phytophthora cinnamomi. Historical sources and long-term monitoring were critical to our assessment of this ecosystem highlighting their importance in detecting and understanding likely causes of change. The ecosystem is predicted to decline further in the absence of intensive management due to current threatening processes as well as the potential future impacts of climate change. The Montane Heath and Thicket, while substantially modified still retains areas with highly significant conservation values and these pose many challenges for management. Continued management of P. cinnamomi through phosphite application and management of fire return intervals will be critical to conserve the remaining areas of the thicket where sensitive plant species occur together with an ex situ conservation program including ongoing seed collection and translocation for the most threatened species.</t>
  </si>
  <si>
    <t>Ecosystem assessment of mountain ash forest in the Central Highlands of Victoria, south-eastern Australia</t>
  </si>
  <si>
    <t>We applied an ecosystem risk assessment to the mountain ash forest ecosystem of the Central Highlands of Victoria (hereafter ‘mountain ash forest’), south-eastern Australia, using the IUCN Red List of Ecosystems criteria. Using this methodology, we quantified: (i) key aspects of the ecosystem's historical, current and future decline in spatial distribution; (ii) the extent of occurrence and area of occupancy for the mountain ash ecosystem; and (iii) the decline in key abiotic and biotic processes and features for historical, current and future time periods. We developed a probabilistic model of tree growth stages to estimate the risk of ecosystem collapse within 50 to 100 years in the mountain ash forest. There was uncertainty in our estimates of risk under the various IUCN criteria, with two sub-criteria being categorized as ‘Data Deficient’. Our overall ranking of risk of collapse for the ecosystem was Critically Endangered. We are confident that this risk category is appropriate because all 39 scenarios modelled indicated a ≥92% chance of ecosystem collapse by 2067. Our findings highlight the important need for timely policy reform to facilitate improved management of the mountain ash ecosystem in Victoria. In particular, there needs to be greater protection of remaining areas of unburned forest, and restoration activities in parts of the forest estate. Implementation of these strategies will require a significant reduction in logging pressure on the mountain ash ecosystem.</t>
  </si>
  <si>
    <t>Ecosystem risk assessment for Cumberland Plain Woodland, New South Wales, Australia</t>
  </si>
  <si>
    <t>The International Union for the Conservation of Nature (IUCN) has proposed a standard global assessment protocol for the evaluation of conservation risks to ecosystems. The assessment criteria mirror the IUCN protocol for the assessment of species, however there are relatively few case studies available to demonstrate their utility across a broad range of ecosystems. We applied the IUCN protocol to assess the conservation status of the Cumberland Plain Woodland (CPW) located in the western suburbs of Sydney, Australia. The ecosystem has been the focus of extensive survey and research and has been determined to be critically endangered under NSW and Australian Government legislation, primarily as a consequence of its history of extensive clearing. The outcome of the risk assessment for CPW using the IUCN protocol was identical to those under the NSW and Australian legislation. Data for risk assessment fell into two categories, each with different limitations. Phytosocialogical data and distribution models provided a strong basis for quantifying past and future changes in the distribution of CPW, but offered only indirect measures of functional symptoms of decline. Conversely, local case studies documenting declines in ecosystem function due to weed invasion, soil disturbance and alteration of fire regimes could not easily be extrapolated in order to evaluate the assessment criteria. The critically endangered rating was based solely on the historic reduction in geographic distribution (92–94%), however clearing poses an ongoing threat to the ecosystem. The contemporary clearing rate of CPW is approximately half the historical average but there is evidence that the rate will double in the next decade as a consequence of ongoing urbanisation and Government policy of biodiversity offsets. A systematic approach to documenting the extent of environmental degradation and disruption to biotic processes would assist the assessment of CPW and other ecosystems against the IUCN criteria.</t>
  </si>
  <si>
    <t>Status of connected wetlands of the Lake Eyre Basin, Australia</t>
  </si>
  <si>
    <t>The Lake Eyre Basin, one of the world's last unregulated wild river basins, covers almost one sixth of the Australian continent, with large areas of connected wetlands (73 903 km2), including floodplains, lakes, waterholes and river channels. Few data existed and so we used literature and government biotic and abiotic data and anthropogenic impacts to assess the conservation risk of the ecosystem as Least Concern (IUCN Red List criteria for ecosystems, version 2.0). This was based on limited distributional change and low levels of degradation or anthropogenic threatening processes. The approach could be applied to ecosystem assessments of other large river basins around the world, given the Lake Eyre Basin occupies one extreme (unmodified) while the Aral Sea (collapsed), previously assessed, occupies the other extreme (highly modified). River flow analysis with available biotic data is critical for risk assessment as well as identification and tracking of long-term threats. Assessment was possible at this large basin scale and appropriate, given the critical importance of connectivity but could also occur at finer spatial scale. Increased diversions for irrigation, mining impacts on floodplains and projected increased temperatures threaten the current status (Least Concern) of the connected wetlands of the Lake Eyre Basin ecosystem.</t>
  </si>
  <si>
    <t>Vulnerability of Antarctic shallow invertebrate-dominated ecosystems</t>
  </si>
  <si>
    <t>Human impacts threaten not only species, but also entire ecosystems. Ecosystems under stress can collapse or transition into different states, potentially reducing biodiversity at a variety of scales. Here we examine the vulnerability of Antarctic shallow invertebrate-dominated ecosystems, which may be threatened for several reasons. These unique shallow-water communities mostly consist of dark-adapted invertebrates, and rely on sea ice to create low-light marine environments. Climate change is likely to cause early breakout of seasonal sea ice in parts of Antarctica, which will dramatically increase the amount of light reaching shallow seabed. This is predicted to result in ecological regime shifts, in which invertebrate-dominated communities are replaced by macroalgal beds. Habitat for these endemic Antarctic ecosystems is globally rare, and the fragmented nature of their distribution along Antarctic coast increases their sensitivity to change. Concurrently, human activities in Antarctica are concentrated in areas where these habitats occur, compounding potential impacts. While there are clear mechanisms of threat to these ecosystems, lack of knowledge about their spatial distribution obscures predictions of potential ecosystem loss, and the likelihood of recovery. In this paper we describe these ecosystems, their association with the environment and the reasons for their vulnerability. We estimate their spatial distribution around Antarctica using sea ice and bathymetric data, and apply the International Union for Conservation of Nature Red List of Ecosystems criteria to assess their vulnerability. Best available data suggest that shallow ice-covered ecosystems are likely Near Threatened to Vulnerable in places, although the magnitude of risk is spatially variable and requires additional data to strengthen the assessment.</t>
  </si>
  <si>
    <t>An International Union for Conservation of Nature risk assessment of coastal lowland rainforests of the Wet Tropics Bioregion, Queensland, Australia</t>
  </si>
  <si>
    <t>Lowland rainforest communities are among the most threatened across South-east Asia as a result of ease of access, suitability for agriculture and proximity to population centres along the coast and to ports for export of timber, minerals and agricultural produce. In Australia, coastal lowland rainforest occupies a narrow band between the marine-influenced littoral communities and the forests of the coastal ranges and uplands in the Wet Tropics Bioregion of north-east Queensland. As the coastal lowlands were already highly fragmented, and subject to ongoing conversion for agriculture and urbanization, they were excluded from the World Heritage listing of the Wet Tropics of Queensland in 1988. Littoral rainforest and broad-leaved tea-tree swamps in the coastal zone have both recently been protected under Commonwealth environmental protection legislation; meanwhile, the remnant coastal lowland rainforest faces continued threats from extreme events, climate change, land management activities and introduced species. In a risk assessment based on IUCN guidelines, coastal lowland rainforest was assessed as endangered due to restricted distribution (full extent of the community encompassed by a minimum complex polygon less than 20 000 km2) in conjunction with qualitative evidence of disruption to biotic interactions. A second criterion related to the historic decline in geographic distribution (60% decline in distribution since 1750) would correspond to a condition of vulnerable. Coastal lowland rainforest on alluvial soils has been particularly impacted, and a 75% decline in distribution since 1760 would correspond to a condition of endangered for this subtype. We had insufficient data to address the remaining IUCN Red List criteria for ecosystems, but point to published studies which address these criteria at the subregional level, and make suggestions for future data collection, monitoring and analyses which may support future reviews or proposals for enhanced protection within an Australian legislative context.</t>
  </si>
  <si>
    <t>Ecosystem risk assessment of Georgina gidgee woodlands in central Australia</t>
  </si>
  <si>
    <t>Ecosystems across the world, and the biodiversity they support, are experiencing increasing anthropogenic pressure, and many will not persist without intervention. Given their complexity, the International Union for Conservation of Nature has adopted an international standard for ecosystem risk assessment that builds on the strengths of the species-based Red List criteria. We applied this protocol to the relatively understudied Georgina gidgee woodland ecosystem, which has a patchy but widespread distribution in central Australia. To address the extensive knowledge gaps, we gathered data to provide the first description of the characteristic biota, distribution of dominant species and the processes that support the ecosystem. Criteria evaluated include historical, current and future declines in spatial distribution, the extent and area of occupancy, and disruptions to abiotic and biotic processes. Future declines in suitable habitat were based on key climatic variables of rainfall, temperature and soil substrate. We also quantified the uncertainty in bioclimatic models and scenarios as part of predicting degradation of the abiotic environment. Overall, we assessed the risk status of Georgina gidgee woodlands as vulnerable based on the degradation of abiotic and biotic processes. Bioclimatically suitable habitat was predicted to decline by at least 30% in eight scenarios over the period 2000 to 2050. Predicted declines in overall suitable habitat varied substantially across all scenarios (7–95%). Pressures from grazing, weed encroachment and altered fire regimes further threaten the ecosystem; therefore, vulnerable status was also recorded for future declines based on altered biotic processes. Accurate mapping and monitoring of the study ecosystem should receive priority to inform conservation decisions, and sustainable grazing practices encouraged. Our findings focus attention on other patchily distributed ecosystems that may also have escaped attention despite their contribution to supporting unique biodiversity and ecosystem services. It is timely that environmental monitoring and policy account for these natural assets.</t>
  </si>
  <si>
    <t>An International Union for the Conservation of Nature Red List ecosystems risk assessment for alpine snow patch herbfields, South-Eastern Australia</t>
  </si>
  <si>
    <t>Alpine ecosystems are globally at risk from climate change. We use the International Union for the Conservation of Nature (IUCN) Red List Criteria for ecosystems to assess the risk of ecosystem collapse in Australian alpine snow patch herbfields. These ecosystems occur on both mainland Australia and Tasmania. They are restricted to steep, south-easterly slopes where snow pack persists well into the summer growing season. Consequently, they are rare, and have high conservation significance. We evaluated the risk of snow patch herbfield ‘ecosystem collapse’ against criteria that accounted for the ecosystem's restricted distribution, projected decline in the snowpack and increased rates of invasion by taller growing native species of shrub and grass. Our analyses revealed considerable uncertainty in estimates of risk based on some criteria, particularly those related to thresholds of ecosystem collapse caused by biotic change. On the basis of the IUCN Red List criteria, we conclude that the ecosystem is ‘endangered’. This is because of the restricted geographical distribution of the ecosystem, a substantial and highly likely decline in the abundance of snow (the principal abiotic driver of the ecosystem), and the prospect of invasion of much of the ecosystem by taller growing native shrubs and grasses. Our case study demonstrates the utility of the Red List methodology for assessing risks to biodiversity in rare ecosystems where changes to both abiotic factors and the relative dominance of native species constitute major threats. Our findings indicate the importance of snow patch herbfields as refugia for dwarf alpine plant species in the face of climate change, the need for continued monitoring, the removal of feral animals from the Australian Alps and scenario planning.</t>
  </si>
  <si>
    <t>Mayotte's mangroves are declining, according to the Red List of Ecosystems</t>
  </si>
  <si>
    <t>Land clearing, development, urbanization, and pollution have led to a reduction in the area of ​​mangroves in Mayotte and altered their functioning. The conservation status of these ecologically rich natural environments, located at the land/sea interface, was assessed by IUCN France using the new methodology of the Red List of Ecosystems. The results show, on the land side, a very clear decline in the back-mangroves, classified as "Critically Endangered," and, on the marine side, a regression of the outer mangroves, classified as "Vulnerable." The central mangroves are not currently considered threatened, but the impact of certain pressures, such as wastewater discharges, warrants further monitoring and study. 
Results showing mangroves subject to several threats
The back-mangroves are classified as "Critically Endangered" (CR). They represent the most threatened type of mangrove in Mayotte. Most of these forests and marshy meadows have been largely converted into farmland, plantations, or livestock enclosures, or even directly filled in and urbanized. As a result, this ecosystem now exists only as a relic on the Mayotte coast. Protecting and restoring these sites is a priority for safeguarding these natural environments.
The outer mangroves of Mayotte, or pioneer mangrove fronts, are assessed as "Vulnerable" (VU). The rate of erosion of some of these mangroves has increased since the 2000s, and some pioneer fronts could disappear within the next 50 years if this rate does not slow down. A change in land-use practices is necessary to slow or even stop this erosion, especially since climate change will likely exacerbate the vulnerability of these mangroves in the future (rising sea levels, increased winds and swells, etc.).
The central and inner mangroves, which represent the core of the mangrove ecosystems and the majority of their current area in Mayotte, are not, based on current knowledge, threatened in the short term. Classified as "Least Concern" (LC), this ecosystem nevertheless remains subject to deforestation and wastewater discharges, the impacts of which could not be assessed due to a lack of comprehensive monitoring across all mangrove areas.
The importance of long-term follow-up
The knowledge acquired over several decades regarding Mayotte's mangroves, encompassing both their flora and fauna as well as their ecological functioning, has provided a solid scientific foundation for this chapter of the Red List of Ecosystems in France. However, a number of criteria could not be used due to a lack of comprehensive or consistent data over time, particularly for the most threatened ecosystems such as the back-mangroves. This underscores the importance of strengthening, alongside conservation efforts, programs to acquire knowledge about the spatial distribution and functioning of mangroves in Mayotte.
The IUCN Red List of Ecosystems, a new knowledge tool
Building on the success of the Red Lists of Threatened Species, widely used to better understand the state of biodiversity and drive nature conservation action, the IUCN launched a similar tool for ecosystems in 2008. The methodology was formally adopted in 2014 and is based on criteria related to habitat loss, changes in the physical environment, and the degradation of key ecological processes within the assessed ecosystems. An ecosystem is considered threatened if it meets the criteria corresponding to the categories "Critically Endangered," "Endangered," or "Vulnerable." The IUCN Red List of Ecosystems is now a standard tool for assessing the state of ecosystems, applicable at various scales, and implemented in France by the French Committee of the IUCN .</t>
  </si>
  <si>
    <t>Threatened Status Assessment of Multiple Grassland Ecosystems and Conservation Strategies in the Xilin River Basin, NE China</t>
  </si>
  <si>
    <t>The Red List of Ecosystems, proposed by the International Union for Conservation of Nature can determine the status of ecosystems for biodiversity conservation. In this study, we applied the Red List of Ecosystems Categories and Criteria 2.0 with its four major criteria (A, B, C, and D) to assess twelve dominant ecosystems in the Xilin River Basin, a representative grassland-dominating area in China. We employed Geographical Information Systems and remote sensing to process the obtained satellite products from the years 2000 to 2015, and generated indicators for biological processes and degradation of environment with boreal ecosystem productivity simulator. The results show that all twelve ecosystems in the Xilin River Basin confront varying threats: Artemisia frigida grassland and Festuca ovina grassland face the highest risk of collapse, sharing an endangered status; Filifolium sibiricum meadow grassland and Leymus chinensis grassland have a least concern status, while the remaining eight ecosystems display a vulnerable status. This study overcomes the limits of data deficiency by introducing the boreal ecosystem productivity simulator to simulate biological processes and the plant–environment interaction. It sheds light on further application of the Red List of Ecosystems, and bridges the research gap and promote local ecosystems conservation in China.</t>
  </si>
  <si>
    <t>Using multiple lines of evidence to assess the risk of ecosystem collapse</t>
  </si>
  <si>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</si>
  <si>
    <t>Assessing ecosystem collapse risk in ecosystems dominated by foundation species: The case of fringe mangroves</t>
  </si>
  <si>
    <t>Ecosystem collapse, i.e. the endpoint of ecosystem decline, is a central concept of IUCN Red List of Ecosystems (RLE) assessments and the identification of ecosystems most vulnerable to global environmental change. Estimating collapse risk can be challenging for ecosystems reliant on a few dominant species to perform most of their functions because the range of suitable and feasible indicators is small. This study investigates the robustness and adequacy of the current RLE approach for risk assessments in such ecosystems, using a fringe mangrove ecosystem as a case study. Following the RLE protocol, we constructed a conceptual model of the key ecosystem processes for the Philippines’ fringe mangrove forests. Satellite remote sensing data and existing maps of mangrove forests were then combined to assess the spatial distribution of the ecosystem considered (Criteria A and B), while the Normalized Difference Vegetation Index was used to assess biotic degradation (Criterion D). Insufficient data were available to assess Criteria C (environmental degradation) and E (quantitative analysis). Overall, the ecosystem was assessed as ‘Least Concern’ based on extensive geographic distribution and only weak support for declines in extent. Criterion D was classed as ‘Data Deficient’ since there was no clear relationship between the vegetation index and fringe mangrove degradation. Our results demonstrate how gaps in our appreciation and understanding of the structure and functioning of ecosystems are more likely to impede risk assessments of ecosystems characterised by a small number of foundation species, due to the low level of redundancy between candidate indicators available for their assessments. Satellite remote sensing combined with derivation of explicit conceptual ecosystem models provides a way to structure efforts to identify suitable indicators as well as opportunities to overcome many of these challenges, even for relatively data-poor ecosystems.</t>
  </si>
  <si>
    <t>Red list of China's forest ecosystems: A conservation assessment and protected area gap analysis</t>
  </si>
  <si>
    <t>Current biodiversity loss is far greater than at any time in human history. As complementary tool to prioritize biodiversity for conservation, the IUCN Red List of Ecosystems (RLE) is well justified as a conservation tool. Although China's biodiversity is among the world's richest, a significant part of this diversity is under threat. Based on the distribution of 229 forest formations, we assessed the risk status according to the IUCN RLE criteria, and evaluated the conservation status of threatened forests by comparing ecosystem distribution with terrestrial national and provincial nature reserves (NNRs and PNRs, respectively). We found that 90 threatened forest formations accounted for 16% of the area, but for 39.3% of the number of assessed formations. Threatened forest formations were mainly located in western Sichuan, Yunnan, southeastern Xizang, southwestern Guangxi, Hainan Island, northeastern China, and the mountains of Taiwan. Tropical rain forests and evergreen broad-leaved forests together accounted for the highest number of threatened formations. Northern Xinjiang (with the Tianshan and Altai Mountains) proved to be a unique area that has rarely been identified as hotspot of plant conservation. On average, NNRs covered 13.2%, and NNRs and PNRs together covered 22.7%, of the threatened forest distribution areas. However, 15 threatened forest formations were not covered by NNRs or PNRs. We suggest that the red list of ecosystems will contribute towards providing a more informative picture of the status of biodiversity. Our work highlights the need to use the red list of ecosystems as additional tool in plant conservation.</t>
  </si>
  <si>
    <t>A review of spatial patterns across species ranges to aid the targeting of conservation interventions</t>
  </si>
  <si>
    <t>Conservation resources are limited and need to be used where they can be most effective. Deciding where within a species range to implement conservation interventions requires knowledge of where threats operate and consideration of multiple spatial issues concerning patterns in abundance across species' ranges, and geographical and environmental gradients in these and other traits across species' ranges. Although these biogeographical patterns have been of great interest to ecologists for many years, the implications of these patterns for conservation are often unclear. Here we review these patterns in the context of targeting spatial conservation. We find that an inconsistent use of terminology, a lack of consistent rules and the use of imperfect datasets, hampers us drawing firm conclusions on the nature of these patterns. Evidence that abundance and ecological traits change systematically towards range edges is inconclusive. Abundance variation is influenced by many factors independent of position within a species range, including habitat type, habitat quality, environment, interspecific competition, dispersal ecology and metapopulation dynamics. This results in complex textured abundance patterns compared to a simple theoretical core-edge gradient. We conclude that any conservation practitioner looking to target the location of interventions will need to examine these patterns and processes for the species of interest. Current knowledge does not adequately inform spatial conservation prioritization for single-species conservation programmes and incorporating the complexities of spatial processes is challenging. The development of tools to inform spatial targeting of resources for single- or multiple-species conservation is required urgently to enable better use of conservation resources.</t>
  </si>
  <si>
    <t>Assessing risk of estuarine ecosystem collapse</t>
  </si>
  <si>
    <t>Estuarine ecosystems are increasingly threatened by coastal development and climate change. The large number of estuaries globally necessitates risk assessment to prioritise conservation efforts. Schemes for assessing risk of ecosystem collapse have been designed around terrestrial ecosystems, often defined by a single characteristic vegetation type, with their applicability to estuaries unclear. Here we consider the causes and symptoms of estuarine ecosystem collapse and assess, using a case study of the Chesapeake Bay, the applicability of ecosystem-level risk assessments to estuarine ecosystems, typified by mosaics of habitats. Functional estuaries are characterised by habitat heterogeneity and connectivity, maintenance of constituent habitats through recruitment, and a complex trophic structure including apex predators. Additionally, primary production and biomass are dominated by benthic, as opposed to pelagic, species. Hence, homogenisation of habitat types, decreased connectivity, recruitment failure, loss of apex predators and a decreased ratio of benthic to pelagic biomass may be symptoms of a trajectory towards collapse. In terrestrial ecosystems, criteria used for assessing risk of ecosystem collapse include declining or restricted distribution of ecosystems, degradation of the abiotic environment, changes in species composition and declining ecological function. As the boundaries of estuaries are typically defined by topography, rarely do significant changes in the area of the ecosystem occur. Furthermore, because the extent of estuaries is typically small, assessments based on area of occupancy may over-inflate risk. Instead, criteria based on abiotic and biotic changes, many of which are documented through monitoring programs, may be most useful for risk assessments of estuarine ecosystems.</t>
  </si>
  <si>
    <t>Assessing risk of collapse of Lake Burullus Ramsar site in Egypt using IUCN Red List of Ecosystems</t>
  </si>
  <si>
    <t>The IUCN Red List of Ecosystems (RLE) assessment is a new powerful scheme that identifies ecosystems that are at risk of collapse due to global environmental changes, which can help any mitigation actions aimed at conserving and rescuing these natural ecosystems. The current study applied RLE assessment protocol on Lake Burullus ecosystem, a highly productive wetland ecosystem, Ramsar site and International Bird Area (IBA) of Egypt. A conceptual model of the key ecosystem processes for Burullus wetland was constructed. The application of RLE followed the standard protocol for the first four criteria; (A) declines in distribution, (B) restricted distribution, (C) degradation of the abiotic components, and (D) regarding the assessment of the disruption of biotic processes and interactions. However, data were insufficient for assessing Criterion (E) that entails conducting quantitative estimates of the risk of collapse. Multi-date satellite images were obtained and processed to estimate the changes in the spatial distribution under criteria (A) and (B) of the study area. For evaluating Criteria (C) and (D), long-term data were collected from literature and previous works to cover the time frame of the assessment as much as possible. The results from the RLE assessment revealed that the status of the ecosystem is Critically Endangered (CR), which was attributed to various types of threats that caused degradation of the natural quality and integrity of the ecosystem. Although the RLE assessment provides a coherent approach for identifying ecosystems vulnerable to human-induced changes; data insufficiency can be an impediment for the efficient application of the RLE assessment. Remotely-sensed data can help in derivation of suitable spectral indicators of the status of the ecosystems structure and functioning that might overcome some of the challenges of data adequacy and relevance to the RLE assessment especially for the understudied and data-deficient ecosystems.</t>
  </si>
  <si>
    <t>Integrating outcomes of IUCN red list of ecosystems assessments for connected coastal wetlands</t>
  </si>
  <si>
    <t>Human-induced habitat clearing and pollution are leading drivers of biodiversity loss. Ecosystem assessments are required to identify ecosystems at risk of collapse, but they should account for cross-system linkages and dynamics where necessary. This is particularly true for coastal wetlands (e.g. seagrass, mangroves and saltmarsh), which exhibit high ecological connectivity and have individually suffered global declines over the last century. We use the coastal wetlands of Moreton Bay, Queensland, Australia, as a model system to examine how integrating outcomes of multiple, simultaneously conducted, ecosystem assessments can assist in identifying appropriate management and conservation strategies. We simultaneously conducted separate assessments of seagrass, mangrove and saltmarsh ecosystems against the IUCN Red List of Ecosystems criteria. Despite substantial human population growth in the region, seagrass and mangroves were assessed as Least Concern. Mangroves were found to be rapidly encroaching on saltmarsh. This process, together with past clearing, were the major drivers behind saltmarsh being assessed as Endangered. Given the importance of connectivity among these connected ecosystems, collapse in any one ecosystem can have seascape-wide consequences, highlighting the benefit of conducting multi-ecosystem assessments. Consequently, a fully integrated assessment of the coastal wetlands as a single entity would miss key processes, such as mangrove encroachment, potentially underestimating overall risks. Our study highlights the plight of saltmarsh and the value of conducting simultaneous RLE assessments for multiple ecosystems comprising seascapes. We recommend that connectivity be accounted for explicitly in assessments of other connected, high-risk ecosystems.</t>
  </si>
  <si>
    <t>Conservation status of the Oyster Reef Ecosystem of Southern and Eastern Australia</t>
  </si>
  <si>
    <t>Reef ecosystems all over the world are in decline and managers urgently need information that can assess management interventions and set national conservation targets. We assess the conservation status and risk of ecosystem collapse for the Oyster Reef Ecosystem of Southern and Eastern Australia, which comprises two community sub-types established by Saccostrea glomerata (Sydney rock oyster) and Ostrea angasi (Australian flat oyster), consistent with the IUCN Red List of Ecosystems risk assessment process. We established: (i) key aspects of the ecosystem including: ecological description, biological characteristics, condition and collapse thresholds, natural and threatening processes; (ii) previous and current extent of occurrence and current area of occupancy; and (iii) its likelihood of collapse within the next 50–100 years. The most severe risk rating occurred for Criterion A: Reduction in Extent (since 1750) and Criterion D: Disruption of biotic processes (since 1750), although assessment varied from Least Concern to Critically Endangered amongst the four criteria assessed. Our overall assessment ranks the risk of collapse for the ecosystem (including both community sub-types) as Critically Endangered with a high degree of confidence. Our results suggest the need for rapid intervention to protect remaining reefs and undertake restoration at suitable sites. Several restoration projects have already demonstrated this is feasible, and Australia is well equipped with government policies and regulatory mechanisms to support the future conservation and recovery of temperate oyster ecosystems.</t>
  </si>
  <si>
    <t>Tidal flats of the Yellow Sea: A review of ecosystem status and anthropogenic threats</t>
  </si>
  <si>
    <t>Tidal flats provide ecosystem services to billions of people worldwide, yet their changing status is largely unknown. In the Yellow Sea region of East Asia, tidal flats are the principal coastal ecosystem fringing more than 4000 km of the coastlines of China, North Korea and South Korea. However, widespread loss of areal extent, increasing frequency of algal blooms, hypoxic dead zones and jellyfish blooms, and declines of commercial fisheries and migratory bird populations suggest that this ecosystem is degraded and declining. Here, we apply the International Union for Conservation of Nature Red List of Ecosystems criteria to the Yellow Sea tidal flat ecosystem and determine that its status is endangered. Comparison of standardized remotely sensed habitat data and historic topographic map data indicated that in the last 50 years, a decline of more than 50% but less than 80% of tidal flat extent has occurred (criterion A1). Although restricted to a narrow band along the coastline, Yellow Sea tidal flats are sufficiently broadly distributed to be classified as least concern under criterion B. However, widespread pollution, algal blooms and declines of invertebrate and vertebrate fauna across the region result in a classification of endangered (C1, D1). Owing to the lack of long-term monitoring data and the unknown impacts of severe biotic and abiotic change, the ecosystem was scored as data deficient for Criterion E and several subcriteria. Our assessment demonstrates an urgent need to arrest the decline of the Yellow Sea tidal flat ecosystem, which could be achieved by (i) improved coastal planning and management at regional and national levels, (ii) expansion of the coastal protected area network, and (iii) improved managed of existing protected areas to reduce illegal land reclamation and coastal exploitation.</t>
  </si>
  <si>
    <t>Butterfly abundance declines over 20 years of systematic monitoring in Ohio, USA</t>
  </si>
  <si>
    <t>Severe insect declines make headlines, but they are rarely based on systematic monitoring outside of Europe. We estimate the rate of change in total butterfly abundance and the population trends for 81 species using 21 years of systematic monitoring in Ohio, USA. Total abundance is declining at 2% per year, resulting in a cumulative 33% reduction in butterfly abundance. Three times as many species have negative population trends compared to positive trends. The rate of total decline and the proportion of species in decline mirror those documented in three comparable long-term European monitoring programs. Multiple environmental changes such as climate change, habitat degradation, and agricultural practices may contribute to these declines in Ohio and shift the makeup of the butterfly community by benefiting some species over others. Our analysis of life-history traits associated with population trends shows an impact of climate change, as species with northern distributions and fewer annual generations declined more rapidly. However, even common and invasive species associated with human-dominated landscapes are declining, suggesting widespread environmental causes for these trends. Declines in common species, although they may not be close to extinction, will have an outsized impact on the ecosystem services provided by insects. These results from the most extensive, systematic insect monitoring program in North America demonstrate an ongoing defaunation in butterflies that on an annual scale might be imperceptible, but cumulatively has reduced butterfly numbers by a third over 20 years.</t>
  </si>
  <si>
    <t>na -Search</t>
  </si>
  <si>
    <t>Systematic assessments of tidal wetlands loss and degradation in Shanghai, China: From the perspectives of area, composition and quality</t>
  </si>
  <si>
    <t>Salt marshes and tidal flats are ecosystems providing considerable value to human beings and widely distributed in the world temperate coastal zone. However, they have been seriously damaged due to human activities over the past half century. Previous studies often used area-based statistic measures to track tidal wetlands loss while neglected to extract other important information such as changes in the composition of tidal wetlands, transformation between salt marsh and tidal flat as well as the quality of them. Little is known about the overlap degree among the spatial patterns of tidal wetlands loss and degradation levels. Shanghai's tidal wetlands in the Yangtze River Estuary of China was used as a cased study. Changes in the area and composition of Shanghai's natural tidal wetlands was measured by building a continuous land use/land cover (LULC) map database (1990, 2000, 2008 and 2018). LULC transformation analysis was used to detect the impact extent of different loss and degradation driving forces (land reclamation, coastal erosion and biological invasion) within different periods. Quality of the remaining tidal wetlands was determined by modeling ecosystem health index (EHI) on 661 assessment units of the study area. Spatial relationship between the EHI and area-based tidal wetland loss indicators were tested with bivariate Moran's I. The results showed that net loss rate (0.6%/yr) of Shanghai's tidal wetlands was relatively low between 1990 and 2018, although its composition changed dramatically. The extent of native ecosystems reduced significantly. For example, 42% of the natural tidal marshes were occupied by S. alterniflora in 2018. Actual degradation and loss of Shanghai's coastal wetlands caused by the three driving forces between 1990 and 2018 was much higher than the maximum area of tidal wetlands of the four time periods. Average EHI value of all units was 0.58, which suggested that Shanghai's remaining tidal wetlands were in the middle health status. Only a few units on the Jiuduan shoal showed net gain or low actual loss in area, and with good health. This study confirmed that changes in tidal wetlands area cannot be independently used to represent the conservation status at large scale because even 'natural' tidal wetlands can become degraded at varying levels due to multiple stressors. This study provides valuable insights in integrating comprehensive information of coastal wetlands loss and degradation into conservation and restoration planning. (c) 2020 The Author(s). Published by Elsevier B.V. This is an open access article under the CC BY-NC-ND license (http://creativecommons.org/licenses/by-nc-nd/4.0/).</t>
  </si>
  <si>
    <t>Field assessment of numerical impacts of coastal sewage disposal on fish larvae relative to natural variability</t>
  </si>
  <si>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</si>
  <si>
    <t>10.1023/A:1007365232465</t>
  </si>
  <si>
    <t>Keck et al</t>
  </si>
  <si>
    <t>WOS:000070978100008</t>
  </si>
  <si>
    <t>Spatio-temporal genetic structure and gene flow between two distinct shell morphs of the planktonic developing periwinkle Littorina striata (Mollusca: Prosobranchia)</t>
  </si>
  <si>
    <t>The planktonic developing periwinkle Littorina striata produces both nodulose and smooth shells, which were originally regarded as 2 separate species. Although both morphs occur microsympatrically, their distribution is not random. Nodulose shells predominate at wave-sheltered sites, whereas smooth shells are more common at wave-exposed sites. The degree of genetic similarity between the 2 shell types and their microgeographic spatio-temporal genetic structuring were investigated using allozyme electrophoresis. This indicated that: (1) both morphs share a common gene pool, (2) gene flow between populations is high and of comparable magnitude to gene flow between both morphs, (3) the population genetic structure of L. striata remains stable over a sampling period of 3 yr, and (4) genetic and morphological distances between populations are not correlated. These results thus confirm the conspecific status of the 2 shell types and suggest that shell variability and spatial patterning in L. striata persist in the presence of intense gene flow.</t>
  </si>
  <si>
    <t>10.3354/meps163155</t>
  </si>
  <si>
    <t>shaw et al</t>
  </si>
  <si>
    <t>WOS:000073032800015</t>
  </si>
  <si>
    <t>Responses of a subarctic dwarf shrub heath community to simulated environmental change</t>
  </si>
  <si>
    <t>1 A dwarf shrub heath in subarctic Sweden was subjected to factorial manipulation of air temperature, water and nutrient supply for 5 years. The responses of the vegetation to the perturbations were then assessed by point intercept (quadrat) analysis followed by determination of above-ground biomass. 2 Nineteen vascular and 23 non-vascular species (or species groups) were recorded and the most dramatic response was that of the grass Calamagrostis lapponica to nutrient addition, with abundance being stimulated by a factor of more than 18 compared with plots not subjected to nutrient addition. Calamagrostis lapponica did not show any significant responses to temperature or water alone but there was a synergistic interaction between all three variables. 3 The abundance of the dominant dwarf shrubs (Empetrum hermaphroditum, Vaccinium vitis-idaea, V. myrtillus and V. uliginosum) was unaffected by the perturbations but elevated temperature stimulated the biomass of V. uliginosum by 125% and total shrub biomass by 16%. The low ratio of current year's growth to standing biomass may have concealed other responses of the dwarf shrub group to the perturbations. 4 The response of the non-vascular flora to the perturbations was either neutral or negative, with lichens showing the most dramatic responses. Lichen biomass on temperature- and nutrient-amended plots was 56% and 18%, respectively, of that on unperturbed plots. Nutrients also exerted a negative effect on the biomass of bryophytes, and the combined biomass of lichens and bryophytes on nutrient-treated plots was almost a third of that on plots which did not receive additional nutrients. 5 Total above-ground biomass was not affected by the perturbations but the total number of interceptions determined by point quadrat analysis was greater on the elevated temperature and nutrient-treated plots. Point quadrat analysis also revealed an accumulation of litter and standing dead material in response to the nutrient and temperature perturbations, both singly and in combination, suggesting a faster turnover of plant material. 6 Both temperature and nutrients increased canopy height and also interacted synergistically such that together they resulted in a mean canopy height of 14.9 cm compared with 8.0 cm in plots subjected to neither perturbation. 7 Nutrient addition lowered species richness by 17.7%, mainly through its impact on the mosses and lichens. 8 In general, nutrient addition elicited the greatest response, followed by temperature, with water exerting little measurable influence. There were a number of important interactions that were often synergistic, and some involved water. 9 Species' responses were highly individualistic and changes in the community were mediated through the response of a small number of key species already present in the community, with no invasion of new species. In the short term at least, floristic diversity may decline as understorey species become less abundant and immigration by new species is inhibited by the dominance of clonal angiosperms.</t>
  </si>
  <si>
    <t>10.1046/j.1365-2745.1998.00261.x</t>
  </si>
  <si>
    <t>murphy et al</t>
  </si>
  <si>
    <t>WOS:000073764500011</t>
  </si>
  <si>
    <t>Effects of habitat fragmentation on carabid beetles: experimental evidence</t>
  </si>
  <si>
    <t>1. We tested for effects of habitat fragmentation in a controlled, replicated, field experiment, in south-eastern Australia. Our experimental subjects were eight carabid beetle species, and the carabid assemblage (45 species). Monitoring was by pitfall trapping in forest remnants and in adjacent continuous-forest controls. Remnants were of three sizes (0.25, 0.875, 3.062 ha.). Monitoring commenced 2 years prior to habitat fragmentation. Here we present results for 6 years after habitat fragmentation (4 years for species richness). 2. We tested four hypotheses. Hypothesis one: habitat fragmentation reduces species richness in the remaining remnants. Carabid species richness was not different in habitat remnants compared to continuous forest, neither was carabid richness different for remnants of different sizes, or at monitoring sites close to remnant edges compared to sites in remnant interiors. 3. Hypothesis two. populations decline as a result of habitat fragmentation. Two species of eight were completely isolated on remnants and both declined in abundance on remnants compared to control plots in continuous forest. The other six species responded in various ways, which included relative increases and decreases in abundance and no change, but as they were not completely isolated on remnants, their responses could not be explained by isolation. 4. Hypothesis three: remaining subpopulations decline further on smaller habitat remnants than on larger remnants. Three species responded to remnant size; one was most abundant in small remnants, the second was most abundant in large remnants, and the third was equally abundant in small and large remnants and less abundant in medium-sized remnants. 5. Hypothesis four: populations near to remnant edges decline further than populations in remnant interiors. Two species were more likely to occur in remnant interiors than at edges, whereas three species were equally likely to occur in remnant interiors and at edges. 6. The effects of habitat fragmentation may be the consequence of: (i) isolation; and (ii) habitat modification. In this study, we were able to consider effects of isolation for two carabid species. We tested only one aspect of the habitat modification hypothesis, edge effects. We discuss the possibility that other aspects of habitat modification in remnants may explain some of our results and suggest that this is where future research be directed.</t>
  </si>
  <si>
    <t>10.1046/j.1365-2656.1998.00210.x</t>
  </si>
  <si>
    <t>WOS:000074031000012</t>
  </si>
  <si>
    <t>The ghost of genetic diversity past: Historical DNA analysis of the greater prairie chicken</t>
  </si>
  <si>
    <t>Most, if not all, of the classic, often-cited examples illustrating the genetic effects of a population bottleneck are open to alternative explanations due to the lack of adequate control populations, that is, low levels of genetic variability are often assumed to be the result of a past population bottleneck without having any prebottleneck measures. Here we provide the first clear case history where both prebottleneck and postbottleneck measures of genetic variability have been collected from a natural system. Analysis of DNA from museum specimens of the greater prairie chicken Tympanuchus cupido from central Illinois revealed the loss of specific alleles (known to have been present earlier in this century) following a demographic contraction. Lost alleles included common ones present in all other populations sampled and others unique to the Illinois population.</t>
  </si>
  <si>
    <t>10.1086/286145</t>
  </si>
  <si>
    <t>WOS:000074332100002</t>
  </si>
  <si>
    <t>Recovery of benthic communities at Macquarie Island (sub-Antarctic) following a small oil spill</t>
  </si>
  <si>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</si>
  <si>
    <t>10.1007/s002270050349</t>
  </si>
  <si>
    <t>WOS:000075378700018</t>
  </si>
  <si>
    <t>Temporal genetic variation in the raccoon, Procyon lotor</t>
  </si>
  <si>
    <t>Starch-gel electrophoresis was used to assess temporal genetic variation in a population of raccoon, Procyon lotor. Specimens (n = 1,056) were collected during nine annual hunts (1984-1992) at Reelfoot National Wildlife Refuge, Obion Co., Tennessee, and Fulton Co., Kentucky. Of 41 loci examined, 35 were monomorphic; 6 exhibited polymorphism and were used in statistical analyses. Heterozygosity ranged from 0.033 (1990) to 0.046 (1992) with a mean of 0.042; however, differences across years were not significant. Significant deviations from Hardy-Weinberg equilibrium were minimal. Chi-square contingency analysis revealed significant differences in allelic frequencies among years for four of the six polymorphic loci. Wright's F-statistics indicated significant differentiation among years (F-ST = 0.042). Rogers' genetic similarity coefficients ranged from 0.836 to 0.973. The matrix of all pairwise comparisons indicated a random pattern of relationships among years. Hunting appears to have had little influence on the genetic composition of raccoons in the study area over the 9-year period. The observed pattern of low-level temporal variation is probably the result of stochastic events.</t>
  </si>
  <si>
    <t>10.2307/1383085</t>
  </si>
  <si>
    <t>WOS:000075624900008</t>
  </si>
  <si>
    <t>Reconstruction of trophic state in Danish lakes using subfossil chydorid (Cladocera) assemblages</t>
  </si>
  <si>
    <t>Surficial sediments from 32 Danish lakes were screened for subfossil chydorid (Cladocera) assemblages. Two data sets from 1965 and 1992 were examined by cluster analysis and nonmetric multidimensional scaling (NMDS) for lake classification. The best environmental variable to explain the 1992 species data was total phosphorus (TP) (r = 0.58, Spearman rank correlation), and NMDS defined three lake classes that were significantly different in communities (p &lt; 0.01, ANOSIM) and in TP values. Canonical correspondence analysis found a strong relationship between the species data and log(TP) (axis 1 eigenvalue = 0.30, total inertia = 0.85, log(TP) intraset correlation = 0.92). Environmental variables were tested by forward selection and six variables were found to be statistically significant by 99 unrestricted Monte Carlo permutations. Weighted averaging regression and calibration models were established from the 1992 chydorid data and corresponding contemporary log-transformed TP data. The model's predictive ability was assessed by the bootstrapped coefficient of determination and the bootstrapped root mean squared error of prediction (r(boot)(2) = 0.79, RMSEboot = 0.24). The patterns of changes in chemical and biological variables (diversity, Bray-Curtis dissimilarity) over the 27-year period placed the 32 lakes in six different response groups.</t>
  </si>
  <si>
    <t>10.1139/cjfas-55-5-1093</t>
  </si>
  <si>
    <t>WOS:000075787000005</t>
  </si>
  <si>
    <t>Genetic structure and temporal dynamics of a Colletotrichum graminicola population in a sorghum disease nursery</t>
  </si>
  <si>
    <t>Restriction fragment length polymorphisms (RFLPs) were used to study the population genetics of Colletotrichum graminicola (= C. sublineolum), the causal agent of sorghum anthracnose. Screening of 80 anonymous probes from a genomic library detected polymorphisms in 81% of 299 probe-enzyme combinations among nine international isolates. Seven single- or low-copy probes were used to study a collection of 411 isolates sampled during 1991 to 1993 from a sorghum disease nursery in Georgia. Nei's gene diversity was moderately high, with H = 0.215 on average, while genotypic diversity was extremely low with an average genotypic diversity value of (G) over cap = 1.513. Only nine multilocus haplotypes were identified, with one haplotype being present at a frequency of approximately 80% each year. Two other haplotypes were found at significant frequencies (4 to 10%). Allele and haplotype frequencies did not differ over the 3 years, indicating that this population was stable. Our findings suggest that genetic drift and gene flow were not major contributors to genetic structure, while asexual reproduction had a significant effect.</t>
  </si>
  <si>
    <t>10.1094/PHYTO.1998.88.10.1087</t>
  </si>
  <si>
    <t>WOS:000076134000011</t>
  </si>
  <si>
    <t>Effects of nitrogen addition on successional dynamics and species diversity in Michigan old-fields</t>
  </si>
  <si>
    <t>1 We examined the impact of nitrogen addition on early successional dynamics and plant species diversity in replicate plots of an old-field succession treatment in south-western Michigan, USA, for 7 years following abandonment from agriculture. 2 Nitrogen addition significantly increased above-ground plant biomass, but had no effect on the displacement or persistence of different life-history groups. Annual species made up a similar proportion of community biomass and decreased at equivalent rates in control and nitrogen-addition microplots. Perennial species biomass increased at similar rates in the control and nitrogen-addition microplots. 3 Annual species dominated initially, but declined in abundance over the first 4 years and were replaced by biennials and then herbaceous perennials. The resulting high numbers of species losses and gains were not affected by nitrogen addition. 4 Nitrogen addition did not affect mean species density or the Shannon index of diversity. There was also no temporal change in the similarity of species composition between control and nitrogen-addition microplots, indicating that nitrogen addition did not cause divergence over time in community composition. In year 7, similar species dominated the nitrogen-addition and control microplots, but there were differences in species composition and abundance of the subordinate species in each community. 5 Only in year 6 of this study was there a significant negative relationship between community biomass and the Shannon diversity index. There was no significant relationship between community biomass and species density in any of the first 7 years following abandonment. Thus, the community response to increased biomass due to nitrogen addition was expressed primarily through changes in community structure, not richness. 6 The effects of nitrogen addition on the early successional dynamics, species composition and consequently diversity of a plant community may depend on initial site conditions. The response to nitrogen enrichment may be slower in sites such as ours with fertile soils that become dominated by herbaceous perennial dicots.</t>
  </si>
  <si>
    <t>10.1046/j.1365-2745.1998.8650794.x</t>
  </si>
  <si>
    <t>WOS:000076782200006</t>
  </si>
  <si>
    <t>Species richness in a successional grassland: Effects of nitrogen enrichment and plant litter</t>
  </si>
  <si>
    <t>We conducted a field experiment in a successional grassland to investigate the short-term effects of nitrogen enrichment and plant litter on plant species richness and on the establishment of a native grass (Andropogon gerardi) that was experimentally introduced to the study site as seed. Additions of nitrogen fertilizer to experimental plots over two growing seasons increased plant production as indicated by increases in both living plant biomass and litter biomass. Increased productivity reduced species richness by effectively preventing the seedling establishment of the subordinate forb species and reduced the recruitment of Andropogon gerardi by inhibiting both germination and survival. Litter removals carried out at each of two levels of nitrogen enrichment (no nitrogen, nitrogen added) showed that litter significantly reduced species richness by the same amount in fertilized and unfertilized plots, suggesting that living biomass and litter were purely additive, rather than interactive in their effects. In contrast, the results of litter additions suggested that the declines in richness associated with fertilization could largely be due to the suppressive effects of increased litter biomass alone. As a whole, the results indicate that litter and living biomass are largely substitutable in their inhibitory effects on species richness in highly productive successional grasslands due to their independent and equivalent capacities to attenuate light to very low levels. This study highlights the combined roles of competition and plant litter in influencing the diversity of grasslands through effects on seedling establishment.</t>
  </si>
  <si>
    <t>10.1890/0012-9658(1998)079[2593:SRIASG]2.0.CO;2</t>
  </si>
  <si>
    <t>WOS:000077501000002</t>
  </si>
  <si>
    <t>Experimental effects of habitat fragmentation on old-field canopy insects: community, guild and species responses</t>
  </si>
  <si>
    <t>We examined the effects of habitat fragmentation on the species distributions, guild membership, and community structure of old-field insects using a fine-scale experimental approach. A continuous 1-ha goldenrod field was fragmented into four treatments that varied in both patch size and degree of isolation. Each treatment was replicated four times and arranged in a Latin square design. Canopy insects in fragmented patches were sampled with sweep nets during early and late summer 1995. The species richness of insects was significantly lower in fragmented than in unfragmented treatments during July, but was similar among treatments in September. Overall community abundance showed no treatment effect during either month. We also found significant row and column effects, suggesting there was spatial heterogeneity in species richness and abundance apart from treatment effects. Differences in species richness during July were primarily due to the loss of rare species in highly fragmented plots. Overall abundance was less responsive to community change because deletions of rare species in fragmented areas were not detected in abundance analyses. Four feeding guilds showed different responses to fragmentation: the species richness of sucking herbivores and the abundance of parasitoids were significantly reduced by fragmentation but predators and chewing herbivores were largely unaffected. Analyses of a subset of individual species within guilds suggest that the greater effects of fragmentation on sucking herbivores and parasitoids may be due to the degree of habitat specificity of guild members. The effects of small-scale habitat fragmentation were therefore detectable at the level of community, guild, and individual species. Changes in species richness, guild structure and species distributions were likely due to differential effects of habitat alteration on individual movements and patch selection rather than dispersal or demographic change. Nonetheless, the selective loss of rare species, differential guild effects and changes in species occupancy that we found in this small-scale experiment are also factors that are likely to operate in fragmented habitats over broader spatial scales.</t>
  </si>
  <si>
    <t>10.1007/s004420050738</t>
  </si>
  <si>
    <t>WOS:000079391900011</t>
  </si>
  <si>
    <t>The extinction of genetic resources of Asian wild rice, Oryza rufipogon Griff.: A case study in Thailand</t>
  </si>
  <si>
    <t>Natural populations of wild rice, Oryza rufipogon Griff., are now threatened with the disturbance of their natural habitats by various human activities. To obtain basic information on genetic erosion or loss of genetic diversity in wild rice, we investigated how environmental changes of habitat affected the genetic structure of its natural population at a study site in the central plain of Thailand. During 10 years from 1985 to 1994, the wild-rice population at this site was seriously destroyed and fragmented. Using two sets of seed sample collected in 1985 and 1994 from the same population, allozyme variability at 17 loci of 11 enzymes were examined. Isozyme genotypes of mother plants of seed samples were estimated by the segregation in each progeny, and we calculated genetic parameters for the population. Gene diversity severely decreased in the 1994 sample compared with the 1985 sample. It is supposed that declining and fragmentation of the wild rice population, which happened during the 10 years, caused loss of genetic variability and forced the habitually outbreeding plants to inbreed, accelerating a reduction in gene variability. Pgi1-1 allele which was common in Indica rice cultivars of this region was found in the wild rice plants growing at the side of rice fields. Probably, introgression has occurred between wild and cultivated rice plants, and consequently the intrinsic nature of wild rice was gradually blurred by cultivar genes. We must realize that the genetic erosion of wild rice is rapidly proceeding and that an action for their conservation in natural environment, so called in situ conservation, is urgently needed.</t>
  </si>
  <si>
    <t>10.1023/A:1008622405001</t>
  </si>
  <si>
    <t>WOS:000081293700012</t>
  </si>
  <si>
    <t>Long-term ecosystem impacts of an introduced grass in the northern Great Plains</t>
  </si>
  <si>
    <t>Introduced plants can have negative effects on native species and diversity, but their impacts on ecosystem function are less apparent. At the northern edge of the Great Plains, we examined five stands in each of undisturbed prairie, successional prairie (fields abandoned for similar to 50 yr that had undergone succession to native grasses), and abandoned fields of similar age planted with Agropyron cristatum, a C-3 perennial tussock grass introduced from northern Asia. We attributed differences between successional prairie and A. cristatum stands to the introduced species and not to cultivation. A. cristatum fields contained few native species, resulting in significantly lower species richness and diversity. Growth forms most similar to A. cristatum, i.e., C-3 grasses, were most likely to be excluded. Soils under A. cristatum had significantly less available N, total N, and total C than soils under successional prairie. A. cristatum fields had significantly higher shoot mass than successional prairie, but root:shoot ratios in A. cristatum fields were less than half those under successional prairie, because root mass was significantly higher under native grasses. C:N ratios did not vary significantly between A. cristatum and native grasses, suggesting that the lower N and C content of soils under A. cristatum was not caused by differences in nutrient concentrations. Instead, the relatively low root mass of the introduced grass was probably responsible for decreased rates of N and C addition to the soil. Because total C was 25% less in soils under A. cristatum than under successional prairie, the planting of A. cristatum over millions of hectares of the Great Plains may have left 3.3-4.8 X 10(14) g of C in the atmosphere that would otherwise have been stored as soil organic matter by native grasses. In contrast to the large effects of A. cristatum, almost no significant differences were found between undisturbed and successional prairie. Thus, the identity of the species dominating after disturbance played a larger long-term role in determining ecosystem function than did the disturbance itself. The results suggest that the effects of this introduced species extend beyond the displacement of native species and the reduction of diversity, and include the alteration of pools and flows of energy and nutrients in the prairie ecosystem.</t>
  </si>
  <si>
    <t>10.1890/0012-9658(1999)080[2397:LTEIOA]2.0.CO;2</t>
  </si>
  <si>
    <t>WOS:000083009400022</t>
  </si>
  <si>
    <t>Microsatellite analysis of genetic diversity in the squid Illex argentinus during a period of intensive fishing</t>
  </si>
  <si>
    <t>Levels of genetic diversity and population differentiation were examined in temporally (1990 to 1997) and geographically separated samples of the argentine short-finned squid Illex argentinus using 7 microsatellite loci. Number of alleles (mean number of alleles per locus over all samples = 24.1) and heterozygosity (mean observed heterozygosity per sample = 0.84) were high for all samples, indicating that these loci have a greater potential utility for investigating population genetic structure than allozyme markers used in previous studies. Genetic diversity did not differ significantly between samples taken 5 yr after commencement of the fishery (1990) and those collected during a period of progressively intense fishing pressure (1994 and 1997). Several small but significant differences in between-sample genetic variation (F-ST) were observed, but these could not confirm the previous suggestion of cryptic species or several well-defined stocks within the fished population.</t>
  </si>
  <si>
    <t>10.3354/meps187171</t>
  </si>
  <si>
    <t>WOS:000083830200015</t>
  </si>
  <si>
    <t>Loss of genetic diversity in the endemic Hector's dolphin due to fisheries-related mortality</t>
  </si>
  <si>
    <t>The endemic New Zealand Hector's dolphin is considered the rarest species of marine dolphin with a total abundance of less than 4000. The species is listed as vulnerable because of fisheries-related mortality due to entanglement in set nets. The vulnerability of this species is further increased by its fidelity to local natal ranges and the genetic isolation of regional populations. Here we present evidence, based on 108 contemporary samples and 55 historical samples dating back to 1870, of a significant loss of mitochondrial DNA (mtDNA) diversity in two regional populations of Hector's dolphin. The haplotype diversity (h) was calculated from sequences of a 206 bp fragment in the mtDNA control region, designed to identify 13 out of the 14 known maternal lineages. Over the last 20 years, the North Island population has been reduced from at least three lineages (h = 0.41) to a single lineage (h = 0; P &lt; 0.05). Given its small size, reproductive isolation and reduced genetic diversity, this population is likely to become extinct. The diversity of the East Coast South Island population has declined significantly from h = 0.65 to h = 0.35 (p &lt; 0.05). Based on trend analysis of the mtDNA diversity, we predict that the East Coast population will lose all mtDNA diversity within the next 20 years. This time-series of reduction in genetic variation provides independent evidence of the severity of population decline and habitat contraction resulting from fisheries and perhaps other human activities.</t>
  </si>
  <si>
    <t>10.1098/rspb.2000.0972</t>
  </si>
  <si>
    <t>WOS:000084756400015</t>
  </si>
  <si>
    <t>Marine population structure in an anadromous fish:: life-history influences patterns of mitochondrial DNA variation in the eulachon, Thaleichthys pacificus</t>
  </si>
  <si>
    <t>Due to the apparent decline in size of a number of populations, eulachon, Thaleichthys pacificus, have recently become the focus of a conservation movement in the northeast Pacific. Little is known of the marine life-history phase of this anadromous fish, and although it has been suggested that eulachon spawning in different rivers may form distinct populations, nothing is known of their population structure. Molecular genetic data were used to investigate population structure and possible management schemes. Mitochondrial DNA genotypes, determined through restriction fragment length polymorphisms (RFLP) analysis, were resolved in fish from several rivers throughout the geographical range of eulachon. Our data support the idea that extant eulachon populations result from postglacial dispersal from a single Wisconsinan glacial refuge. Further, while three of the 37 haplotypes recovered account for approximately 79% of the samples, many private haplotypes were observed, suggesting possible regional population structure. While a great deal of genetic variation was observed (37 haplotypes in 315 samples), an AMOVA showed that &gt;97% of the total variation was detected within populations. As yet, it is unclear whether genetically distinct populations of eulachon exist, or if these fish may be treated as one or a few large populations. Results were tested against predictions made from hypotheses concerning the origin and persistence of subdivided populations in marine species, and seem to be more consistent with the Member-Vagrant hypothesis than isolation by distance. Eulachon present an interesting situation that illustrates the difficulties involved in defining management units in organisms with high levels of gene now.</t>
  </si>
  <si>
    <t>10.1046/j.1365-294X.1999.00818.x</t>
  </si>
  <si>
    <t>WOS:000085737800014</t>
  </si>
  <si>
    <t>Microsatellite DNA analysis of genetic effects of harvesting in old-growth eastern white pine (Pinus strobus) in Ontario, Canada</t>
  </si>
  <si>
    <t>Microsatellite DNA markers from 13 simple sequence repeat (SSR) loci were used to compare genetic diversity between preharvest pristine and postharvest residual gene pools of two adjacent virgin, old-growth (approximate to 250 years) stands of eastern white pine (Pinus strobus L.) in Ontario. There was concurrence in genetic diversity changes in the postharvest gene pools of the two stands. The total and mean numbers of alleles detected in each stand were reduced by approximate to 26% after tree density reductions of approximate to 75%. Approximately 18 and 21% of the low-frequency (0.25 &gt; P greater than or equal to 0.01) alleles and 76 and 92% of the rare (P &lt; 0.01) alleles were lost from residual stands A and B, respectively, after harvesting. Multilocus gametic diversity was reduced by 38 and 85% and genotype additivity by approximate to 50% in the residual stands after harvesting. Latent genetic potential of each stand was reduced by approximate to 40%. Although heterozygosity was reduced (1-5%) in the postharvest residual stands, the reductions were not substantial and not comparable to those using other genetic diversity measures. The reductions in genetic diversity measures were slightly higher than those theoretically expected in postbottleneck populations according to drift theory. In the absence of substantial gene migration that could ameliorate the genetic losses, the ability of the postharvest white pine gene pools to adapt to changing environmental and disease conditions may have been compromised. The microsatellite DNA results for genetic effects of harvesting in old-growth eastern white pine stands were similar to those that we reported earlier from allozyme analysis (Buchert et al. 1997). The results indicate that silvicultural practices should ensure that the gene pools of remaining pristine old-growth stands are reconstituted in the regenerating stands.</t>
  </si>
  <si>
    <t>10.1046/j.1365-294x.2000.00886.x</t>
  </si>
  <si>
    <t>WOS:000085800500009</t>
  </si>
  <si>
    <t>Comparison of plant diversity in protected and communal lands in the Bushbuckridge lowveld savanna, South Africa</t>
  </si>
  <si>
    <t>Patterns of higher plant species richness and beta diversity were assessed using standard Modified-Whittaker plots in relation to landuse, slope position and mean annual rainfall across a rainfall gradient in the savanna areas of the Bushbuckridge lowveld, South Africa. In particular, comparison of communal areas with adjacent protected areas was important in showing the impacts of potential changes in landuse within an overarching catchment management plan. Although most of the protected areas considered preservation of biodiversity as their primary goal, they were characterised by significantly fewer plant species than the adjacent, highly utilised, communal lands, at both the plot and point scale. Slope position also had a significant effect on plant species richness, with eutrophic bottomlands having c. 30% more species than the dystrophic toplands. This adds weight to the need for greater public awareness for the judicious use and management of the sensitive bottomlands, which fringe the primary drainage lines that are vital for sustained supplies of good quality surface water in this semi-arid environment. The total number of species increased with increasing mean annual rainfall across the rainfall gradient. This suggests that, if the catchment management plan aims to identify additional areas for conservation, the higher rainfall areas should be the first to be assessed. Species turnover was greater along the rainfall gradient than the catenal gradient between toplands and bottomlands. (C) 2000 Elsevier Science ltd. All rights reserved.</t>
  </si>
  <si>
    <t>10.1016/S0006-3207(00)00001-X</t>
  </si>
  <si>
    <t>WOS:000087218600002</t>
  </si>
  <si>
    <t>Influence of nutrient availability on phytoplankton growth and community structure in the Port Adelaide River, Australia: bioassay assessment of potential nutrient limitation</t>
  </si>
  <si>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</si>
  <si>
    <t>10.1023/A:1004024630413</t>
  </si>
  <si>
    <t>WOS:000088588300008</t>
  </si>
  <si>
    <t>Sensitivity of three grassland communities to simulated extreme temperature and rainfall events</t>
  </si>
  <si>
    <t>Three grassland communities in New Zealand with differing climates and proportions of C3 and C4 species were subjected to one-off extreme heating (eight hours at 52.5 degrees C) and rainfall (the equivalent of 100 mm) events. A novel experimental technique using portable computer-controlled chambers simulated the extreme heating events. The productive, moist C3/C4 community was the most sensitive to the extreme events in terms of short-term community composition compared with a dry C3/C4 community or an exclusively C3 community. An extreme heating event caused the greatest change to plant community species abundance by favouring the expansion of C4 species relative to C3 species, shifting C4 species abundance from 43% up to 84% at the productive, moist site, This was observed both in the presence and absence of added water. In the absence of C4 species, heating reduced community productivity by over 60%. The short-term shifts in the abundance of C3 and C4 species in response to the single extreme climatic events did not have persistent effects on community structure or on soil nitrogen one year later. There was no consistent relationship between diversity and stability of biomass production of these plant communities, and species functional identity was the most effective explanation for the observed shifts in biomass production. The presence of C4 species resulted in an increased stability of productivity after extreme climatic events, but resulted in greater overall. shifts in community composition. The presence of C4 species may buffer grassland community productivity against an increased frequency of extreme heating events associated with future global climate change.</t>
  </si>
  <si>
    <t>10.1046/j.1365-2486.2000.00344.x</t>
  </si>
  <si>
    <t>WOS:000088808000007</t>
  </si>
  <si>
    <t>Escaped farmed salmon, Salmo salar L., in the Glenarm River, Northern Ireland:: genetic status of the wild population 7 years on</t>
  </si>
  <si>
    <t>A previous study described genetic changes in a wild Atlantic salmon, Salmo salar L., population resulting from the spawning of escaped farmed salmon in the Glenarm River, Northern Ireland, in 1990. This study reports an extension of the original investigation with a further follow-up sample that was taken from the river in 1997 to assess the genetic status of the wild population two generations after the original hybridization between the wild population and the farmed strain. Overall genetic variation across eight polymorphic allozyme loci indicated that the wild population remains significantly different from the pre-escape population and from the immediate post-escape population, the presence of an allele not having been previously detected in this population (GPI-1,2*140), suggesting that further incursion(s) of fanned salmon may have taken place.</t>
  </si>
  <si>
    <t>10.1046/j.1365-2400.2000.00219.x</t>
  </si>
  <si>
    <t>WOS:000089718400006</t>
  </si>
  <si>
    <t>Community relaxation in fragmented landscapes: the relation between species richness, area and age</t>
  </si>
  <si>
    <t>Estimates of species loss due to habitat destruction are normally based on calculations employing the species-area relation, S = cA(z). The validity of this approach is based on the assumption that the value of the exponent (z) defining the slope of the species-area relation in nonfragmented communities is at a steady state and that z is thus a constant. However, departure from such an assumption renders this approach unreliable. Here I report the results from a natural field experiment using model bryophyte-based microlandscapes designed to follow the species richness dynamics of microarthropod communities postfragmentation. Community isolation due to fragmentation initiated a delayed community relaxation process and resulted in substantial local extinction. Over the period of the experiment z declined in the control communities and yet remained fairly stable in the fragmented communities. I conclude that predictions of species loss due to habitat fragmentation that do not take into account the fact that often z may not be a constant may lead to error-prone predictions of future species loss.</t>
  </si>
  <si>
    <t>10.1046/j.1461-0248.2000.00171.x</t>
  </si>
  <si>
    <t>WOS:000089718700009</t>
  </si>
  <si>
    <t>Marine microbenthic community structure regulated by nitrogen loading and grazing pressure</t>
  </si>
  <si>
    <t>Generalisations on the combined effects of consumers and resources on autotrophs in aquatic food webs largely rely on freshwater studies. In this study, we tested these general concepts with marine benthic microalgae, which are important components of coastal food webs. We manipulated nitrogen availability and herbivore presence in a factorial field experiment in the Western Baltic Sea. Moreover, we investigated how herbivore control varied among 3 sites and 2 seasons and tested for trophic cascades by enhancing demersal fish density at 2 sites. Nitrogen availability and herbivore presence had strong and antagonistic effects on microalgal biomass, species composition and diversity. Herbivores significantly reduced algal biomass, whereas nutrient enrichment led to an increase in biomass. Herbivore effects on microalgal biomass increased with increasing nitrogen availability, indicating a functional response of herbivores to nutrient enrichment. The response of microalgae at the species level suggested a trade-off between nutrient use and grazing resistance which appeared to be Linked to algal growth form. Compared to other growth forms, large erect species were most responsive to both nitrogen loading and herbivory. Grazing reduced microalgal diversity at low nutrient supply, but enhanced it at high nutrient supply. Herbivore effects varied considerably among different sites and were stronger in spring than in summer. Manipulations of fish density during summer did not have any effects on microalgal community structure. In conclusion, our results demonstrate that herbivores and nutrients have strong and balancing effects on marine microbenthic community structure.</t>
  </si>
  <si>
    <t>10.3354/meps204027</t>
  </si>
  <si>
    <t>WOS:000089943900003</t>
  </si>
  <si>
    <t>Temporal and spatial genetic variation in spawning grounds of European hake (Merluccius merluccius) in the Bay of Biscay</t>
  </si>
  <si>
    <t>Polymorphism at five microsatellite loci were screened to determine the genetic variability and the temporal stability of population structure in natural populations of European hake (Merluccius merluccius, L.) within the Bay of Biscay. In addition, the control region (900 bp) and two protein coding genes (ATPase, subunits 6 and 8, 842 bp and a partial sequence of the ND1, 800 bp) of the mitochondrial DNA (mtDNA) were sequenced from geographically distant populations from the extremes of the species range. One hundred individuals from either side of a supposed stock boundary within the bay were collected in autumn 1997. This sampling strategy was repeated during hake spawning seasons in late spring of 1998 and 1999. Low levels of population subdivision were found between putative populations within years. Similarly, low levels of differentiation were found between autumn 1997 northern samples and spring 1998 southern samples which were collected 7 months later on spawning grounds. These results are discussed in relation to ecological, behavioural and oceanographic information. Sampling effects, which may influence these results, are also discussed. Theta (theta) estimates were significantly different from zero in every other pairwise comparison between geographical areas (north and south of the Bay of Biscay) and between years within the same area (P &lt; 0.05). Hierarchical analysis of molecular variance (AMOVA) does not confirm the temporal persistence of population structure. These results are discussed in relation to variance in reproductive success, and temporal spawning patterns, which. may exist within the bay. mtDNA variability was very low between geographically distant samples from Norway and the Mediterranean Sea with only 10 variable sites found in a total of 2542 bp of mtDNA, these differences being exclusively in the D-loop.</t>
  </si>
  <si>
    <t>10.1046/j.1365-294X.2000.01120.x</t>
  </si>
  <si>
    <t>WOS:000166112700013</t>
  </si>
  <si>
    <t>Responses of ant communities to dry sulfur deposition from mining emissions in semi-arid tropical Australia, with implications for the use of functional groups</t>
  </si>
  <si>
    <t>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t>
  </si>
  <si>
    <t>10.1046/j.1442-9993.2000.01065.x</t>
  </si>
  <si>
    <t>WOS:000166527300010</t>
  </si>
  <si>
    <t>Nematodes as sensitive indicators of change at dredged material disposal sites</t>
  </si>
  <si>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</si>
  <si>
    <t>10.1006/ecss.2000.0722</t>
  </si>
  <si>
    <t>WOS:000166995500010</t>
  </si>
  <si>
    <t>Effect of harvest and effective population size on genetic diversity in a striped bass population</t>
  </si>
  <si>
    <t>A major factor that contributes to loss of genetic variation in natural populations is a small effective population size. In species with a complex life history that involves overlapping generations and delayed maturity, the impact of infrequent annual reproductive bottlenecks is likely to be small because effective population size is defined by the number of individuals contributing to a generation and not to a single year-class. The striped bass Morone saxatilis is a long-lived species with overlapping generations and age structure, whose recreational and commercial importance has made it a target of intense harvest. We analyzed allele frequency fluctuation among juvenile year-classes of the Santee-Cooper, South Carolina, population from 1990 through 1994 with three independently segregating polymorphic nuclear DNA loci to examine genetic drift and estimate the number of breeders each year. Significant fluctuations in allele frequencies among juvenile year-classes were observed, and most of the variation was attributed to a small number of parents in 1992. The potential impact of this year-class is likely to be low because 1992 was a poor recruitment year, and striped bass have multiple opportunities to breed. However, high adult mortality due to fishing may increase the impact of the 1992 year-class by decreasing the number of adult age-classes in this population. Thus, high exploitation in species with overlapping generations can reduce the long-term effective population size by abrogating the possibility of multiple breeding opportunities.</t>
  </si>
  <si>
    <t>10.1577/1548-8659(2000)129&lt;1367:EOHAEP&gt;2.0.CO;2</t>
  </si>
  <si>
    <t>WOS:000167141400013</t>
  </si>
  <si>
    <t>Patterns of distribution of macro-fauna in different types of estuarine, soft sediment habitats adjacent to urban and non-urban areas</t>
  </si>
  <si>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</si>
  <si>
    <t>10.1006/ecss.2000.0741</t>
  </si>
  <si>
    <t>WOS:000167531000008</t>
  </si>
  <si>
    <t>Genetic interchange of Dreissena polymorpha populations across a canal</t>
  </si>
  <si>
    <t>The zebra mussel Dreissena polymorpha, has been invading western Central Europe since the early 19th century, coming from the Pontocaspian by two routes, each interconnected by large rivers and canals constructed at that time. By 1992 these two invasion populations had been given the opportunity to mix extensively across the newly built Main-Danube canal. Different hypotheses about the dynamics of genetic interchange have been postulated, ranging from a stable intergradation zone to complete mixing. We analysed the allozyme variation at nine loci in 14 or 17 populations, respectively, across the canal on two occasions: 2 1/2 years and 4 1/2 years after the opening. At the first sampling a strong genetic differentiation at three loci was found between the two invasion lines. This differentiation declined during the two-year period. The main effect was an assimilation of the Main populations according to the gene frequencies of the Danube populations, which suggest a swamping of the Main populations by Danube-type larvae. This inference is congruent with the overall water flow regime across the canal, i.e. active pumping from the Danube into the Main drainage system. The observed interchange processes allow some inferences to be made about the selective significance of the highly heterozygous allozyme loci in D. polymorpha.</t>
  </si>
  <si>
    <t>10.1046/j.1365-2540.2001.00816.x</t>
  </si>
  <si>
    <t>WOS:000168003400012</t>
  </si>
  <si>
    <t>Effects of urbanization on streams of the Melbourne region, Victoria, Australia. I. Benthic macroinvertebrate communities</t>
  </si>
  <si>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</si>
  <si>
    <t>10.1046/j.1365-2427.2001.00690.x</t>
  </si>
  <si>
    <t>WOS:000168380900008</t>
  </si>
  <si>
    <t>Genetic differentiation among Atlantic cod (Gadus morhua L.) in Icelandic waters: temporal stability</t>
  </si>
  <si>
    <t>Temporal variability in genetic structure of Atlantic cod was investigated at two locations (Loftstaoahraun and Kantur) on the main cod spawning grounds off south Iceland using synaptophysin (Syp I) and haemoglobin as genetic markers. During the spawning season (late March and early April) cod were sampled at each sampling location and then at the same locations two to four weeks later. during two consecutive years (1997 and 1998). Significant genetic differences were found at the SI p I locus between the two samples (Loftstaoahraun and Kantur) and the difference was temporally stable. Very low variation was found in the haemoglobin and no temporal changes were found for this marker. The results strongly indicates that cod in south Icelandic waters do not belong to one panmictic population and that this genetic difference is stable from year-to-year. (C) 2001 International Council for the Exploration of the Sea.</t>
  </si>
  <si>
    <t>10.1006/jmsc.2000.0995</t>
  </si>
  <si>
    <t>WOS:000168661700012</t>
  </si>
  <si>
    <t>WOS:000168695300007</t>
  </si>
  <si>
    <t>Predicting the consequences of anthropogenic disturbance: large-scale effects of loss of canopy algae on rocky shores</t>
  </si>
  <si>
    <t>Anthropogenic disturbances affect natural populations and assemblages by interacting with fundamental ecological processes. Field experiments simulating the effects of human activities at the appropriate spatial and temporal scales are useful to understand these interactions and eventually to predict their ecological consequences. In the Mediterranean, low-shore habitats of rocky coasts are often dominated by canopy algae Cystoseira spp., but these species are frequently replaced by assemblages of turf-forming algae and mussel beds. We propose that anthropogenic disturbance is the proximate cause of loss of Cystoseira in the Mediterranean and that the disappearance of canopy algae causes an increase in cover of turf-forming species in disturbed habitats. Two hypotheses were investigated to test this proposition: (1) canopy algae will be dominant in relatively pristine habitats while turf-forming algae will be more abundant in urban areas, and (2) removal of canopy algae in unpolluted areas will result in the development of assemblages similar to those found in urban areas. We tested the first hypothesis by comparing patterns in abundance of Cystoseira and turf-forming algae at a number of locations in urban areas and in areas far from distinct sources of anthropogenic disturbance in the northwest Mediterranean. The second hypothesis was tested by conducting a large-scale manipulative experiment. involving the experimental removal of Cystoseira and several spatial and temporal repetitions of the manipulation. Turf-forming algae were always dominant in urban areas where Cystoseira was nearly absent. In contrast, canopy algae often dominated rocky shores in relatively pristine areas of the northwest Mediterranean The removal of Cystoseira generally caused an increase in the percentage cover of turf-forming algae and a decrease in the abundance of invertebrates. These changes were already evident 4 mo after manipulation and were consistent at the spatial and temporal scales examined in the study. Assemblages in cleared patches were qualitatively similar to those occurring where Cystoseira was naturally absent, but quantitative differences in the relative abundance of several taxa were still evident by the end of the study. These results support a cause-effect relationship between anthropogenic disturbance and loss of Cystoseira in the northwest Mediterranean and allow for quantitative predictions of the indirect consequences of disturbing canopy algae for the whole understory assemblage. Management options aimed at conserving these plants should simultaneously preserve other components of the assemblage.</t>
  </si>
  <si>
    <t>10.3354/meps214137</t>
  </si>
  <si>
    <t>WOS:000168974500013</t>
  </si>
  <si>
    <t>Assessment of regional benthic impact of salmon mariculture within the Letang Inlet, Bay of Fundy</t>
  </si>
  <si>
    <t>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t>
  </si>
  <si>
    <t>10.1006/jmsc.2000.1039</t>
  </si>
  <si>
    <t>WOS:000169186300010</t>
  </si>
  <si>
    <t>Cumulative effects of roads and logging on landscape structure in the San Juan Mountains, Colorado (USA)</t>
  </si>
  <si>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</si>
  <si>
    <t>10.1023/A:1011185409347</t>
  </si>
  <si>
    <t>Jaureguiberry et al</t>
  </si>
  <si>
    <t>WOS:000169516300004</t>
  </si>
  <si>
    <t>Quantitative evaluation of genetic diversity in wheat germplasm using molecular markers</t>
  </si>
  <si>
    <t>Characterization of germplasm by means of DNA fingerprinting techniques provides a too] for precise germplasm identification and a quantitative estimate of genetic diversity. This estimate is important because a decrease in genetic variability might result in a reduction of the plasticity of the crops to respond to changes in climate, pathogen populations, or agricultural practices. In this study, 105 Argentine bread wheat (Triticum aestivum L.) cultivars released between 1932 and 1995 were characterized by simple sequence repeat (SSR) and amplified fragment length polymorphism (AFLP) markers. A selected subset of 10 highly informative SSR was used to construct an Identification Matrix that allowed the discrimination of the 105 cultivars. Data obtained from SSR markers were complemented by information derived from AFLPs. Molecular data were used to quantify genetic diversity across Argentine wheat breeding programs and to determine if modern wheat cultivars have a lower genetic diversity than earlier cultivars (genetic erosion). No significant differences in genetic diversity were found among the large private and public breeding programs, suggesting that each of them contains a representative sample of the complete diversity of the Argentine germplasm. Significant differences were found for both SSR and AFLP only between breeding programs with large differences in number of released cultivars. No significant differences in genetic diversity were found between the group of cultivars released before 1960 and those released in each of the following three decades. Average diversity values based on SSR markers were almost identical for the four analyzed periods. Genetic diversity estimates based on AFLP data confirmed the absence of a reduction of genetic diversity with time, but significant differences (P = 0.01) were found between bread wheat cultivars released in the 1970s (PIC = 0.28) and those released in the 1980s (PIC = 0.34). These results show that the Argentine bread wheat germplasm has maintained a relatively constant level of genetic diversity during the last half century.</t>
  </si>
  <si>
    <t>10.2135/cropsci2001.413682x</t>
  </si>
  <si>
    <t>WOS:000170696200010</t>
  </si>
  <si>
    <t>Using restriction fragment length polymorphisms to assess temporal variation and estimate the number of ascospores that initiate epidemics in field populations of Mycosphaerella graminicola</t>
  </si>
  <si>
    <t>Restriction fragment length polymorphisms (RFLPs) and DNA fingerprints were used to assess temporal variation and estimate the effective population size of the wheat pathogen Mycosphaerella graminicola over a 6-year period. In each year, the fungal population was founded by ascospores originating from outside the sampled fields. A total of 605 fungal isolates were included in this study. Our results indicate that the genetic structure of these M. graminicola populations were stable over the 6-year period. The common alleles at each RFLP locus were present at similar frequencies each year. More than 99% of gene diversity was distributed within populations sampled from the same year and less than 1% was attributed to differences among years. The lack of population differentiation among collections taken in different years indicated that the effective size of the source population was sufficiently large that genetic drift was insignificant in this location. It also suggests that the initial colonists from ascospore founder populations were a fair reflection of the source population. We estimate that the effective sizes of these field populations ranged from 3,400 to 700,000 individuals, depending on the size of the field sampled and assumptions about mutation rates. Estimates of the number of ascospores initiating epidemics of leaf blotch disease in each field plot and factors that contribute to the large effective population size of M. graminicola are discussed.</t>
  </si>
  <si>
    <t>10.1094/PHYTO.2001.91.10.1011</t>
  </si>
  <si>
    <t>WOS:000171279300012</t>
  </si>
  <si>
    <t>Genetic assessment of spatiotemporal evolutionary relationships and stocking effects in grayling (Thymallus thymallus, Salmonidae)</t>
  </si>
  <si>
    <t>Domestically reared introduced (or escaped) individuals can have detrimental genetic effects on the indigenous populations into which they are released, Consequently, numerous studies have attempted to estimate whether, non-native specimens have contributed to the gene pool of wild populations. So far, the key limiting factor of such studies has been their lack of appropriate baseline genetic material. Here, microsatellite DNA analyses of historical scale samples and contemporary wild and introduced populations were used to assess spatiotemporal population structure and stocking effects among endangered Lake Saimaa (eastern Finland) grayling (Thymallus thymallus,Salmonidae). Significant decreases in genetic differentiation were detected between wild and introduced populations since the commencement of stocking in 1986. Accordingly, up to 15% of the contemporary wild grayling were confidently identified to be of pure hatchery origin, and recent hybridization between the hatchery and indigenous individuals appeared likely. Despite these clear genetic imprints of stocking, the contemporary populations exhibited evolutionary relationships congruent with the sampling locations, and up to 73% of contemporary individuals were identified to be of pure indigenous origin. The use of historical baseline material should prove efficient for monitoring gene flow between domesticated and wild populations in other species also, e.g. salmonids, game animals and plants.</t>
  </si>
  <si>
    <t>10.1046/j.1461-0248.2002.00302.x</t>
  </si>
  <si>
    <t>WOS:000175119000007</t>
  </si>
  <si>
    <t>Reconstructing recent divergence: evaluating nonequilibrium population structure in New Zealand chinook salmon</t>
  </si>
  <si>
    <t>Newly established or perturbed populations are often the focus of conservation concerns but they pose special challenges for population genetics because drift-migration equilibrium is unlikely. To advance our understanding of the evolution of such populations, we investigated structure and gene flow among populations of chinook salmon that formed via natural straying following introduction to New Zealand in the early 1900s. We examined 11 microsatellite loci from samples collected in several sites and years to address two questions: (i) what population differentiation has arisen in the approximate to 30 generations since salmon were introduced to New Zealand, relative to temporal variation within populations; and (ii) what are the approximate effective population sizes and amounts of gene flow in these populations? These questions are routinely addressed in studies of indigenous populations, but less often in the case of new populations and rarely with consideration of equilibrium assumptions. We show that despite the recent introduction, continued gene flow and high temporal variability among samples, detectable population structure has arisen among the New Zealand populations, consistent with their colonization pattern and isolation by geographical distance. Furthermore, we use simple individual-based simulations and estimates of effective population sizes to estimate the effective gene flow among drainages under likely nonequilibrium conditions. Similar methodology may be broadly applicable to other studies of population structure and phenotypic evolution under similar nonequilibrium, high gene flow conditions.</t>
  </si>
  <si>
    <t>10.1046/j.1365-294X.2002.01477.x</t>
  </si>
  <si>
    <t>WOS:000175250300009</t>
  </si>
  <si>
    <t>Interactive effects of nitrogen deposition, tropospheric ozone, elevated CO2 and land use history on the carbon dynamics of northern hardwood forests</t>
  </si>
  <si>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</si>
  <si>
    <t>10.1046/j.1365-2486.2002.00482.x</t>
  </si>
  <si>
    <t>WOS:000175749000004</t>
  </si>
  <si>
    <t>Estimating the long-term effects of stocking domesticated trout into wild brown trout (Salmo trutta) populations: an approach using microsatellite DNA analysis of historical and contemporary samples</t>
  </si>
  <si>
    <t>Indigenous salmonid fish gene pools are affected by domesticated conspecifics, derived from aquaculture escapes and deliberate releases. Variability was examined at nine microsatellite loci in order to assess the long-term impact of stocking domesticated trout in two brown trout populations. The study was based on analysis of two historical samples (194556), represented by old scale collections, and seven contemporary samples (1986-2000). In one population historical and contemporary samples were remarkably genetically similar despite more than a decade of intense stocking. Estimation of admixture proportions showed a small genetic contribution from domesticated trout (approximately 6%), and individual admixture analysis demonstrated a majority of nonadmixed individuals. The expected genetic contribution by domesticated trout was 64%, assessed from the number of stocked trout and assuming equal survival and reproductive performance of wild and domesticated trout. This demonstrates poor performance and low fitness of domesticated trout in the wild. In another population there was a strong genetic contribution from domesticated trout (between 57% and 88% in different samples), both in samples from a broodstock thought to represent the indigenous population and in a sample of wild spawners. Survival of domesticated trout and admixture with indigenous fish in the broodstock and subsequent stocking into the river, combined with a low population size of native trout relative to the number of stocked trout, could explain the observed introgression. Few nonadmixed individuals remained in the introgressed population, and I discuss how individual admixture analysis can be used to identify and conserve nonintrogressed remains of the population.</t>
  </si>
  <si>
    <t>10.1046/j.1365-294X.2002.01495.x</t>
  </si>
  <si>
    <t>WOS:000175841000005</t>
  </si>
  <si>
    <t>Impact of a population bottleneck on symmetry and genetic diversity in the northern elephant seal</t>
  </si>
  <si>
    <t>The northern elephant seal (NES) suffered a severe population bottleneck towards the end of the nineteenth century. Theoretical expectations for the impact of population bottlenecks include the loss of genetic diversity and a loss of fitness (e.g. through a disruption of developmental stability); however, there are few direct demonstrations in natural populations. Here, we report on the comparison of archive samples collected prior to and following the NES population bottleneck. Measures of genetic diversity show a loss of variation consistent with expectations and suggest a strong disruption in the pattern of allele frequencies following the bottleneck. Measures of bilateral characters show an increase in fluctuating asymmetry.</t>
  </si>
  <si>
    <t>10.1046/j.1420-9101.2002.00419.x</t>
  </si>
  <si>
    <t>WOS:000176319800008</t>
  </si>
  <si>
    <t>Heterotroph species extinction, abundance and biomass dynamics in an experimentally fragmented microecosystem</t>
  </si>
  <si>
    <t>1. Species extinction in fragmented habitats is a non-random process described by transient, rather than equilibrium dynamics. Therefore, 'static' approaches focusing on experimentally established spatial gradients of diversity may fail to capture essential aspects of ecosystem responses to species loss. 2. Here we document temporal changes in microarthropod species abundance, biomass and richness during a community disassembly trajectory following experimental habitat fragmentation of a moss-based microecosystem. 3. Habitat fragmentation reduced heterotrophic species richness and community biomass in remnant moss fragments. Extinction was biased towards rare species, and thus occurred initially without significant changes in total community abundance and biomass. Eventual reductions in abundance and biomass were found to lag behind observed declines in species richness. 4. The presence of moss-habitat corridors connecting fragments to a large 'mainland' area coupled with an immigration rescue effect maintained microarthropod richness, abundance and biomass within remnant fragments. 5. Our results indicate that both the order of species loss and the dynamics of remnant populations influence the magnitude and timing of ecosystem-level responses to habitat destruction and isolation.</t>
  </si>
  <si>
    <t>10.1046/j.1365-2656.2002.00625.x</t>
  </si>
  <si>
    <t>WOS:000176745900005</t>
  </si>
  <si>
    <t>Effects of an introduced polychaete, Sabella spallanzanii, on the development of epifaunal assemblages</t>
  </si>
  <si>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</si>
  <si>
    <t>10.3354/meps236137</t>
  </si>
  <si>
    <t>WOS:000177007100014</t>
  </si>
  <si>
    <t>Temporal change in the genetic structure between and within cohorts of a marine fish, Diplodus sargus, induced by a large variance in individual reproductive success</t>
  </si>
  <si>
    <t>Temporal changes at 16 allozyme loci in the Diplodus sargus population of Banyuls-sur-Mer (Mediterranean Sea, France) were monitored. Temporal genetic variation within a single population was examined over two temporal scales: (i) among three year-classes sampled at the same age, and (ii) within a single year-class sampled three times over a two-year period. We observed a significant change in the genotypic structure within the same cohort during the first two years following settlement and before recruitment into the adult population. In addition, comparison of year-classes showed that cohorts differed significantly one year after settlement, whereas they became similar later on before recruitment into the adult population. The observed changes in the genetic structure within and between year-classes may be the result of complex selective processes or genetic drift. Linkage disequilibrium and genetic relatedness data suggest that these changes are due to large variation in reproductive success, followed by homogenization through adult movement. Overall, these results demonstrated a rapid genetic change within a population.</t>
  </si>
  <si>
    <t>10.1046/j.1365-294X.2002.01521.x</t>
  </si>
  <si>
    <t>WOS:000177086900023</t>
  </si>
  <si>
    <t>Effects of forest fragmentation on the beetle assemblage at the relict forest of Fray Jorge, Chile</t>
  </si>
  <si>
    <t>Habitat fragmentation is recognized as one of the main factors associated with species extinction and is particularly acute in South American forest habitats. In this study, we examined the effects of forest fragmentation on the beetle assemblage at the relict temperate forest of Fray Jorge (Chile). We evaluated the following hypotheses: (1) there is a strong edge effect, so that the number of beetle species and individuals increases away from the edge, towards the inner part of each fragment, (2) this pattern should be apparent in the larger fragments but not in the smaller ones, where edge effects are expected to be stronger, and (3) there should be a significant interaction between number of species/individuals found inside and outside fragments (i.e., in the matrix) and season, because of an increase in aridity and water stress during austral summer months. We found that the relationship between the number of individuals and number of species vs distance from the matrix towards the forest interior was affected by fragment size and season. In general, both number of species and individuals tended to increase from the matrix towards the forest edge and then either decrease, increase or maintain a constant level, depending on fragment size and season. The result of an ANOVA analysis, which used season, size, and position (inside vs outside fragments) as factors and number of individuals as the response variable, showed a significant effect of fragment size, position, and season and a significant interaction between fragment size and season, season and position, and size and position. ANOVA analysis using number of species as the response variable showed that area, season, and position all had significant effects. The results also showed a significant interaction between size and season and between season and position. Our results emphasize the existence of strong fragment-size and seasonal effects modulating both the response of beetles to fragmentation and their abundance and distribution in temperate areas. Thus, seasonal dynamic effects can be of paramount importance to demonstrate and understand the effect of habitat fragmentation upon arthropod assemblages in temperate areas.</t>
  </si>
  <si>
    <t>10.1007/s00442-002-0951-3</t>
  </si>
  <si>
    <t>WOS:000177242900019</t>
  </si>
  <si>
    <t>Population structure of king mackerel (Scomberomorus cavalla) around peninsular Florida, as revealed by microsatellite DNA</t>
  </si>
  <si>
    <t>A total of 1006 king mackerel (Scomberomorus cavalla) representing 20 discrete samples collected between 1996 and 1998 along the east (Atlantic) and west (Gulf) coasts of Florida and the Florida Keys were assayed for allelic variation at seven nuclear-encoded microsatellites. No significant deviations from Hardy-Weinberg equilibrium expectations were found for six of the microsatellites, and genotypes at all microsatellites were independent. Allele distributions at each microsatellite were independent of sex and age of individuals. Homogeneity tests of spatial distributions of alleles at the microsatellites revealed two weakly divergent genetic subpopulations or stocks of king mackerel in Florida waters-one along the Atlantic coast and one along the Gulf coast. Homogeneity tests of allele distributions when samples were pooled along seasonal (temporal) boundaries, consistent with the temporal boundaries used currently for stock assessment and allocation of the king mackerel resource, were nonsignificant. The degree of genetic divergence between the two genetic stocks was small: on average, only 0.19% of the total genetic variance across all samples assayed occurred between the two regions. Cluster analysis, assignment tests, and spatial autocorrelation analysis did not generate patterns that were consistent with either geographic or spatial-temporal boundaries. King mackerel sampled from the Florida Keys could not be assigned unequivocally to either genetic stock. The genetic data were not consistent with current spatial-temporal boundaries employed in stock assessment and allocation of the king mackerel resource. The genetic differences between king mackerel in the Atlantic versus those in the Gulf most likely stem from reduced gene flow (migration) between the Atlantic and Gulf in relation to gene flow (migration) along the Atlantic and Gulf coasts of peninsular Florida. This difference is consistent with findings for other marine fishes where data indicate that the southern Florida peninsula serves (or has served) as a biogeographic boundary.</t>
  </si>
  <si>
    <t/>
  </si>
  <si>
    <t>WOS:000177333400009</t>
  </si>
  <si>
    <t>Loss of microsatellite diversity and low effective population size in an overexploited population of New Zealand snapper (Pagrus auratus)</t>
  </si>
  <si>
    <t>Although the effects of overfishing on species diversity and abundance are well documented, threats to the genetic diversity of marine fish populations have so far been largely neglected. Indeed, there seems to be little cause for concern, as even collapsed stocks usually consist of several million individuals, whereas population genetics theory suggests that only very small populations suffer significant loss of genetic diversity. On the other hand, in many marine species the genetically effective population size (N-e), which determines the genetic properties of a population, may be orders of magnitude smaller than the census population size (N). Here, microsatellite analyses of a time series of archived scales demonstrated a significant decline in genetic diversity in a New Zealand snapper population during its exploitation history. Effective population sizes estimated both from the decline in heterozygosity and from temporal fluctuations in allele frequency were five orders of magnitude smaller than census population sizes from fishery data. If such low N-e/N ratios are commonplace in marine species, many exploited marine fish stocks may be in danger of losing genetic variability, potentially resulting in reduced adaptability, population persistence, and productivity.</t>
  </si>
  <si>
    <t>10.1073/pnas.172242899</t>
  </si>
  <si>
    <t>WOS:000177843100039</t>
  </si>
  <si>
    <t>A genetic assessment of the population structure of swordfish (Xiphias gladius) in the Mediterranean Sea</t>
  </si>
  <si>
    <t>Nine samples of swordfish from different Mediterranean areas plus a sample obtained in Atlantic waters adjacent to the Strait of Gibraltar were examined for temporal and spatial heterogeneity using allozyme analysis. Only two out of 38 loci (IDHP-2* and LDH-3*) were polymorphic based on a frequency of less than 0.95 in one or more samples. Both polymorphism and heterozygosity revealed a low genetic variability for swordfish in comparison with other pelagic species. No heterogeneity due to differences between age groups was observed for those samples including juvenile and adult specimens. The lack of temporal or spatial heterogeneity found in this study is consistent with a single population of swordfish in the Mediterranean Sea and adjacent waters of the Atlantic Ocean. (C) 2002 Elsevier Science B.V. All rights reserved.</t>
  </si>
  <si>
    <t>10.1016/S0022-0981(02)00245-9</t>
  </si>
  <si>
    <t>WOS:000178012300002</t>
  </si>
  <si>
    <t>Fertilization with nitrogen and phosphorus increases abundance of non-native species in Hawaiian montane forests</t>
  </si>
  <si>
    <t>We examined the effects of fertilization on the diversity, abundance, and cover of the understory plant community of two montane wet forests in Hawaii. One site occupies a young substrate, where aboveground tree growth is limited by nitrogen (N), while the other site is on an older substrate, where aboveground tree growth is limited by phosphorus (P). Both sites contained an on-going, long-term factorial fertilization experiment in which plots were fertilized semi-annually with N, P, or N and P in combination. In each fertilization treatment, we measured density of species greater than or equal to0.5 m tall and percent cover of species &lt;0.5 m tall. Fertilization with N reduced species richness at the young, N-limited site, but none of the nutrient additions altered species richness at the older, P-limited site. Species diversity and evenness were not affected by fertilization at either site. At the site with low N availability, plots fertilized with NP had higher densities of the non-native ginger Hedychium gardnerianum, and at the site with low P-availability, densities of the exotic shrub Rubus argutus were higher in P- and NP-fertilized plots. Other effects included declines in moss cover with fertilization at both sites, and reduced abundance of native seedlings in response to N and NP addition at the N-limited site. Continued long-term fertilization could lead to greater dominance of non-native species by encouraging their growth at the expense of native species, which may suffer decreased recruitment as fertilization and increased abundance of the non-native species may reduce suitable substrates for seedling establishment.</t>
  </si>
  <si>
    <t>10.1023/A:1020332824836</t>
  </si>
  <si>
    <t>WOS:000178213200007</t>
  </si>
  <si>
    <t>Biodiversity associated with Sabellaria alveolata (Polychaeta: Sabellariidae) reefs: effects of human disturbances</t>
  </si>
  <si>
    <t>Infauna diversity is reported from the Sabellaria alveolata reefs in the bay of Mont Saint-Michel in France, known as the greatest European reef formation. Polychactes dominate the fauna, but other species also play a role in terms of reef functioning. Species richness of the associated infauna is much higher than that of the surrounding sediments and is concentrated mainly on the reef surface. Species richness clearly varied according to the three stages of reef evolution: the 'degraded' reef stage is different from the 'ball-shaped structure' and 'platform' stages. Multivariate analyses indicate that three species communities can be distinguished, each corresponding to a different stage of reef development. The number of species is very high, but only a few species are restricted to a particular reef stage. Variations of surface topography and spatial heterogeneity can explain unusual associations of species that make infauna associated with S. alveolata reefs very unique. Moreover, the high densities of S. alveolata (up to 60,000 ind m(-2)) raise questions regarding the role of the reefs in the ecosystem of the bay. Anthropogenic influences, notably mechanical disturbances due to fishing activity, show a steady increase and may have a serious impact on the assemblage diversity and the ecological stability of the reef, even though recolonization of S. alveolata is possible in degraded reef areas. An important question that must be addressed is whether human activities could influence the role of S. alveolata reefs in the bay of Mont Saint-Michel.</t>
  </si>
  <si>
    <t>10.1017/S0025315402006185</t>
  </si>
  <si>
    <t>WOS:000179144800011</t>
  </si>
  <si>
    <t>Community-level consequences of a plant invasion: Effects on three habitats in coastal California</t>
  </si>
  <si>
    <t>Biological invasion by normative species is a global phenomenon that has the capacity to dramatically alter native communities. However, surprisingly few studies have quantified the effects of exotic plant species on the communities they invade, or have considered how these effects vary among habitat types or seasons. Here, we used both comparative and experimental field studies to investigate the influence of Cape ivy (Delairea odorata; Asteraceae), an invasive evergreen vine native to South Africa, on three habitat types in coastal regions of northern California (coastal scrub, willow riparian, and alder riparian). In the comparative study, plots invaded by Cape ivy contained 36% fewer native plant species and 37% fewer normative taxa, and this pattern persisted across habitat types and seasons. The richness of grass and forb species was lower in invaded plots, whereas fern and shrub richness did not vary among zones. Native species richness was significantly lower with increasing cover of Cape ivy, but this was not the case for normative species. In addition, invasion by Cape ivy was associated with a 31% decrease in species diversity as well as an 88% decrease in the abundance of native seedlings and a 92% decrease in normative seedlings compared to uninvaded areas. After 2 yr, a Cape-ivy reduction experiment yielded similar results, with a 10% increase in the richness of native species compared to control plots, and a 43% increase in the richness of normative taxa. Forb species richness increased significantly when Cape-ivy cover was reduced, whereas shrub richness decreased slightly and no effects were detected for ferns and grasses. We also found that Cape-ivy reduction led to a 32% increase in plant species diversity, an 86% increase in the abundance of native seedlings, and an 85% increase for normative seedlings. In all cases, the effects of Cape-ivy reduction were consistent across habitat types. Collectively, our results indicate that this invader has significantly changed the composition of three different habitat types, and its control should be a major priority. However, our data also indicate that Cape ivy had negative effects on the richness of both native and normative plant species. Such findings suggest that a consequence of removing Cape ivy from invaded areas may be to facilitate the proliferation of other normative species.</t>
  </si>
  <si>
    <t>10.2307/3099982</t>
  </si>
  <si>
    <t>WOS:000179198600015</t>
  </si>
  <si>
    <t>Metapopulation structure of the specialized herbivore Macrosiphoniella tanacetaria (Homoptera, Aphididae)</t>
  </si>
  <si>
    <t>We investigated population dynamics, genetic diversity and spatial structure in the aphid species Macrosiphoniella tanacetaria, a specialist herbivore feeding on tansy, Tanacetum vulgare. Tansy plants (genets) consist of many shoots (ramets), and genets are grouped in sites. Thus, aphids feeding on tansy can cluster at the level of ramets, genets and sites. We studied aphid population dynamics in 1997 and 2001 and found that within sites: (i) at any time, aphids used only a fraction of the available ramets and genets; (ii) at the level of ramets, most aphid colonies survived only one week; (iii) at the level of genets, mean survival time was less than 4 weeks; and (iv) colonization and extinction events occurred throughout the season. We sampled aphids in seven sites in the Alsace region, France (4-45 km apart) and two sites in Germany in 1999 to study genetic structure within and between populations. Genetic analyses using nine microsatellite loci showed that: (i) genotypic variability was high, (ii) none of the populations was in Hardy-Weinberg equilibrium, (iii) heterozygote deficits and linkage disequilibria were frequent, and (iv) all populations were genetically differentiated, even at a small geographical scale. Renewed sampling of the Alsace sites in 2001 showed that three populations had become extinct and significant genetic changes had occurred in the remaining four populations. The frequencies of extinction and colonization events at several spatial scales suggest a hierarchical metapopulation structure for M. tanacetaria. Frequent population turnover and drift are likely causes for the genetic differentiation of M. tanacetaria populations.</t>
  </si>
  <si>
    <t>10.1046/j.1365-294X.2002.01633.x</t>
  </si>
  <si>
    <t>WOS:000179492800006</t>
  </si>
  <si>
    <t>Long-term effective population sizes, temporal stability of genetic composition and potential for local adaptation in anadromous brown trout (Salmo trutta) populations</t>
  </si>
  <si>
    <t>We examined the long-term temporal (1910s to 1990s) genetic variation at eight microsatellite DNA loci in brown trout (Salmo trutta L) collected from five anadromous populations in Denmark to assess the long-term stability of genetic composition and to estimate effective population sizes (N-e). Contemporary and historical samples consisted of tissue and archived scales, respectively. Pairwise Theta(ST) estimates, a hierarchical analysis of molecular variance (AMOVA) and multidimensional scaling analysis of pairwise genetic distances between samples revealed much closer genetic relationships among temporal samples from the same populations than among samples from different populations. Estimates of N-e, using a likelihood-based implementation of the temporal method, revealed N-e greater than or equal to 500 in two of three populations for which we have historical data. A third population in a small (3 km) river showed Ne greater than or equal to 300. Assuming a stepping-stone model of gene flow we considered the relative roles of gene flow, random genetic drift and selection to assess the possibilities for local adaptation. The requirements for local adaptation were fulfilled, but only adaptations resulting from strong selection were expected to occur at the level of individual populations. Adaptations resulting from weak selection were more likely to occur on a regional basis, i.e. encompassing several populations. N-e appears to have declined recently in at least one of the studied populations, and the documented recent declines of many other anadromous brown trout populations may affect the persistence of local adaptation.</t>
  </si>
  <si>
    <t>10.1046/j.1365-294X.2002.01634.x</t>
  </si>
  <si>
    <t>WOS:000179492800007</t>
  </si>
  <si>
    <t>Effects of nutrient addition and acidification on plant species diversity and seed germination in heathland</t>
  </si>
  <si>
    <t>1. The atmospheric deposition of sulphur and nitrogen compounds in the Netherlands has been responsible for decreasing plant species diversity in heathland. To unravel the relative importance of nitrogen compounds on soil acidification and eutrophication, and hence on the vegetation, we carried out a factorial addition experiment and a germination experiment in heathland on nutrient-poor sandy soil. 2. We changed nutrient availability and acidity independently in eight different treatments that, respectively, added nutrients or carbon in various combinations (N, P, glucose) or added acidifying or neutralizing compounds. One treatment also involved adding Al. Additions occurred five times per year during 5 years, in an area from which sods had been removed before the experiment began. The same design was used for the germination experiment, but the treatments were applied for 2 years. 3. Our results showed that acidification was the most important factor in reducing species diversity. In addition, the germination of several heathland species was significantly reduced in plots with a pH below 5, and germination was very poor in plots where Al had been added. 4. The number of plant species declined particularly with increasing Al in the upper soil horizons. We conclude that this relationship is responsible for the influence of acidification on plant species richness in heathland. 5. The influence of nutrient availability on species composition in heathland was subsidiary to acidity, but nutrient availability influenced species composition in an independent way. The growth of the three dominant species (Molinia caerulea, Calluna vulgaris and Erica tetralix) was limited by different nutrients. Erica tetralix was limited by N, Calluna vulgaris by P and Molinia caerulea by both N and P. We argue that increased N availability will change the relative availability of N and P, which can decrease species diversity. 6. Together these results show how factorial experiments can elucidate the complex ecological effects arising from sulphur and nitrogen deposition, revealing different mechanisms that change species richness and community composition.</t>
  </si>
  <si>
    <t>10.1046/j.1365-2664.2002.00768.x</t>
  </si>
  <si>
    <t>WOS:000179578800008</t>
  </si>
  <si>
    <t>Temporal shifts of DNA-microsatellite allele profiles in roe deer (Capreolus capreolus L.) within three decades</t>
  </si>
  <si>
    <t>DNA-microsatellite polymorphism (four loci) was studied in 56 male roe deer (Capreolus capreolus) from a 900-ha hunting territory in the Vosges du Nord Mountains (France), culled over 34 years (1956-1990). Changed allele frequencies at two loci within this period, and increased allelic diversity, were traced to a phase of reduced population density and subsequent immigration. Decadic population samples collected within 900-ha were distinguished by higher genetic variability measures than were certain geographical samples across Central Europe (4-900 km). On average, the decadic cohorts were distinguished by a gene diversity index of G (ST) = 0.0286, and a genetic distance of D = 0.0938, which reflect 54% (G(ST)) and 69% (D) of the respective geographic (350 km) differentiation indices of roe deer in Central Europe. The importance of demography and population ecology effects for microevolution in a large mammal is demonstrated, as is the risk of artefact by composing population samples of deer over several years. Population genetic screening should cover various demes of roe deer from the same general region, and be based on many unlinked polymorphic loci, to minimize the distorting effects of genetic dynamics at the small spatial scale.</t>
  </si>
  <si>
    <t>10.1046/j.1439-0469.2002.00198.x</t>
  </si>
  <si>
    <t>WOS:000179746300006</t>
  </si>
  <si>
    <t>Replacement of littoral native vegetation with the ponded pasture grass Hymenachne amplexicaulis:: effects on plant, macroinvertebrate and fish biodiversity of backwaters in the Fitzroy River, Central Queensland, Australia</t>
  </si>
  <si>
    <t>Changes in plant and macroinvertebrate communities were found following replacement of extensive zones of floating-attached/submergent native vegetation within Fitzroy River backwaters by the major environmental weed Hymenachne amplexicaulis (Poaceae). Impacts of H. amplexicaulis on native littoral flora and fauna (macroinvertebrates and fish) were assessed by comparing three sites previously supporting native vegetation and now invaded by H. amplexicaulis with nearby stands of native backwater vegetation. Plant biomass of Hymenachne plant beds was 30-fold greater than native plant beds, whereas plant species diversity (richness) was significantly less. Macroinvertebrate communities of Hymenachne beds were significantly lower in abundance of insect orders Ephemeroptera, Hemiptera and Odonata, while Coleoptera were more abundant in Hymenachne beds. Non-metric multidimensional scaling ordination of macroinvertebrate family abundance and composition data showed that Hymenachne plant beds had a different assemblage to that in native plant beds. In common with other studies of weed invasions, an increased abundance of some vertebrate fauna was observed (in this case an introduced fish species Xiphophorus maculatus comprised 75% of fish captured in Hymenachne beds compared with 0% in native plant beds). Change in vegetation structure was implicated as an important factor influencing macroinvertebrate and fish faunal composition, and with potential to impact on waterbird habitat values of wetlands.</t>
  </si>
  <si>
    <t>10.1071/MF01042</t>
  </si>
  <si>
    <t>WOS:000180748100010</t>
  </si>
  <si>
    <t>Countryside biogeography of tropical butterflies</t>
  </si>
  <si>
    <t>Although most conservation efforts focus on preserving biodiversity in relatively pristine ecosystems, we investigated possible conservation opportunities in human-dominated landscapes. We evaluated butterfly diversity in a tropical countryside that was converted about four decades ago from continuous forest to a mosaic of coffee farms, pasture, and forest fragments. We compared the butterfly fauna in coffee plantations with that in a forest remnant, the Las Cruces Reserve (227 ha). We used coffee plantation sites located near (&lt;2.5 km) and far (&gt;6 km) from the large forest remnant to test the effects of distance from the remnant on butterfly diversity. We also tested the effects of immediately adjacent habitat by selecting coffee plantation sites that were either contiguous with small (2.5-9.5 ha) forest fragments (coffee/forest) or lacking adjacent forest (coffee). Both coffee/forest and coffee habitats near the Las Cruces Reserve differed from those far from the reserve in species composition but not in species richness. Overall, coffee/forest habitats had significantly higher mean species richness and higher mean abundance of species than coffee and reserve sites. Further, butterflies with narrow geographic ranges were less likely to be found in coffee plantations than were those with larger geographic ranges. Area of forest cover within a radius of 50 to 100 m of the sampling site was significantly correlated with species richness of frugivorous butterflies during the dry season but was not correlated with richness of frugivorous butterflies in the wet season or of nonfrugivorous butterflies in either season. Nonetheless, species richness of frugivorous and nonfrugivorous butterflies was positively correlated overall; thus, frugivorous butterflies may be good indicators of the status of the entire butterfly community in a region. Our work suggests that small, isolated forest fragments may help retain butterfly diversity in the tropical countryside and increase the conservation value of agricultural landscapes. Relatively large tracts of forest remain important, however, because they maintain rare and endemic species.</t>
  </si>
  <si>
    <t>10.1046/j.1523-1739.2003.01310.x</t>
  </si>
  <si>
    <t>WOS:000180846200021</t>
  </si>
  <si>
    <t>Patterns in fish assemblages 25 years after major seagrass loss</t>
  </si>
  <si>
    <t>Inferences about the effects of habitat loss may be derived from comparisons of different places when pre-impact data are unavailable. We compared the fish faunas of sandy substrata off beaches with and without seagrass in Cockburn Sound (Western Australia), a bay where &gt;3000 ha of seagrass was lost from the 1950s to the 1970s, and for which there are no pre-impact data. Numbers of species and individuals varied considerably in space and time, and this variation obscured patterns that might have been associated with the presence or absence of seagrass. Multivariate tests indicated some significant differences in species composition between beaches with and without seagrass; however, patterns among species were complex. Catches were strongly influenced by depth and the quantity of drifting vegetation. In general, fewer species were captured at shallower beaches. Hauls with a lot of drift captured more species, more individuals and higher biomasses of fishes that eat invertebrates and are associated with plants. When widespread seagrass loss occurs, resultant decreases in the supply of drift are likely to negatively affect densities of some fauna. We can make no firm conclusions about the effects of seagrass loss in Cockburn Sound, but suggest that declines in the production of drift have caused changes in fish assemblages.</t>
  </si>
  <si>
    <t>10.3354/meps247225</t>
  </si>
  <si>
    <t>WOS:000181318700020</t>
  </si>
  <si>
    <t>Genetic population structure of minke whales Balaenoptera acutorostrata from Greenland, the North East Atlantic and the North Sea probably reflects different ecological regions</t>
  </si>
  <si>
    <t>A genetic study to determine the population structure of minke whales Balaenoptera acutorostrata in Greenland, the Central and NE Atlantic and the North Sea was carried out on a sample of 306 individuals. Samples were analysed by sequencing the D-loop in mtDNA and using 16 polymorphic nuclear microsatellite markers. Muscle samples from a total of 154 minke whales, caught between 6 May and 31. October 1998 by Greenland and Norwegian licensed whalers within 6 areas of the North Atlantic, were analysed (West Greenland, n = 44; Jan Mayen, n = 24; Svalbard, n = 16; the Barents Sea, n = 33; Vesteralen/Lofoten on the coast of northwestern Norway, n = 14, and the North Sea, n = 23). In addition, 30 minke whales sampled in East Greenland during 1996, 1997 and 1999 were included. Furthermore, 122 minke whales caught in West Greenland in 3 different years (1982, 1996 and 1997) were analysed to determine potential inter-annual variation within a sampling area. The lack of inter-annual variation in West Greenland suggests that the minke whales summering in the area year after year belong to the same sub-population. The study indicated the existence of 4 genetically differentiated sub-populations: (1) West Greenland, (2) Central North Atlantic-East Greenland-Jan Mayen area, (3) NE Atlantic (Svalbard, the Barents Sea and northwestern Norway), and (4) North Sea. It is suggested that these sub-populations have been isolated by discontinuities between regions, i.e. each of the sub-populations has evolved in response to regional differences in ecological conditions (oceanography, ice cover, prey type and prey availability).</t>
  </si>
  <si>
    <t>10.3354/meps247263</t>
  </si>
  <si>
    <t>WOS:000181318700024</t>
  </si>
  <si>
    <t>Experimental small-scale grassland fragmentation alters aphid population dynamics</t>
  </si>
  <si>
    <t>Theory predicts that at higher trophic levels species are especially vulnerable to habitat fragmentation due to small population size and dependence on particular prey species. Using aphids as model organism, we tested the hypothesis that herbivore abundance increases in fragmented habitats Lis a result Of reduced predator and parasitoid densities. In a 3 year-study, we examined the population dynamics of aphids with respect to host plant abundance and ant nest density in experimentally fragmented calcareous grasslands at two sites in the northern Jura mountains. Fragments of different size (area: 20.25 m(2). 2.25 m(2) and 0.25 m(2)) were isolated by a 5 in wide strip of frequently mown vegetation and corresponding control plots were situated in the adjacent undisturbed grassland. Aphid density was higher in fragments than in control plots. This was a combined result of a higher frequency of aphid-infested plants and larger aphid colonies in fragments than in control plots. Furthermore, a larger proportion of aphid colonies was ant-attended in fragments than in control plots. Aphid colonies were also more frequently visited by ants in fragments than in control plots in one of the 3 years. Parasitoid pressure on aphids was not influenced by the experimental fragmentation. Neither were aphid species richness and diversity affected by the fragmentation. Our study shows that even small-scale habitat fragmentation can have profound effects on the abundance of herbivorous insects. The effect on aphid density was consistent over 3 years and two sites with slightly different aphid communities.</t>
  </si>
  <si>
    <t>10.1034/j.1600-0706.2003.12220.x</t>
  </si>
  <si>
    <t>WOS:000181963700018</t>
  </si>
  <si>
    <t>The history of effective population size and genetic diversity in the Yellowstone grizzly (Ursus arctos):: Implications for conservation</t>
  </si>
  <si>
    <t>Protein, mtDNA, and nuclear microsatellite DNA analyses have demonstrated that the Yellowstone grizzly bear has low levels of genetic variability compared with other Ursus arctos populations. Researchers have attributed this difference to inbreeding during a century of anthropogenic isolation and population size reduction. We test this hypothesis and assess the seriousness of genetic threats by generating microsatellite data for 110 museum specimens collected between 1912 and 1981. A loss of variability is detected, but it is much less severe than hypothesized. Variance in allele frequencies over time is used to estimate an effective population size of approximate to 80 across the 20th century and &gt; 100 currently. The viability of the population is unlikely to be substantially reduced by genetic factors in the next several generations. However, gene flow from outside populations will be beneficial in avoiding inbreeding and the erosion of genetic diversity in the future.</t>
  </si>
  <si>
    <t>10.1073/pnas.0735531100</t>
  </si>
  <si>
    <t>WOS:000182058400142</t>
  </si>
  <si>
    <t>Plant diversity and insect herbivores: effects of environmental change in contrasting model systems</t>
  </si>
  <si>
    <t>There is increasing concern over the potential impact of anthropogenic factors (e.g. increasing nutrient inputs, global climate change) on the rate of loss of diversity in ecosystems. Such losses may affect ecosystem processes. In addition, a change in diversity of one group of organisms may influence the diversity of species of the next trophic level. We examined the extent to which plant species richness influences that of insect herbivores in two systems: a long-term field experiment on heather moorland and a model community in the Ecotron controlled environment facility. We examined the response of these two plant communities to environmental change, specifically increased levels of nutrients, grazing and atmospheric CO2. We measured the indirect effects of changes in these factors on insect herbivores, both above- and below-ground. In the moorland system, grazing was the largest influence on plant community structure. The community was dominated by one species, Calluna vnlgaris, and loss of cover under heavy grazing allowed competing species to invade. However, grazing regime was not a major influence on the species richness of the insect herbivore community. Site was more important: there were a greater number of Hemiptera species on sites with more mineral soils than on peat sites, possibly because a greater variety of grass and herb species was present on the former sites. In the Ecotron, below-ground factors were also important drivers of community change: elevated CO, increased carbon availability in the soil and there were simultaneous changes in the community composition of soil biota. Above-ground., some plant species increased in abundance and others decreased, leading to interaction-specific effects on the insect herbivores. In two very different studies of the effects of environmental change on the interactions between plants and their herbivores, several similar conclusions can be drawn: (1) effects are likely to be site- and interaction-specific; (2) outcomes are likely to be strongly dependent on the initial state and the dominant species of the plant community; and (3) indirect effects, often mediated by below-ground factors, may have a bigger influence on insect-plant interactions than more direct effects of above-ground factors.</t>
  </si>
  <si>
    <t>10.1034/j.1600-0706.2003.12566.x</t>
  </si>
  <si>
    <t>WOS:000182106600002</t>
  </si>
  <si>
    <t>An examination of scale of assessment, logging and ENSO-induced fires on butterfly diversity in Borneo</t>
  </si>
  <si>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</si>
  <si>
    <t>10.1007/s00442-003-1188-5</t>
  </si>
  <si>
    <t>WOS:000182753900018</t>
  </si>
  <si>
    <t>Habitat fragmentation impacts on epiphyllous bryophyte communities in central Amazonia</t>
  </si>
  <si>
    <t>Tropical deforestation is a progressive process resulting in the conversion of rain forest into a mosaic of mature forest fragments, pasture, and degraded habitat. Understanding the long-term effects of habitat fragmentation on tropical plant community structure is critical to predicting how alterations to the landscape will impact tropical biodiversity. The objective of this study was to examine fragmentation effects on the composition, abundance, and species richness of epiphyllous (leaf- inhabiting) bryophytes. I conducted this research in an experimentally fragmented forest reserve in central Amazonia where data on the distriblition and abundance of 65 bryophyte taxa were analyzed from 16 1-ha sample plots located in continuous forest and fragments. Epiphyll communities inhabiting small (1- and 10-ha) fragments exhibited lower species richness, abundance, and among-site compositional variation than those from 100-ha fragments and continuous forest plots. Reduced epiphyll diversity in small fragments is not simply a statistical artifact of low epiphyll densities, but rather due to a disproportionate loss of regionally common taxa. In contrast, rare taxa responded marginally to fragmentation, and in most cases were more abundant in fragments than in continuous forest habitat. Because epiphyllous bryophytes rapidly establish species-rich communities on spatially discrete habitat patches, they are an ideal plant group for addressing the long-term (multigeneration) impact of habitat fragmentation on plant communities.</t>
  </si>
  <si>
    <t>10.1890/0012-9658(2003)084[0948:HFIOEB]2.0.CO;2</t>
  </si>
  <si>
    <t>WOS:000182813600015</t>
  </si>
  <si>
    <t>Effects of the exotic macrophyte, para grass (Urochloa mutica), on benthic and epiphytic macroinvertebrates of a tropical floodplain</t>
  </si>
  <si>
    <t>1. We examined the effect of the exotic macrophyte, para grass (Urochloa mutica ), on benthic and epiphytic macroinvertebrates of a tropical floodplain in northern Australia. Macroinvertebrates were sampled from four grass communities: (1) para grass, (2) hymenachne (Hymenachne acutigluma ), a native perennial; (3) rice (Oryza meridionalis ), a native annual, and (4) areas where para grass had been sprayed with herbicide. 2. Macroinvertebrate richness, abundance and community similarity showed very few differences among the grass communities, particularly in the epiphytic habitat. Benthic invertebrates showed some differences among grasses, with lower richness and abundance and different community structure associated with hymenachne. Herbicide control of para grass had no apparent effect on benthic invertebrates but reduced the abundance of epiphytic invertebrates in the short term. 3. The results of this study indicate that para grass has very little impact on macroinvertebrate communities, despite the changes to macrophyte communities. This is probably because para grass has similar physical structure to the native grasses and because none of these grasses contribute directly to aquatic food webs. Control of para grass using herbicide has little impact on aquatic invertebrates. This suggests that predicting the impact of weed invasion in wetlands requires an understanding of both the functional properties of macrophytes and the habitat preferences of the macroinvertebrates.</t>
  </si>
  <si>
    <t>10.1046/j.1365-2427.2003.01072.x</t>
  </si>
  <si>
    <t>WOS:000182948500002</t>
  </si>
  <si>
    <t>The effects of sediment deposits from Namibian diamond mines on intertidal and subtidal reefs and rock lobster populations</t>
  </si>
  <si>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</si>
  <si>
    <t>10.1002/aqc.543</t>
  </si>
  <si>
    <t>WOS:000183046200006</t>
  </si>
  <si>
    <t>Genetic diversity in wild and reared populations of the Japanese bitterling Tanakia tanago (Cyprinidae)</t>
  </si>
  <si>
    <t>The Japanese bitterling Tanakia tanago is an endangered cyprinid species; thus, captive breeding programs are being conducted in various facilities as ex situ conservation. To examine the genetic diversity in one wild and three reared populations, and its changes during the process of captive breeding, sequences of the mitochondrial cytochrome b gene and control region were determined. The wild population, collected in 1993, was monomorphic. Although the reared population that originated from the wild population was almost monomorphic, a rare haplotype, distinct from all others by a relatively large sequence divergence, was also observed. In the other reared populations, some degree of genetic diversity had been maintained. A reared hybrid population, which originated from a mixture of three distinct populations, showed the greatest genetic diversity. These results suggest considerable genetic diversity within and among populations of T. tanago in the past. Although a loss of genetic diversity was observed in some year-classes of reared populations, there was no tendency for genetic diversity to decrease as a result of captive breeding, probably because offspring were obtained from multi-year-class parents in the captive breeding program. Accordingly, this breeding method should be appropriate for conserving the genetic diversity of T. tanago.</t>
  </si>
  <si>
    <t>10.1007/s10228-002-0146-2</t>
  </si>
  <si>
    <t>WOS:000183370500003</t>
  </si>
  <si>
    <t>Bird community responses to disturbance in a forestry concession in lowland Bolivia</t>
  </si>
  <si>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</si>
  <si>
    <t>10.1023/A:1024147529295</t>
  </si>
  <si>
    <t>WOS:000183444300010</t>
  </si>
  <si>
    <t>Changes in Mediterranean rocky-reef fish assemblages exposed to sewage pollution</t>
  </si>
  <si>
    <t>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t>
  </si>
  <si>
    <t>10.3354/meps253269</t>
  </si>
  <si>
    <t>WOS:000183487200024</t>
  </si>
  <si>
    <t>Bimodal run distribution in a northern population of sockeye salmon (Oncorhynchus nerka): life history and genetic analysis on a temporal scale</t>
  </si>
  <si>
    <t>Life history variation and genetic differentiation were analysed in sockeye salmon in Klukshu River, Yukon Canada over 7 years (1994-2000). Sockeye salmon return to the Klukshu River in two distinct runs, with a small 'early run' in June-August, and a larger 'late run' in August-September. A maximum likelihood test for clusters indicated that the return frequency distribution was bimodal in all the years analysed. Life history differences (fork length, sex ratio, age at maturity, fresh- and saltwater residency times) were found between the early and late runs; however, inconsistent patterns suggest that environmental effects outweigh, or strongly interact with, genetic effects for the life history characters evaluated. Analysis of variation at eight microsatellite loci showed that the early and late runs are genetically differentiated in all years examined (exact test). F-ST estimates between runs within years were significantly greater than zero (range: 0.018-0.041) for all years except one (0.004). The genetic variance explained by early vs. late runs (2.27%) was twice the variance among years (1.16%) based on analysis of molecular variance. Our neighbour-joining tree showed early and late runs generally clustering separately, indicating higher gene flow among the early or late run fish across years relative to between-run gene flow. Two years did not fit the general clustering pattern; although the early and late runs in 1995 and 2000 were genetically differentiated, they clustered separately from the rest of the groups. We cannot offer a definitive explanation for these anomalies; however, an analysis of possible cryptic population structure in early and late runs indicated that at least a few fish strayed between the runs in each year, and the highest rate of mixing was in 1995 and 2000. Our data indicate that the runs are at least partially reproductively isolated as a result of temporal and/or spatial isolating mechanisms. Such reproductive isolation has important implications for conservation and management of the Klukshu sockeye salmon, and make them an evolutionarily interesting group because of parallels with incipient speciation.</t>
  </si>
  <si>
    <t>10.1046/j.1365-294X.2003.01869.x</t>
  </si>
  <si>
    <t>WOS:000183514900009</t>
  </si>
  <si>
    <t>Assessment of effects of chromated copper arsenate (CCA)-treated timber on nontarget epibiota by investigation of fouling community development at seven European sites</t>
  </si>
  <si>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</si>
  <si>
    <t>10.1007/s00244-002-0178-7</t>
  </si>
  <si>
    <t>WOS:000183724700004</t>
  </si>
  <si>
    <t>Hierarchical genetic structure in fragmented populations of the Little Pocket Mouse (Perognathus longimembris) in Southern California</t>
  </si>
  <si>
    <t>The geographic genetic structure, based on sequence variation of an 810 base pair fragment of the mitochondrial cytochrome b gene, is described for populations of five subspecies of the Little Pocket Mouse, Perognathus longimembris, from Southern California. One of these, P. l. pacificus (Pacific Pocket Mouse), is listed as Endangered by the U. S. Federal Government. Sixty-two unique haplotypes were recovered from 99 individuals sampled. Phylogenetic analyses of these variants do not identify regionally reciprocally monophyletic lineages concordant with the current subspecies designations, but most haplotypes group by subspecies in networks generated by either statistical parsimony or molecular variance parsimony. Moreover, a substantial proportion of the total pool of haplotype variation is attributed to these subspecies, or to local populations within geographic segments of each, indicating their relative evolutionary independence. The pooled extant populations of the endangered Pacific Pocket Mouse exhibit the same levels of nucleotide and haplotype diversity as other, presumptively less-impacted populations of adjacent subspecies, although the sample from Dana Point, Orange County, has markedly low haplotype diversity in comparison to all others. These populations also show a genetic signature of population expansion rather than one of decline. Both pieces of evidence are at odds with current empirical population estimates, which reinforces the fact that present-day patterns of genetic diversity are the product of coalescent history and will not necessarily reflect recent anthropogenic, or other, perturbations. Comparison of haplotype variation within and among extant populations of the Pacific Pocket Mouse with those obtained from museum samples collected more than 70 years ago suggests that the pattern of population differentiation and diversity was in place before the post-World War II exponential urbanization of Southern California.</t>
  </si>
  <si>
    <t>10.1023/A:1024768831808</t>
  </si>
  <si>
    <t>WOS:000184171500008</t>
  </si>
  <si>
    <t>Conservation of Mediterranean temporary ponds under agricultural intensification: an evaluation using amphibians</t>
  </si>
  <si>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</si>
  <si>
    <t>10.1016/S0006-3207(03)00051-X</t>
  </si>
  <si>
    <t>WOS:000185371200002</t>
  </si>
  <si>
    <t>Genetic analysis of tuna populations, Thunnus thynnus thynnus and T-alalunga</t>
  </si>
  <si>
    <t>The genetic population structures of Atlantic northern bluefin tuna (Thunnus thynnus thynnus) and albacore (T. alalunga) were examined using allozyme analysis. A total of 822 Atlantic northern bluefin tuna from 18 different samples (16 Mediterranean, 1 East Atlantic, 1 West Atlantic) and 188 albacore from 5 samples (4 Mediterranean, 1 East Atlantic) were surveyed for genetic variation in 37 loci. Polymorphism and heterozygosity reveal a moderate level of genetic variability, with only two highly polymorphic loci in both Atlantic northern bluefin tuna (FH* and SOD-1*) and albacore (GPI-3* and XDH*). The level of population differentiation found for Atlantic northern bluefin tuna and albacore fits the pattern that has generally been observed in tunas, with genetic differences on a broad rather than a more local scale. For Atlantic northern bluefin tuna, no spatial or temporal genetic heterogeneity was observed within the Mediterranean Sea or between the East Atlantic and Mediterranean, indicating the existence of a single genetic grouping on the eastern side of the Atlantic Ocean. Very limited genetic differentiation was found between West Atlantic and East Atlantic/Mediterranean northern bluefin tuna, mainly due to an inversion of SOD-1* allele frequencies. Regarding albacore, no genetic heterogeneity was observed within the Mediterranean Sea or between Mediterranean and Azores samples, suggesting the existence of a single gene pool in this area.</t>
  </si>
  <si>
    <t>10.1007/s00227-003-1080-1</t>
  </si>
  <si>
    <t>WOS:000185672200021</t>
  </si>
  <si>
    <t>Historical decline in the Japanese eel Anguilla japonica in northern Taiwan inferred from temporal genetic variations</t>
  </si>
  <si>
    <t>Historical decline in the Japanese eel Anguilla japonica in northern Taiwan inferred from temporal genetic variations. Zoological Studies 42(4): 556-563. The existence of temporal genetic variations was tested for in 6 polymorphic microsatellite DNA loci of 89 Japanese eel Anguilla japonica collected from a single location in the Tanshui River Estuary, northern Taiwan during 1997-1999. The high Nei's genetic identity coefficients (0.868-0.941) and exact test of temporal genetic structure revealed no significant differentiation (p &gt; 0.05) among cohorts. Parameters of genetic diversity were examined including mean observed heterozygosity (H-o) (0.695-0.732) and change in the total number of alleles per year (na) (73-81). Significant deviations from Hardy-Weinberg equilibrium appeared in 5 of 6 loci, due to an insufficient number of heterozygous individuals in all cohorts. Totals of 22 private and 14 solitary missing alleles were found in all 6 loci. The decrease in numbers of total alleles and private alleles and the increased number of solitary alleles in consecutive years suggested that genetic polymorphism was gradually decreasing. By Bayesian parameters assay, we found that the effective population size was declining. The demographic decline estimated to be 3500-8000 years ago, is significant due to large-scale events such as oceangeographic changes since the most recent glacial stage.</t>
  </si>
  <si>
    <t>WOS:000186558900009</t>
  </si>
  <si>
    <t>Relationships of stream invertebrate communities to deforestation in eastern Madagascar</t>
  </si>
  <si>
    <t>Madagascar has been recently identified as a global hotspot for freshwater biodiversity. Loss of most of its eastern rain forest, combined with a high incidence of micro-endemism and specialization to forest stream habitats, has likely led to extinction of many of the island's stream insect species. We compared habitat and macroinvertebrate community structure in three streams draining protected rain forest within Ranomafana National Park in eastern Madagascar and three agriculture streams draining the park's largely deforested peripheral zone. Multivariate analyses showed that macroinvertebrate communities differed between stream types. Forest streams were characterized by species-rich, diverse communities composed primarily of collector-gatherers and collector-filterers belonging to the orders Trichoptera, Ephemeroptera, Plecoptera, and Diptera. In contrast, relatively depauperate agriculture stream communities were dominated by generalist collector-gatherer taxa mostly belonging to the order Ephemeroptera. Agriculture streams had 0-14% canopy cover, significantly higher mean and maximum water temperatures, and significantly lower benthic organic matter storage than forest streams (71-83% canopy cover). We found no evidence for higher sedimentation rates or nutrient concentrations in agriculture streams. Differences in thermal regime may be important in the declines of certain taxa in agriculture streams (e.g., Plecoptera). However, our data support the hypothesis that differences in stream communities are caused mainly by differences among taxa in ability to track shifts in basal resources (i.e., terrestrial detritus vs. in situ algal production) caused by deforestation. Community simplification and loss of endemic specialist taxa will continue if projections of future deforestation are proved correct. We recommend that stream biodiversity be considered in future conservation planning and propose the creation and maintenance of multiuse riparian forests that could serve both ecological and economic functions. Given that more than 5 x 10(5) km of stream and river channel are affected by tropical deforestation annually, our results have potential applications in other tropical regions.</t>
  </si>
  <si>
    <t>10.1890/02-5125</t>
  </si>
  <si>
    <t>WOS:000186599400022</t>
  </si>
  <si>
    <t>Fragmentation and alteration of seed dispersal processes: An initial evaluation of dung beetles, seed fate, and seedling diversity</t>
  </si>
  <si>
    <t>Given current accelerated trends of tropical land conversion, forest fragments are being incorporated into many conservation programs. For investing in fragments to be a viable conservation strategy, forest fragments must maintain their ecological integrity over the long term. Based on fieldwork in 22 forest fragments in the crater lakes region of western Uganda and in the continuous forest of Kibale National Park, we examined (1) seed predation on experimentally dispersed seeds, (2) abundance and composition of the dung beetle community that may play a major role in removing seeds from sites of high seed predation, and (3) compared the fragments' seedling community composition to adult tree community composition and the seedling community in continuous forest. First, the rate of seed removal at experimental stations was lower in forest fragments (85% remaining after 1 day) than at stations in the continuous forest (79% remaining) and the probability of stations being discovered by seed predators was lower in fragments (23%) than in the intact forest (41%). Second, there was a 62 percent decline in fragment dung beetle abundance. The magnitude of this decline varied among dung beetle guilds that process dung and seeds in different fashions. The abundance of large rollers that move large seeds away from sites of defecation did not differ, but medium and smaller rollers and burying beetles that process small and medium-sized seeds were less common in the fragments than in the intact forest. Finally, we compared the seedling community composition relative to adult tree community composition by identifying all adult trees in each fragment and by sampling the composition of the seedling community. We found some evidence to suggest that there was movement of seeds among forest fragments by large-bodied dispersers, particularly chimpanzees (Pan troglodytes) and hornbills (Ceratogymna subcylindricus).</t>
  </si>
  <si>
    <t>10.1646/02149</t>
  </si>
  <si>
    <t>WOS:000186644700008</t>
  </si>
  <si>
    <t>Mitochondrial DNA variation, effective female population size and population history of the endangered Chinese sturgeon, Acipenser sinensis</t>
  </si>
  <si>
    <t>The anadromous Chinese sturgeon (Acipenser sinensis), mainly endemic to the Yangtze River in China, is an endangered fish species. The natural population has declined since the Gezhouba Dam blocked its migratory route to the spawning grounds in 1981. In the near future, the completion of the Three Gorges Dam, the world's largest hydroelectric project, may further impact this species by altering the water flow of the Yangtze River. Little is currently known about the population genetic structure of the Chinese sturgeon. In this study, DNA sequence data were determined from the control region (D-loop) of the mitochondrial genome of adult sturgeons (n = 106) that were collected between 1995-2000. The molecular data were used to investigate genetic variation, effective female population size and population history of the Chinese sturgeon in the Yangtze River. Our results indicate that the reduction in abundance did not change genetic variation of the Chinese sturgeon, and that the population underwent an expansion in the past. AMOVA analysis indicated that 98.7% of the genetic variability occurred within each year's spawning populations, the year of collection had little influence on the diversity of annual temporary samples. The relative large effective female population size (N-ef) indicates that good potential exists for the recovery of this species in the future. Strikingly, the ratio of N-ef to the census female population size (N-f) is unusually high (0.77-0.93). This may be the result of a current bottleneck in the population of the Chinese sturgeon that is likely caused by human intervention.</t>
  </si>
  <si>
    <t>10.1023/B:COGE.0000006107.46111.bc</t>
  </si>
  <si>
    <t>WOS:000186895000002</t>
  </si>
  <si>
    <t>Fragmentation by weirs in a riverine system: A study of genetic variation in time and space among populations of European grayling (Thymallus thymallus) in a Danish river system</t>
  </si>
  <si>
    <t>Human induced habitat alterations affect the genetic structure of many fish populations. Weirs in particular have caused fragmented populations previously connected by gene-flow. We studied the effects of weirs on the distribution of genetic variation within European grayling (Thymallus thymallus) populations from the Skjern River, Denmark. We compared microsatellite data from DNA extracted from historic scale samples collected 60 years ago with data from contemporary samples. Pairwise multilocus F-ST estimates between all contemporary population samples were significant as well as exact tests for population differentiation. Assignment tests of individuals to a set of baseline samples showed correct assignment to the population of origin of between 54 and 79%. Assignment of individuals from recent samples to the historic population samples showed highly variable results (3-83%) of correct assignment suggesting different population histories. Pairwise multilocus F-ST estimates were significantly correlated with the number of intervening weirs but not with waterway distance. A simulation procedure was used to estimate differences in relative population sizes, which indicated that the main river population was approximately three times larger than those of the tributaries. There were no signs of any loss of genetic variation for the river system as a whole during these 60 years. The results show that weirs can be an important factor for creating the current distribution patterns of genetic variation among grayling populations, most likely by only allowing passive downstream drift of fry and obstructing active upstream migration.</t>
  </si>
  <si>
    <t>10.1023/B:COGE.0000006115.14106.de</t>
  </si>
  <si>
    <t>WOS:000186895000007</t>
  </si>
  <si>
    <t>Testing the effects of nutrient additions on mudflat macroinfaunal assemblages in the presence and absence of shorebird predators</t>
  </si>
  <si>
    <t>An issue that is of increasing concern worldwide relates to the possibility that areas subject to conservation agreements, owing to the resident and migratory bird populations they support, will be adversely affected by attempts to reduce organic inputs into nearshore environments. In the present study, we investigated the effects of nutrient additions and shorebird exclusion on the infaunal assemblages of an intertidal mudflat. Where responses to nutrient additions were observed they only occurred in the high-dose treatments, indicating that a high nutrient loading is required before infaunal responses are initiated at this site. There was no evidence to support the idea that nutrient additions would only stimulate macroinfaunal assemblages where shorebird foraging was reduced. Instead, nutrient additions were detectable separately from any effects of shorebird predation and, contrary to expectations, appeared to be of more importance than shorebird predation in this environment. There was also no evidence to suggest that shorebird predation has a strong interaction with the infaunal prey assemblage and, although further studies will be needed to support this statement, it is possible that moderate changes in nutrient status will not impact on the shorebird populations at this site.</t>
  </si>
  <si>
    <t>10.1071/MF02157</t>
  </si>
  <si>
    <t>WOS:000187158800009</t>
  </si>
  <si>
    <t>Effects of a founder event and supplementary introductions on genetic variation in a captive breeding population of the endangered Spanish killifish</t>
  </si>
  <si>
    <t>Twelve polymorphic allozyme loci were employed to assess the genetic change in a captive breeding population of the endangered killifish Aphanius baeticus in the Donana National Park, south-western Spain. The initial founder event did not significantly reduce the allelic richness or the expected heterozygosity. No genetic bottleneck signature was detected by tests for deviation from mutation-drift equilibrium. The F-ST between the wild source and captive population, however, was relatively high (0(.)053 or 0(.)122 when excluding or including the locus IDHP-1* respectively), after just two to three generations in captivity. Two generations after the incorporation of 68 new wild specimens (greater than five generations after founding) decreased the genetic differences and the FST (0(.)041 excluding IDHP-1*). The restoration efforts appeared to be helpful and the study of 12 polymorphic loci and a sensitive parameter such as FST were useful for monitoring genetic changes in captivity. Nonetheless, future monitoring should include additional highly polymorphic loci (microsatellites) to achieve higher power to detect genetic change. Such restoration and monitoring efforts should help to avoid rapid inbreeding, adaptation to captivity, and to maintain the long-term evolutionary potential in small isolated populations. (C) 2003 The Fisheries Society of the British Isles</t>
  </si>
  <si>
    <t>10.1111/j.1095-8649.2003.00265.x</t>
  </si>
  <si>
    <t>WOS:000187794400011</t>
  </si>
  <si>
    <t>Genetic diversity and structure of urban populations of Pieris butterflies assessed using amplified fragment length polymorphism</t>
  </si>
  <si>
    <t>Conservation programs in urban ecosystems need to determine the genetic background in populations of urban dwellers. We examined the genetic diversity and structure of Pieris rapae and P. melete using AFLP markers, and compared them between species and between urban and rural environments. As a result: (i) in both species, there was no reduction in genetic diversity within urban populations by direct comparison of diversity measurements, although the analysis of molecular variance suggested significant reductions in the variance within seasonal subpopulations in urban populations; (ii) P. rapae retained greater genetic diversity within species and populations; (iii) populations of both species showed significant genetic differentiation, and P. melete was more strongly subdivided; (iv) in both species, geographically close populations did not cluster with one another in the UPGMA analysis; (v) there was no genetic isolation due to geographical distance in either species; (vi) the genetic composition of seasonal subpopulations differed in urban populations of both species, and the genetic distances among subpopulations were correlated with seasonal differences in P. rapae and with temporal differences in P. melete. These results indicate that the genetic diversity in urban populations of both species was reduced at times, but was maintained by dispersal from genetically differentiated populations. Differences in the ability and mode of dispersal in the two species may be reflected in the degree of population subdivision and patterns of seasonal change in the genetic composition.</t>
  </si>
  <si>
    <t>10.1046/j.1365-294X.2003.02040.x</t>
  </si>
  <si>
    <t>WOS:000187919200001</t>
  </si>
  <si>
    <t>Effects of long-term nutrient fertilisation and irrigation on the microarthropod community in a boreal Norway spruce stand</t>
  </si>
  <si>
    <t>Intensive nutrient fertilisation of forests has been suggested as a method to increase production of biofuels as a replacement for fossil fuels. We used a field experiment in a Norway spruce, Picea abies (L.) Karst., stand in northern Sweden to examine possible long-term effects of forest fertilisation on soil fauna (Oribatida, Mesostigmata, Collembola, predatory macroarthropods). Fertilisers had been applied annually for a period of 13 years, both in solid and liquid form, and N was added as ammonium nitrate (75-100 kg N ha(-1) per year). For comparison, control plots and plots receiving only irrigation were included. An autumn sampling showed soil fauna decreases in Plots receiving fertiliser in solid form, but increases in plots receiving liquid fertiliser. Clear shifts in community composition following both fertilisation methods were seen in Oribatida and Collembola, but species number and diversity were not significantly affected. This was probably due to increases in tolerant species that balanced decreases in other species. Liquid fertilisation had less negative effects on many species than fertilisation in solid form. Irrigation alone did not affect faunal abundances and had no effect on community composition of Oribatida and Collembola. The study indicates that intensive forest fertilisation will cause large shifts in soil microarthropod communities, but that species richness may remain unaffected. The risk of species loss will probably depend upon the size of the areas used for this purpose. (C) 2003 Elsevier B.V. All rights reserved.</t>
  </si>
  <si>
    <t>10.1016/j.foreco.2003.07.012</t>
  </si>
  <si>
    <t>WOS:000188294900011</t>
  </si>
  <si>
    <t>Dredging impact on the benthic community of an unaltered inlet in southern Spain</t>
  </si>
  <si>
    <t>The impact of dredging on macrobenthic communities was studied in an unaltered zone, the Getares inlet of Algeciras Bay (SW Spain). The data obtained before, during and after dredging in a time series spanning 5 years revealed the re-establishment of directly affected communities and of physicochemical substrate characteristics within 1 month of the end of dredging, although 2 years later there was a confusing biological impoverishment of the whole inlet. After 4 years, there was a high degree of population re-establishment, both on the bottoms directly affected by the works and on neighbouring areas, that was partly due to the hydrodynamic conditions. Before this type of activity is undertaken, each case should be studied regarding viability, the environmental medium where it will take place, the best time of year, and the type of dredging to be used.</t>
  </si>
  <si>
    <t>10.1007/s10152-003-0166-y</t>
  </si>
  <si>
    <t>WOS:000188607600006</t>
  </si>
  <si>
    <t>Experimental evidence of reduced diversity of seedlings due to climate modification in a Mediterranean-type community</t>
  </si>
  <si>
    <t>We are still lacking in experimental evidence of the effects of climate change on the richness of plant species under field conditions. We report a decrease in the species richness of recruited seedlings in a Mediterranean shrubland in experimentally induced drought and warming over 4 consecutive years. Drought decreased the number of emerging seedlings and their respective species richness. Warming also decreased seedling species richness, but it did not affect the number of emerging seedlings. Species that produce fewer recruits are more likely to disappear in drier or warmer scenarios. However, when the effect of induced climate treatment was greatest, the more abundant species in control stands were not necessarily the ones least affected by treatment; in other words, species-idiosyncratic responses may occur. These results show that demographic processes are sensitive to minor climate changes, with probable consequences on the diversity and structure of the future plant communities.</t>
  </si>
  <si>
    <t>10.1111/j.1365-2486.2004.00725.x</t>
  </si>
  <si>
    <t>WOS:000189025600010</t>
  </si>
  <si>
    <t>Genetic Impact of a Severe El Nino Event on Galapagos Marine Iguanas (Amblyrhynchus cristatus)</t>
  </si>
  <si>
    <t>The El Nino-Southern Oscillation (ENSO) is a major source of climatic disturbance, impacting the dynamics of ecosystems worldwide. Recent models predict that human-generated rises in green-house gas levels will cause an increase in the strength and frequency of El Nino warming events in the next several decades, highlighting the need to understand the potential biological consequences of increased ENSO activity. Studies have focused on the ecological and demographic implications of El Nino in a range of organisms, but there have been few systematic attempts to measure the impact of these processes on genetic diversity in populations. Here, we evaluate whether the 1997-1998 El Nino altered the genetic composition of Galapagos marine iguana populations from eleven islands, some of which experienced mortality rates of up to 90% as a result of El Nino warming. Specifically, we measured the temporal variation in microsatellite allele frequencies and mitochondrial DNA diversity (mtDNA) in samples collected before (1991/1993) and after (2004) the El Nino event. Based on microsatellite data, only one island (Marchena) showed signatures of a genetic bottleneck, where the harmonic mean of the effective population size (N(e)) was estimated to be less than 50 individuals during the period between samplings. Substantial decreases in mtDNA variation between time points were observed in populations from just two islands (Marchena and Genovesa). Our results suggests that, for the majority of islands, a single, intense El Nino event did not reduce marine iguana populations to the point where substantial neutral genetic diversity was lost. In the case of Marchena, simultaneous changes to both nuclear and mitochondrial DNA variation may also be the result of a volcanic eruption on the island in 1991. Therefore, studies that seek to evaluate the genetic impact of El Nino must also consider the confounding or potentially synergistic effect of other environmental and biological forces shaping populations.</t>
  </si>
  <si>
    <t>10.1371/journal.pone.0001285</t>
  </si>
  <si>
    <t>WOS:000207459500004</t>
  </si>
  <si>
    <t>Experimental evaluation of the impacts of the invasive catfish Hoplosternum littorale (Hancock, 1828) on aquatic macroinvertebrates</t>
  </si>
  <si>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</si>
  <si>
    <t>10.3391/ai.2010.5.1.11</t>
  </si>
  <si>
    <t>WOS:000208389700011</t>
  </si>
  <si>
    <t>Influence of Vegetation on Invertebrate Communities in Grazed Freshwater Wetlands in South-central Florida</t>
  </si>
  <si>
    <t>Grazing lands and rangelands are increasingly recognized as an important alternative to other developed land uses for sustaining ecological communities in Florida, the rest of the southeastern United States, and other regions. It is important to understand factors that influence ecological communities on private grazing lands, especially in areas with abundant wetlands, which are often sensitive habitats. This study examined the effects of different vegetation types and simulated grazing (clipping) on the abundance, diversity, and composition of the invertebrate community in seasonally flooded, isolated wetlands on a cattle ranch in south-central Florida. We compared invertebrate communities in wetland areas dominated by two different types of vegetation: emergent macrophytes (Pontederia cordata [Pickerelweed]) and grasses (primarily Luziola fluitans [Southern Watergrass]). There was a trend toward greater abundance and diversity of invertebrates in grass-dominated communities. Experimental removal of vegetation to simulate heavy grazing significantly decreased the abundance and diversity of invertebrates. It also shifted the community composition of invertebrates to favor members of Diptera and Ostracoda. Management practices in grazed wetlands that use light or intermediate levels of grazing, or that foster a greater diversity of vegetative cover, may support more diverse and populous wetland invertebrate communities.</t>
  </si>
  <si>
    <t>10.1656/058.009.0304</t>
  </si>
  <si>
    <t>WOS:000208397600004</t>
  </si>
  <si>
    <t>Reduction of riparian arthropod abundance and diversity as a consequence of giant reed (Arundo donax) invasion</t>
  </si>
  <si>
    <t>The non-indigenous perennial grass, Arundo donax, is an aggressive invader of riparian areas throughout California and many sub-tropical regions of the world, and is hypothesized to provide poorer quality habitat for native wildlife in riparian systems. We sampled aerial and ground-dwelling insects and other terrestrial arthropods associated with Arundo, native willow vegetation (Salix spp.), and mixtures of the two vegetation types during two seasons to determine how Arundo influences invertebrate composition in a low gradient stream in central California. The total number of organisms, total biomass and taxonomic richness of aerial invertebrates associated with native vegetation was approximately twice that associated with Arundo vegetation, while mixed vegetation supported intermediate arthropod levels. Shannon-Weaver (Weiner) diversity associated with native vegetation stands was also higher than that of Arundo vegetation. Ground-dwelling assemblages did not show differences as great as aerial assemblages which are more critical to foraging avian species. These results indicate that vegetation type is a significant factor reducing the abundance and diversity of invertebrates in this, and presumably in many other riparian ecosystems where this invasive species has become a dominant component. Arundo invasion changes the vegetation structure of riparian zones and in turn, may increasingly jeopardize its habitat value for birds and other wildlife whose diets are largely composed of insects found in native riparian vegetation.</t>
  </si>
  <si>
    <t>10.1023/A:1026190115521</t>
  </si>
  <si>
    <t>WOS:000208663500002</t>
  </si>
  <si>
    <t>Reintroducing fire into a ponderosa pine forest with and without cattle grazing: understory vegetation response</t>
  </si>
  <si>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</si>
  <si>
    <t>10.1890/ES10-00183.1</t>
  </si>
  <si>
    <t>WOS:000208810600007</t>
  </si>
  <si>
    <t>Analysing ethnobotanical and fishery-related importance of mangroves of the East-Godavari Delta (Andhra Pradesh, India) for conservation and management purposes</t>
  </si>
  <si>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</si>
  <si>
    <t>10.1186/1746-4269-2-24</t>
  </si>
  <si>
    <t>WOS:000209091500024</t>
  </si>
  <si>
    <t>Are genes faster than crabs? Mitochondrial introgression exceeds larval dispersal during population expansion of the invasive crab Carcinus maenas</t>
  </si>
  <si>
    <t>Biological invasions offer unique opportunities to investigate evolutionary dynamics at the peripheries of expanding populations. Here, we examine genetic patterns associated with admixture between two distinct invasive lineages of the European green crab, Carcinus maenas L., independently introduced to the northwest Atlantic. Previous investigations based on mitochondrial DNA sequences demonstrated that larval dispersal driven by advective currents could explain observed southward displacement of an admixture zone between the two invasions. Comparison of published mitochondrial results with new nuclear data from nine microsatellite loci, however, reveals striking discordance in their introgression patterns. Specifically, introgression of mitochondrial genomes relative to nuclear background suggests that demographic processes such as sex-biased reproductive dynamics and population size imbalancesand not solely larval dispersal- play an important role in driving the evolution of the genetic cline. In particular, the unpredicted introgression of mitochondrial alleles against the direction of mean larval dispersal in the region is consistent with recent models invoking similar demographic processes to explain movements of genes into invading populations. These observations have important implications for understanding historical shifts in C. maenas range limits, and more generally for inferences of larval dispersal based on genetic data.</t>
  </si>
  <si>
    <t>10.1098/rsos.140202</t>
  </si>
  <si>
    <t>WOS:000209731900017</t>
  </si>
  <si>
    <t>Climate change and glacier retreat drive shifts in an Antarctic benthic ecosystem</t>
  </si>
  <si>
    <t>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t>
  </si>
  <si>
    <t>10.1126/sciadv.1500050</t>
  </si>
  <si>
    <t>WOS:000216599300011</t>
  </si>
  <si>
    <t>Impacts of dredged material disposal on a tropical soft-bottom benthic assemblage</t>
  </si>
  <si>
    <t>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t>
  </si>
  <si>
    <t>10.1016/j.marpolbul.2003.08.002</t>
  </si>
  <si>
    <t>WOS:000220102500020</t>
  </si>
  <si>
    <t>Species richness of moss landscapes unaffected by short-term fragmentation</t>
  </si>
  <si>
    <t>Theory predicts that habitat fragmentation and varying corridor length and width will affect animal populations in adjoining habitat patches due to varying migration rates. Previous work on the moss/microarthropod microcosm showed that connecting moss patches with moss corridors maintained species richness and individual species abundance. By contrast, in this study there was little evidence for differences in species richness between landscapes of varying connectivity and corridor length and width. The gamma diversity, the cumulative species richness of entire connected systems, followed the same pattern. Similar non-significant results were obtained for species abundance. Contrary to a previous study, I found no evidence that populations of predators were more affected by fragmentation than non-predators. Since this experiment ran during temperate environmental conditions and the previous experiments ran during more extreme conditions, I hypothesise that corridors may be more useful in reducing species extinction during extreme environmental conditions.</t>
  </si>
  <si>
    <t>10.1111/j.0030-1299.2004.12832.x</t>
  </si>
  <si>
    <t>WOS:000220383100015</t>
  </si>
  <si>
    <t>Effect of farmers' seed selection on genetic variation of a landrace population of pepper (Capsicum annuum L.), grown in North-West Italy</t>
  </si>
  <si>
    <t>Recognition by the European Community of elite landraces encourages farmers to grow these and earn more than is possible by growing modern varieties. However, farmers often exercise strong selection by collecting seed from a limited number of plants which best embody a few characters of prime interest. This, in the long run, may be responsible for considerable genetic erosion. In Southern Piedmont, North-West Italy, a local landrace of pepper ( Capsicum annuum L.) known as 'Cuneo' is grown; it deserves particular attention because of its hardiness, late production and fruit quality. We used random amplified polymorphic DNA ( RAPD) and amplified fragment length polymorphism (AFLP) markers to assess the effect, on genetic composition of a population, of seed sampling carried out using the selection criteria adopted by the farmer. After two reproductive cycles using selection, it was already possible to detect loss in genetic variation and a change in allele frequencies, while no significant effect was found after two cycles of random sampling. Over this period, farmer selection pressure led to disappearance of eight low-frequency alleles, while only three alleles were lost in randomly sampled populations. Our results stress the need to adopt appropriate techniques for seed sampling in order to avoid genetic erosion of local landrace 'gene pools'.</t>
  </si>
  <si>
    <t>10.1023/B:GRES.0000024648.48164.c3</t>
  </si>
  <si>
    <t>WOS:000220927800003</t>
  </si>
  <si>
    <t>Zebra mussel colonisation of soft sediments facilitates invertebrate communities</t>
  </si>
  <si>
    <t>1. We examined the effect of zebra mussel colonisation on invertebrate communities inhabiting soft sediments in two bays along the Vermont shoreline of Lake Champlain, U.S.A. 2. In summer 2001, we conducted manipulative experiments (addition and removal of zebra mussel colonies) with respective controls to assess the effect of colonies on invertebrate abundance, richness, and position within sediments (within colony versus underlying colony) and compared these data to comparative studies of natural communities in summer 2002. 3. Split core samples were taken two months after the manipulation and the following year so that we could quantify individuals and species inhabiting zebra mussel colonies separately from those in sediments underlying zebra mussel colonies and adjacent sediments lacking zebra mussels. 4. Zebra mussel-covered sediments supported more abundant and richer invertebrate communities than adjacent sediments lacking zebra mussels. 5. Abundance and richness patterns in zebra mussel-addition and removal treatments closely paralleled those in natural communities. 6. Despite severe oxygen depletion at the interface of underlying sediments and overlying zebra mussel colonies, most infaunal invertebrates responded positively to zebra mussel colonisation either by remaining in sediments underlying zebra mussel colonies or by migrating into zebra mussel colonies.</t>
  </si>
  <si>
    <t>10.1111/j.1365-2427.2004.01207.x</t>
  </si>
  <si>
    <t>WOS:000221197400004</t>
  </si>
  <si>
    <t>Colonization history and noninvasive monitoring of a reestablished wolverine population</t>
  </si>
  <si>
    <t>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t>
  </si>
  <si>
    <t>10.1111/j.1523-1739.2004.00328.x-i1</t>
  </si>
  <si>
    <t>WOS:000221353300016</t>
  </si>
  <si>
    <t>Control of epibenthic ciliate communities by grazers and nutrients</t>
  </si>
  <si>
    <t>Four in situ experiments were conducted to examine the potential top-down and bottom-up control of epibenthic ciliate communities. The experiments were run in the littoral of Lake Erken and at a brackish water site on the island of Vaddo on the Baltic coast of Sweden, during the spring of 2000. The experimental manipulations were the presence/absence of the natural macro-zoobenthos grazer community, cross-classified with the presence/absence of additional nutrients. Epibenthic ciliates responded to both manipulation of grazers and resources, but the response was group specific. Total ciliate abundance decreased when macrozoobenthos (largely chironomids, gastropods, trichopteran larvae, isopods and amphipods) were removed, thus excluding a direct predation effect of the macrozoobenthos community on ciliates. Total ciliate biomass, but not abundance, tended to increase in the presence of additional nutrients; an effect weakly dependent on season and site. The disparity between effects of nutrients on biomass and abundance was due to effects on heterotrichs, a group of large but relatively rare algivorous ciliates. The manipulations altered the ciliate community composition, and between lakes there were differences in species richness and diversity and experiments. However, neither the removal of macrozoobenthos nor the addition of nutrients changed species richness or diversity. This runs counter to work with other taxonomic groups, which shows maximal diversity at an intermediate level of resources or predation. This can only be partially explained by the lack of direct predation effects and the open nature of the experimental system.</t>
  </si>
  <si>
    <t>10.3354/ame035153</t>
  </si>
  <si>
    <t>WOS:000221603500005</t>
  </si>
  <si>
    <t>Environmental and vegetation variables have a greater influence than habitat fragmentation in structuring lizard communities in remnant urban bushland</t>
  </si>
  <si>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</si>
  <si>
    <t>10.1111/j.1442-9993.2004.01366.x</t>
  </si>
  <si>
    <t>WOS:000221667600007</t>
  </si>
  <si>
    <t>Nitrogen availability alters macrofungal basidiomycete community structure in optimally fertilized loblolly pine forests</t>
  </si>
  <si>
    <t>We investigated the effect of an optimal nutrition strategy designed to maximize loblolly pine (Pinus taeda) growth on the rank abundance structure and diversity of associated basidiomycete communities. We conducted both small- and large-scale below-ground surveys 10 years after the initiation of optimal nutrition, and used TRFLP of selectively PCR-amplified nrDNA ITS to determine the distribution and abundance of macrofungal basidiomycete species in c. 200 soil samples collected from optimally fertilized and unfertilized treatments at the SETRES loblolly pine experimental site, North Carolina, USA. Our results indicated an increased relative abundance of Tylopilus and Thelephora spp. on optimally fertilized stands. Our results also suggested improved mycelial growth of several species, possibly caused by increased connectivity in the forest floor as a result of increased plant growth. In addition, our results suggest a trend towards reduced basidiomycete diversity, and that large-scale application of optimal nutrition may need to be sensitive to increased nitrate availability.</t>
  </si>
  <si>
    <t>10.1111/j.1469-8137.2004.01074.x</t>
  </si>
  <si>
    <t>WOS:000221913500017</t>
  </si>
  <si>
    <t>Inverse relationship between FST and microsatellite polymorphism in the marine fish, walleye pollock (Theragra chalcogramma): implications for resolving weak population structure</t>
  </si>
  <si>
    <t>Microsatellites have proved to be useful for the detection of weak population structure in marine fishes and other species characterized by large populations and high gene flow. None the less, uncertainty remains about the net effects of the particular mutational properties of these markers, and the wide range of locus polymorphism they exhibit, on estimates of differentiation. We examined the effect of varying microsatellite polymorphism on the magnitude of observed differentiation in a population survey of walleye pollock, Theragra chalcogramma. Genetic differentiation at 14 microsatellite loci among six putative populations from across the North Pacific Ocean and Bering Sea was weak but significant on large geographical scales and conformed to an isolation-by-distance pattern. A negative relationship was found between locus variability and the magnitude of estimated population subdivision. Estimates of F-ST declined with locus polymorphism, resulting in diminished power to discriminate among samples, and we attribute this loss to the effects of size homoplasy. This empirical result suggests that mutation rates of some microsatellite loci are sufficiently high to limit resolution of weak genetic structure typical of many marine fishes.</t>
  </si>
  <si>
    <t>10.1111/j.1365-294X.2004.02214.x</t>
  </si>
  <si>
    <t>WOS:000221933000007</t>
  </si>
  <si>
    <t>Spatio-temporal variation in the genetic composition of wild populations of pearl oyster (Pinctada margaritifera cumingii) in French Polynesia following 10 years of juvenile translocation</t>
  </si>
  <si>
    <t>The genetic impact of the cultural practice of spat collection and translocation between genetically distinct stocks of black-lipped pearl oyster, Pinctada margaritifera cumingii, was studied by comparing samples collected in the 1980s and 2000s from seven atolls in French Polynesia. An AMOVA revealed homogenization of the previously genetically distinct wild stocks of Tuamotu-Gambier and Society archipelagos (the indices of genetic differentiation among archipelagos and among populations within archipelagos, respectively, Phi(CT) and Phi(ST), decreased from 0.032* and 0.025*, respectively, to 0.006(NS) and 0.007(NS)). These results suggest high success of spontaneous reproduction in farms, probably due to the very high density of cultivated pearl oysters, and underline the importance of genetic monitoring of future hatchery produced stocks.</t>
  </si>
  <si>
    <t>10.1111/j.1365-294X.2004.02188.x</t>
  </si>
  <si>
    <t>WOS:000221933000023</t>
  </si>
  <si>
    <t>Population biology of the invasive freshwater snail Physa acuta approached through genetic markers, ecological characterization and demography</t>
  </si>
  <si>
    <t>The respective role of factors acting on population functioning can be inferred from a variety of approaches, including population genetics and demography. We here investigated the role of four of these factors (mating systems, population size, bottlenecks and migration) in the hermaphroditic freshwater snail Physa acuta. Twenty-four populations were sampled either around Montpellier (local scale), or at the scale of France (global scale). At local scale, eight populations were sampled twice, before and after summer drying out. The genetic structure of these populations was studied using microsatellite loci. Populations were classified according to openness (ponds vs. rivers) and water regime (permanent vs. temporary) allowing predictions on genetic patterns (e.g. diversity within populations and differentiation). At local scale, progeny-arrays analysis of the selfing rate was conducted, and size distributions of individuals were followed over two years. Results with regard to the four factors mentioned above were: (i) Estimates of population selfing rates derived from inbreeding coefficients were only slightly higher than those from progeny-arrays. (ii) More variation was detected in rivers than in ponds, but no influence of water regime was detected. One reason might be that permanent populations are not going less often through low densities than those from temporary habitats at the time scale studied. (iii) There was limited evidence for genetic bottlenecks which is compatible with the fact that even marked reduction in water availability was not necessarily associated with demographic bottlenecks. More generally, bottlenecks reducing genetic variation probably occur at population foundation. (iv) Lower genetic differentiation was detected among rivers than among ponds which might be related to limitations on gene flow. Demographic and temporal genetic data further indicates that flooding in rivers is unlikely to induce marked gene flow explaining the strong genetic differentiation at short geographical scale in such habitats. Finally, the demographic data suggest that some populations are transitory and subject to recurrent recolonization, a pattern that was also detected through genetic data.</t>
  </si>
  <si>
    <t>10.1111/j.1365-294X.2004.02200.x</t>
  </si>
  <si>
    <t>WOS:000221933000026</t>
  </si>
  <si>
    <t>Benthic changes during 10 years of organic enrichment by McMurdo Station, Antarctica</t>
  </si>
  <si>
    <t>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t>
  </si>
  <si>
    <t>10.1016/j.marpolbul.2004.01.007</t>
  </si>
  <si>
    <t>WOS:000222939800017</t>
  </si>
  <si>
    <t>Temporal changes in allele frequencies and low effective population size in greater prairie-chickens</t>
  </si>
  <si>
    <t>The number of greater prairie-chickens in Wisconsin has decreased by 91% since 1932. The current population of approximately 1500 birds exists primarily in four isolated management areas. In previous studies of the Wisconsin populations we documented low levels of genetic variation at microsatellite loci and the mitochondrial DNA control region. Here we investigate changes in genetic structure between the four management areas in Wisconsin over the last 50 years. We estimated the harmonic mean effective population size (N-e) over the last 50 years by comparing allele frequencies from the early 1950s with those from contemporary samples. Using a pseudo-likelihood approach that accounted for migration, estimates of N-e (15-32 prairie-chickens within each management area) were 10 times lower than census numbers from booming-ground counts. These low estimates of N-e are consistent with increased habitat fragmentation and an increase in genetic isolation between management areas over the last 50 years. The reduction of gene flow between areas has reduced N-e, increased genetic drift and, consequently, reduced genetic variation. These results have immediate consequences for the conservation of the prairie-chicken, and highlight the importance of how mating systems and limited dispersal may exacerbate the loss of genetic variation in fragmented populations.</t>
  </si>
  <si>
    <t>10.1111/j.1365-294X.2004.02264.x</t>
  </si>
  <si>
    <t>WOS:000223291200010</t>
  </si>
  <si>
    <t>Willow (Salix x rubens) invasion of the riparian zone in south-eastern Australia: reduced abundance and altered composition of terrestrial arthropods</t>
  </si>
  <si>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</si>
  <si>
    <t>10.1111/j.1366-9516.2004.00104.x</t>
  </si>
  <si>
    <t>WOS:000223744500018</t>
  </si>
  <si>
    <t>Influence of an Antarctic waste dump on recruitment to nearshore marine soft-sediment assemblages</t>
  </si>
  <si>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</si>
  <si>
    <t>10.3354/meps276053</t>
  </si>
  <si>
    <t>WOS:000223788100006</t>
  </si>
  <si>
    <t>Shoreline development drives invasion of Phragmites australis and the loss of plant diversity on New England salt marshes</t>
  </si>
  <si>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</si>
  <si>
    <t>10.1111/j.1523-1739.2004.00112.x</t>
  </si>
  <si>
    <t>WOS:000224071800028</t>
  </si>
  <si>
    <t>Imposed hydrological stability on lakes in arid Australia and effects on waterbirds</t>
  </si>
  <si>
    <t>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t>
  </si>
  <si>
    <t>10.1890/03-0470</t>
  </si>
  <si>
    <t>WOS:000224379600015</t>
  </si>
  <si>
    <t>Refugia and local controls: Benthic invertebrate dynamics in Lower Green Bay, Lake Michigan following zebra mussel invasion</t>
  </si>
  <si>
    <t>In many aquatic ecosystems benthic invertebrate abundance has increased following zebra mussel (Dreissena polymorpha) invasion. We examine the impact of zebra mussel density on the abundance and distribution of benthic invertebrates and postulate refuge from predation as a mechanism for the increases we found in some taxa. Benthic invertebrates in zebra mussel druses and in adjacent sediment samples were surveyed at sites in six locations representing various trophic conditions in lower Green Bay. Mean invertebrate density and taxa richness were significantly higher in the druses than in the adjacent sediment. Species diversity in the druses was inversely correlated to turbidity over the study area. Sediment samples were dominated by oligochaetes and chironomids. Amphipods were the most abundant taxa in most, but not all, of the druse samples. Other taxa present included leeches, hydra, mayflies, and caddisflies. The effectiveness of druses as refuge from predation for amphipods was investigated under laboratory conditions with various predators (perch, round goby, and rusty crayfish). In mesocosms, predation losses averaged 75% lower where zebra mussels were present. In the absence of mussels, predation loss to perch and round goby was 100% and 66% to crayfish. We conclude that the increased abundance of other invertebrates in druses in lower Green Bay may be due to increased refugia, however the assemblage composition at any given site varies with local conditions.</t>
  </si>
  <si>
    <t>10.1016/S0380-1330(04)70356-1</t>
  </si>
  <si>
    <t>WOS:000224463400005</t>
  </si>
  <si>
    <t>Population genetic structure of the milkfish, Chanos chanos, based on PCR-RFLP analysis of the mitochondrial control region</t>
  </si>
  <si>
    <t>The milkfish, Chanos chanos (Forsskal, 1775) is a pelagic, monotypic gonorhynchiform widely distributed in the tropical Indo-Pacific. This study evaluates temporal variability of milkfish samples from the Philippine archipelago, and spatial variability at two geographic scales based on restriction fragment length polymorphism (RFLP) analysis of a portion of the mitochondrial control region. High levels of genetic diversity characterize the milkfish control region (mean h = 0.908, pi = 1.59%), with 74 haplotypes detected among the 367 fish analyzed. For temporal analysis of Philippine samples, milkfish were collected over 2 years from three sites (inter-annual variation), and sampled twice within a year during different seasons at four sites (intra-annual variation). No significant temporal variability was detected between or within years. Significant spatial differentiation among the Philippine samples was observed (F-ST = 0.006, P &lt; 0.05), with two northeastern samples, Claveria and Dingalan. found to be genetically distinct. However, an hierarchical analysis of molecular variance (AMOVA), where samples were grouped into four geographic regions, revealed very low levels of genetic partitioning, with less than 1% of the total variation attributed to between-region differences, and lack of genetic structure. Nonetheless, the existence of putative northeastern Philippine populations is not discounted. Strong genetic structure across broad geographical scales was revealed by AMOVA, with 11% of the molecular variance based on haplotype frequencies allocated between three distinct groups: Indian Ocean, west Pacific (Philippines) and north central Pacific (Hawaii) The broad-scale genetic structure points to limited gene flow among disjunct Indo-Pacific populations.</t>
  </si>
  <si>
    <t>10.1007/s00227-004-1372-0</t>
  </si>
  <si>
    <t>WOS:000224527600017</t>
  </si>
  <si>
    <t>Impact of exploratory offshore drilling on benthic communities in the Minerva gas field, Port Campbell, Australia</t>
  </si>
  <si>
    <t>Changes to benthic infauna caused by exploratory gas drilling operations in the Minerva field were examined experimentally using a BACI (before, after, control, impact) design. Analysis of 72 x 0.1 m(2) Smith-McIntyre grab samples obtained from one pre-drilling and three post-drilling periods yielded a diverse fauna consisting of 196 invertebrate species and 5035 individuals. Changes to benthic community structure were assessed using ANOVA and nonmetric multidimensional scaling (MDS). The abundances of two common species (Apseudes sp. 1 and Prionospio coorilla) decreased significantly at the well-head site immediately after drilling. The size of these reductions in abundance ranged between 71% and 88%, and persisted for less than 4 months after drilling. A third common species (Katlysia sp. 1) increased in abundance 200 m east of the well-head following drilling. Most species occurred at densities too low to be analysed individually and so were pooled at higher taxonomic levels. Changes in the abundance of species aggregated by phylum varied, but significant declines in the most abundant phyla (Crustaceans and Polychaetes) of 45-73% were observed at all sites within a 100 m radius of the well-head following drilling. In most cases these changes became undetectable four months after drilling following species recruitments. MDS ordinations confirm that drilling related changes to benthic community structure are most pronounced at stations located closest to the well-head. Additionally, the ordinations indicate that modified communities persist at the well-head for more than I I months following exploratory drilling. (C) 2004 Elsevier Ltd. All rights reserved.</t>
  </si>
  <si>
    <t>10.1016/j.marenvres.2004.05.001</t>
  </si>
  <si>
    <t>WOS:000224620800004</t>
  </si>
  <si>
    <t>Native plant community composition and genetic diversity associated with long-term weed invasions</t>
  </si>
  <si>
    <t>Many studies have assessed genetic changes in exotic plant species in their native and introduced ranges, but none have focused on genetic variation in native plant species in response to exotic invasion. We examine characteristics of native plant communities within and outside old (&gt;25 year) invasions of Acroptilon repens (Russian knapweed) and Cardaria draba (hoary cress). We also document genetic variability of 4 native grass populations (Hesperostipa comata [needle and thread], Achnatherun lujmenoides [Indian ricegrass], Sporobolus airoides [alkali sacaton], and Poa secunda [Sandberg bluegrass]) front 2 areas: adjacent to and within weed invasions. Native plant species richness and diversity did not differ between invaded and noninvaded areas. Inter-simple sequence repeat (ISSR) analysis of individual native perennial grasses of each of the 4 species suggests that populations exposed to long-term coexistence with exotics may differ front adjacent noninvaded populations. We suggest that future research efforts should focus on intraspecific diversity of native plant species to identify possible candidates for restoration following weed control.</t>
  </si>
  <si>
    <t>WOS:000224952700011</t>
  </si>
  <si>
    <t>Experimental warming causes large and rapid species loss, dampened by simulated grazing, on the Tibetan Plateau</t>
  </si>
  <si>
    <t>We investigated the independent and combined effects of experimental warming and grazing on plant species diversity on the north-eastern Tibetan Plateau, a region highly vulnerable to ongoing climate and land use changes. Experimental warming caused a 26-36% decrease in species richness, a response that was generally dampened by experimental grazing. Higher species losses occurred at the drier sites where N was less available. Moreover, we observed an indirect effect of climate change on species richness as mediated by plant-plant interactions. Heat stress and warming-induced litter accumulation are potential explanations for the species' responses to experimental warming. This is the first reported experimental evidence that climate warming could cause dramatic declines in plant species diversity in high elevation ecosystems over short time frames and supports model predictions of species losses with anthropogenic climate change.</t>
  </si>
  <si>
    <t>10.1111/j.1461-0248.2004.00677.x</t>
  </si>
  <si>
    <t>WOS:000225078000007</t>
  </si>
  <si>
    <t>Impact of founder population, drift and selection on the genetic diversity of a recently translocated tree population</t>
  </si>
  <si>
    <t>Recently established, temperate tree populations combine a high level of differentiation for adaptive traits, suggesting rapid genetic evolution, with a high level of genetic diversity within population, suggesting a limited impact of genetic drift and purifying selection. To study experimentally the evolutionary forces in a recently established population, we assessed the spatial and temporal patterns of genetic diversity within a disjunct population of Cedrus atlantica established 140 years ago in south-eastern France from a North African source. The population is expanding through natural regeneration. Three generations were sampled, including founder trees. We analysed 12 isozyme loci, three of which were previously found in tight association with selected genes, and quantitative traits. No bottleneck effect was detected in the founder generation, but a simple test of allelic association revealed an initial disequilibrium which disappeared in the following generations. The impact of genetic drift during secondary evolution was limited, as suggested by the weak temporal differentiation. The genetic load was not reduced after 3 generations, and the quantitative variation for adaptive traits did not change either. Thus, initial genetic changes first proceed from a rapid re-organisation of the diversity through mating and recombination, whereas genetic erosion through drift and selection is delayed due to temporal and spatial stochasticity. Two life-history traits of trees contribute to slowing down the processes of genetic erosion: perenniality and large spatial scale. Thus, one would expect recently established tree populations to have a higher diversity than older ones, which seems in accordance with experimental surveys.</t>
  </si>
  <si>
    <t>10.1038/sj.hdy.6800549</t>
  </si>
  <si>
    <t>WOS:000225354800004</t>
  </si>
  <si>
    <t>Impact of resource availability on species composition and diversity in freshwater nematodes</t>
  </si>
  <si>
    <t>This study investigates the long-term effects of resource availability in a freshwater nematode community. We carried out a mesocosm experiment where natural nematode communities were exposed to nutrient addition/ depletion over 2 years. Compared to the nutrient-addition treatment, species richness and diversity were strongly reduced upon nutrient depletion. The functional group of bacterial feeders particularly suffered severely from nutrient depletion. The decrease in diversity of bacterial feeders was linked to reduced species richness and diversity of large omnivorous species, as predicted by trophic-dynamic models. Tilman's ( 1976) statement, that under low nutrient levels the best competitor dominates the system, was applicable in our system. Upon nutrient depletion, resource depletion led to a monoculture of 1 small bacterial feeder, but even after 2 years of resource depletion, up to 16 species still coexisted. Our results provide strong evidence that freshwater nematode systems can be regulated by nutrient competition.</t>
  </si>
  <si>
    <t>10.1007/s00442-004-1700-6</t>
  </si>
  <si>
    <t>WOS:000225472100011</t>
  </si>
  <si>
    <t>Catastrophic decline in mollusc diversity in eastern Tasmania and its concurrence with shellfish fisheries</t>
  </si>
  <si>
    <t>We used historical patterns of deposition of mollusc shells to infer changes to inshore benthic assemblages in the southeastern Tasmanian region over the past 120 years. We identified and counted shells in slices embedded within 1m long (210)-Pb-dated sediment cores were collected at 13 sites in water depths of 8-16 m. Declines in mollusc species richness and shell production occurred during the past century at all sites studied, with a mean decline per 5-cm sediment slice from 21 species in 1890 to 7 species in 1990 and in shell abundance from 150 to 30 individuals over the same period. The time course of decline notably corresponded with the history of the scallop dredge fishery, presumably either because scallop dredging caused general declines in populations of the mollusc species or because other factors caused a catastrophic regional decline in molluscs that included scallops. As a consequence, the fishery was forced to close. Of major concern is that losses had not previously been recognized but extended throughout the 100-km coastal span of the study. Given that fishing and other anthropogenic impacts, as well as a lack of observational data, are virtually ubiquitous for the coastal zone, major recent losses in mollusc biodiversity may be globally widespread but have gone unnoticed.</t>
  </si>
  <si>
    <t>10.1111/j.1523-1739.2004.00191.x</t>
  </si>
  <si>
    <t>WOS:000225737300021</t>
  </si>
  <si>
    <t>Influence of habitat fragmentation and crop system on Columbia Basin shrubsteppe communities</t>
  </si>
  <si>
    <t>Crop production in much of the western United States has caused extensive fragmentation of shrubsteppe and other grasslands and has increased regional levels of disturbance through repeated tillage of crop fields and applications of agrochemicals. Although there have been numerous studies of the effects of fragmentation on arthropods in forests, old fields, and cropland, there have been very few studies of fragmentation effects on grassland arthropods. I conducted a two-year study in the Columbia Basin region of the U.S. Pacific Northwest to determine the effects of fragmentation and regional disturbance on shrubsteppe communities. I sampled plants and arthropods in 20 shrubsteppe fragments associated with annual crops, 20 fragments associated with perennial crops, and 20 large sections of shrubsteppe distant from crop fields. Fragments were corners of crop irrigation circles, and only sites that were undisturbed, with an apparent high coverage of shrubs, were included in the study. Results indicated no significant differences in coverages of shrubs, perennial grasses, total perennial forbs, total annual/biennial forbs, and species richness of grasses and shrubs between fragments and large sections of shrubsteppe. Mean percent coverage of the annual grass Bromus tectorum was 18.6% greater in small fragments than in large sections of shrubsteppe distant from crop fields, and mean coverage of bare ground was 22.9% higher and coverage of biological soil crusts was 41.5% lower in the fragments than in large shrubsteppe sections. Shrubsteppe fragments had significantly lower abundances of obligate herbivores, omnivores, total herbivores, obligate predators, total predators, plant detritivores, total detritivores, and butterflies, as well as fewer individuals of numerous other taxa within these trophic groups. Fragmentation had very little effect on species richness within trophic groups, probably because fragments were not that isolated from each other and large sections of shrubsteppe. Shrubsteppe communities that were next to highly disturbed annual crops had greater coverages of total annual/biennial forbs, and lower coverages of total perennial forbs and biological soil crusts when compared to shrubsteppe near perennial crops. Abundances of obligate herbivores, omnivores, total predators, plant detritivores, vertebrate-detritus feeders, and bees were similar in shrubsteppe near annual crops and near perennial crops. However, within these trophic groups, shrubsteppe near annual crops supported fewer obligate shrub-feeding grasshoppers, herbivorous ground beetles, harvestmen, antlions, darkling beetles, and butterflies than did shrubsteppe near perennial crops. The results suggest that a reduction in resources within fragments and regional disturbances caused by the production of annual crops were responsible for changes in arthropod trophic structure in fragments. Changes in trophic structure were probably not due to reductions in habitat heterogeneity or habitat isolation because plant community structure was similar in fragmented and unfragmented shrubsteppe, and fragments were not isolated from large sections of shrubsteppe.</t>
  </si>
  <si>
    <t>10.1890/03-5249</t>
  </si>
  <si>
    <t>WOS:000225858000003</t>
  </si>
  <si>
    <t>Changes in carabid beetle assemblages along an urbanisation gradient in the city of Debrecen, Hungary</t>
  </si>
  <si>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</si>
  <si>
    <t>10.1007/s10980-005-1128-4</t>
  </si>
  <si>
    <t>WOS:000226384000004</t>
  </si>
  <si>
    <t>Genetic monitoring of wild and repatriated populations of endangered razorback sucker (Xyrauchen texanus, Catostomidae, Teleostei) in Lake Mohave, Arizona-Nevada</t>
  </si>
  <si>
    <t>The Native Fishes Work Group, formed in 1991, developed and implemented a protocol to enhance the dwindling razorback sucker population in Lake Mohave, Arizona-Nevada. This large, genetically diverse population is severely reduced in size as a result of recruitment failure associated with predation on larvae. To circumvent this problem, wild larvae are captured, reared in protective custody until they are large enough to escape predation, and then released back into the lake. We present results of a monitoring program designed to assess the effectiveness of the sampling design in transmitting the high genetic diversity found in wild adults. Variation in a fragment from the mitochondrial DNA gene cytochrome b was examined by analysis of single-stranded polymorphisms and direct sequencing. Samples were characterized from three life history stages. Characterization of wild adults verified previous results that identified considerable diversity and provided baseline data. Samples of larvae from several temporal collections from throughout the spawning season and four geographical areas were characterized for 7 years (1997-2003) to assess the transmission of genetic variation from wild adults to larvae. Several analyses identified significant differences among temporal collections, resulting from sampling errors associated with finite number of females spawning at a given time and place. Comparisons among areas and years failed to identify significant variation, indicating that pooled collections for each year possess the same levels and patterns of genetic variation. Examination of repatriates representing 11 years (1992-2002) also failed to identify significant differences among cohorts; however, some sample sizes were small and the AMOVA may lack sufficient power to detect differences. Contrasts of wild adults, larvae, and repatriates identified statistically significant differences among collections within these three groups; however, levels of variation are small and not biologically meaningful. More importantly, this analysis failed to detect significant differences among adults, larvae, and repatriates indicating that the program has been achieving its goal of transmitting variation from adults through the larvae and into the repatriate population. The reproductive capability of repatriates has not been examined, so it is unknown if the program will maintain genetic variation found in the original adult population. This will be most easily achieved by periodic monitoring of genetic variation in larval samples. If levels of variation become reduced in repatriates, levels and patterns of diversity in larvae are also expected to become reduced, and deviations in estimates of genetic diversity may become larger and more frequent. If this is the case, intervention may be necessary to ensure that certain individuals are not over-represented in the repatriate population.</t>
  </si>
  <si>
    <t>10.1111/j.1365-294X.2004.02408.x</t>
  </si>
  <si>
    <t>WOS:000226421000011</t>
  </si>
  <si>
    <t>Are invasive species the drivers or passengers of change in degraded ecosystems?</t>
  </si>
  <si>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</si>
  <si>
    <t>10.1890/04-0669</t>
  </si>
  <si>
    <t>WOS:000226791700006</t>
  </si>
  <si>
    <t>Dung beetle (Coleoptera: Scarabaeidae) diversity and community structure across three disturbance regimes in eastern Amazonia</t>
  </si>
  <si>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</si>
  <si>
    <t>10.1017/S0266467404001683</t>
  </si>
  <si>
    <t>WOS:000227083400002</t>
  </si>
  <si>
    <t>Soil communities (Acari Oribatida; Hexapoda Collembola) in a clay pigeon shooting range</t>
  </si>
  <si>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</si>
  <si>
    <t>10.1016/j.pedobi.2004.06.009</t>
  </si>
  <si>
    <t>WOS:000227238400001</t>
  </si>
  <si>
    <t>Cascading human impacts, marine protected areas, and the structure of Mediterranean reef assemblages</t>
  </si>
  <si>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</si>
  <si>
    <t>10.1890/03-4058</t>
  </si>
  <si>
    <t>WOS:000227254000004</t>
  </si>
  <si>
    <t>Countryside biogeography of neotropical herbaceous and shrubby plants</t>
  </si>
  <si>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t>
  </si>
  <si>
    <t>10.1890/03-5369</t>
  </si>
  <si>
    <t>WOS:000228059000003</t>
  </si>
  <si>
    <t>Vegetation responses in Alaskan arctic tundra after 8 years of a summer warming and winter snow manipulation experiment</t>
  </si>
  <si>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</si>
  <si>
    <t>10.1111/j.1365-2486.2005.00927.x</t>
  </si>
  <si>
    <t>WOS:000228179500002</t>
  </si>
  <si>
    <t>Variable sensitivity of plant communities in Iceland to experimental warming</t>
  </si>
  <si>
    <t>Facing an increased threat of rapid climate change in cold-climate regions, it is important to understand the sensitivity of plant communities both in terms of degree and direction of community change. We studied responses to 3-5 years of moderate experimental warming by open-top chambers in two widespread but contrasting tundra communities in Iceland. In a species-poor and nutrient-deficient moss heath, dominated by Racomitrium lanuginosum, mean daily air temperatures at surface were 1-2 degrees C higher in the warmed plots than the controls whereas soil temperatures tended to be lower in the warmed plots throughout the season. In a species-rich dwarf shrub heath on relatively rich soils at a cooler site, dominated by Betula nana and R. lanuginosum, temperature changes were in the same direction although more moderate. In the moss heath, there were no detectable community changes while significant changes were detected in the dwarf shrub heath: the abundance of deciduous and evergreen dwarf shrubs significantly increased (&gt; 50%), bryophytes decreased (18%) and canopy height increased (100%). Contrary to some other studies of tundra communities, we detected no changes in species richness or other diversity measures in either community and the abundance of lichens did not change. It is concluded that the sensitivity of Icelandic tundra communities to climate warming varies greatly depending on initial conditions in terms of species diversity, dominant species, soil and climatic conditions as well as land-use history.</t>
  </si>
  <si>
    <t>10.1111/j.1365-2486.2005.00928.x</t>
  </si>
  <si>
    <t>WOS:000228179500003</t>
  </si>
  <si>
    <t>Present and past microsatellite variation and assessment of genetic structure in Eurasian badger (Meles meles) in Denmark</t>
  </si>
  <si>
    <t>During the past 50 years the number of badgers (Meles meles) in Denmark has declined by c. 50%. To assess the genetic consequences of the demographic decline, six DNA-microsatellite loci were used to analyse 139 badger tissue-samples, which were collected in 1995-98 from three zones (1, 2 and 3) in Jutland (Denmark). Results from contemporary samples were compared to data obtained from DNA extracted from teeth belonging to 39 badgers collected from zones 1 and 2 in 1957-66. The microsatellites showed a low to moderate polymorphism, and the within area genetic diversity (H-E) was relatively low (0.308 &lt;= H-E &lt;= 0.441) as compared to other carnivores and mustelids. Genetic differentiation among the three recent sampling zones was significant (F-ST = 0.072, P &lt; 0.0001). The F-ST values between the two recent (F-ST = 0.092, P &lt; 0.0001) and the two historical samples (zones 1 and 2; F-ST = 0.073, P &lt; 0.0001) were significant and similar. The H-E and F-ST of the recent and historical zones were not significantly different (P &gt; 0.05). Despite the drastic recent decline, Danish badgers did not show apparent signs of genetic bottlenecks in both recent and historical samples. The use of molecular techniques which allowed us to work with small amounts of degraded DNA extracted from old teeth, allowed us to exclude the hypothesis that genetic differentiation between zones 1 and 2 was owing to a barrier, which has appeared in the last 50 years. Furthermore, the low genetic variability and therefore the relatively high genetic differentiation shown by Danish badgers were also shown not to be the result of the recent drastic population decline.</t>
  </si>
  <si>
    <t>10.1017/S0952836905006485</t>
  </si>
  <si>
    <t>WOS:000228683700008</t>
  </si>
  <si>
    <t>Genetic differentiation and local temporal stability of population structure in the euphausiid Meganyctiphanes norvegica</t>
  </si>
  <si>
    <t>Meganyctiphanes norvegica (M. Sars 1856), the northern krill, is the largest and most abundant euphausiid species in the northern hemisphere, where it represents a key component of many pelagic communities. Although planktonic, krill could be considered a nektonic organism, as it is capable of active movements. This behaviour may be adaptive, because it allows these organisms to maintain their geographic position, leading to stable population structure, despite being continuously exposed to the heterogeneous oceanic conditions. By means of single-strand conformation polymorphism and DNA sequencing, we analyzed allelic variation of the Subunit 1 of NADH dehydrogenase mtDNA locus in 23 populations of the northern krill Meganyctiphanes norvegica, from 15 locations spanning the distribution range of the species. Analysis of the data indicated that the genetic structure, as revealed by analysis of population samples collected at the same site in consecutive years, was stable during that sampling period. Our results revealed the existence of 4 genetically and geographically distinct gene pools of M. norvegica, 2 occurring in the NE Atlantic ('northern' NE Atlantic and 'southern' NE Atlantic), 1 in the NW Atlantic, and 1 in the Mediterranean (Ligurian) Sea.</t>
  </si>
  <si>
    <t>10.3354/meps289225</t>
  </si>
  <si>
    <t>WOS:000228927900020</t>
  </si>
  <si>
    <t>Ecology of leaf pack macroinvertebrate communities in streams of the Fraser River Basin, British Columbia</t>
  </si>
  <si>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</si>
  <si>
    <t>10.1111/j.1365-2427.2005.01373.x</t>
  </si>
  <si>
    <t>WOS:000229081600014</t>
  </si>
  <si>
    <t>Differences in macrofaunal and seagrass assemblages in seagrass beds with and without seaweed farms</t>
  </si>
  <si>
    <t>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t>
  </si>
  <si>
    <t>10.1016/j.ecss.2004.11.014</t>
  </si>
  <si>
    <t>WOS:000229534400004</t>
  </si>
  <si>
    <t>Assessing and monitoring ecological community health in marine systems</t>
  </si>
  <si>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</si>
  <si>
    <t>10.1890/04-0732</t>
  </si>
  <si>
    <t>WOS:000229723400013</t>
  </si>
  <si>
    <t>Effects of mining wastes on a seagrass ecosystem: metal accumulation and bioavailability, seagrass dynamics and associated community structure</t>
  </si>
  <si>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</si>
  <si>
    <t>10.1016/j.marenvres.2004.11.002</t>
  </si>
  <si>
    <t>WOS:000229896700003</t>
  </si>
  <si>
    <t>Intertidal assemblages associated with natural corallina turf and invasive mussel beds</t>
  </si>
  <si>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</si>
  <si>
    <t>10.1007/s10531-004-0698-8</t>
  </si>
  <si>
    <t>WOS:000229935300011</t>
  </si>
  <si>
    <t>Extensive immigration from compensatory hatchery releases into wild Atlantic salmon population in the Baltic sea: spatio-temporal analysis over 18 years</t>
  </si>
  <si>
    <t>Genetic homogenization has been recognized as a serious threat in an increasing number of species, including many salmonid fishes. We assessed the rate and impact of immigration from the main hatchery stocks of Atlantic salmon in the Gulf of Bothnia into one of the largest wild salmon populations in the Baltic Sea, the River Vindelalven, within a temporal framework of 18 years (from 1985-2003). We provide genetic evidence based on mtDNA and microsatellite markers, using mixed-stock analysis, that a large proportion (66%) of fin-damaged spawners (n=181) caught in the Ume/Vindelalven during 1997-2003 originated from the hatcheries in the Rivers Angermanalven, Lulealven and Ljusnan. The maximum-likelihood estimate of immigration rate from these hatcheries into the wild Vindelalven population was 0.068 (95% CI 0.021-0.128) over the studied time period (1985-2003) and reached up to a quarter (m=0.249, 95% CI 0.106-0.419) of the total population during 1993-2000. This resulted in significant (P&lt;0.01) genetic homogenization trend between the wild Vindelalven population and hatchery stocks of the Angermanalven and Lulealven. Our results demonstrate extensive straying from geographically distant hatchery releases into wild salmon population and emphasize the genetic risks associated with current large-scale stocking practices in the Baltic Sea.</t>
  </si>
  <si>
    <t>10.1038/sj.hdy.6800693</t>
  </si>
  <si>
    <t>WOS:000230110700012</t>
  </si>
  <si>
    <t>Is there a relationship between herbaceous species richness and buffel grass (Cenchrus ciliaris)?</t>
  </si>
  <si>
    <t>Cenchrus ciliaris L. (buffel grass) (Poaceae) is recognized as one of Australia's most serious environmental weeds. This introduced grass has been associated with loss of native species and alteration of fire regimes. However, it is also highly valued as a pasture species for arid and semiarid zones and its weed status is highly controversial. Quantitative studies are needed to determine its ecological effects. The relationship between C. ciliaris and herbaceous species richness was investigated in two studies at a range of scales up to 64 m(2) in open woodlands in the Dalrymple Shire, north-eastern Queensland. In the first study, the herbaceous species composition of sites with and without C. ciliaris were compared. Cenchrus ciliaris-dominated sites had fewer herbaceous species than non-C. ciliaris sites at all scales investigated and this pattern was found for the major plant groups (perennial grasses, legumes and other forbs) present. In the second study, the relationship between varying levels of C. ciliaris biomass and species richness was investigated. The relationship between varying levels of a dominant native grass, Bothriochloa ewartiana (Domin) C.E. Hubb. (Poaceae), and species richness was also determined for comparison with the C. ciliaris biomass-richness relationship. In this study, species richness was negatively associated with increasing C. ciliaris biomass at some scales and it appeared that C. ciliaris had a greater effect on richness than B. ewartiana. The negative association between C. ciliaris and species richness is consistent with the view that invasion by C. ciliaris poses a threat to biodiversity. However, the precise cause of the relationship has yet to be determined.</t>
  </si>
  <si>
    <t>10.1111/j.1442-9993.2005.01465.x</t>
  </si>
  <si>
    <t>WOS:000230600700003</t>
  </si>
  <si>
    <t>Land use, water chemistry, aquatic vegetation, and zooplankton community structure of shallow lakes</t>
  </si>
  <si>
    <t>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t>
  </si>
  <si>
    <t>10.1890/04-1494</t>
  </si>
  <si>
    <t>WOS:000230876900009</t>
  </si>
  <si>
    <t>Effects of forest fragmentation on a dung beetle community in French Guiana</t>
  </si>
  <si>
    <t>Fragmentation is the most common disturbance induced by humans in tropical forests. Some insect groups are particularly suitable for studying the effects of fragmentation on animal communities because they are taxonomically and ecologically homogenous. We investigated the effects of forest fragmentation on a dung beetle species community in the forest archipelago created in 1994-1995 by the dam of Petit Saut, French Guiana. We set and baited an equal number of pitfall traps for dung beetles on three mainland sites and seven island sites. The sites ranged from 1.1 to 38 ha. In 250 trap days, we captured 50 species in 19 genera. Diversity indices were high (2.18-4.06). The lowest diversity was on the small islands and one mainland site. Species richness and abundance were positively related to fragment area but not to distance from mainland or distance to the larger island. The islands had lower species richness and population than mainland forest, but rarefied species richness was relatively invariant across sites. There was a marked change in species composition with decreasing fragment that was not caused by the presence of a common fauna of disturbed area species on islands. Small islands differed from larger islands, which did not differ significantly from mainland sites. Partial correlation analyses suggested that species richness and abundance of dung beetle species were positively related to the number of species of nonflying mammals and the density index of howler monkeys (Alouatta seniculus), two parameters positively related to fragment area.</t>
  </si>
  <si>
    <t>10.1111/j.1523-1739.2005.00087.x</t>
  </si>
  <si>
    <t>WOS:000231118600017</t>
  </si>
  <si>
    <t>A comparison of the short term effects of diesel fuel and lubricant oils on Antarctic benthic microbial communities</t>
  </si>
  <si>
    <t>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t>
  </si>
  <si>
    <t>10.1016/j.jembe.2005.02.005</t>
  </si>
  <si>
    <t>WOS:000231153800005</t>
  </si>
  <si>
    <t>Assessing the response of estuarine intertidal assemblages to urbanised catchment discharge</t>
  </si>
  <si>
    <t>Measurement of intertidal rock assemblages was investigated as a potential biological indicator to provide a quantitative estimate of the impact of urbanised catchment discharge on the estuaries of Sydney, Australia, from 1995 to 1999. Based on the presence and characteristics of adjacent human activities, sampling locations were categorised as: Bush; Urban; Urban with Sewer Overflows; and Industry with Sewer Overflows. In Sydney Harbour, variation in assemblage structure was measured between most impact categories, however differences between impact categories were not consistent for each year. Nevertheless, in years of above average rainfall (1998-1999), reference assemblages adjacent to national parks and distant from urbanisation were different to all other putatively impacted assemblages. Variability within assemblages was least at reference locations in each year and greatest at locations adjacent to stormwater canals and sewer overflows, particularly in 1998-1999. Variation in assemblage structure in Sydney estuaries was most strongly correlated with chlorophyll - a concentrations. Univariate analysis also identified highly significant differences for a number of factors, however, interactions between year, impact categories and location for numerous analyses, confounded the differentiation between impact categories. The results suggest that intertidal rock assemblages in Sydney Harbour and surrounding estuaries appear to be responding to the quality and quantity of discharge from urbanised catchments and, furthermore, that assemblages are more suitable than individual taxa to indicate the difference between Bush and anthropogenically disturbed estuarine locations.</t>
  </si>
  <si>
    <t>10.1007/s10661-005-3545-9</t>
  </si>
  <si>
    <t>WOS:000231162600024</t>
  </si>
  <si>
    <t>Island colonization and founder effects: the invasion of the Guadeloupe islands by ship rats (Rattus rattus)</t>
  </si>
  <si>
    <t>The stepwise colonization of islands within an archipelago is typically punctuated by successive founder effects, with each newly founded population being a subsample of the gene pool of the source island. Thus, the genetic signature of successive bottlenecks should be detected when analysing the genetic structure between islands of an archipelago. To test this prediction, we investigated introduced ship rat populations, Rattus rattus (Linnaeus, 1758), in the Guadeloupe Archipelago. Three different methods, commonly named the heterozygosity excess, the mode-shift indicator and the M ratio method, were used to detect bottlenecks from genetic data obtained with eight microsatellite markers on Guadeloupe and two neighbouring islands, Petite-Terre and Fajou. Moreover, a recent eradication failure on Fajou allowed us to test the accuracy of the methods in an 'experimental-like' situation. The results indicate that rats were introduced on Guadeloupe first, which then became the source population for independent secondary colonization of Fajou and Petite-Terre. Moreover, the heterozygosity excess and the mode-shift indicator only detected bottlenecks for the recent colonization of Petite-Terre and the eradication failure on Fajou. However, bottlenecks were detected for all the populations using the M ratio method. This could be interpreted as the remaining signature of the early introduction of the ship rat in the archipelago.</t>
  </si>
  <si>
    <t>10.1111/j.1365-294X.2005.02604.x</t>
  </si>
  <si>
    <t>WOS:000231223000003</t>
  </si>
  <si>
    <t>Homogenization of fall-run Chinook salmon gene pools in the Central Valley of California, USA</t>
  </si>
  <si>
    <t>We assessed the Population genetic structure and temporal stability of genetic diversity from 1999 to 2001 in collections of fall-run Chinook salmon Oncorhynchus tshawytscha in California's Central Valley. Tests for genotypic differentiation at seven microsatellite loci revealed few significant pairwise comparisons between samples front five hatchery populations and eight naturally spawning populations throughout the Central Valley that were separated by 50-350 km. All collections were genetically homogeneous and failed to cluster with their nearest geographic neighbors. Likewise, evaluation of temporal change in genetic diversity revealed few changes over the 3 years of the study. Our results suggest that fall-run Chinook salmon throughout the Central Valley comprise a genetically homogeneous population that has lower among-population genetic diversity than fall-run Chinook salmon Populations examined elsewhere over similar geographic scales. The lack of genetic distinction and the lack of temporal differences in allele frequencies between hatchery and naturally spawning fish indicate that considerable gene flow occurs between fall-run Chinook salmon throughout the Central Valley. Due to the prevalence of off-site release of hatchery-reared juveniles and the history of interbasin hatchery transfers and stocking within the Central Valley, homogenization of Central Valley fall-run populations is most likely the result of hatchery practices for the past 140 years.</t>
  </si>
  <si>
    <t>10.1577/M04-136.1</t>
  </si>
  <si>
    <t>WOS:000231336800024</t>
  </si>
  <si>
    <t>Diversity and composition of Arctiidae moth ensembles along a successional gradient in the Ecuadorian Andes</t>
  </si>
  <si>
    <t>Andean montane rain forests are among the most species-rich terrestrial habitats. Little is known about their insect communities and how these respond to anthropogenic habitat alteration. We investigated exceptionally speciose ensembles of nocturnal tiger moths (Arctiidae) at 15 anthropogenically disturbed sites, which together depict a gradient of forest recovery and six closed-forest understorey sites in southern Ecuador. At weak light traps we sampled 9211 arctiids, representing 287 species. Arctiid abundance and diversity were highest at advanced succession sites, where secondary scrub or young forest had re-established, followed by early succession sites, and were lowest, but still high, in mature forest understorey. The proportion of rare species showed the reverse pattern. We ordinated moth samples by non-metric multidimensional scaling using the chord-normalized expected species shared index (CNESS) index at various levels of the sample size parameter m. A distinct segregation of arctiid ensembles at succession sites from those in mature forest consistently emerged only at high m-values. Segregation between ensembles of early vs. late succession stages was also clear at high m values only, and was rather weak. Rare species were responsible for much of the faunal difference along the succession gradient, whereas many common arctiid species occurred in all sites. Matrix correlation tests as well as exploration of relationships between ordination axes and environmental variables revealed the degree of habitat openness, and to a lesser extent, elevation, as best predictors of faunal dissimilarity. Faunal differences were not related to geographical distances between sampling sites. Our results suggest that many of the more common tiger moths of Neotropical montane forests have a substantial recolonization potential at the small spatial scale of our study and accordingly occur also in landscape mosaics surrounding nature reserves. These species contribute to the unexpectedly high diversity of arctiid ensembles at disturbed sites, whereas the proportion of rare species declines outside mature forest.</t>
  </si>
  <si>
    <t>10.1111/j.1366-9516.2005.00167.x</t>
  </si>
  <si>
    <t>WOS:000231504400003</t>
  </si>
  <si>
    <t>Population genetics of northern pike (Esox lucius) introduced into Lake Davis, California</t>
  </si>
  <si>
    <t>We used molecular genetic techniques to identify the source population of northern pike (Esox lucius) illegally introduced into Lake Davis, California, and to study the dynamics of genetic change since the introduction. We typed 10 tetranucleotide microsatellite loci from 11 populations and used measures of population differentiation, phylogenetic analysis, and assignment tests to determine the origins of the pre- and post-rotenone-treatment populations. We found that levels of genetic differentiation were low between the pre- and both post-treatment Lake Davis samples and phylogenetic analysis revealed that they were all closely related. Assignment tests classified a high proportion of posttreatment individuals to the original Lake Davis population. Consequently, our results indicate that the fish population that reappeared in 1999 and a subsequent sample in 2002 were descendents or survivors of the initial population. We were unable to assign the pre- or post-treatment individuals consistently to any one population from a panel of potential source populations, indicating that the ultimate source of the Lake Davis population was likely not sampled. Genetic signatures of a recent population bottleneck are evident in the samples from Lake Davis and the effective population size over the sampling period was approximately 7-12 individuals.</t>
  </si>
  <si>
    <t>10.1139/F05-068</t>
  </si>
  <si>
    <t>WOS:000231599300010</t>
  </si>
  <si>
    <t>Multi-scale impacts of crested wheatgrass invasion in mixed-grass prairie</t>
  </si>
  <si>
    <t>Most of North America's northern Great Plains have been cultivated for crop production, leaving remnants of natural mixed-grass prairie fragmented and threatened by alien plant invasions. The region's most widespread alien perennial forage crop, crested wheatgrass (Agropyron cristatum sensu amplo), has invaded native grassland and raised concerns regarding its ecological impact. To evaluate impacts at multiple scales of organization, adjacent invaded and uninvaded mixed-grass prairie were sampled at eight widely separated locations. At the population level, native C-3 mid-grasses and forbs were less abundant in invaded grasslands, while native C-3 and C-4 short-grass abundance was not different. At community and landscape levels, diversity was lower in invaded grasslands largely because of lower forb species richness and cover, and crested wheatgrass dominance of both cover (14% basal cover) and seed-bank (404 seeds m(-2)). At the ecosystem level, both vegetation and litter biomass were greater in invaded grasslands, however, below ground organic matter (roots and litter), soil organic carbon, total nitrogen and phosphorus were not different. Crested wheatgrass invasion of mixed-grass prairie was associated with lower diversity within and among plant communities, and appears to simplify the composition of mixed-grass prairie landscapes. Hypotheses for crested wheatgrass dominance and persistence following invasion are suggested.</t>
  </si>
  <si>
    <t>10.1007/s10530-004-6669-x</t>
  </si>
  <si>
    <t>WOS:000231804500009</t>
  </si>
  <si>
    <t>Impact of the invasive seaweed Sargassum muticum (Phaeophyta) on an intertidal macroalgal assemblage</t>
  </si>
  <si>
    <t>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t>
  </si>
  <si>
    <t>10.1111/j.1529-8817.2005.00120.x</t>
  </si>
  <si>
    <t>WOS:000232050000002</t>
  </si>
  <si>
    <t>Long-term changes in the structure of intertidal assemblages after invasion by Sargassum muticum (Phaeophyta)</t>
  </si>
  <si>
    <t>The macroalgal assemblages at the low intertidal zone were studied at three localities on the north coast of Spain between 1977 and 2002. Two of these localities were invaded at the end of the 1980s by the brown seaweed Sargassum muticum (Yendo) Fensholt (Phaeophyta, Sargassaceae), whereas the third locality remained free of the invader. In 2002, distinct algal assemblages were noticed in invaded and noninvaded localities. No major changes were detected in the noninvaded locality. Apart from the obvious presence of S. muticum, the changes observed in the invaded localities included a significant reduction in abundance of the previous dominant species (the red alga Gelidium spinosum (S. G. Gmelin) P. C. Silva) as well as an increased number of species and diversity, increased primary productivity, and variations in the seasonal abundance patterns of some species. We speculate that the arrival of S. muticum had a negative effect on the dominant native G. spinosum, probably related to competition for light. This resulted in indirect positive effects on other species of the assemblage (such as Bifurcaria bifurcata R. Ross). Other small epiphytic opportunistic species might also have been benefited from the presence of S. muticum, because the invader has a rich associated epiphytic assemblage.</t>
  </si>
  <si>
    <t>10.1111/j.1529-8817.2005.00122.x</t>
  </si>
  <si>
    <t>WOS:000232050000004</t>
  </si>
  <si>
    <t>Impact of insecticide-treated bed nets implementation on the genetic structure of Anopheles arabiensis in an area of irrigated rice fields in the Sahelian region of Cameroon</t>
  </si>
  <si>
    <t>Variation at 12 microsatellite loci was investigated to assess the impact of the implementation of insecticide-treated bed nets (ITNs) on the genetic structure of Anopheles arabiensis in Simatou, a village surrounded by irrigated rice fields in the Sahelian area of Cameroon. The An. arabiensis population of Simatou was sampled twice before ITN implementation, and twice after. Effective population size estimates (N-e) were similar across each time point, except for the period closely following ITN introduction where a nonsignificant reduction was recorded. Hence, we believe that ITN implementation resulted in a temporary bottleneck, rapidly followed by a demographic expansion. The genetic diversity of the population was not significantly affected since different genetic parameters (allele number, observed and expected heterozygosities) remained stable. Low estimates of genetic differentiation between the populations from Simatou and Lagdo, separated by 300 km, suggested extensive gene flow among populations of An. arabiensis in the Sahelian region of Cameroon. A decrease in the susceptibility to deltamethrin was observed following ITN introduction, but no kdr mutation was detected and a metabolic resistance mechanism is probably involved. The temporary effect of ITNs on the genetic structure of An. arabiensis population suggests that, to optimize the success of any control programme of this species based on ITNs, the control area should be very large and the programme should be implemented for a long period of time.</t>
  </si>
  <si>
    <t>10.1111/j.1365-294X.2005.02699.x</t>
  </si>
  <si>
    <t>WOS:000232143800005</t>
  </si>
  <si>
    <t>Species richness and food web structure of soil decomposer community as affected by the size of habitat fragment and habitat corridors</t>
  </si>
  <si>
    <t>While most ecologists agree that the effects of fragmentation on diversity of organisms are predominantly negative and that the scale of fragmentation defines their severity, the role of habitat corridors in mitigating those effects still remains controversial. This ambiguousness rests largely on various difficulties in experimentation, a problem partially solved in the present paper by the use of easily manipulated soil communities. In this 2.5-year-long field experiment, we investigated the responses of soil decomposer organisms (from microbes to mesofaunal predators) to habitat fragment size, in the presence or absence of habitat corridors connecting the fragments. The habitat fragments and corridors, composed of forest humus soil, were embedded in mineral soil representing an uninhabitable (or nonpreferred) matrix for the decomposer organisms. The results demonstrate that soil decomposer organisms do respond to changes in their habitat size: the species richness of microarthropods (mites and collembolans) increased as the size of the fragments increased. Especially collembolan species and predatory mites proved to be sensitive to the restricted habitat size, which is suggested to be a consequence of the large proportion of rare species and small and fluctuating population sizes in these groups. Contrary to our expectations, the presence of corridors had no positive effects on species richness or abundance of any of the studied faunas, possibly because of the low quality of the corridors. On the other hand, the biomass of soil fungi increased in the presence of corridors, which apparently provided a preferred pathway for vegetative dispersal of the fungi. Our results indicate that despite their characteristic underground environment, the response of soil decomposer organisms - in particular that of microarthropods - to habitat size is not unlike to that of the larger organisms in aboveground habitats.</t>
  </si>
  <si>
    <t>10.1111/j.1365-2486.2005.000999.x</t>
  </si>
  <si>
    <t>WOS:000232390200006</t>
  </si>
  <si>
    <t>Temporal patterns of genetic variation across a 9-year-old aerial seed bank of the shrub Banksia hookeriana (Proteaceae)</t>
  </si>
  <si>
    <t>The pattern of accumulation of genetic variation over time in seed banks is poorly understood. We examined the genetic structure of the aerial seed bank of Banksia hookeriana within a single 15-year-old population in fire-prone southwestern Australia, and compared genetic variation between adults and each year of a 9-year-old seed bank using amplified fragment length polymorphism (AFLP). B. hookeriana is well suited to the study of seed bank dynamics due to the canopy storage of its seeds, and because each annual crop can be identified. A total of 304 seeds from nine crop years and five maternal plants were genotyped, along with 113 plants from the adult population. Genetic variation, as assessed by the proportion of polymorphic markers (P-p) and Shannon's index (I), increased slightly within the seed bank over time, while gene diversity (H-j), did not change. P-p, I, and H-j all indicated that genetic variation within the seed bank quickly approached the maximal level detected. Analysis of molecular variance revealed that less than 4% of variation could be accounted for by variation among seeds produced in different years, whereas there was greater differentiation among maternal plants (12.7%), and among individual seeds produced by different maternal plants (83.4%). With increasing population age, offspring generated each year were slightly more outbred, as indicated by an increase in the mean number of nonmaternal markers per offspring. There were no significant differences for H-j or I between adults and the seed bank. Viability of seeds decreased with age, such that the viability of 9-year-old seeds was half that of 2-year-old seeds. These results suggest that variable fire frequencies have only limited potential to influence the amount of genetic variation stored within the seed bank of B. hookeriana.</t>
  </si>
  <si>
    <t>10.1111/j.1365-294X.2005.02726.x</t>
  </si>
  <si>
    <t>WOS:000232774000021</t>
  </si>
  <si>
    <t>Effects of mussel culture husbandry practices on various benthic characteristics</t>
  </si>
  <si>
    <t>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t>
  </si>
  <si>
    <t>10.1016/j.aquaculture.2005.01.030</t>
  </si>
  <si>
    <t>WOS:000233225500016</t>
  </si>
  <si>
    <t>Soil biota can change after exotic plant invasion: does this affect ecosystem processes?</t>
  </si>
  <si>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</si>
  <si>
    <t>10.1890/05-0333</t>
  </si>
  <si>
    <t>WOS:000233419600017</t>
  </si>
  <si>
    <t>Quantifying effects of pollution on biodiversity: a case study of highly diverse molluscan assemblages in the Mediterranean</t>
  </si>
  <si>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</si>
  <si>
    <t>10.1007/s00227-005-0080-8</t>
  </si>
  <si>
    <t>WOS:000233724300008</t>
  </si>
  <si>
    <t>Does restoration of structural heterogeneity in streams enhance fish and macroinvertebrate diversity?</t>
  </si>
  <si>
    <t>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t>
  </si>
  <si>
    <t>10.1890/04-1372</t>
  </si>
  <si>
    <t>WOS:000233858900018</t>
  </si>
  <si>
    <t>Macroinvertebrate diversity in fragmented Alpine streams: implications for freshwater conservation</t>
  </si>
  <si>
    <t>Lakes and reservoirs disrupt the longitudinal connectivity of streams, considerably affecting benthic macroinvertebrate assemblages and diversity. Changes in assemblage composition within fragments can result from habitat alteration and reduced dispersal between fragments. We investigated the effects of habitat fragmentation in 10 Alpine streams, examining 69 taxa of benthic macroinvertebrates from 22 sites in fragmented and freeflowing streams. Total taxon richness (alpha-diversity) ranged from 6 to 27 in individual sites, and total richness was not significantly affected by fragmentation. However, Ephemeroptera and Diptera (excluding Simuliidae) richness was significantly reduced in stream fragments. Beta-diversity indicated a high degree of taxon turnover among sites within streams, but was not significantly different between fragmented and unfragmented streams. Characterizing the biological, physiological, and ecological traits of Ephemeroptera showed that communities in reservoir-fragmented streams had a higher affinity for fine sediments, increased temperatures, and reduced current velocity. Taxon assemblages in fragments were not nested subsets of unfragmented site assemblages. Thus, species turnover and species replacement in fragments is common, suggesting that most taxa are able to freely disperse among fragments. We suggest that habitat alteration was the primary cause of changes in assemblage structure in these streams. Consequently, habitat-based conservation is likely to be successful in maintaining populations of all but the weakest dispersers.</t>
  </si>
  <si>
    <t>10.1007/s00027-005-0787-0</t>
  </si>
  <si>
    <t>WOS:000233867700006</t>
  </si>
  <si>
    <t>Broad-scale effects of marine salmonid aquaculture on macrobenthos and the sediment environment in southeastern Tasmania</t>
  </si>
  <si>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</si>
  <si>
    <t>10.1016/j.jembe.2005.06.003</t>
  </si>
  <si>
    <t>WOS:000233941200006</t>
  </si>
  <si>
    <t>Rapid recovery of dung beetle communities following habitat fragmentation in central Amazonia</t>
  </si>
  <si>
    <t>Few studies have directly assessed how rapidly functionally important insect communities recover following rain forest loss and fragmentation. In 1986, B. Klein compared the dung and carrion beetle assemblages of clearcuts, fragmented, and non-fragmented forests in central Amazonia, reporting drastic short-term changes in community composition. Fifteen years later, we resampled the same sites using identical techniques and found that, with the regrowth of secondary vegetation between forest fragments, the initial differences had largely disappeared. As the secondary vegetation itself supports dung beetle assemblages similar to those of continuous forest, we conclude that, from the perspective of the dung beetles, the experimentally fragmented area had returned to a continuous state within approximately one decade. These results offer some good news for the conservation of tropical ecosystems, since they suggest that conditions favorable for functionally important arthropods may be quickly restored by secondary regrowth. They also suggest that the preservation of forest fragments and secondary vegetation may provide an important complement to the conservation of intact mature forest.</t>
  </si>
  <si>
    <t>10.1890/04-1960</t>
  </si>
  <si>
    <t>WOS:000234066700022</t>
  </si>
  <si>
    <t>Effects of long-term dumping of harbor-dredged material on macrozoobenthos at four disposal sites along the Emilia-Romagna coast (Northern Adriatic Sea, Italy)</t>
  </si>
  <si>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</si>
  <si>
    <t>10.1016/j.marpolbul.2005.06.031</t>
  </si>
  <si>
    <t>WOS:000234236600025</t>
  </si>
  <si>
    <t>Genetic diversity in Australian populations of Puccinia graminis f. sp avenae</t>
  </si>
  <si>
    <t>Sequence-tagged microsatellite profiling was used to develop 110 microsatellites for Puccinia graminis f. sp. tritici (causal agent of wheat stem rust). Low microsatellite polymorphism was exhibited among 10 pathogenically diverse P. graminis f. sp. tritici isolates collected from Australian cereal growing regions over a period of at least 70 years, with two polymorphic loci detected, each revealing two alleles. Limited cross-species amplification was observed for the wheat rust pathogens, P. triticina (leaf rust) and P striiformis f. sp. tritici (stripe rust). However, very high transferability was revealed with P. graminis f. sp. avenae (causal agent of oat stem rust) isolates. A genetic diversity study of 47 P. graminis f. sp. avenae isolates collected from an Australia-wide survey in 1999, and a historical group of 16 isolates collected from Australian cereal growing regions from 1971 to 1996, revealed six polymorphic microsatellite loci with a total of 15 alleles. Genetic analysis revealed the presence of several clonal lineages and subpopulations in the pathogen population, and wide dispersal of identical races and genotypes throughout Australian cereal-growing regions. These findings demonstrated the dynamic population structure of this pathogen in Australia and concur with the patterns of diversity observed in pathogenicity studies.</t>
  </si>
  <si>
    <t>10.1094/PHYTO-96-0096</t>
  </si>
  <si>
    <t>WOS:000234416800007</t>
  </si>
  <si>
    <t>Spatial and temporal genetic differentiation and effective population size of brown trout (Salmo trutta, L.) in small Danish rivers</t>
  </si>
  <si>
    <t>The spatial and temporal genetic structure of brown trout populations from three small tributaries of Lake Hald, Denmark, was studied using analysis of variation at eight microsatellite loci. From two of the populations temporal samples were available, separated by up to 13 years (3.7 generations). Significant genetic differentiation was observed among all samples, however, hierarchical analysis of molecular variance (AMOVA) showed that differentiation among populations accounted for a non-significant amount of the genetic differentiation, whereas differentiation among temporal samples within populations was highly significant (0.0244, P &lt; 0.001). Estimates of effective population size (N-e) using a maximum-likelihood based implementation of the temporal method, yielded small values (N-e ranging from 33 to 79). When a model was applied that allows for migration among populations, N-e estimates were even lower (24-54), and migration rates were suggested to be high (0.13-0.36). All samples displayed a clear signal of a recent bottleneck, probably stemming from a period of unfavourable conditions due to organic pollution in the 1970-1980's. By comparison to other estimates of N-e in brown trout, Lake Hald trout represent a system of small populations linked by extensive gene flow, whereas other populations in larger rivers exhibit much higher N-e values and experience lower levels of immigration. We suggest that management considerations for systems like Lake Hald brown trout should focus both on a regional scale and at the level of individual populations, as the future persistence of populations depends both on maintaining individual populations and ensuring sufficient migration links among these populations.</t>
  </si>
  <si>
    <t>10.1007/s10592-005-9014-8</t>
  </si>
  <si>
    <t>WOS:000234445800012</t>
  </si>
  <si>
    <t>Benthic impacts of intertidal oyster culture, with consideration of taxonomic sufficiency</t>
  </si>
  <si>
    <t>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t>
  </si>
  <si>
    <t>10.1007/s10661-006-0359-3</t>
  </si>
  <si>
    <t>WOS:000234571500009</t>
  </si>
  <si>
    <t>Maintenance of a small anadromous subpopulation of brown trout (Salmo trutta L.) by straying</t>
  </si>
  <si>
    <t>1. Microsatellite and isozyme loci variation were used to study structure and dynamics of a brown trout (Salmo trutta) population heavily affected by damming. The downstream area accessible for spawning was drastically reduced to a stream 1 km long influenced by regulated discharge. 2. Stocking of hatchery-reared juveniles failed and the population is entirely supported by anadromous adults from neighbouring populations. 3. Temporal genetic stability is reported here. Some punctual between-river genetic differences are likely because of different contribution from each neighbouring river through years. 4. High anadromy-mediated gene flow produces a lack of genetic substructure in the region. The role of anadromous brown trout on maintenance of endangered small populations is emphasised.</t>
  </si>
  <si>
    <t>10.1111/j.1365-2427.2005.01486.x</t>
  </si>
  <si>
    <t>WOS:000234667900012</t>
  </si>
  <si>
    <t>Effects of urbanization on California's fish diversity: Differentiation, homogenization and the influence of spatial scale</t>
  </si>
  <si>
    <t>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t>
  </si>
  <si>
    <t>10.1016/j.biocon.2005.04.025</t>
  </si>
  <si>
    <t>WOS:000234695800007</t>
  </si>
  <si>
    <t>Variation in mitochondrial DNA control region haplotypes in populations of the bank vole, Clethrionomys glareolus, living in the Chernobyl environment, Ukraine</t>
  </si>
  <si>
    <t>Bank vole, Clethrionomys glareolus, specimens have been annually sampled from the radioactive Chernobyl, Ukraine, environment and nonradioactive reference sites since 1997. Exposed voles continually exhibit increased mitochondrial DNA haplotype (h) and nucleotide diversity (ND), observed in the hypervariable control region (1997-1999). Increased maternal mutation rates, source-sink relationships, or both are proposed as hypotheses for these differences. Samples from additional years (2000 and 2001) have been incorporated into this temporal study. To evaluate the hypothesis that an increased mutation rate is associated with increased h, DNA sequences were examined in a phylogenetic context for novel substitutions not observed in haplotypes from bank voles from outside Ukraine or in other species of Clethrionomys. Such novel substitutions might result from in situ mutation events and. if largely restricted to samples from radioactive environments, support an increased maternal mutation rate in these areas. The only unique substitution meeting this criterion was found in an uncontaminated reference site. All other substitutions are found in other haplotypes of the bank vole or in other species. Increased maternal mutation rates do not appear to explain trends in h and ND observed in northern Ukraine. Studies examining ecological dynamics will clarify the reasons behind, and significance of, increased levels of h in contaminated areas.</t>
  </si>
  <si>
    <t>10.1897/05-327R.1</t>
  </si>
  <si>
    <t>WOS:000234792000024</t>
  </si>
  <si>
    <t>Long-term stability and effective population size in North Sea and Baltic Sea cod (Gadus morhua)</t>
  </si>
  <si>
    <t>DNA from archived otoliths was used to explore the temporal stability of the genetic composition of two cod populations, the Moray Firth (North Sea) sampled in 1965 and 2002, and the Bornholm Basin (Baltic Sea) sampled in 1928 and 1997. We found no significant changes in the allele frequencies for the Moray Firth population, while subtle but significant genetic changes over time were detected for the Bornholm Basin population. Estimates of the effective population size (N-e) generally exceeded 500 for both populations when employing a number of varieties of the temporal genetic method. However, confidence intervals were very wide and N-e's most likely range in the thousands. There was no apparent loss of genetic variability and no evidence of a genetic bottleneck for either of the populations. Calculations of the expected levels of genetic variability under different scenarios of N-e showed that the number of alleles commonly reported at microsatellite loci in Atlantic cod is best explained by N-e's exceeding thousand. Recent fishery-induced bottlenecks can, however, not be ruled out as an explanation for the apparent discrepancy between high levels of variability and recently reported estimates of N-e &lt;&lt; 1000. From life history traits and estimates of survival rates in the wild, we evaluate the compatibility of the species' biology and extremely low N-e/N ratios. Our data suggest that very small N-e's are not likely to be of general concern for cod populations and, accordingly, most populations do not face any severe threat of losing evolutionary potential due to genetic drift.</t>
  </si>
  <si>
    <t>10.1111/j.1365-294X.2005.02777.x</t>
  </si>
  <si>
    <t>WOS:000235045500003</t>
  </si>
  <si>
    <t>How an introduced seaweed can affect epibiota diversity in different coastal systems</t>
  </si>
  <si>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</si>
  <si>
    <t>10.1007/s00227-005-0128-9</t>
  </si>
  <si>
    <t>WOS:000235058600005</t>
  </si>
  <si>
    <t>Reduced genetic diversity and effective population size in an endangered Atlantic salmon (Salmo salar) population from Maine, USA</t>
  </si>
  <si>
    <t>Atlantic salmon (Salmo salar) populations in Maine, USA, are listed as a Distinct Population Segment under the U.S. Endangered Species Act due to reduced spawning runs and juvenile densities. Whenever possible, optimal conservation strategies for endangered populations should incorporate both present and historical knowledge of genetic variation. We assayed genetic diversity at seven microsatellite loci and at the mitochondrial ND1 gene in an endangered wild population of Atlantic salmon captured from the Dennys River from 1963 to 2001 using DNA's extracted from archival scale and tissue samples. We examined temporal trends of genetic diversity, population structure, and effective population size (Ne). Overall temporal trends of diversity and Ne show significant reductions from 1963 to 2001 raising the possibility that current restoration efforts may be impacted by historical loss of diversity potentially critical to adaptation. Although our results suggest genetic stability in this population from 1963 to 1981, significant differentiation was observed for both the 1995 and 2001 samples compared with all other temporal samples. The presence of an ND1 mtDNA haplotype in this population, historically observed only in European and Newfoundland stocks, may represent previously unrecognized local wild diversity or, alternatively, may represent introgression from non-native fish.</t>
  </si>
  <si>
    <t>10.1007/s10592-005-8669-5</t>
  </si>
  <si>
    <t>WOS:000235571700008</t>
  </si>
  <si>
    <t>Random and systematic land-cover transitions in northern Ghana</t>
  </si>
  <si>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</si>
  <si>
    <t>10.1016/j.agee.2005.10.019</t>
  </si>
  <si>
    <t>WOS:000235765100023</t>
  </si>
  <si>
    <t>Temporal changes in the polychaete infaunal community surrounding a Hawaiian mariculture operation</t>
  </si>
  <si>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</si>
  <si>
    <t>10.3354/meps307175</t>
  </si>
  <si>
    <t>WOS:000235775700014</t>
  </si>
  <si>
    <t>Population genetic structure of the Japanese eel Anguilla japonica in the northwest Pacific Ocean:: evidence of non-panmictic populations</t>
  </si>
  <si>
    <t>The catadromous Japanese eel has an unusual life history. Controversy remains, however, as to whether its population structure is characterized by panmixia or genetic differentiation. Migration patterns are considered an important factor in determining a species' population structure. Eight polymorphic microsatellite loci were used as genetic markers through which we were able to reject the null hypothesis of panmixia. Slight genetic differentiation between these populations was determined by Wright's and Slatkin's fixation indices, F-ST and R-ST statistics adjusted using Bonferroni's correction. Although isolation-by-distance is often observed in marine species, the present result is thought to follow the member-vagrant migratory hypothesis. The metapopulation model fits the elver recruitment strategy according to results of the high probability of assignment test. The UPGMA tree showed the Japanese eel populations as being divided into 2 groups: a low-latitude group (Shantou in South China, and Tanshui and Fangliao in Taiwan) and a high-latitude group (Mikawa Bay in Japan, Daecheon-myon in Korea, and the Yalu River and Hangzhou in Northeast China). Temporal genetic variations indicate that most progeny return to similar habitats where their ancestors formerly resided. There was a high correlation (AMOVA; p &lt; 0.05) when the Japanese eel was divided into the 2 management units (high- and low-latitude groups), These units will be useful when applied to fisheries conservation and management in the northwestern Pacific Ocean.</t>
  </si>
  <si>
    <t>10.3354/meps308221</t>
  </si>
  <si>
    <t>WOS:000236141500018</t>
  </si>
  <si>
    <t>Richness and species composition of arboreal arthropods affected by nutrients and predators: a press experiment</t>
  </si>
  <si>
    <t>A longstanding goal for ecologists is to understand the processes that maintain biological diversity in communities, yet few studies have investigated the combined effects of predators and resources on biodiversity in natural ecosystems. We fertilized nutrient limited plots and excluded insectivorous birds in a randomized block design, and examined the impacts on arthropods associated with the dominant tree in the Hawaiian Islands, Metrosideros polymorpha (Myrtaceae). After 33 months, the species load (per foliage mass) of herbivores and carnivores increased with fertilization, but rarified richness (standardized to abundance) did not change. Fertilization depressed species richness of arboreal detritivores, and carnivore richness dropped in caged, unfertilized plots, both because of the increased dominance of common, introduced species with treatments. Herbivore species abundance distributions were more equitable than other trophic levels following treatments, and fertilization added specialized native species without changing relativized species richness. Overall, bird removal and nutrient addition treatments on arthropod richness acted largely independently, but with countervailing influences that obscured distinct top-down and bottom-up effects on different trophic levels. This study demonstrates that species composition, biological invasions, and the individuality of species traits may complicate efforts to predict the interactive effects of resources and predation on species diversity in food webs.</t>
  </si>
  <si>
    <t>10.1007/s00442-005-0337-4</t>
  </si>
  <si>
    <t>WOS:000236207900016</t>
  </si>
  <si>
    <t>Response of meiofauna and nematode communities to increased levels of contaminants in a laboratory microcosm experiment</t>
  </si>
  <si>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</si>
  <si>
    <t>10.1016/j.ecoenv.2005.01.010</t>
  </si>
  <si>
    <t>WOS:000236382600013</t>
  </si>
  <si>
    <t>Strengthened insectivory in a temperate fragmented forest</t>
  </si>
  <si>
    <t>Habitat fragmentation modifies ecological patterns and processes through changes in species richness and abundance. In the coastal Maulino forest, central Chile, both species richness and abundance of insectivorous birds increases in forest fragments compared to continuous forest. Through a field experiment, we examined larvae predation in fragmented forests. Higher richness and abundance of birds foraging at forest fragments translated into more insect larvae preyed upon in forest fragments than in continuous forest. The assessed level of insectivory in forest fragments agrees with lower herbivory levels in forest fragments. This pattern strongly suggests the strengthening of food interactions web in forest fragments of coastal Maulino forest.</t>
  </si>
  <si>
    <t>10.1007/s00442-005-0338-3</t>
  </si>
  <si>
    <t>WOS:000236968700015</t>
  </si>
  <si>
    <t>Small-scale experimental habitat fragmentation reduces colonization rates in species-rich grasslands</t>
  </si>
  <si>
    <t>Habitat fragmentation is one of the most important threats to biodiversity. Decreasing patch size may lead to a reduction in the size of populations and to an increased extinction risk of remnant populations. Furthermore, colonization rates may be reduced in isolated patches. To investigate the effects of isolation and patch size on extinction and colonization rates of plant species, calcareous grasslands at three sites in the Swiss Jura Mountains were experimentally fragmented into patches of 0.25, 2.25, and 20.25 m(2) by frequent mowing of the surrounding area from 1993 to 1999. Species richness in the fragment plots and adjacent control plots of the same sizes was recorded during these 7 years. In agreement with the theory of island biogeography, colonization rate was reduced by 30% in fragments versus non-isolated controls, and extinction increased in small versus large plots. Habitat specialists, in contrast to generalists, were less likely to invade fragments. In the last 4 years of the experiment, extinction rates tended to be higher in fragment than in control plots at two of the three sites. Despite reduced colonization rates and a tendency of increased extinction rates in fragments, fragmented plots had only marginally fewer species than control plots after 7 years. Hence, rates were a more sensitive measure for community change than changes in species richness per se. From a conservation point of view, the detected reduced colonization rates are particularly problematic in small fragments, which are more likely to suffer from high extinction rates in the long run.</t>
  </si>
  <si>
    <t>10.1007/s00442-005-0341-8</t>
  </si>
  <si>
    <t>WOS:000236968700016</t>
  </si>
  <si>
    <t>Underwater but not out of sight: genetic monitoring of effective population size in the endangered North Sea houting (Coregonus oxyrhynchus)</t>
  </si>
  <si>
    <t>We analysed 12 microsatellite DNA loci in temporal samples (1980, 1994, and 2002) from the only remaining indigenous population of the North Sea houting (Coregonus oxyrhynchus) in the Vidaa River, Denmark. Using a novel temporal method, we estimated effective population size (N-e) to be 577.4 (90% highest posterior density limits 297.2-3719.8). The same method was used to estimate Ne at the beginning and end of the sampled time interval, and the results were indicative of a relatively stable population. In contrast, tests for recent bottlenecks suggested population declines in the 1980 and 1994 samples, possibly reflecting declines prior to 1980 in the total North Sea houting population. To evaluate the usefulness of the two methods for routine genetic monitoring, we simulated population declines corresponding to reproduction by only 20 or 50 parents in 2002. For both simulated samples, the temporal method provided evidence for a population decline, whereas the test for bottlenecks did not suggest population decline. We conclude that the North Sea houting in the Vidaa River is not immediately threatened by inbreeding or loss of evolutionary potential, and the applied temporal method appears very useful for genetic monitoring of effective population size in endangered, isolated fish populations.</t>
  </si>
  <si>
    <t>10.1139/f05-260</t>
  </si>
  <si>
    <t>WOS:000237201300006</t>
  </si>
  <si>
    <t>Are soil mite assemblages structured by the identity of native and invasive alien grasses?</t>
  </si>
  <si>
    <t>Associations between plants and animals in aboveground communities are often predictable and specific. This has been exploited for the purposes of estimating the diversity of animal species based on the diversity of plant species. The introduction of invasive alien plants into an ecosystem can result in dramatic changes in both the native plant and animal assemblages. Few data exist at the species level to determine whether belowground animal assemblages share the same degree of association to plants. The hypotheses that soil mites (Acari) form assemblages specifically associated with different native grass species in an unmanipulated natural ecosystem and that invasive alien grasses will impact soil mite assemblage composition in this setting were tested. Soil mites sampled beneath five native and two invasive alien species of grasses at the Konza Prairie Biological Station, Kansas, USA, were similarly abundant, species rich, diverse, and taxonomically distinct. No mite species had affinities for a specific grass species. There was no evidence from analysis of similarity, canonical correspondence analysis, or a nonparametric assemblage analysis that the assemblage composition of soil mites was specific to grass species. Results suggest that soil mite assemblages were more related to characteristics of the plant assemblage as a whole or prevailing soil conditions. The most recent invasive alien grass did not support a successionally younger mite fauna, based on the ratio of mesostigmatid to oribatid mites, and neither of the two invasive grasses influenced mite assemblage structure, possibly because they had not yet substantially altered the soil environment. Our results suggest that extrapolations of soil mite diversity based on assumptions of plant specificity would be invalid.</t>
  </si>
  <si>
    <t>10.1890/0012-9658(2006)87[1314:ASMASB]2.0.CO;2</t>
  </si>
  <si>
    <t>WOS:000237552400026</t>
  </si>
  <si>
    <t>Abundance of the introduced seastar, Asterias amurensis, and spatial variability in soft sediment assemblages in SE Tasmania:: Clear correlations but complex interpretation</t>
  </si>
  <si>
    <t>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t>
  </si>
  <si>
    <t>10.1016/j.ecss.2005.11.038</t>
  </si>
  <si>
    <t>WOS:000237617000015</t>
  </si>
  <si>
    <t>Changes in bird communities following conversion of lowland forest to oil palm and rubber plantations in southern Thailand</t>
  </si>
  <si>
    <t>This paper describes changes in bird communities following the conversion of lowland forest to commercial oil palm and rubber plantations. Conversion of forest to plantations resulted in a reduction in species richness of at least 60%, with insectivores and frugivores suffering greater losses than more omnivorous species. Of the 128 species recorded across all habitats, 84% were recorded in forest, and 60% were recorded only in that habitat. Of the 16 Globally Threatened or Near-Threatened species recorded in the study, 15 were recorded only in forest. Species occurring in plantations were significantly more widespread in Thailand than species recorded only in forests and had a tendency towards smaller body size. Species richness in plantations was unaffected by plantation age or distance from nearest forest edge, but was significantly greater where undergrowth was allowed to regenerate beneath the crop trees. Bird communities in oil palm and rubber plantations were extremely similar, and there was a strong positive correlation across species in their relative abundance in each plantation type. The results indicate that a high proportion of species formerly present in the region are unable to adapt to conversion of forest to oil palm and rubber plantations, resulting in large losses of bird species and family richness and the replacement of species with restricted ranges and high conservation status by those with extensive ranges and low conservation status. Initiatives that reduce pressure to clear new land for plantations, for example by increasing productivity in existing plantations and improving protected area networks, are likely to be more effective in conserving threatened forest birds than initiatives to improve conditions within plantations, though both should be encouraged.</t>
  </si>
  <si>
    <t>10.1017/S0959270906000062</t>
  </si>
  <si>
    <t>WOS:000237789400005</t>
  </si>
  <si>
    <t>Fish assemblages in habitats dominated by Caulerpa taxifolia and native seagrasses in south-eastern Australia</t>
  </si>
  <si>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</si>
  <si>
    <t>10.3354/meps312223</t>
  </si>
  <si>
    <t>WOS:000237918300019</t>
  </si>
  <si>
    <t>Community ecotoxicology:: Invertebrate emergence from Fire Trol 934 contaminated vernal pool and salt marsh sediments under contrasting photoperiod and temperature regimes</t>
  </si>
  <si>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</si>
  <si>
    <t>10.1016/j.aquatox.2006.02.030</t>
  </si>
  <si>
    <t>WOS:000238110100007</t>
  </si>
  <si>
    <t>Evidence for isolation by time in the European eel (Anguilla anguilla L.)</t>
  </si>
  <si>
    <t>Life history traits of highly vagile marine species, such as adult reproductive success and larval dispersal, are strongly determined by oceanographic and climatic forces. Nevertheless, marine organisms may show restricted dispersal in time and space. Patterns of isolation by distance (IBD) have been repeatedly observed in marine species. If spawning time is a function of geographical location, temporal and spatial isolation, can easily be confounded or misinterpreted. In this study, we aimed at discriminating between various forces shaping the genetic composition of recruiting juveniles of the European eel (Anguilla anguilla L.). By controlling for geographical variation, we assessed temporal variation and tested for possible isolation by time (IBT) between recruitment waves within and between years. Using 12 polymorphic allozyme and six variable microsatellite loci, we show that genetic differentiation was low (F-ST = 0.01-0.002) and significant between temporal samples. Regression analysis between genetic and temporal distance, was consistent with a subtle interannual pattern of IBT. Our data suggest that the population dynamics of the European eel may be governed by a double pattern of temporal variance in genetic composition: (i) a broad-scale IBT of spawning cohorts, possibly as a consequence of the large migration loop in anguillids and strong variance in annual adult reproductive contribution; and (ii) a smaller-scale variance in reproductive success (genetic patchiness) within cohorts among seasonally separated spawning groups, most likely originating from fluctuating oceanic and climatic forces. The consistency of both mechanisms remains to be verified with fine-scale analyses of both spawning/migrating aged adults and their offspring to confirm the stochastic/deterministic nature of the IBT pattern in eel.</t>
  </si>
  <si>
    <t>10.1111/j.1365-294X.2006.02925.x</t>
  </si>
  <si>
    <t>WOS:000238143900007</t>
  </si>
  <si>
    <t>Facilitations between the introduced nitrogen-fixing tree, Robinia pseudoacacia, and nonnative plant species in the glacial outwash upland ecosystem of cape cod, MA</t>
  </si>
  <si>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</si>
  <si>
    <t>10.1007/s10531-004-6906-8</t>
  </si>
  <si>
    <t>WOS:000238362200008</t>
  </si>
  <si>
    <t>Persistence of biological invasion effects:: Recovery of macroalgal assemblages after removal of Caulerpa racemosa var. cylindracea</t>
  </si>
  <si>
    <t>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t>
  </si>
  <si>
    <t>10.1016/j.ecss.2006.02.011</t>
  </si>
  <si>
    <t>WOS:000238871700009</t>
  </si>
  <si>
    <t>Long-term effects of forest fragmentation on Amazonian ant communities</t>
  </si>
  <si>
    <t>Aim: To analyse the effects of forest fragmentation on ant communities in an Amazonian landscape that has been fragmented for over a century. Location: The region surrounding the village of Alter do Chao in the Brazilian Amazonian state of Para (2 degrees 30' S, 54 degrees 57' W). Methods: Collection of ants and measurements of tree density were performed along transects established in eight sites in continuous forest and in 24 forest fragments surrounded by savanna vegetation. Data on size, perimeter, and degree of isolation (distance to continuous forest and distance to nearest area of forest &gt; 5 ha) of each fragment were obtained from a georeferenced Landsat image of the study area. Results: There were significant differences in species richness and composition between fragments and continuous forest, and these differences were not related to intersite variation in vegetation structure (tree density). Fragments supported fewer ant species per plot, and these species tended to represent a nested subset of those found in continuous forests. Fragments had significantly fewer rare species and fewer ant genera. However, fragments and continuous forest had similar numbers of species that also occur in the savanna matrix (i.e. that are not forest specialists). Multiple linear regression analyses indicated that species richness and composition in the fragments are significantly affected by fragment area, but not by fragment shape and degree of isolation. More species were found in larger fragments. Main conclusions: Forest fragmentation influences the organization of ant communities in Amazonian savanna/forest landscapes. Forest fragments harboured, on average, 85% of the species found in continuous forest. That these fragments, despite their long history of isolation, support a relatively large complement of the species found in continuous forest is surprising, especially given that in some recently fragmented landscapes the proportion of species surviving in the fragments is lower. Differences in inter-fragment distance and type of matrix between Alter do Chao and these other landscapes may be involved. The fact that fragments at Alter do Chao are surrounded by a natural (rather than an anthropogenic) habitat, and that most of them are less than 300 m from another forest area, may have helped to ameliorate the adverse effects of forest fragmentation.</t>
  </si>
  <si>
    <t>10.1111/j.1365-2699.2006.01516.x</t>
  </si>
  <si>
    <t>WOS:000238887900004</t>
  </si>
  <si>
    <t>Invasion of Argentine ants (Hymenoptera: Formicidae) in South Australia:: Impacts on community composition and abundance of invertebrates in urban parklands</t>
  </si>
  <si>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</si>
  <si>
    <t>10.1111/j.1442-9993.2006.01592.x</t>
  </si>
  <si>
    <t>WOS:000239112400004</t>
  </si>
  <si>
    <t>Experimental habitat fragmentation and invertebrate grazing in a herbaceous grassland species</t>
  </si>
  <si>
    <t>A field experiment was conducted to examine the effects of habitat fragmentation on herbivore damage to individually tagged leaves of Betonica officinalis rosettes. Fragments of different size and corresponding control plots were established at three study sites in nutrient-poor calcareous grasslands in the northern Swiss Jura mountains. Leaf damage was recorded three times over the growing season (late spring, summer and early autumn). Five years after the initiation of the fragmentation, the density of rosettes did not differ between fragments and control plots. The number of leaves per rosette was higher in fragments than in control plots in summer but not in late spring and early autumn. The extent of leaf damage, expressed as proportion of leaf area removed by invertebrate herbivores, increased over the vegetation period. Leaf damage was greater in fragments than in control plots at two study sites, whereas the opposite (less strongly expressed) was found at the third site. Number of species and density (individuals per m(2)) of potential herbivores (gastropods and grasshoppers) were recorded in all. fragments and control plots. Effects of fragmentation on the number of species and densities depended on plot size and differed between gastropods and grasshoppers. Leaf damage in fragments increased with increasing density of gastropods if the third site, which had lowest leaf damage, was excluded. Such a positive relationship was neither found in control plots nor for grasshopper densities. Thus, movement of gastropods in fragments was probably restricted which resulted in increased feeding pressure at least in two sites. However, even if our fragmentation experiment was well designed and replicated, the interpretation of these experimental results remains difficutt because there was large site-to-site and seasonal variation. (c) 2005 Gesellschaft fur bkologie. Published by Elsevier GmbH. All rights reserved.</t>
  </si>
  <si>
    <t>10.1016/j.baae.2005.09.001</t>
  </si>
  <si>
    <t>WOS:000239199700003</t>
  </si>
  <si>
    <t>Micro-arthropod communities under human disturbance: is taxonomic aggregation a valuable tool for detecting multivariate change? Evidence from Mediterranean soil oribatid coenoses</t>
  </si>
  <si>
    <t>Animal communities are sensitive to environmental disturbance, and several multivariate methods have recently been developed to detect changes in community structure. The complex taxonomy of soil invertebrates constrains the use of the community level in monitoring environmental changes, since species identification requires expertise and time. However, recent literature data on marine communities indicate that little multivariate information is lost in the taxonomic aggregation of species data to high rank taxa. In the present paper, this hypothesis was tested on two oribatid mite (oribatida, Acari) assemblages under two different kinds of disturbance: metal pollution and fires. Results indicate that data sets built at the genus and family systematic rank can detect the effects of disturbance with little loss of information. This is an encouraging result in view of the use of the community level as a preliminary tool for describing patterns of human-disturbed soil ecosystems. (c) 2006 Elsevier SAS. All rights reserved.</t>
  </si>
  <si>
    <t>10.1016/j.actao.2006.01.003</t>
  </si>
  <si>
    <t>WOS:000239342400006</t>
  </si>
  <si>
    <t>The effects of sewage-treatment-works effluent on epilithic bacterial and algal communities of three streams in Northern England</t>
  </si>
  <si>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</si>
  <si>
    <t>10.1007/s10750-006-0013-7</t>
  </si>
  <si>
    <t>WOS:000239393800003</t>
  </si>
  <si>
    <t>The impact of European occupation on terrestrial and aquatic ecosystem dynamics in an Australian tropical rain forest</t>
  </si>
  <si>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</si>
  <si>
    <t>10.1111/j.1365-2745.2006.01140.x</t>
  </si>
  <si>
    <t>WOS:000239510400011</t>
  </si>
  <si>
    <t>Fish assemblage responses to water withdrawals and water supply reservoirs in piedmont streams</t>
  </si>
  <si>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</si>
  <si>
    <t>10.1007/s00267-005-0169-3</t>
  </si>
  <si>
    <t>WOS:000239657000009</t>
  </si>
  <si>
    <t>Variation of lichen communities with landuse in Aberdeenshire, UK</t>
  </si>
  <si>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</si>
  <si>
    <t>10.1017/S0024282906006190</t>
  </si>
  <si>
    <t>WOS:000239825900003</t>
  </si>
  <si>
    <t>Water quality and macroinvertebrate community response following pesticide applications in a banana plantation, Limon, Costa Rica</t>
  </si>
  <si>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</si>
  <si>
    <t>10.1016/j.scitotenv.2006.02.052</t>
  </si>
  <si>
    <t>WOS:000240179700037</t>
  </si>
  <si>
    <t>Small-scale genetic structure and variation in steelhead of the Grande Ronde River, Oregon, USA</t>
  </si>
  <si>
    <t>Patterns of genetic variation in summer-run steelhead Oncorhynchus mykiss from the Grande Ronde River, Oregon, were evaluated with 20 microsatellite loci to determine the level of fine-scale genetic structure and influences from hatchery-reared stocks. Included were temporal collections of three wild populations (Lookingglass Creek, Catherine Creek, and the upper Grande Ronde River) and one hatchery population (Wallowa Hatchery). Average gene diversity was moderate to high in all collections (range= 0.794-0.815). Genetic variance among sample locations was greater than that of temporal collections within sites, as pairwise exact tests within populations were not significant except for Lookingglass Creek (P = 0.00005). Structure among the four populations was evident from pairwise tests' which yielded 23 significant results from 28 comparisons (adjusted critical value = 0.0018), but Catherine Creek collections were not significantly different from Wallowa Hatchery collections. None of the eight collections had a significant probability of differing from mutation drift equilibrium (e.g., recent bottleneck) under the two-phased mutation model (P = 0.060-0.985) when analyzed with BOTTLENECK software. Additionally, the ratios of allele number to allele range (M values) for the eight collections (0.773-0.819) were not within the range that suggests a recent decrease in effective population size (M &lt; 0.68 implies a probable bottleneck). Results from this study suggest the existence of gene flow between steelhead from Catherine Creek and Wallowa Hatchery, but no evidence for low diversity or recent bottleneck events was detected in any of the four populations. This study provides several pieces of evidence to suggest that steelhead in the Grande Ronde River should be a conservation priority as a source of genetic diversity for the Snake River basin.</t>
  </si>
  <si>
    <t>10.1577/T05-070.1</t>
  </si>
  <si>
    <t>WOS:000240325200012</t>
  </si>
  <si>
    <t>What is the impact of Impatiens glandulifera on species diversity of invaded riparian vegetation?</t>
  </si>
  <si>
    <t>Effect of invasion by Impatiens glandulifera (Balsaminaceae) on the community characteristics and species composition of invaded riparian communities was studied at six rivers in the Czech Republic. Two approaches were used: space for time substitution approach, i.e., comparing invaded and uninvaded sites under the same habitat conditions, and removal of the invader from experimental plots. Differences in the number of species, Shannon diversity index H' and evennes J were compared between invaded and uninvaded plots. Uninvaded plots of the comparative study harboured by 0.23 more species per 16 m(2), and had higher value of H' and J, calculated with species covers as importance values; however only the difference in J was marginally significant (p = 0.04). Other effects were not significant, indicating that once I. glandulifera is removed, communities recover without any consequences for species diversity. Multivariate analysis did not reveal any effect of invasion on the species composition in terms of species presence but their cover hierarchies changed after the invasion, as I. glandulifera became dominant at the expense of tall native nitrophilous dominants. It is concluded that I. glandulifera exerts negligible effect on the characteristics of invaded riparian communities, hence it does not represent threat to the plant diversity of invaded areas. This makes it very different from other Central European invasive aliens of a similar performance. (c) 2006 Elsevier Ltd. All rights reserved.</t>
  </si>
  <si>
    <t>10.1016/j.biocon.2006.03.025</t>
  </si>
  <si>
    <t>WOS:000240480900001</t>
  </si>
  <si>
    <t>Variation in the response of crustacean zooplankton species richness and composition to the invasive predator Bythotrephes longimanus</t>
  </si>
  <si>
    <t>The predacious invertebrate Bythotrephes longimanus has now invaded &gt; 90 freshwater lakes in North America. There is some evidence that B. longimanus has a negative effect on summer zooplankton species richness; however, no study has examined the effect of B. longimanus throughout the ice-free season in more than one lake. We visited 10 invaded and 4 reference lakes every 2 weeks from May to September, collecting B. longimanus, crustacean zooplankton, and water chemistry samples. Composite samples were pooled across the study season for each lake. Bythotrephes longimanus significantly reduced cladoceran species richness, diversity, and abundance, and the total zooplankton community also exhibited decreased richness, diversity, and abundance. Seasonal sampling was better than synoptic surveys at detecting changes in abundance, but richness estimates were similar. As B. longimanus continues to spread across lake landscapes, we expect it will have profound impacts on local and regional richness and species distribution patterns.</t>
  </si>
  <si>
    <t>10.1139/F06-105</t>
  </si>
  <si>
    <t>WOS:000241162300019</t>
  </si>
  <si>
    <t>Effects of livestock grazing on aboveground insect communities in semi-arid grasslands of southeastern Arizona</t>
  </si>
  <si>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</si>
  <si>
    <t>10.1007/s10531-005-2786-9</t>
  </si>
  <si>
    <t>WOS:000241168900012</t>
  </si>
  <si>
    <t>Bioassessment in a harsh environment: A comparison of macroinvertebrate assemblages at reference and assessment sites in an Australian inland river system</t>
  </si>
  <si>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</si>
  <si>
    <t>10.1007/s10661-005-9027-2</t>
  </si>
  <si>
    <t>WOS:000241170900018</t>
  </si>
  <si>
    <t>Colonisation and modification of soft substratum habitats by the invasive macroalga Sargassum muticum</t>
  </si>
  <si>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</si>
  <si>
    <t>10.3354/meps321087</t>
  </si>
  <si>
    <t>WOS:000241282700009</t>
  </si>
  <si>
    <t>Response of the post-fire bryophyte community to salvage logging in boreal mixedwood forests of northeastern Alberta, Canada</t>
  </si>
  <si>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</si>
  <si>
    <t>10.1016/j.foreco.2006.07.013</t>
  </si>
  <si>
    <t>WOS:000241292000030</t>
  </si>
  <si>
    <t>Immigration and zooplankton community responses to nutrient enrichment: a mesocosm experiment</t>
  </si>
  <si>
    <t>Dispersal can be an important determinant of local diversity and species composition, but evidence for effects of the regional species pool on local zooplankton communities has been mixed. Theory and experiments suggest that immigration will be necessary for maintenance of community diversity and functioning during periods of environmental change; conversely, fluctuating resource levels may increase the likelihood of invasion success. We conducted a factorial-design mesocosm experiment to test the effects of a nutrient pulse and weekly immigration from other lakes on the diversity and composition of a pelagic zooplankton community. Contrary to expectations, there were no interactive effects of nutrient enrichment and immigration on any measure of diversity, and the initial shift in community composition in response to the nutrient pulse did not depend on the introduction of new species or genotypes from more productive lakes. Although immigration increased species richness in enclosures, success of most colonising species was poor. However, the dispersal treatment appears to have enabled a stronger predator response to increased herbivore numbers in nutrient-pulsed enclosures, leading to an eventual decline in the abundance of some herbivorous species in response to immigration. We conclude that community invasibility was not influenced by productivity, and that dispersal limitation did not strongly constrain the response of the zooplankton community to our applied disturbance. This indicates an unexpected resistance to change in species composition and diversity in spite of disturbance, and suggests that, in our study system, changes in the abundance of resident species are more important than introductions of new species in the community response to short-term environmental change.</t>
  </si>
  <si>
    <t>10.1007/s00442-006-0490-4</t>
  </si>
  <si>
    <t>WOS:000241552400013</t>
  </si>
  <si>
    <t>A comparison of species assemblages between drainage systems with and without floodgates: implications for coastal floodplain management</t>
  </si>
  <si>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</si>
  <si>
    <t>10.1139/F06-134</t>
  </si>
  <si>
    <t>WOS:000241965000002</t>
  </si>
  <si>
    <t>Fish assemblages and biotic integrity of a highly modified floodplain river, the Upper Mississippi, and a large, relatively unimpacted tributary, the Lower Wisconsin</t>
  </si>
  <si>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</si>
  <si>
    <t>10.1002/rra.946</t>
  </si>
  <si>
    <t>WOS:000242011300006</t>
  </si>
  <si>
    <t>Demographic history and population structure of the Antarctic silverfish Pleuragramma antarcticum</t>
  </si>
  <si>
    <t>The Antarctic silverfish Pleuragramma antarcticum (Nototheniidae) is the most abundant pelagic fish inhabiting Antarctic waters. In this study we investigated, through partial sequencing of the D-loop mitochondrial region, samples collected at four different locations in the Southern Ocean, three in the Atlantic and one in the Pacific sector. Sampling was replicated in two different years at two locations. Sequence analysis showed a remarkably high polymorphism, with 110 haplotypes over the 256 investigated specimens, and about 80% of haplotypes occurring only once. Neutrality tests indicated that all samples were not at mutation-drift equilibrium, and suggested a past population expansion. This result was supported by the presence of a star-like topology in the D-loop gene tree, and by results of mismatch distribution. The start of the expansion was dated, using a specifically calibrated clock, between 111 and 126 thousand years ago. This value corresponds to the start of the cooling period that led to the last glaciation peak, and is in close agreement with a recently suggested range expansion for pelagic Antarctic ecosystems. Analysis of molecular variation indicated a small, though highly significant, value of differentiation between samples. This result, together with the lack of association between clades and geographical locations, indicates a weak population structure for the species.</t>
  </si>
  <si>
    <t>10.1111/j.1365-294X.2006.03105.x</t>
  </si>
  <si>
    <t>WOS:000242042800015</t>
  </si>
  <si>
    <t>From forest to farmland:: Species richness patterns of trees and understorey plants along a gradient of forest conversion in southwestern Cameroon</t>
  </si>
  <si>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</si>
  <si>
    <t>10.1007/s10531-005-3368-6</t>
  </si>
  <si>
    <t>WOS:000242418500005</t>
  </si>
  <si>
    <t>Benthic recovery during open sea fish farming abatement in Western Mediterranean, Spain</t>
  </si>
  <si>
    <t>Fish farming is an important source of organic matter input in coastal waters, which contributes to eutrophication. In this study, the macrofaunal benthic community was studied after the cessation of fish farming with the aim of improving our understanding of benthic succession and sediment recovery in a marine ecosystem. The results showed that the best environmental variables for assessing organic pollution were acid-volatile sulfides (AVS) and redox potential. Succession and recovery was best explained by macrofaunal analysis based on community composition as well as on trophic groups. The patterns of recovery differed between each impacted station. For this reason, succession could not be accurately predicted due to the unique environmental parameters and the singular community functional structure of each location. The Azti Marine Benthic Index (AMBI) proved its validity for assessing pollution but did not distinguish between successional stages. (c) 2006 Elsevier Ltd. All rights reserved.</t>
  </si>
  <si>
    <t>10.1016/j.marenvres.2006.05.006</t>
  </si>
  <si>
    <t>WOS:000242784500004</t>
  </si>
  <si>
    <t>Flora and lepidoptera fauna adversely affected by invasive Lupinus polyphyllus along road verges</t>
  </si>
  <si>
    <t>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t>
  </si>
  <si>
    <t>10.1016/j.biocon.2006.06.015</t>
  </si>
  <si>
    <t>WOS:000242797500011</t>
  </si>
  <si>
    <t>Interactive effects of nitrogen deposition, fire and grazing on diversity and composition of low-alpine prostrate Calluna vulgaris heathland</t>
  </si>
  <si>
    <t>1. Low-alpine heathlands world-wide have high biodiversity value but are increasingly impacted by the effects of nitrogen deposition as well as fire and grazing. We conducted a 5-year fertilization experiment to examine the interactive effects of these three factors on vegetation diversity and species composition. 2. Factorial combinations of nitrogen addition (0, 10, 20 and 50 kg N ha(-1) year(-1)), burning (burned once or not burned) and grazing (annual clipping, 0% or 12% of current year shoots removed) were applied to internationally important prostrate Calluna-Cladonia heathland in the Cairngorm Mountains, Scotland. Species diversity (higher plants, mosses and lichens) and percentage cover were recorded annually. 3. Fire had a large effect on vegetation diversity and composition, but both were quick to recover. Species richness recovered within 4 years and vegetation composition was predicted to recover within 7 years. Vegetation composition appeared resilient to the effects of disturbance and there was little invasion by graminoids. 4. Nitrogen deposition interacted with fire. Burned plots showed no significant effect of nitrogen treatment on species diversity, while the diversity of unburned plots was significantly reduced only 1 year after treatment with 50 kg N ha(-1) year(-1). After 5 years, significant diversity reductions were seen in the 10 kg N ha(-1) year(-1) treatment. Impacts of nitrogen on species richness were primarily through reductions in lichen diversity. 5. Severe winter browning of Calluna vulgaris in plots receiving 50 kg N ha(-1) year(-1) followed early snowfall in 2002-03. This interaction affected only Calluna vulgaris and may have the potential to trigger species composition changes by reducing the dominance of this species. 6. Synthesis and applications. Although resilient to small-scale fires, species richness of low-alpine heaths is reduced by exposure to low levels of nitrogen deposition (background + 10 kg N ha(-1) year(-1)). The lichen component of the vegetation is most sensitive to additional nitrogen, although higher plants can be affected via interactions with climate. These data support the current critical load of nitrogen for this community of 5-15 kg N ha(-1) year(-1) and suggest that lichen diversity could be a useful indicator of nitrogen deposition impacts in alpine habitats. Effective conservation of biodiversity in low-alpine heathland will require action at national and international levels to reduce nitrogen deposition in the many areas where the critical load is currently exceeded.</t>
  </si>
  <si>
    <t>10.1111/j.1365-2664.2006.01251.x</t>
  </si>
  <si>
    <t>WOS:000243023600014</t>
  </si>
  <si>
    <t>Seagrass habitat disturbance:: how loss and fragmentation of eelgrass Zostera marina influences epifaunal abundance and diversity</t>
  </si>
  <si>
    <t>Seagrass habitats commonly display evidence of anthropogenic disturbances such as propeller scars, mooring and anchor damage, trampling, and plant harvesting. These physical disturbances may lead to habitat loss and fragmentation, yet effects of this habitat removal on seagrass epifaunal communities are not well understood. We investigated how the degree of eelgrass Zostera marina L. loss influenced the abundance, diversity, and community composition of epifauna within experimental seagrass plots in San Diego Bay, California, USA. We established replicate small (4 m(2)) and large (16 m(2)) plots within existing eelgrass habitat, and removed all aboveground and belowground plant material within randomly chosen cells to establish 4 to 6 levels of eelgrass clearing. We then sampled for epifauna up to 8 wk after eelgrass harvesting. We found no correlations between seagrass loss and epifaunal species richness, total epifaunal density or epifaunal diversity in small plots. In large plots, however, plots with 90% habitat removal had significantly lower epifaunal species richness and total epifaunal density than plots with 0, 10 or 50% habitat removal, suggesting that beyond a threshold level of eelgrass disturbance, species richness and abundance rapidly decline. Multivariate ordinations revealed that the 90% removal plots also had significantly different species composition than plots with less habitat loss. Our results support previous theoretical models predicting threshold levels of habitat loss for faunal communities and broaden our understanding of the response of marine epifauna to seagrass habitat degradation.</t>
  </si>
  <si>
    <t>10.3354/meps326133</t>
  </si>
  <si>
    <t>WOS:000243104300011</t>
  </si>
  <si>
    <t>Genetic analysis reveals two distinct Sacramento splittail (Pogonichthys macrolepidotus) populations</t>
  </si>
  <si>
    <t>The Sacramento splittail is an endemic cyprinid fish of the San Francisco estuary and its tributaries, which is a highly manipulated, constantly changing ecosystem. Splittail is the only extant member of its genus and is listed as a federal and California Species of Special Concern due to uncertainties regarding long-term abundance trends. Determining population structure for splittail is important because unique populations may contain different adaptive genetic variation, which can allow one population to persist through future environmental or demographic stochasticity while others become extirpated. To assess splittail population structure, 13 microsatellite markers were used to genotype 489 young-of-year splittail from five major rivers draining into the estuary: Cosumnes, Napa, Petaluma, Sacramento, and San Joaquin Rivers. Two genetically distinct populations were found to exist within our study region; one largely comprised of splittail collected from the Petaluma and Napa Rivers and the second comprised of splittail collected from tributaries in California's Central Valley: Cosumnes, Sacramento, and San Joaquin Rivers. These results were replicated in two consecutive years with both distance and model-based algorithms. The genetic distinction between these two populations appears correlated with salinity differences between migratory regions and spawning grounds. Splittail from the Petaluma River exhibited a significantly higher degree of differentiation from the Central Valley population than did Napa River splittail. Our results suggest on-going monitoring programs are probably highly biased towards sampling splittail from the Central Valley population. Understanding population dynamics of splittail could be improved if monitoring programs were expanded to include all splittail populations.</t>
  </si>
  <si>
    <t>10.1007/s10592-006-9157-2</t>
  </si>
  <si>
    <t>WOS:000243187100014</t>
  </si>
  <si>
    <t>Biodiversity and abundance of terrestrial isopods along a gradient of disturbance in Sabah, East Malaysia</t>
  </si>
  <si>
    <t>Connell's intermediate disturbance. hypothesis predicts that the highest diversity is maintained at intermediate levels of disturbance; We have examined this hypothesis by observing differences in biodiversity of terrestrial isopods along a gradient of disturbance from two undisturbed primary tropical rainforest sites, to a logged site, a mixed native fruit orchard and a commercial oil palm plantation, in Sabah, East Malaysia. We describe a standardised protocol for the rapid assessment of isopod biodiversity on tropical forest floor sites and for measuring environmental variables to which we have related differences in species richness and relative abundance of the isopods:. The results do not support Connell's hypothesis because there were no significant differences in diversity, species richness or equitability between disturbed sites and the nearest primary forests. The relative abundance of individual species was highest in the most disturbed environment. We suggest that this may be because particular species are well adapted to exploiting resources under the more 'r' selection conditions created by disturbance. Possible reasons for why the observations do not conform with predictions from the intermediate disturbance hypothesis are discussed. We conclude that Huston's dynamic equilibrium model is more appropriate than the intermediate disturbance hypothesis in predicting the effects of disturbance of tropical rainforests on these arthropod macro-decomposers. (c) 2006 Published by Elsevier Masson SAS.</t>
  </si>
  <si>
    <t>10.1016/j.ejsobi.2006.07.002</t>
  </si>
  <si>
    <t>WOS:000243263800027</t>
  </si>
  <si>
    <t>Genetic population structure and contemporary dispersal patterns of a recent European invader, the Chinese mitten crab, Eriocheir sinensis</t>
  </si>
  <si>
    <t>Genetic studies of recently established populations are challenging because the assumption of equilibrium underlying many analyses is likely to be violated. Using microsatellites, we investigated determinants of genetic structure and migration among invasive European-Chinese mitten crab populations, applying a combination of traditional population genetic analyses and nonequilibrium Bayesian methods. Consistent with their recent history, invasive populations showed much lower levels of genetic diversity than a native Chinese population, indicative of recent bottlenecks. Population differentiation was generally low but significant and especially pronounced among recently established populations. Significant differentiation among cohorts from the same geographical location (River Thames) suggests the low effective population size and associated strong genetic drift that would be anticipated from a very recent colonization. An isolation-by-distance pattern appears to be driven by an underlying correlation between geographical distance and population age, suggesting that cumulative homogenizing gene flow reduces founder bottleneck-associated genetic differentiation between longer-established populations. This hypothesis was supported by a coalescent analysis, which supported a drift + gene flow model as more likely than a model excluding gene flow. Furthermore, admixture analysis identified several recent migrants between the UK and Continental European population clusters. Admixture proportions were significantly predicted by the volume of shipping between sites, indicating that human-mediated transport remains a significant factor for dispersal of mitten crabs after the initial establishment of populations. Our study highlights the value of nonequilibrium methods for the study of invasive species, and also the importance of evaluating nonequilibrium explanations for isolation by distance patterns.</t>
  </si>
  <si>
    <t>10.1111/j.1365-294X.2006.03133.x</t>
  </si>
  <si>
    <t>WOS:000243305200001</t>
  </si>
  <si>
    <t>Coral diversity across a disturbance gradient in the Pulau Seribu reef complex off Jakarta, Indonesia</t>
  </si>
  <si>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</si>
  <si>
    <t>10.1007/s10531-004-4692-y</t>
  </si>
  <si>
    <t>WOS:000243321500019</t>
  </si>
  <si>
    <t>Contamination effects by a 'conventional' and a 'biodegradable' lubricant oil on infaunal recruitment to Antarctic sediments: A field experiment</t>
  </si>
  <si>
    <t>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t>
  </si>
  <si>
    <t>10.1016/j.jembe.2006.09.010</t>
  </si>
  <si>
    <t>WOS:000243557900009</t>
  </si>
  <si>
    <t>Population fragmentation leads to spatial and temporal genetic structure in the endangered Spanish imperial eagle</t>
  </si>
  <si>
    <t>The fragmentation of a population may have important consequences for population genetic diversity and structure due to the effects of genetic drift and reduced gene flow. We studied the genetic consequences of the fragmentation of the Spanish imperial eagle (Aquila adalberti) population into small patches through a temporal analysis. Thirty-four museum individuals representing the population predating the fragmentation were analysed for a 345-bp segment of the mitochondrial control region and a set of 10 nuclear microsatellite loci. Data from a previous study on the current population (N = 79) were re-analysed for this subset of 10 microsatellite markers and results compared to those obtained from the historical sample. Three shared mitochondrial haplotypes were found in both populations, although fluctuations in haplotype frequencies and the occurrence of a fourth haplotype in the historical population resulted in lower current levels of haplotype and nucleotide diversity. However, microsatellite markers revealed undiminished levels of nuclear diversity. No evidence for genetic structure was observed for the historical Spanish imperial eagle population, suggesting that the current pattern of structure is the direct consequence of population fragmentation. Temporal fluctuations in mitochondrial and microsatellite allelic frequencies were found between the historical and the current population as well as for each pairwise comparison between historical and current Centro and historical and current Parque Nacional de Donana nuclei. Our results indicate an ancestral panmictic situation for the species that management policies should aim to restore. A historical analysis like the one taken here provides the baseline upon which the relative role of recent drift in shaping current genetic patterns in endangered species can be evaluated and this knowledge is used to guide conservation actions.</t>
  </si>
  <si>
    <t>10.1111/j.1365-294X.2007.03147.x</t>
  </si>
  <si>
    <t>WOS:000243755800002</t>
  </si>
  <si>
    <t>Effect of human disturbance on bee communities in a forested ecosystem</t>
  </si>
  <si>
    <t>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t>
  </si>
  <si>
    <t>10.1111/j.1523-1739.2006.00574.x</t>
  </si>
  <si>
    <t>WOS:000244148800030</t>
  </si>
  <si>
    <t>Using attached macroalgae to assess ecological status of British estuaries for the European Water Framework Directive</t>
  </si>
  <si>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</si>
  <si>
    <t>10.1016/j.marpolbul.2006.09.004</t>
  </si>
  <si>
    <t>WOS:000244158000013</t>
  </si>
  <si>
    <t>Successful colonization of the calanoid copepod Acartia tonsa in the oligo-mesohaline area of the Gironde estuary (SW France) -: Natural or anthropogenic forcing?</t>
  </si>
  <si>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</si>
  <si>
    <t>10.1016/j.ecss.2006.08.018</t>
  </si>
  <si>
    <t>WOS:000244177300008</t>
  </si>
  <si>
    <t>Measuring the demographic and genetic effects of pest control in a highly persecuted feral pig population</t>
  </si>
  <si>
    <t>Substantial efforts have been made to identify the most effective practices for the control and management of invasive vertebrate pest species, such as the feral pig (Sus scrofa). We investigated the demographics, abundance, and molecular ecology of a persecuted feral pig population that was subjected to control. We then applied methodologies to determine if we could retrospectively quantity any changes in the population structure or dynamics of these pigs. Feral pig demographic and abundance parameters indicated that in this population of feral pigs, there were very few detectable changes between the two aerial culling years. We observed this despite environmental conditions being optimal for control. Genetic results indicated that pigs culled in the latter 2004 cull were genetically identical to those pigs that inhabited the area a year earlier. The genetic population was geographically larger than the sample area. These findings indicate that the recovery in feral pig density witnessed in the controlled area was not a result of reinvasion from a separate, genetically distinct population, but rather, it was the result of reinvasion from feral pigs outside the study area but within the same genetic population. Importantly, we were unable to detect any recent genetic bottlenecks. This approach has considerable potential for auditing the effectiveness of control programs of pest species and assessing the feasibility of impacting upon or locally eradicating many other free-ranging pest species.</t>
  </si>
  <si>
    <t>10.2193/0022-541X(2006)70[1690:MTDAGE]2.0.CO;2</t>
  </si>
  <si>
    <t>WOS:000244236100023</t>
  </si>
  <si>
    <t>Impacts of global changes and extreme hydroclimatic events on macroinvertebrate community structures in the French Rhone River</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</si>
  <si>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</si>
  <si>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10.1007/s00442-006-0655-1</t>
  </si>
  <si>
    <t>WOS:000244692700016</t>
  </si>
  <si>
    <t>Epiphytic macrolichens as indicators of environmental alteration in northern Thailand</t>
  </si>
  <si>
    <t>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t>
  </si>
  <si>
    <t>10.1016/j.envpol.2006.03.044</t>
  </si>
  <si>
    <t>WOS:000244971100011</t>
  </si>
  <si>
    <t>Assessment of genetic variation between reproductive ecotypes of Klamath River steelhead reveals differentiation associated with different run-timings</t>
  </si>
  <si>
    <t>Seven microsatellite DNA loci were optimized to assess genetic differentiation in coastal steelhead (Oncorhynchus mykiss irideus) sampling groups from the lower Klamath River (California, USA). Genetic relationships among three winter-run and two summer-run groups were investigated. The different groups displayed high levels of allelic variation. Pairwise F-ST comparisons and Nei's genetic distance supported low, yet significant, genetic differentiation between summer and winter run-timings similar to other studies of temporal variation in salmonids. Analysis of molecular variance showed that most of the genetic variation was at the individual level (97.9%), although significant genetic variation existed between timing of runs (2.59%). Additionally, at least one locus in each group was out of Hardy-Weinberg equilibrium due to a deficiency in heterozygotes, and significant F-IS values were observed in three temporal collections. Together, these results suggest stock admixture, caused by multiple populations of origin in each sampling group, better known as the Wahlund Effect. These observations are preliminary evidence for isolation by time between Klamath River steelhead runs during distinct periods.</t>
  </si>
  <si>
    <t>10.1111/j.1439-0426.2006.00825.x</t>
  </si>
  <si>
    <t>WOS:000245057400005</t>
  </si>
  <si>
    <t>Gene flow, effective population size and selection at major histocompatibility complex genes: brown trout in the Hardanger Fjord, Norway</t>
  </si>
  <si>
    <t>Brown trout populations in the Hardanger Fjord, Norway, have declined drastically due to increased exposure to salmon lice from salmonid aquaculture. We studied contemporary samples from seven populations and historical samples (1972 and 1983) from the two largest populations, one of which has declined drastically whereas the other remains stable. We analysed 11 microsatellite loci, including one tightly linked to the UBA gene of the major histocompatibility class I complex (MHC) and another locus linked to the TAP2A gene, also associated with MHC. The results revealed asymmetric gene flow from the two largest populations to the other, smaller populations. This has important conservation implications, and we predict that possible future population recoveries will be mediated primarily by the remaining large population. Tests for selection suggested diversifying selection at UBA, whereas evidence was inconclusive for TAP2A. There was no evidence for temporally fluctuating selection. We assessed the distribution of adaptive divergence among populations. The results showed the most pronounced footprints of selection between the two largest populations subject to the least immigration. We suggest that asymmetric gene flow has an important influence on adaptive divergence and constrains local adaptive responses in the smaller populations. Even though UBA alleles may not affect salmon louse resistance, the results bear evidence of adaptive divergence among populations at immune system genes. This suggests that similar genetic differences could exist at salmon louse resistance loci, thus rendering it a realistic scenario that differential population declines could reflect differences in adaptive variation.</t>
  </si>
  <si>
    <t>10.1111/j.1365-294X.2007.03255.x</t>
  </si>
  <si>
    <t>WOS:000245162700009</t>
  </si>
  <si>
    <t>Tree species composition and similarity in semideciduous forest fragments of southeastern Brazil</t>
  </si>
  <si>
    <t>This study investigates the influence of fragment size on tree species composition, species richness and on individual groups of species within 11 semideciduous forest fragments in southeastern Brazil. We compared same-sized samples of 500 trees from 10 fragments &lt; 100 ha, allocated to three size categories, with three 500-tree samples collected in different areas within a large forest, used as a reference forest. The variation in species richness, in the proportion of species/individuals in dispersal modes, and in the proportion of rare species was not related to fragmerit size. Nonetheless, comparisons between the mean values of these variables of each fragment size categories, using 95% confidence intervals, showed a wider range of variation within the category of small-sized fragments than in the other size categories. NMS ordination plot also suggested the absence of a relationship between fragment area and tree species composition. However, multiple regressions using the scores from the NMS ordination as response variables, and area and disturbance intensities as predictor variables, suggested that the interaction of area and disturbance might be a good predictor of species composition. Pre-existing environmental heterogeneity and geographical proximity also appeared to play a role in the variations of forest composition among the fragments studied. Our results demonstrated the high conservation value of small forest fragments. (c) 2006 Elsevier Ltd. All rights reserved.</t>
  </si>
  <si>
    <t>10.1016/j.biocon.2006.10.027</t>
  </si>
  <si>
    <t>WOS:000245492600011</t>
  </si>
  <si>
    <t>The cost of tolerance: Sensitivity of stream benthic communities to UV-B and metals</t>
  </si>
  <si>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</si>
  <si>
    <t>10.1890/06-0396</t>
  </si>
  <si>
    <t>WOS:000245744200007</t>
  </si>
  <si>
    <t>Genetic structure and evidence for recent population decline in Eurasian otter populations in the Czech and Slovak Republics: implications for conservation</t>
  </si>
  <si>
    <t>Over the latter part of the 20th century, Eurasian otter Lutra lutra populations suffered dramatic declines, resulting in extinction or fragmentation of populations in many western and central European countries. Part of the Czech otter population became totally isolated while the Slovak population remained partly connected to the relatively continuous central and eastern European otter distribution range. This paper examines the genetic structure and past demographic history of otters in the Czech and Slovak Republics, using microsatellite nuclear markers amplified from DNA extracted from tissue and faecal samples. A relatively high level of genetic differentiation was found between the Czech and Slovak populations (F-ST=0.154, P=0.0002), supported by a perfect assignment in Bayesian cluster analysis. Both the Czech and Slovak populations showed significant heterozygosity excess (assuming an infinite allele model), indicating recent population bottlenecks. A very recent population decline was also suggested by coalescent analysis, inferring a drop to c. 25% of past effective population size in both populations. The timing of the decline was in accordance with published data from otter surveys, suggesting that the strongest decline probably occurred between the 1970s and the mid-1990s. The results of this study confirm that otter populations remain vulnerable to any violent demographic change and, despite the claims of fish-farmers and anglers for legal culls, it is highly desirable that they remain a strongly protected species in both countries. The spreading and re-connection of otter populations observed recently is essential for the future health of the populations, and should be supported through habitat conservation.</t>
  </si>
  <si>
    <t>10.1111/j.1469-7998.2006.00259.x</t>
  </si>
  <si>
    <t>WOS:000245745300001</t>
  </si>
  <si>
    <t>Replication and mitigation of effects of confounding variables in environmental impact assessment: effect of marinas on rocky-shore assemblages</t>
  </si>
  <si>
    <t>Design- and model-based approaches provide 2 distinct frameworks in which to analyse environmental impacts. While both approaches have been criticized to some extent, the possibility of modeling environmental variability with covariates in the analysis of structured sampling designs seems to have eluded the attention of environmental ecologists. We applied a beyond-BACI (before, after, control, impact) sampling design to a post-impact study on the effects of marinas on assemblages of algae and invertebrates on rocky seashores at 2 locations in the NW Mediterranean. The 2 locations were on the opposite (northern and southern) sides of a promontory, about 30 km apart. A shore next to the marina and 3 reference shores were sampled at each location to obtain independent estimates of differences between disturbed and undisturbed conditions. An additional set of 3 shores were sampled at a location on the western coast to test whether structured spatial patterns around the promontory might confound the analysis of impact. Midshore and lowshore habitats were sampled on all shores. Multivariate and univariate analyses revealed differences between disturbed and reference assemblages mostly at one location in the midshore habitat. Analyses conducted on the lowshore data indicated that assemblages of marinas followed different temporal trajectories than reference shores consistently at the 2 locations. Spatial variability around the promontory was large, as indicated by significant linear and quadratic contrasts among all locations. When impacts were examined using either the geographic position of shores or their rank position around the promontory as a covariate, results did not differ from those of the original analyses. The present study highlights possible ways to overcome the dichotomy between design- and model-based approaches, namely that studies of impact can and should be examined at replicated locations whenever possible and that covariables can be included in the analysis of structured sampling designs to increase precision and accuracy in assessment of environmental impacts.</t>
  </si>
  <si>
    <t>10.3354/meps334021</t>
  </si>
  <si>
    <t>WOS:000245862000003</t>
  </si>
  <si>
    <t>Population structure and historical demography of the thorny skate (Amblyraja radiata, Rajidae) in the North Atlantic</t>
  </si>
  <si>
    <t>Population genetic structure of the thorny skate (Amblyraja radiata) was surveyed in &gt; 300 individuals sampled from Newfoundland, Iceland, Norway, the Kattegat and the central North Sea. A 290-bp fragment of the mt cytochrome-b gene was first screened by SSCP. Sequences of SSCP haplotypes revealed 34 haplotypes, 14 of which were unique to Iceland, 3 to Newfoundland, 1 to Norway and 3 to the Kattegat. The global F-ST was weak but significant. Removal of the two Kattegat locations, which were the most differentiated, resulted in no significant genetic differentiation. Haplotype diversity was high and evenly distributed across the entire Atlantic (h = 0.8) with the exception of the North Sea (h = 0.48). Statistical parsimony revealed a star-like genealogy with a central widespread haplotype. A subsequent nested clade analysis led to the inference of contiguous expansion with evidence for long distance dispersal between Newfoundland and Iceland. Historical demographic analysis showed that thorny skates have undergone exponential population expansion that started between 1.1 million and 690,000 years ago; and that the Last Glacial Maximum apparently had little effect. These results strongly differ from those of a parallel study of the thornback ray (Raja clavata) in which clear structure and former refugial areas could be identified. Although both species have similar life history traits and overlapping ranges, the continental shelf edge apparently does not present a barrier to migration in A. radiata, as it does for R. clavata.</t>
  </si>
  <si>
    <t>10.1007/s00227-006-0556-1</t>
  </si>
  <si>
    <t>WOS:000246099000007</t>
  </si>
  <si>
    <t>Museum samples provide novel insights into the taxonomy and genetic diversity of Irish red grouse</t>
  </si>
  <si>
    <t>The taxonomic status of red grouse in Ireland has been the subject of considerable debate over the past century. Irish red grouse are usually classified as Lagopus lagopus scoticus, which is the same subspecies as that found in Britain, but some ornithologists believe that native Irish red grouse constitute an endemic subspecies, namely L. lagopus hibernicus. The considerable decline of Irish red grouse over the past century, along with possible hybridization with introduced grouse from Britain, have highlighted the need to resolve their taxonomic status as part of a biodiversity management plan. However, genetic analysis of samples from a single point in time will provide limited insight into potentially confounding historical events such as hybridization and introgression. We therefore compared mtDNA sequences from both current and historical samples of the two putative subspecies, scoticus and hibernicus, to see if they are or were genetically distinct. Red grouse from Britain and Ireland shared mitochondrial haplotypes, and our historical data suggest that this is unlikely to be the result of recent hybridization and introgression. These findings, combined with a general lack of documented differences in behaviour and ecology, suggest that Irish red grouse should remain classified as L. lagopus scoticus. At the same time, we found evidence that a significant amount of genetic diversity has been lost from Irish red grouse over the past century, presumably as a result of diminishing population sizes and fragmentation of extant populations. A loss of habitat, combined with the declining numbers and genetic diversity of Irish red grouse, justify their designation as an All-Ireland Priority (Red List) species and a Northern Ireland Priority Species for conservation.</t>
  </si>
  <si>
    <t>10.1007/s10592-006-9217-7</t>
  </si>
  <si>
    <t>WOS:000246103500016</t>
  </si>
  <si>
    <t>Diatoms as indicators of isolated herbaceous wetland condition in Florida, USA</t>
  </si>
  <si>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</si>
  <si>
    <t>10.1016/j.ecolind.2006.06.001</t>
  </si>
  <si>
    <t>WOS:000246213900003</t>
  </si>
  <si>
    <t>Community and species responses by birds to group retention in a coastal temperate forest on Vancouver Island, British Columbia</t>
  </si>
  <si>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</si>
  <si>
    <t>10.1016/j.foreco.2007.03.002</t>
  </si>
  <si>
    <t>WOS:000246343500015</t>
  </si>
  <si>
    <t>Cumulative impacts of aggregate extraction on seabed macro-invertebrate communities in an area off the east coast of the United Kingdom</t>
  </si>
  <si>
    <t>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t>
  </si>
  <si>
    <t>10.1016/j.seares.2006.11.001</t>
  </si>
  <si>
    <t>WOS:000246389500005</t>
  </si>
  <si>
    <t>Population genetic structure and effective population size of ayu (Plecoglossus altivelis), an amphidromous fish</t>
  </si>
  <si>
    <t>The temporal and spatial population genetic structure of ayu Plecoglossus altivelis (Salmoniformes: Plecoglossidae), an amphidromous fish, was examined using analysis of variation at six microsatellite DNA loci. Intracohort genetic diversities, as measured by the number of alleles and heterozygosity, were similar among six cohorts (2001-2006) within a population (Nezugaseki River), with the mean number of alleles per cohort ranging from 11.0 to 12.5 and the expected heterozygosity ranging from 0.74 to 0.77. Intrapopulational genetic diversities were also similar across the three studied populations along the 50 km coast, with the mean number of alleles and the expected heterozygosity ranging from 11.33 to 11.67 and from 0.75 to 0.76, respectively. The authors observed only one significant difference in pair-wise population differentiation (F-ST-value) between the cohorts within a population and among three populations. Estimates of the effective population size (N-e) based on maximum-likelihood method yielded small values (ranging from 94.8 to 135.5), whereas census population size ranged from c. 4800 to 24 000. As a result, the ratio of annual effective population sizes to census population size (Ne/N) ranged from 0.004 to 0.023. These estimates of Ne/N agree more closely with estimates for marine. shes than that of the larger estimates for freshwater. shes. The present study suggests that ayu which is highly fecund and shows low survival during the early life stages is also characterized by having low value of Ne/N, similar to marine species with a pelagic life cycle. (C) 2007 The Authors.</t>
  </si>
  <si>
    <t>10.1111/j.1095-8649.2007.01396.x</t>
  </si>
  <si>
    <t>WOS:000246440500004</t>
  </si>
  <si>
    <t>Ecological implications of intertidal mariculture: observed differences in bivalve community structure between farm and reference sites</t>
  </si>
  <si>
    <t>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t>
  </si>
  <si>
    <t>10.1111/j.1365-2664.2007.01283.x</t>
  </si>
  <si>
    <t>WOS:000246621700004</t>
  </si>
  <si>
    <t>Effects of Spartina alterniflora invasion on benthic nematode communities in the Yangtze Estuary</t>
  </si>
  <si>
    <t>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t>
  </si>
  <si>
    <t>10.3354/meps336099</t>
  </si>
  <si>
    <t>WOS:000246980400008</t>
  </si>
  <si>
    <t>Genetic variability in spotted seatrout (Cynoscion nebulosus), determined with microsatellite DNA markers</t>
  </si>
  <si>
    <t>Variation in the allele frequencies of five microsatellite loci was surveyed in 1256 individual spotted seatrout (Cynoscion nebulosus) obtained from 12 bays and estuaries from Laguna Madre, Texas, to Charlotte Harbor, Florida, to St. John's River on the Florida Atlantic Coast. Texas and Louisiana collection sites were resampled each year for two to four years (1998-2001). Genetic differentiation was observed. Spotted seatrout from Florida waters were strongly differentiated from spotted seatrout collected in Louisiana and Texas. The greatest genetic discontinuity was observed between Tampa Bay and Charlotte Harbor, and Charlotte Harbor seatrout were most similar to Atlantic Coast spotted seatrout. Texas and Louisiana samples were not strongly structured within the northwestern Gulf of Mexico and there was little evidence of temporal differentiation within bays. These findings are contrary to those of earlier analyses with allozymes and mitochondrial DNA (mtDNA) where evidence of spatial differentiation was found for spotted seatrout resident on the Texas coast. The differences in genetic structure observed among these markers may reflect differences in response to selective pressure, or may be due to differences in underlying genetic processes.</t>
  </si>
  <si>
    <t>WOS:000247148800005</t>
  </si>
  <si>
    <t>Responses of ground-active beetle assemblages to different styles of reforestation on cleared rainforest land</t>
  </si>
  <si>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</si>
  <si>
    <t>10.1007/s10531-006-9146-2</t>
  </si>
  <si>
    <t>WOS:000247153100012</t>
  </si>
  <si>
    <t>Species groups occupying different trophic levels respond differently to the invasion of semi-natural vegetation by Solidago canadensis</t>
  </si>
  <si>
    <t>We studied the impact of the invasive plant species Solidago canadensis on the species richness of vascular plants and the abundance, species richness and diversity of butterflies, hoverflies and carabid beetles in herbaceous semi-natural habitats near Ljubljana, Slovenia. The species groups were sampled in sites dominated by S. canadensis and paired nearby sites covered by semi-natural vegetation. Plant species richness and species richness, abundance and diversity of butterfly species were lower in plots dominated by S. canadensis. Hoverfly abundance, diversity and species richness were negatively affected only in July just before the onset of flowering of S. canadensis, but tended to be positively affected in August during the height of flowering of S. canadensis. Only the abundance of carabid beetles was reduced in plots dominated by S. canadensis. The responses of the insect groups seem largely driven by the effects of Solidago on the availability of essential resources like food or larval host plants. Our results suggest that insect species that are closely related to plant species composition are more vulnerable to the effects of invasive plant species than those that are loosely or only indirectly related to plant species composition. (c) 2007 Elsevier Ltd. All rights reserved.</t>
  </si>
  <si>
    <t>10.1016/j.biocon.2007.01.005</t>
  </si>
  <si>
    <t>WOS:000247228800011</t>
  </si>
  <si>
    <t>Effects of rain forest logging on species richness and assemblage composition of small mammals in Southeast Asia</t>
  </si>
  <si>
    <t>Aim The effects of logging and habitat degradation on the richness and abundance of small mammals in Asian rain forests are largely unknown. This work compares the species richness, dominance and evenness of small non-volant mammals between logged and unlogged forests, and assesses whether assemblage variability (beta-diversity) is similar between forest types. Location Southeast Asia, northern Borneo (Sabah, Malaysia), Sunda-shelf. Methods We surveyed species-rich assemblages of small non-volant mammals in three unlogged and three logged forests for 2 years. At each forest site, we sampled a permanently marked transect and two additional sites in three trapping sessions. All analyses were performed at both levels to include the effects of local abundances and point estimates, separately from the relative abundances of species on a more regional scale. Results We trapped a total of 1218 individuals of 28 species. Eleven common species accounted for 95% of all captures. Species richness and diversity were significantly higher in unlogged forest (27 species) than in logged forest (17 species). This was mainly attributable to the smaller number of rarely recorded species in logged forest (five compared with 16 in unlogged forest, with a total of fewer than 10 captures). However, all common species were present in both logged and unlogged forests, and our analyses revealed similar patterns of dominance, evenness and fluctuations in abundance. Hence overall assemblage composition in multivariate space did not differ greatly between forest types. Assemblages of Muridae and Tupaiidae showed similar population fluctuations in space and time, indicating that the ecology of these taxa may be partially driven by the same environmental factors. Main conclusions Although species were distributed patchily within sites, analyses at local and regional scales revealed similar patterns in diversity and assemblage variability, suggesting that effects of forest modification did not differ extensively locally and regionally, but had a profound effect on rare species. Our results emphasize the importance and conservation value of logged forest stands that are able to hold a large proportion of the small mammals also found in unlogged forests. Rare and more specialized species are more vulnerable to forest degradation than commonly caught species, resulting in the complete loss, or a decrease in numbers, of certain groups, such as arboreal small mammals and Viverridae.</t>
  </si>
  <si>
    <t>10.1111/j.1365-2699.2006.01677.x</t>
  </si>
  <si>
    <t>WOS:000247264800014</t>
  </si>
  <si>
    <t>Changes of isopod assemblages along an urban-suburban-rural gradient in Hungary</t>
  </si>
  <si>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</si>
  <si>
    <t>10.1016/j.ejsobi.2007.01.001</t>
  </si>
  <si>
    <t>WOS:000247268100003</t>
  </si>
  <si>
    <t>Not rare, but threatened:: the endemic Madagascar flying fox Pteropus rufus in a fragmented landscape</t>
  </si>
  <si>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</si>
  <si>
    <t>10.1017/S0030605307001883</t>
  </si>
  <si>
    <t>WOS:000247440700024</t>
  </si>
  <si>
    <t>The freshwater habitats, fishes, and fisheries of the Orinoco River basin</t>
  </si>
  <si>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</si>
  <si>
    <t>10.1080/14634980701350686</t>
  </si>
  <si>
    <t>WOS:000247870000003</t>
  </si>
  <si>
    <t>Patterns in ground beetle (Coleoptera: Carabidae) assemblages along an urbanisation gradient in Denmark</t>
  </si>
  <si>
    <t>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t>
  </si>
  <si>
    <t>10.1016/j.actao.2007.03.008</t>
  </si>
  <si>
    <t>WOS:000247911000011</t>
  </si>
  <si>
    <t>Management strategies to increase stand structural diversity and enhance biodiversity in coastal rainforests of Alaska</t>
  </si>
  <si>
    <t>Coastal rainforests of southeast Alaska have relatively simple species composition but complex structures with high diversity of tree ages, sizes and forest canopy layers, and an abundant understory plant community. Wildlife and fisheries resources also play an important role in the ecological functioning of forest and aquatic systems. Clearcutting has greatly altered these forest ecosystems with significant decreases in structural diversity of forest stands and greatly reduced wildlife habitat. This paper synthesizes information on management options in older forests that have never been actively managed, and in younger forests to increase diversity of stand structures and their associated effects on biodiversity. Light to moderate levels of partial cutting in old-growth forests can maintain the original diversity of overstory stand structures and understory plant communities. In younger forests that develop after clearcutting, mixed alder-conifer stands provide more heterogeneous structures and significantly higher understory biomass than in pure conifer forests. Research has shown that red alder increases diversity and abundance of understory plants, and provides forage for deer and small mammals. Results also show a clear linkage between alder and improved invertebrate diversity in aquatic systems. A combination of light partial cutting in older forests along with inclusion of red alder in conifer-dominated forests could provide the greatest amount of diversity and maintain the complex stand structures that are an important component of these forest ecosystems. (C) 2007 Elsevier Ltd. All rights reserved.</t>
  </si>
  <si>
    <t>10.1016/j.biocon.2007.03.014</t>
  </si>
  <si>
    <t>WOS:000247918700005</t>
  </si>
  <si>
    <t>Bird diversity in cacao farms and forest fragments of western Panama</t>
  </si>
  <si>
    <t>Theobroma cacao plantings, when managed under the shade of rainforest trees, provide habitat for many resident and migratory bird species. We compared the bird diversity and community structure in organic cacao farms and nearby forest fragments throughout mainland Bocas del Toro, Panama. We used this dataset to ask the following questions: (1) How do bird communities using cacao habitat compare to communities of nearby forest fragments? (2) To what extent do Northern migratory birds use shaded cacao farms, and do communities of resident birds shift their abundances in cacao farms seasonally? (3) Do small scale changes in shade management of cacao farms affect bird diversity? Using fixed radius point counts and additional observations, we recorded 234 landbird species, with 102 species that were observed in both cacao and forest fragments, 86 species that were only observed in cacao farms, and 46 species that were restricted to forest fragments. Cacao farms were rich in canopy and edge species such as tanagers, flycatchers and migratory warblers, but understory insectivores were nearly absent from cacao farms. We observed 27 migratory species, with 18 species in cacao farms only, two species in forest only, and seven species that occurred in both habitats. In cacao farms, the diversity of birds was significantly greater where there was less intensive management of the canopy shade trees. Shade tree species richness was most important for explaining variance in bird diversity. Our study shows that shaded cacao farms in western Panama provide habitat for a wide variety of resident and migratory bird species. Considering current land use trends in the region, we suggest that action must be taken to prevent conversion away from shaded cacao farms to land uses with lower biodiversity conservation value.</t>
  </si>
  <si>
    <t>10.1007/s10531-007-9193-3</t>
  </si>
  <si>
    <t>WOS:000247932200002</t>
  </si>
  <si>
    <t>The ecology of Indo-Pacific grouper (Serranidae) species and the effects of a small scale no take area on grouper assemblage, abundance and size frequency distribution</t>
  </si>
  <si>
    <t>This paper used the case study of the Wakatobi Marine National Park, Indonesia to examine changes in the diversity, density and maturity of grouper species over a 5-year period following the establishment of a small-scale no-take area (NTA). This work was carried out to investigate whether small NTAs could be effective management strategies over a time scale that is relevant to local fishery communities and their perception of management success. Our research also documents the ecology of these species, information essential if we are to understand how management practises are to affect coral reef fish species. Designation of this small NTA increased the density of groupers by 30% over a 5-year period of protected status. After 5 years of protection, grouper populations within this NTA were more mature and double the density of those within the adjacent lightly fished sites and nearly five times those of a heavily fished site. During this time all other nearby fished sites underwent large declines in grouper density. The nearby lightly fished Kaledupa site decreased by up to 50% year(1). Such drastic declines are considered the impact of the exponential development of ever efficient and unsustainable methods of fishing within the study region. This NTA was not of benefit to all grouper species; the reasons for which are not clear. Such questions require further detailed research about the life history, population and behavioural ecology of Indo-Pacific grouper species. Such information is critical for urgently needed fisheries management. The present study found that a small scale NTA of 500 m length was large enough to increase the population of top predatory fish. In conjunction with other socially acceptable small scale NTAs it could help maintain and increase important fish stocks over a larger area. The use of small NTAs within networks of reserves should become a useful tool in the management of the locally exploited coral reefs.</t>
  </si>
  <si>
    <t>10.1007/s00227-007-0675-3</t>
  </si>
  <si>
    <t>WOS:000248189300003</t>
  </si>
  <si>
    <t>Satellite detection of bird communities in tropical countryside</t>
  </si>
  <si>
    <t>The future of biodiversity hinges partly on realizing the potentially high conservation value of human-dominated countryside. The characteristics of the countryside that promote biodiversity preservation remain poorly understood, however, particularly at the fine scales at which individual farmers tend to make land use decisions. To address this problem, we explored the use of a rapid remote sensing method for estimating bird community composition in tropical countryside, using a two-step process. First, we asked how fine-grained variation in land cover affected community composition. Second, we determined whether the observed changes in community composition correlated with three easily accessible remote sensing metrics (wetness, greenness, and brightness), derived from performing a tasseled-cap transformation on a Landsat Enhanced Thematic Mapper Plus image. As a comparison, we also examined whether the most commonly used remote sensing indicator in ecology, the Normalized Difference Vegetation Index (NDVI), correlated with community composition. We worked within an agricultural landscape in southern Costa Rica, where the land comprised a complex and highly heterogeneous mosaic of remnant native vegetation, pasture, coffee cultivation, and other crops. In this region, we selected 12 study sites (each &lt;60 ha) that encompassed the range of available land cover possibilities in the countryside. Within each site, we surveyed bird communities within all major land cover types, and we conducted detailed field mapping of land cover. We found that the number of forest-affiliated species increased with forest cover and decreased with residential area across sites. Conversely, the number of agriculture-affiliated species using forest increased with land area devoted to agricultural and residential uses. Interestingly, we found that the wetness and brightness metrics predicted the number of forest-and agriculture-affiliated species within a site as well as did detailed field-generated maps of land cover. In contrast, NDVI and the closely correlated greenness metric did not correlate with land cover or with bird communities. Our study shows the strong potential of the tasseled-cap transformation as a tool for assessing the conservation value of countryside for biodiversity.</t>
  </si>
  <si>
    <t>10.1890/06-0285.1</t>
  </si>
  <si>
    <t>WOS:000248265700019</t>
  </si>
  <si>
    <t>Medium-term responses of rocky bottoms to sewage discharges from a deepwater outfall in the NE Atlantic</t>
  </si>
  <si>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</si>
  <si>
    <t>10.1016/j.marpolbul.2007.02.014</t>
  </si>
  <si>
    <t>WOS:000248562500024</t>
  </si>
  <si>
    <t>Grassland invertebrate assemblages in managed landscapes: Effect of host plant and microhabitat architecture</t>
  </si>
  <si>
    <t>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t>
  </si>
  <si>
    <t>10.1111/j.1442-9993.2007.01767.x</t>
  </si>
  <si>
    <t>WOS:000248599300012</t>
  </si>
  <si>
    <t>Population genetic structure of the year-round spawning tropical eel, Anguilla reinhardtii, in Australia</t>
  </si>
  <si>
    <t>Population genetic structure of the year-round spawning tropical eel, Anguilla reinhardtii, in Australia. Zoological Studies 46(4): 441-453. The population genetic structure of tropical freshwater eels is less well investigated than that of their temperate counterparts. To understand both the spatial and temporal population genetic structures of the year-round spawning tropical eel, Anguilla reinhardtii, variability at 6 microsatellite loci was examined in 799 glass eels. Samples were collected from 5 estuaries across the range of the species in East Australia in 1997-1999. F-ST, a measure of differentiation among populations, did not significantly differ among months or estuaries, suggesting that A. reinhardtii populations are panmictic. An oceanic and prolonged spawning period, which lasts nearly the entire year, appears to facilitate interbreeding between adult eels from different generations and areas. A short pelagic larval duration decreases larval dispersal, and therefore decreases the effect of latitude-correlated environmental variables on the spawning migration. Mixing of individuals from different areas in ocean gyres may also contribute to genetic homogeneity among streams.</t>
  </si>
  <si>
    <t>WOS:000248821100006</t>
  </si>
  <si>
    <t>Evolutionary mechanisms shaping the genetic population structure of marine fishes;: lessons from the European flounder (Platichthys flesus L.)</t>
  </si>
  <si>
    <t>A number of evolutionary mechanisms have been suggested for generating low but significant genetic structuring among marine fish populations. We used nine microsatellite loci and recently developed methods in landscape genetics and coalescence-based estimation of historical gene flow and effective population sizes to assess temporal and spatial dynamics of the population structure in European flounder (Platichthys flesus L.). We collected 1062 flounders from 13 localities in the northeast Atlantic and Baltic Seas and found temporally stable and highly significant genetic differentiation among samples covering a large part of the species' range (global F-ST = 0.024, P &lt; 0.0001). In addition to historical processes, a number of contemporary acting evolutionary mechanisms were associated with genetic structuring. Physical forces, such as oceanographic and bathymetric barriers, were most likely related with the extreme isolation of the island population at the Faroe Islands. A sharp genetic break was associated with a change in life history from pelagic to benthic spawners in the Baltic Sea. Partial Mantel tests showed that geographical distance per se was not related with genetic structuring among Atlantic and western Baltic Sea samples. Alternative factors, such as dispersal potential and/or environmental gradients, could be important for generating genetic divergence in this region. The results show that the magnitude and scale of structuring generated by a specific mechanism depend critically on its interplay with other evolutionary mechanisms, highlighting the importance of investigating species with wide geographical and ecological distributions to increase our understanding of evolution in the marine environment.</t>
  </si>
  <si>
    <t>10.1111/j.1365-294X.2007.03367.x</t>
  </si>
  <si>
    <t>WOS:000248847600005</t>
  </si>
  <si>
    <t>Genetic evaluation of the captive breeding program of the Persian wild ass</t>
  </si>
  <si>
    <t>During the last century, many species have become endangered and conservation in terms of captive breeding has been crucial for their survival. Classical management of captive species is based on recorded genealogies. However, if pedigrees are incomplete or inaccurate, it can bias the interpretation of the results obtained from analyses based on such data. In this investigation, 12 microsatellite loci were investigated to evaluate the studbook information of the critically endangered Persian wild ass, Equus heinionus onager. Relatedness and inbreeding coefficients were calculated in order to compare the same coefficients estimated from the recorded studbook. A significant correlation between coefficients obtained by microsatellites and the studbook validates the recorded studbook as a reasonable tool for future genetic management. Furthermore, a Bayesian-based method divided the captive onager population into four subgroups that indicate departure from random mating, and thus minor rotation of animals between zoos. Lastly, analyses for inferring past demographic changes revealed a gradual population decline and inbreeding over several generations. This may indicate a low genetic load in captive onagers as a consequence of some degree ofpurging. Consequently, the risk of inbreeding depression should currently be minimal in the captive breeding program. Therefore, it is recommended to increase the connectivity between the four subgroups of onagers in order to reduce the risk of demographic and genetic stochasticity. This study underlines the importance of using molecular markers to evaluate genetic management of captive breeding programs.</t>
  </si>
  <si>
    <t>10.1111/j.1469-7998.2007.00294.x</t>
  </si>
  <si>
    <t>WOS:000248887100001</t>
  </si>
  <si>
    <t>Gene flow and genetic structure of Sicyopterus lagocephal us in the south-western Indian Ocean, assessed by intron-length polymorphism</t>
  </si>
  <si>
    <t>Sicyopterus lagocephalus is the most abundant sicydiime (amphidromous gobiid) in the rivers of volcanic islands in the southwestern Indian Ocean. The species occurs in the Mascarene (Mauritius and La Reunion) and Comoros islands (Anjouan, Mayotte, etc.) and the post-larvae supply an economically important fishery. Because of the scarcity of available ecological and biological data, a genetic survey has been undertaken at the scale of the south-westent Indian Ocean using intron-length polymorphism. Samples from La Reunion, Mauritius and Mayotte were used to assess the population genetic structure within islands and between nearby and remote islands. No genetic divergences were observed in samples at these different geographical scales. A lower number of rare alleles were observed in Mayotte samples suggesting a slight effect of their peripheral geographical position. However, no recent bottleneck was evidenced for these populations. High temporal divergences have been demonstrated in La Reunion as in previous studies indicating a temporal Wahlund effect. In the light of these results, the dispersion abilities, the connectivity of populations and the metapopulation functioning are discussed in relation to the regional environmental factors (dispersal barriers, habitat colonization, cyclones, long distance dispersal). (C) 2007 Elsevier B.V. All rights reserved.</t>
  </si>
  <si>
    <t>10.1016/j.jembe.2007.05.015</t>
  </si>
  <si>
    <t>WOS:000249346400003</t>
  </si>
  <si>
    <t>Simplification of seagrass food webs across a gradient of nutrient enrichment</t>
  </si>
  <si>
    <t>Anthropogenic nutrient enrichment has resulted in significant changes in food web structure. Although such changes have been associated with the loss of diversity and ecosystem services, little empirical work has been done to study food webs of similar systems across a nutrient enrichment gradient. We examined 11 seagrass beds along a gradient of increasing delta N-15 of primary consumers, where delta N-15 is used as an indicator of sewage-derived nutrients. Observations across this gradient revealed corresponding increases in consumer density and changes in distinct functional groups, whereas consumer diversity, seagrass canopy, and macrodetrital biomass decreased. However, maximum overall primary consumer diversity and minimum density occurred at intermediate levels along the nutrient gradient. We hypothesize that higher species diversity at low to moderate levels of nutrient enrichment depends on the persistence of grazer-resistant seagrass. This seagrass canopy, and the significant macrodetritus it generates, facilitates a variety of food and shelter resources. Overgrazed and simplified habitats may occur when densities of generalist urchins, capable of direct producer consumption, are no longer controlled through competition, predation, and intraguild predation. We hypothesize that high and stable urchin populations appear possible with the increased availability of allochthonous phytoplankton and associated particulate detritus that is a well-known consequence of nutrient enrichment in aquatic systems.</t>
  </si>
  <si>
    <t>10.1139/F07-071</t>
  </si>
  <si>
    <t>WOS:000249429200002</t>
  </si>
  <si>
    <t>Mating system and individual reproductive success of sympatric anadromous and resident brook charr, Salvelinus fontinalis, under natural conditions</t>
  </si>
  <si>
    <t>Salmonids are known for the occurrence in sympatry of two life-history forms, one that undergoes migration to sea before returning to freshwater to reproduce (anadromous) and one that inhabits freshwater without a migration phase (resident). Whereas one breeding population is often suggested by population genetic studies, mating patterns have rarely been directly assessed, especially when both sexes are found within each life-history form. By using highly polymorphic microsatellite loci and parentage analysis in a natural population of sympatric anadromous and resident brook charr (Salvelinus fontinalis), we found that gene flow occurred between the two forms and was mediated by resident males mating with both resident and anadromous females. Determinants of reproductive success, estimated by the number of surviving juveniles (ages 1 and 2 years), differed between the sexes. No strong evidence of the influence of size on individual reproductive success was found for males, whereas larger females (and hence most likely to be anadromous) were more successful. The higher individual reproductive success of anadromous fish compared to residents was mainly explained by this higher reproductive success of anadromous females. We suggest that resident males adopt a sneaking reproductive tactic as a way of increasing their reproductive success by mating with females of all sizes in all habitats. The persistence of the resident tactic among females may be linked to their advantage in accessing spatially constrained spawning areas in small tributary streams unavailable to larger females.</t>
  </si>
  <si>
    <t>10.1007/s00265-007-0437-8</t>
  </si>
  <si>
    <t>WOS:000250131900005</t>
  </si>
  <si>
    <t>Direct and indirect effects of an anti-fouling biocide on benthic microalgae and meiofauna</t>
  </si>
  <si>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</si>
  <si>
    <t>10.1016/j.jembe.2007.06.006</t>
  </si>
  <si>
    <t>WOS:000250152400006</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</si>
  <si>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</si>
  <si>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</si>
  <si>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10.1016/j.biocon.2007.07.008</t>
  </si>
  <si>
    <t>WOS:000250330700014</t>
  </si>
  <si>
    <t>Rapid evolutionary responses in a translocated population of intertidal snail (Bembicium vittatum) utilise variation from different source populations</t>
  </si>
  <si>
    <t>The artificial movement of individuals between populations (translocation) can be an effective way to increase genetic diversity within populations, but few studies have undertaken long term genetic monitoring to determine if variation introduced by translocation is maintained over many generations or whether it can be used to adapt to local conditions. Here, we report on the changes in morphological and molecular variation over a 12-year period in a population of an intertidal littorine snail (Bembicium vittatum) that was created by mixing individuals from three geographically disjunct populations. These source populations differ genetically in shell shape and in allele frequency at several allozyme loci. We found that the translocated population had higher allozyme diversity than any of the source populations and that this pattern was maintained over multiple generations. Variation in shell shape also increased, but this declined over time as shells became taller. Some allozyme loci also showed significant changes in frequency over time. These changes were not consistently towards the genetic makeup of a single source population, and in the case of shell shape, were towards a phenotype that was most suited to the local environment. Our results suggest that genetic variation introduced into a population by translocation can be rapidly incorporated and used to adapt to local conditions without domination by a single source population's genome. However, more studies are needed before generalisations on the benefits of mixing individuals from disjunct populations can be made.</t>
  </si>
  <si>
    <t>10.1007/s10592-007-9293-3</t>
  </si>
  <si>
    <t>WOS:000250442000012</t>
  </si>
  <si>
    <t>Mycorrhizal community dynamics following nitrogen fertilization: A cross-site test in five grasslands</t>
  </si>
  <si>
    <t>Arbuscular mycorrhizal fungi (AMF) are considered both ecologically and physiologically important to many plant communities. As a result, any alteration in AMF community structure following soil nitrogen (N) enrichment may impact plant community function and contribute to widespread changes in grassland productivity. We evaluated the responses of AMF communities to N fertilization (&gt;= 100 kg N center dot ha(-1)center dot yr(-1)) in five perennial grasslands within the Long-Term Ecological Research network to generate a broader understanding of the drivers contributing to AMF species richness and diversity with increasing soil N fertility, and subsequent effects to host-plant communities. AMF spore and hyphal community data at three mesic sites (Cedar Creek, Kellogg Biological Station, Konza Prairie) and two semiarid sites (Sevilleta, Shortgrass Steppe) were collected over two consecutive years and used to test four hypotheses about AMF responses to N fertilization. Under ambient soil N, plant annual net primary productivity and soil phosphorus (P) were strongly related to climatic differences in AMF communities (semiarid vs. mesic). Following N fertilization, the drivers of AMF community structure were soil N availability, N:P supply ratio, and host-plant photosynthetic strategy (C-3 vs. C-4) but not climate. In P-rich soils (low N:P), N fertilization reduced AMF productivity, species richness, and diversity and intensified AMF community convergence due to the loss of rare AMF species and the increased abundance of Glomus species. In P-limited soils (high N:P), AMF productivity, species richness, and diversity increased with N fertilization; the most responsive AMF taxa were Acaulospora, Scutellospora, and Gigaspora. Soil N or N:P x host-plant (C-3, C-4) interactions further modified these responses: AMF hyphae (primarily Gigasporaceae) associated with C-3 plants increased in abundance with N fertilization, whereas C-4 plants hosted nitrophilous Glomus species. Such responses were independent of the duration or quantity of N fertilization, or the time since cessation of N fertilization. This synthesis provides a new understanding of AMF community patterns and processes, and it identifies three key drivers (soil N, N:P, host plant) of AMF community structure that may be tested in other communities.</t>
  </si>
  <si>
    <t>10.1890/06-1772.1</t>
  </si>
  <si>
    <t>WOS:000250915400003</t>
  </si>
  <si>
    <t>Rapid loss of genetic variation in an endangered possum</t>
  </si>
  <si>
    <t>The endangered mountain pygmy possum is the only Australian marsupial that hibernates under snow cover. Most of its alpine habitat was burnt by a rare fire in 2003, and habitat loss and disturbance have also occurred owing to ski resort development. Here we show that there has been a rapid loss of genetic variation following habitat loss associated with resort development, but no detectable loss of alleles or decrease in heterozygosity following the fire.</t>
  </si>
  <si>
    <t>10.1098/rsbl.2007.0454</t>
  </si>
  <si>
    <t>WOS:000252212900043</t>
  </si>
  <si>
    <t>Genetic diversity over multiple generations of supplementation: an example from Chinook salmon using microsatellite and demographic data</t>
  </si>
  <si>
    <t>We examined demographic data and microsatellite loci in a supplemented population of Chinook salmon (Oncorhynchus tshawytscha) seeking evidence of changes in genetic diversity or for reduction of the effective size (N-e ) arising from supplementation (i.e., the Ryman-Laikre effect). A supplementation program in the North Fork Stillaguamish River (Washington State, USA) was intended to increase abundance (N) and maintain genetic diversity in the depressed population. Since supplementation expanded in 1986, about 9% of the population has been randomly collected for broodstock. The resulting progeny are released into the wild and comprised 10-60% of all returning adults. Genotypic data were obtained at 14 microsatellite loci from adult samples collected in four years between 1985 and 2001; these data indicated that the allelic richness and expected heterozygosity did not significantly change during this period and that genetic diversity in the captive and wild progeny was similar. The inbreeding and variance N-e estimated from adult escapement between 1974 and 2004 were different for the same generation, but the ratios of effective size to census size were very similar and decreased following supplementation. The variance N-e by the temporal method increased over time, but it is difficult to draw conclusions because of necessary assumptions made during the calculations. Based on these results we conclude that: (1) genetic diversity has been maintained over multiple generations of supplementation; (2) supplementation has not contributed to a loss of genetic diversity; and (3) monitoring genetic effects of supplementation is not straightforward, but it can be useful to look at both demographic and genetic data simultaneously.</t>
  </si>
  <si>
    <t>10.1007/s10592-007-9298-y</t>
  </si>
  <si>
    <t>WOS:000252223100002</t>
  </si>
  <si>
    <t>Recovery of lichen-dominated soil crusts in a hyper-arid desert</t>
  </si>
  <si>
    <t>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t>
  </si>
  <si>
    <t>10.1007/s10531-007-9153-y</t>
  </si>
  <si>
    <t>WOS:000252302300001</t>
  </si>
  <si>
    <t>High genetic introgression in alpine brown trout (Salmo trutta L.) populations from Hardangervidda, Norway</t>
  </si>
  <si>
    <t>We studied the effect of stocking brown trout in three alpine lakes (Skavatn, Midtre Grondalsvatn and Nordmannslagen) of the Hardangervidda mountain plateau by comparing microsatellite data from historical (1933 and 1967) and contemporary (2003) population samples. Historical and contemporary samples from a control lake (Krokavatn) and a contemporary sample from Gjuvsja (suspected donor lake) were included as well. A total of 331 brown trout were genotyped with 11 microsatellites. Very low level of genetic diversity is observed in the historical samples from Nordmannslagen and Midtre Grondalsvatn but not in the contemporary samples. In Skavatn historical and contemporary samples show similar genetic diversity as in the other contemporary samples. Admixture analyses with the structure program indicate high levels of introgression by nonnative brown trout in all three lakes. The stocking source for two lakes (i.e. from Gjuvsja) is partially verifiable via our analyses. The high introgression in these lakes is discussed and the management issues are briefly addressed.</t>
  </si>
  <si>
    <t>10.1111/j.1600-0633.2007.00271.x</t>
  </si>
  <si>
    <t>WOS:000252711800020</t>
  </si>
  <si>
    <t>The impact of extreme flooding events and anthropogenic stressors on the macrobenthic communities' dynamics</t>
  </si>
  <si>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t>
  </si>
  <si>
    <t>10.1016/j.ecss.2007.07.026</t>
  </si>
  <si>
    <t>WOS:000253085200011</t>
  </si>
  <si>
    <t>An invasive crab alters interaction webs in a marine community</t>
  </si>
  <si>
    <t>Over the last decade, the non-native, filter-feeding crab Petrolisthes armatus invaded oyster reefs of the South Atlantic Bight at densities of thousands m(-2). Mesocosm and field experiments demonstrated that P. armatus at similar to 10-75% of mean summer densities: (1) suppressed growth of small oysters, biomass of benthic microalgae, and recruitment of native mud crabs, (2) enhanced oyster, mussel, and total bivalve recruitment, macroalgal cover, and survivorship of predatory oyster drills, but (3) did not affect native taxonomic richness. Laboratory feeding assays, field tethering experiments, and population changes in field and mesocosm experiments suggest that P. armatus is a preferred prey for native mud crabs and other consumers, thus relieving predation on native species and enhancing recruitment or survival of bivalves and oyster drills. In contrast, the invasive crab can consume crustacean larvae and via this feeding may suppress recruitment of native mud crabs. Our findings should be conservative given the low densities of P. armatus seeded into experimental plots and our inability to run longer-term experiments due to controls rapidly being colonized by non-native crabs recruiting from the plankton. Invasive crabs commonly impact native communities via predation, but community impacts of this invasive crab may be as much due to its role as a preferred prey of native consumers as to its predation on native prey. Given that oysters are foundation species for shallow reefs in the South Atlantic Bight, the long-term effects of this invasion could be considerable.</t>
  </si>
  <si>
    <t>10.1007/s10530-007-9134-9</t>
  </si>
  <si>
    <t>WOS:000253198500008</t>
  </si>
  <si>
    <t>Fish assemblages associated with urban structures and natural reefs in Sydney, Australia</t>
  </si>
  <si>
    <t>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t>
  </si>
  <si>
    <t>10.1111/j.1442-9993.2007.01802.x</t>
  </si>
  <si>
    <t>WOS:000253603900003</t>
  </si>
  <si>
    <t>The link between international trade and the global distribution of invasive alien species</t>
  </si>
  <si>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</si>
  <si>
    <t>10.1007/s10530-007-9138-5</t>
  </si>
  <si>
    <t>WOS:000254086900002</t>
  </si>
  <si>
    <t>Post-flood recovery of a macroinvertebrate community in a regulated river: Resilience of an anthropogenically altered ecosystem</t>
  </si>
  <si>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</si>
  <si>
    <t>10.1111/j.1526-100X.2007.00258.x</t>
  </si>
  <si>
    <t>WOS:000254194900004</t>
  </si>
  <si>
    <t>Contrasting effects of invasive plants in plant-pollinator networks</t>
  </si>
  <si>
    <t>The structural organization of mutualism networks, typified by interspecific positive interactions, is important to maintain community diversity. However, there is little information available about the effect of introduced species on the structure of such networks. We compared uninvaded and invaded ecological communities, to examine how two species of invasive plants with large and showy flowers (Carpobrotus affine acinaciformis and Opuntia stricta) affect the structure of Mediterranean plant-pollinator networks. To attribute differences in pollination to the direct presence of the invasive species, areas were surveyed that contained similar native plant species cover, diversity and floral composition, with or without the invaders. Both invasive plant species received significantly more pollinator visits than any native species and invaders interacted strongly with pollinators. Overall, the pollinator community richness was similar in invaded and uninvaded plots, and only a few generalist pollinators visited invasive species exclusively. Invasive plants acted as pollination super generalists. The two species studied were visited by 43% and 31% of the total insect taxa in the community, respectively, suggesting they play a central role in the plant-pollinator networks. Carpobrotus and Opuntia had contrasting effects on pollinator visitation rates to native plants: Carpobrotus facilitated the visit of pollinators to native species, whereas Opuntia competed for pollinators with native species, increasing the nestedness of the plant-pollinator network. These results indicate that the introduction of a new species to a community can have important consequences for the structure of the plant-pollinator network.</t>
  </si>
  <si>
    <t>10.1007/s00442-007-0946-1</t>
  </si>
  <si>
    <t>WOS:000254238700010</t>
  </si>
  <si>
    <t>Variation in reproductive success and effective number of breeders in a hatchery population of steelhead trout (Oncorhynchus mykiss):: examination by microsatellite-based parentage analysis</t>
  </si>
  <si>
    <t>Conservation programs that release captive-bred individuals into the wild to mix with naturally produced individuals are an increasingly common method of supporting or enhancing weak or reduced populations that otherwise may not be self-sustaining. Captive and supportive breeding can be important conservation tools for species with small or declining populations; however, in the case of hatcheries producing salmonid fishes, detailed evaluation of spawning programs is rare. We examined variation in reproductive success, measured by adult offspring production, from three parental generations of hatchery-bred steelhead trout (Oncorhynchus mykiss) using an exclusion-based method of genetic parentage assignment. Reproductive success varied greatly among individuals (especially males) and was correlated with fecundity and maternal spawning date. Estimates of egg to smolt survival for the population as a whole among years ranged from 64% to 95%, marine survival ranged from 0.32% to 2.30%, and the number of adults produced per female ranged from 0 to 18 and the number of adults produced per male ranged from 0 to 32. The effective number of breeders ranged from 11 % to 31 % of the census population size for that brood year. These ratios fell within estimates from estimates of Ne/N in chinook (O. tshawytscha) and rainbow trout (O. mykiss) hatchery populations.</t>
  </si>
  <si>
    <t>10.1007/s10592-007-9340-0</t>
  </si>
  <si>
    <t>WOS:000254242400005</t>
  </si>
  <si>
    <t>Genetic variation in the invasive process of Bursaphelenchus xylophilus (Aphelenchida: Aphelenchoididae) and its possible spread routes in China</t>
  </si>
  <si>
    <t>Pinewood nematode (Bursaphelenchus xylophilus) is an invasive species that causes a destructive forest disease pine wilt disease. This disease has been prevalent in some countries in Asia since the 1970s. An amplified fragment length polymorphism survey was used to compare the genetic variation of native and invasive nematode populations in China and to examine the changes in genetic diversity during the invasion process. The genetic diversity of Chinese populations was slightly higher than that of American populations. Analysis of groups sampled from different invasive stages in China, showed that no obvious change in genetic diversity. Hence, genetic drift and founder effects are not obvious in the invasion process. Phylogenetic analysis showed that Chinese pinewood nematode populations were closer to Japanese populations than to American populations. On the basis of the genetic relationships among samples, two major invasion pathways in China are suggested. One is from Guangdong to Anhui and Zhejiang, and the other is from Guangdong to Jiangsu and then from Jiangsu to Hubei, Guizhong and Congqing. The results imply that it is important to reinforce both domestic and international quarantine to control the spread of pinewood nematode.</t>
  </si>
  <si>
    <t>10.1038/sj.hdy.6801082</t>
  </si>
  <si>
    <t>WOS:000254335000004</t>
  </si>
  <si>
    <t>Exotic invasive knotweeds (Fallopia spp.) negatively affect native plant and invertebrate assemblages in European riparian habitats</t>
  </si>
  <si>
    <t>Invasive plants are, simply by occupying a large amount of space in invaded habitats, expected to impose a significant impact on the native vegetation and their associated food webs. However, little is known about the impact of invasive plants both on native vegetation and on different invertebrate feeding guilds at the habitat level. Yet, studies addressing multiple trophic levels, e.g. plant species, herbivores, predators and detrivores, are likely to yield additional insight into how and under which conditions invasive weeds alter ecosystem structures and processes. We set out to assess whether plant species richness and invertebrate assemblages in European riparian habitats invaded by exotic knotweeds (Fallopia spp.) differed from those found in native grassland- or bush-dominated riparian habitats, which are both potentially threatened by knotweed invasion. Our findings suggest that riparian habitats invaded by knotweeds support lower numbers of plant species and lower overall abundance and morphospecies richness of invertebrates, compared to native grassland-dominated and bush-dominated habitats. Total invertebrate abundance and morphospecies richness in Fallopia-invaded riparian habitats were correlated with native plant species richness, suggesting that there is a link between the replacement of native plant species by exotic Fallopia species and the reduction in overall invertebrate abundance and morphospecies richness. Moreover, biomass of invertebrates sampled in grassland and bush-dominated habitats was almost twice as high as that in Fallopia-invaded habitats. Large-scale invasion by exotic Fallopia species is therefore likely to seriously affect biodiversity and reduce the quality of riparian ecosystems for amphibians, reptiles, birds and mammals whose diets are largely composed of arthropods. (c) 2007 Elsevier Ltd. All rights reserved.</t>
  </si>
  <si>
    <t>10.1016/j.biocon.2007.12.009</t>
  </si>
  <si>
    <t>WOS:000254729500006</t>
  </si>
  <si>
    <t>Changes in macroinvertebrate and fish assemblages in a medium-sized river following a breach of a low-head dam</t>
  </si>
  <si>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</si>
  <si>
    <t>10.1111/j.1365-2427.2008.01956.x</t>
  </si>
  <si>
    <t>WOS:000254808400018</t>
  </si>
  <si>
    <t>The influence of contrasting life history traits and oceanic processes on genetic structuring of rabbitfish populations Siganus argenteus and Siganus fuscescens along the eastern Philippine coasts</t>
  </si>
  <si>
    <t>Genetic variability and structuring of rabbitfish populations with contrasting life histories, Siganus argenteus and Siganus fuscescens were determined using allozyme analysis. A total of 13-14 polymorphic loci were examined from samples collected in 2002 and 2003 from eight reefs representing 25 populations north (Kuroshio Current) and south (Mindanao Current) of the bifurcation of the North Equatorial Current along the eastern Philippine coast. S. fuscescens populations (H (OBS) = 0.085) showed higher heterozygosity than S. argenteus (H (OBS) = 0.053), consistent with predictions of the neutral theory for demersal egg spawners compared to pelagic egg spawners. The generally lower genetic variability of Kuroshio populations may be due to greater environmental disturbance affecting larval mortality and recruitment success. There was no significant overall population genetic structuring for S. argenteus (F (ST) = 0.01485, P &gt; 0.05) compared to S. fuscescens (F (ST) = 0.03275, P &lt; 0.05). The latter species showed highly significant genetic structuring among Kuroshio and Mindanao Current populations in both 2002 and 2003 (F (CT) = 0.08120, P &lt; 0.05; F (CT) = 0.07500, P &lt; 0.05, respectively), as well as among populations within regions. This conforms to expectations of correlations between observed population genetic structure and life history features related to dispersal potential and gene flow. However, there were significant temporal (i.e., 2002 vs. 2003 samples) genetic variations for both S. fuscescens (F (CT) = 0.08542, P &lt; 0.05) and S. argenteus (F (CT) = 0.06330, P &lt; 0.05), which may reflect interannual variability in recruitment success. Differences in population spatial genetic patterns between the two reef fish species suggest that broad scale physical factors (e.g. NEC bifurcation) and regional environmental perturbations (e.g. incidence of typhoons) affect population genetic structure of sympatric congeneric species with different life histories differently. Finer scale ecological processes, which affect larval dispersal and recruitment (e.g., local hydrographic features, distribution of habitats), particularly in the Mindanao Current region, exert more influence on structuring populations of S. fuscescens.</t>
  </si>
  <si>
    <t>10.1007/s00227-008-0946-7</t>
  </si>
  <si>
    <t>WOS:000255093700012</t>
  </si>
  <si>
    <t>Mussel-farming effects on Mediterranean benthic nematode communities</t>
  </si>
  <si>
    <t>Mussel aquaculture activities in coastal areas are growing rapidly throughout the world, inducing an increasing interest and concern for their potential impact on coastal marine environments. We have investigated the impact of organic loads due to the biodeposition of a mussel farm in a lagoonar ecosystem of the Mediterranean Sea (Bizerta lagoon, northern Tunisia) on the benthic environment. The most evident changes in the benthic habitat under the farm were a strong reduction of oxygen penetration into the bottom sediments and a large accumulation of chlorophyll a (concentrations up to 16 mu g g(-1)), phaeopigments (concentrations up to 48 mu g g(-1)) and total organic matter (concentrations up to 12%). Results from univariate analysis of the nematofaunal data show that the nematode abundance increased in all the stations located inside the mussel farm (11, 12, 13) and the site 12, located in the centre of the mussel farm, was the most affected. At this site, Shannon-Wiener index H', species richness (d), evenness (J') and number of species (S) decreased significantly. Results from multivariate analyses of the species abundance data demonstrated that responses of nematode species to the organic matter enrichment were varied: Mesacanthion diplechma was eliminated at the most affected station (12), whereas the abundances of Paracomesoma dubium, Terschellingia longicaudata and T. communis were significantly enhanced. Responses of free-living nematodes to mussel farm biodeposition (elimination of some species and increase or decrease of some others) could lead to food limitation for their predators that, ultimately, could alter entire communities and ecosystems. Consequently, we suggest that site-specific hydrodynamic and biogeochemical conditions should be taken into account when planning new mussel farms, and meiobenthic communities should be monitored before and after farm development to prevent excessive modifications of benthic assemblage structure.</t>
  </si>
  <si>
    <t>10.1163/156854108783900285</t>
  </si>
  <si>
    <t>WOS:000255341000003</t>
  </si>
  <si>
    <t>Understanding the biodiversity consequences of habitat change:: the value of secondary and plantation forests for neotropical dung beetles</t>
  </si>
  <si>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t>
  </si>
  <si>
    <t>10.1111/j.1365-2664.2008.01454.x</t>
  </si>
  <si>
    <t>WOS:000255464600016</t>
  </si>
  <si>
    <t>Temporal and spatial analyses disclose consequences of habitat fragmentation on the genetic diversity in capercaillie (Tetrao urogallus)</t>
  </si>
  <si>
    <t>As a result of habitat fragmentation, the capercaillie (Tetrao urogallus) population in the Black Forest mountain range in southwestern Germany has declined rapidly during the last decades and now persists in patchy isolated fragments. To study the effects of fragmentation, we quantified dispersal patterns by genotyping 213 individuals in four subpopulations. We used a landscape genetics approach to analyse individual genetic variation, and despite overall low genetic structure, we found strong indications for a major boundary separating the northern part of the Black Forest area from the other subpopulations. Males and females display different gene flow patterns across the landscape. Females tend to disperse across longer distances than do males. We additionally studied the effects of the population decline on genetic diversity during the last hundred years. Although the population has dramatically declined from over 4000 to 250 males over a few decades, genetic diversity was not affected in the same way. We found two haplotypes that were present only in historic samples but microsatellite markers revealed no significant reduction in genetic diversity. Among historic samples, genetic differentiation was very low, indicating that the current genetic structure is caused by recent habitat fragmentation. We argue that inferences about reduced genetic diversity are drawn cautiously and recommend sampling over different temporal scales.</t>
  </si>
  <si>
    <t>10.1111/j.1365-294X.2008.03767.x</t>
  </si>
  <si>
    <t>WOS:000255464800004</t>
  </si>
  <si>
    <t>Do cyclones and forest fragmentation have synergistic effects? A before-after study of rainforest vegetation structure at multiple sites</t>
  </si>
  <si>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</si>
  <si>
    <t>10.1111/j.1442-9993.2008.01902.x</t>
  </si>
  <si>
    <t>WOS:000255643500010</t>
  </si>
  <si>
    <t>Comparing bird assemblages in large and small fragments of the Atlantic Forest hotspots</t>
  </si>
  <si>
    <t>The Atlantic Forest (AF) is one of the five most threatened and megadiverse world hotspots. It is arguably the most devastated and highly threatened ecosystem on the planet. The vast scope of habitat loss and extreme fragmentation in the AF hotspots has left intact very few extensive and continuous forested fragments. We compared bird assemblages between small (&lt; 100 ha) and large (&gt; 6,000 ha) forest remnants, in one of the largest AF remnants in Argentina. We performed 84 point-counts of birds in four large fragments (LF) and 67 points in 25 small fragments (SF). We recorded 4,527 bird individuals belonging to 173 species; 2,632 belonging to 153 species in LF and 1,897 in 124 species in SF. Small fragments suffered a significant loss of bird richness, mainly forest dependent species, but the birds abundance did not decrease, due to an increase in abundance of forest independent and semi-dependent bird species (edge and non forest species) that benefit from forest fragmentation. The bird guilds of frugivores, undestory, terrestrial and midstory insectivores, nectarivores and raptors, and the endemic species of AF were area sensitive, decreasing significantly in richness and abundance in the SF. Terrestrial granivores were the only guild positively affected by forest fragmentation, containing mainly edge species, which forage in open areas or borders including crops. Our first observations on fragmentation effects on bird assemblages in the southernmost Argentinean Atlantic Forests did not validate the hypothesis on pre-adaptation to human disturbances in the bird communities of AF. On the contrary, we observed that forest dependent, endemic and several sensitive bird guilds were strongly affected by fragmentation, putting in evidence the vulnerability to the fragmentation process and the necessity to conserve large remnants to avoid reduction of the high biodiversity of AF birds.</t>
  </si>
  <si>
    <t>10.1007/s10531-007-9309-9</t>
  </si>
  <si>
    <t>WOS:000255998100018</t>
  </si>
  <si>
    <t>Impacts of off-road vehicles (ORVs) on macrobenthic assemblages on sandy beaches</t>
  </si>
  <si>
    <t>Sandy beaches are the prime sites for human recreation and underpin many coastal economies and developments. In many coastal areas worldwide, beach recreation relies on the use of off-road vehicles (ORVs) driven on the shore. Yet, the use of ORVs is not universally embraced due to social conflicts with other beach user groups and putative environmental consequences of vehicle traffic on sandy shores. Such ecological impacts of ORVs are, however, poorly understood for endobenthic invertebrates of the intertidal zone seawards of the dunes. Consequently, this study quantified the degree to which assemblages of intertidal beach invertebrates are affected by traffic. The study design comprised a series of temporally replicated spatial contrasts between two reference sites (no ORVs) and two beaches with heavy ORV traffic (in excess of 250,000 vehicles per year) located in South-East Queensland, Australia. Macrobenthic assemblages on ORV-impacted beaches had significantly fewer species at substantially reduced densities, resulting in marked shifts in community composition and structure. These shifts were particularly strong on the middle and upper shore where vehicle traffic was concentrated. Strong effects of ORVs were detectable in all seasons, but increased towards the summer months as a result of heavier traffic volumes. This study provides clear evidence that ORVs can have substantial impacts on sandy beach invertebrates that are manifested throughout the whole community. Demonstrating such an ecological impact caused by a single type of human use poses a formidable challenge to management, which needs to develop multi-faceted approaches to balance environmental, social, cultural, and economic arguments in the use of sandy shores, including management of beach traffic.</t>
  </si>
  <si>
    <t>10.1007/s00267-008-9071-0</t>
  </si>
  <si>
    <t>WOS:000256054000008</t>
  </si>
  <si>
    <t>Distribution of carabid beetles among 40-year-old regenerating plantations and 100-year-old naturally regenerated forests in Southwestern China</t>
  </si>
  <si>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</si>
  <si>
    <t>10.1016/j.foreco.2008.01.019</t>
  </si>
  <si>
    <t>WOS:000256143900056</t>
  </si>
  <si>
    <t>Effects of habitat fragmentation and degradation on flocks of African ant-following birds</t>
  </si>
  <si>
    <t>Tropical rain forests are rapidly cleared, fragmented, and degraded in sub-Saharan Africa; however, little is known about the response of species and even of key ecological groups to these processes. One of the most intriguing (but often neglected) ecological phenomena in African rain forests is the interaction between swarm-raiding army ants and ant-following birds. Similar to their well-known Neotropical representatives, ant-following birds in Africa track the massive swarm raids of army ants and feed on arthropods flushed by the ants. In this study we analyzed the effect of habitat fragmentation and degradation of a mid-altitude Congo-Guinean rain forest in western Kenya on the structure of ant-following bird flocks. Significant numbers of swarm raids were located in all forest fragments and in both undegraded and degraded forest. Fifty-six different species of birds followed army ant raids, forming bird flocks of one to 15 species. We quantitatively differentiated the bird community into five species of specialized ant-followers and 51 species of opportunistic ant-followers. Species richness and size of bird blocks decreased with decreasing size of forest fragments and was higher in undegraded than in degraded habitat. This was caused by the decrease of the species richness and number of specialized ant-followers at swarms, while the group of opportunistic ant-followers was affected little by habitat fragmentation and degradation. The composition of bird flocks was more variable in small fragments and degraded forest, compared to undegraded habitat in large fragments. The effect of habitat fragmentation on flock structure was best explained by the strong decline of the abundance of specialized ant-followers in small forest fragments. To conserve the association of army ants and ant-following birds in its natural state, vast areas of unfragmented and undegraded tropical rain forest are necessary.</t>
  </si>
  <si>
    <t>10.1890/07-1295.1</t>
  </si>
  <si>
    <t>WOS:000256243200004</t>
  </si>
  <si>
    <t>An assessment of genetic diversity in wild and captive populations of endangered Japanese bitterling Tanakia tanago (Cyprinidae) using amplified fragment length polymorphism (AFLP) markers</t>
  </si>
  <si>
    <t>The Japanese bitterling Tanakia tanago (Cyprinidae) is on the verge of extinction in the wild, placing great importance on captive breeding programs for current conservation of the species. However, the loss of genetic diversity during captive breeding is an ongoing matter of concern. Since some captive populations have been almost monomorphic in mitochondrial DNA (mtDNA), this hampers assessments of their genetic diversity during captive breeding. To more accurately assess their genetic diversity, one wild and three captive populations were examined using amplified fragment length polymorphism (AFLP) markers. Estimates of average heterozygosity and nucleotide diversity ranged 0.0479-0.1920 and 0.0023-0.0088, respectively, enabling comparison of genetic diversity among the wild and captive populations, and among year-classes of captive populations. Significant differences in numbers of amplified fragments and proportions of polymorphic fragments were observed among year-classes of all populations. The indices of genetic diversity calculated from AFLP seemed to be, however, less sensitive to weak bottlenecks. No continuous decrease in genetic diversity in nuclear DNA was detected in presently captive populations. This supports the possibility of re-introduction of the captive populations into the original habitats, although survival and reproductive ability in the wild must be taken into consideration.</t>
  </si>
  <si>
    <t>10.1111/j.1444-2906.2008.01551.x</t>
  </si>
  <si>
    <t>WOS:000256409200005</t>
  </si>
  <si>
    <t>Songbird response to experimental retention harvesting in red pine (Pinus resinosa) forests</t>
  </si>
  <si>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</si>
  <si>
    <t>10.1016/j.foreco.2008.02.049</t>
  </si>
  <si>
    <t>WOS:000256578500010</t>
  </si>
  <si>
    <t>Genetic diversity and effective size of the Atlantic salmon Salmo salar L. inhabiting the River Eo (Spain) following a stock collapse</t>
  </si>
  <si>
    <t>Historic angling records suggest the occurrence of a drastic decline in the River Eo (Spain) Atlantic salmon population size during the past two decades, as a result of overexploitation and habitat deterioration. In recent years, the population has been apparently recovering, and the present study is aimed to report information on the level of genetic diversity and the effective size of the current population as these may have immediate consequences for its conservation. Eighty-six salmon from two temporal groups (1998-1999 and 2004-2006), representing three generations, were genotyped using a panel of eight microsatellites. Inspite of the recent decline in census numbers and the detection of the signs of a population bottleneck, the population exhibits a high level of genetic diversity, similar to that from other populations, and almost unchanged during the period of study [average allelic richness (A) = 14.0 and 13.9, and average heterozygosity (H-e) = 0.843 and 0.851 in 1998-1999 and 2004-2006, respectively]. The effective population size (N-e) estimated by two different temporal methods showed a consistent value around 80 salmon, whereas the estimates from the linkage disequilibrium (LD) method provided a value around 165 individuals for either sample. The recent growing number of salmon, as indicated by fisheries records, the relatively large estimates of the ratio N-e/N (with range 0.23-0.44 for the temporal estimates and 0.31-0.59 for the LD estimates) and the high levels of diversity found suggest that the population has not been greatly affected by the historical census declines and can be expected to recover in the future. (c) 2008 The Authors Journal compilation (c) 2008 The Fisheries Society of the British Isles.</t>
  </si>
  <si>
    <t>10.1111/j.1095-8649.2007.01769.x</t>
  </si>
  <si>
    <t>WOS:000256618700004</t>
  </si>
  <si>
    <t>Modified otter trawl legs to reduce damage and mortality of benthic organisms in North East Atlantic fisheries (Bay of Biscay)</t>
  </si>
  <si>
    <t>Despite a consensus about the significant damages to marine benthos and commercial fish stocks induced by mobile fishing gear, the extent and intensity of this practice have currently grown all over the world. The main problems of fisheries management are the capture and killing of juvenile and undersized fish and thus restrictions mainly concern mesh size in cod-end. However another recurrent problem and non-negligible is the by-catch of undersize commercial fish and of non-target species. Hence, regulations to reduce such by-catch have formed a part of fisheries management techniques since the early 20th century. As a consequence, successful developments and technical modification have been used to reduce capture of undersized fish and discards (i.e. mesh size, separator panels, and sorting grids) in the last decades. Technical modification concerning reduction of damage and mortality to benthic communities are less documented. Most of the tentative to replace tickler chain, panels or legs by other systems have failed, while results showed a decrease in non-target catch, and a decrease in commercial catch was observed. This paper presents fishing experiments with modified otter trawl aimed at reducing discard rates and direct mortality of benthic infauna and epifauna without affecting the level of landings (i.e. a comparison of environmental effects caused by a conventional otter trawl compared to a modified otter trawl with enlighten experimental legs). Catch composition, by-catch and short-term effects to macro- and megafauna communities of both fishing gear (conventional and modified) were investigated. Results show that no differences for commercial catch biomass or for benthic communities' structure were observed. Moreover, by-catch analysis showed no difference while significant higher damage and direct mortality were observed for target and non-target species caught by the normal otter trawl compared to those caught by the modified one. Consequently, although limited, the severity of the damage appears to be linked with the type of trawl-legs used. The modified otter trawl permits to decrease damage and mortality to captured and non-captured organism and thus to reduce impacts to exploited marine ecosystems. These results are of interest and appear attractive in the framework of marine ecosystems preservation and conservation, as well as of fisheries management. (C) 2007 Elsevier B.V. All rights reserved.</t>
  </si>
  <si>
    <t>10.1016/j.jmarsys.2007.05.017</t>
  </si>
  <si>
    <t>WOS:000256816400002</t>
  </si>
  <si>
    <t>Ecological signatures of anthropogenically altered tidal exchange in estuarine ecosystems</t>
  </si>
  <si>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</si>
  <si>
    <t>10.1007/s12237-008-9044-9</t>
  </si>
  <si>
    <t>WOS:000256927700008</t>
  </si>
  <si>
    <t>Evaluation of indicators used to detect mussel farm influence on the benthos: Two case studies in the Magdalen Islands, Eastern Canada</t>
  </si>
  <si>
    <t>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t>
  </si>
  <si>
    <t>10.1016/j.aquaculture.2008.03.026</t>
  </si>
  <si>
    <t>WOS:000257004800014</t>
  </si>
  <si>
    <t>Population structure of striped marlin (Kajikia audax) in the Pacific Ocean based on analysis of microsatellite and mitochondrial DNA</t>
  </si>
  <si>
    <t>Genetic variation was surveyed at five microsatellite loci and the mitochondrial control region (819 bp) to test for the presence of genetic stock structure in striped marlin (Kajikia audax) collections taken from seven locations throughout the Pacific Ocean. Temporal replicates separated by 9 years were taken off Japan, and three temporal samples spanning 11 years were collected off the coast of eastern Australia. Analyses of multilocus microsatellite genotypes and mitochondrial control region sequences showed no significant heterogeneity among collections taken from the same location in different years; however, significant spatial genetic heterogeneity was observed across all samples for microsatellite markers (F-ST = 0.013, P &lt; 0.001). Mitochondrial control region sequences were not different across all samples (Phi(ST) = -0.01, P = 0.642). Analyses of molecular variance (AMOVA) revealed significant genetic differentiation between geographic regions for both microsatellite and mitochondrial markers. These results suggest the presence of genetically discrete populations within the Pacific Ocean and are supported by both the results of tagging studies, which show limited dispersal, and the presence of geographically separated spawning grounds.</t>
  </si>
  <si>
    <t>10.1139/F08-054</t>
  </si>
  <si>
    <t>WOS:000257359100007</t>
  </si>
  <si>
    <t>The impact of land-use change on larval insect communities: Testing the role of habitat elements in conservation</t>
  </si>
  <si>
    <t>Conservationists have proposed that maintaining key elements of the original land-cover type in modified landscapes may mitigate the detrimental effects of land-cover change on residual species. We tested this hypothesis for aquatic insect communities in tank-forming bromeliads in forested and non-forested habitats in Costa Rica. Bromeliad tanks hold much of the standing water in this region and therefore provide an important resource for insects with aquatic larval stages. We quantified the relative importance of land-use type and the bromeliad-specific local environment on the insect community, and also the effect of land-use type on this local environment. Insect species responded to both land-use type and the local environment, with these variables explaining a total of 36% of species densities. The local environment independently explained 19% of insect densities, while land-use type explained 17%, mainly through its modification of the local environment. Local environmental conditions were strongly correlated to land-use type (r(2) = 0.64), with non-forest habitat having a higher average temperature, a greater variation in temperature, and a lower density of bromeliads. Our results indicate that the land-use type in which bromeliads occur influences the relative densities of insects by altering the local environment of bromeliads. Therefore, maintaining bromeliads under land-use conversion will not necessarily maintain the bromeliad insect community of the original forested habitat.</t>
  </si>
  <si>
    <t>10.2980/15-2-3098</t>
  </si>
  <si>
    <t>WOS:000257412900003</t>
  </si>
  <si>
    <t>Spatial and temporal variation of genetic diversity and estimation of effective population sizes in Atlantic salmon (Salmo salar, L.) populations from Asturias (Northern Spain) using microsatellites</t>
  </si>
  <si>
    <t>Rivers in Asturias (northern Spain) constitute the southern limit of the distribution of Atlantic salmon (Salmo salar L.) in Europe, a biological resource facing one of the more serious challenges for conservation today. In this work, eight microsatellite loci have been used to analyse samples collected in 1993 and 1999 from four Asturian rivers (Esva, Narcea, Sella, and Cares), obtaining information about the temporal and the spatial genetic variation in these populations and, in addition, estimations of their effective population sizes. The temporal analysis revealed a general decrease in all the estimated genetic variability parameters when samples from 1993 (mean A((1993)) = 6.47, mean H-O(1993) = 0.472, mean H-E(1993) = 0.530) were compared with those obtained in 1999 (mean A((1999)) = 6.16, mean H-O(1999) = 0.460, mean H-E(1999) = 0,490). This reduction was particularly notable for the case of the Esva river. Our results pointed to a pattern of spatial genetic differentiation inside the Asturian region (F-ST ((1993)) = 0.0 16 P &lt; 0.01; F-ST ((1999)) = 0.023 P &lt; 0.0 1). Using the standard Temporal Method we found estimates of N-e(Lambda) ((Esva)) = 75.1 (33.2-267.2); N-e(Lambda) ((Cares)) = 96.6 (40.0-507.5), N-e(Lambda) ((Slla)) = 106.5 (39.1-9396.4) and N-e(Lambda) ((Narcea)) = 113.9 (42.0-3693.3). The use of likelihood-based methods for the N-e(Lambda) estimations improved the results (smaller CIs) for the Esva and Cares rivers (N-e(Lambda) ((Esva)) = 63.9 (32.3-165.3); N-e(Lambda) ((Cares)) = 76.4 (38.8-202.0) using a Maximum likelihood approach) and suggested the presence of larger Populations for the Sella and Narcea rivers (N-e(Lambda)approximate to 200) These results showed that the Asturian Atlantic salmon populations (in particular Esva and Cares river populations) could be close to the conservation genetic borderline for avoiding inbreeding depression although we discuss some implications of the analysis of temporal genetic change in populations with overlapping generations.</t>
  </si>
  <si>
    <t>10.1007/s10592-007-9400-5</t>
  </si>
  <si>
    <t>WOS:000257420700002</t>
  </si>
  <si>
    <t>Effects of shoreline development on the nearshore environment in large deep oligotrophic lakes</t>
  </si>
  <si>
    <t>1. In large deep oligotrophic lakes, the shallow nearshore waters may provide the most important habitat for animals to feed and breed, and it is this area of the lake where humans are most likely to have initial impacts as the shoreline is developed. Nutrients in fertilizers, sediments and sewage effluents are likely to be rapidly intercepted by nearshore algae at the lake edge, having heterogeneous effects nearshore before offshore effects are noted. 2. Here we examined the spatially explicit effects of residential development on nearshore periphyton communities in three large deep oligotrophic lakes that have all experienced modest residential development in the Pacific Northwest of the United States. We demonstrate that substantial nearshore changes in the basal food web are detectable even with low levels of shoreline development. These changes can potentially affect whole-lake food web dynamics. 3. For our primary study site (Lake Crescent, Washington, USA), we found that algal biomass and accumulation of detritus were higher at developed sites. In addition, both macroinvertebrate and periphyton communities exhibited a shift in composition with more detritivores and filamentous green algae at developed sites. These differences were more pronounced during the spring than at other times of year. 4. A complementary investigation of field patterns in Priest Lake and Lake Pend Oreille (Idaho, USA) suggested that, although spatial and temporal patterns were idiosyncratic, indicators of productivity and the presence of filamentous green algae were generally higher at developed sites across lakes. 5. Stable isotope signatures and water column nutrients were not useful in distinguishing developed and undeveloped sites, increasing the potential usefulness of periphyton monitoring during early stages of lake development. 6. A laboratory investigation suggested that common macroinvertebrate grazers assimilated a much greater proportion of diatoms than the filamentous green algae that are associated with fertilization at developed sites. 7. These findings have at least two clear implications: (i) periphyton may be used to detect human impacts before disturbance is evident in offshore monitoring programmes and (ii) nearshore impacts in response to modest residential development have the potential to disrupt lake food web dynamics.</t>
  </si>
  <si>
    <t>10.1111/j.1365-2427.2008.01990.x</t>
  </si>
  <si>
    <t>WOS:000257712600016</t>
  </si>
  <si>
    <t>Temporal changes in allele frequencies but stable genetic diversity over the past 40 years in the Irish Sea population of thornback ray, Raja clavata</t>
  </si>
  <si>
    <t>Rays and skates are an unavoidable part of the by-catch in demersal fisheries. Over the past 40 years, the thornback ray (Raja clavata) has decreased in numbers and even disappeared in some areas, leading to concerns about genetic risk. For this reason, the effective population size (N-e), the migration rate (m) and temporal changes in the genetic diversity were estimated for the population of thornback rays in the Irish Sea and Bristol Channel. Using genotyped, archived and contemporary samples (1965 and 2003-2004), N-e was estimated at 283 individuals (95% CI = 145-857), m at 0.1 (95% CI 0.03-0.25) and the N-e/N ratio between 9 x 10(-5) and 6 x 10(-4). Although these results must be treated with caution, due to the small sample sizes, this is the first attempt to estimate N-e in an elasmobranch species. The low N-e/N ratio suggests that relatively few individuals contribute to the next generation. The combined effect of sex bias, inbreeding, fluctuations in population size and, perhaps most important, the variance in reproductive success may explain the low N-e/N ratio. In addition, the relatively high gene flow between Irish Sea population and other source populations is likely to have had an impact on our estimate, which may be more relevant at the metapopulation scale. No significant loss of genetic diversity was found over the 40-year timeframe and long-term maintenance of the genetic diversity could be due to gene flow.</t>
  </si>
  <si>
    <t>10.1038/hdy.2008.36</t>
  </si>
  <si>
    <t>WOS:000257852300004</t>
  </si>
  <si>
    <t>Non-indigenous marine macroalgae in native communities: a case study in the British Isles</t>
  </si>
  <si>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</si>
  <si>
    <t>10.1017/S0025315408001409</t>
  </si>
  <si>
    <t>WOS:000257947000005</t>
  </si>
  <si>
    <t>Forest fragmentation and edge effects from deforestation and selective logging in the Brazilian Amazon</t>
  </si>
  <si>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</si>
  <si>
    <t>10.1016/j.biocon.2008.04.024</t>
  </si>
  <si>
    <t>WOS:000258306300002</t>
  </si>
  <si>
    <t>Impacts of a woody invader vary in different vegetation communities</t>
  </si>
  <si>
    <t>The impact of an exotic species in natural systems may be dependent not only on invader attributes but also on characteristics of the invaded community. We examined impacts of the invader bitou bush, Chrysanthemoides monilifera ssp. rotundata, in fore and hind dune communities of coastal New South Wales, Australia. We compared invader impacts on vegetation structure, richness of both native and exotic growth forms and community variability in fore and hind dunes. We found that impacts of bitou invasion were context specific: in fore dune shrublands, functionally distinct graminoid, herb and climber rather than shrub growth forms had significantly reduced species richness following bitou invasion. However, in forested hind dunes, the functionally similar native shrub growth form had significantly reduced species richness following bitou invasion. Density of vegetation structure increased at the shrub level in both fore and hind dune invaded communities compared with non-invaded communities. Fore dune ground-level vegetation density declined at invaded sites compared with non-invaded sites, reflecting significant reductions in herb and graminoid species richness. Hind dune canopy-level vegetation density was reduced at invaded compared with non-invaded sites. Bitou bush invasion also affected fore dune community variability with significant increases in variability of species abundances observed in invaded compared with non-invaded sites. In contrast, variability among all hind dune sites was similar. The results suggest that effects of bitou bush invasion are mediated by the vegetation community. When bitou bush becomes abundant, community structure and functioning may be compromised.</t>
  </si>
  <si>
    <t>10.1111/j.1472-4642.2008.00493.x</t>
  </si>
  <si>
    <t>WOS:000258376800011</t>
  </si>
  <si>
    <t>Compositional and functional stability of arthropod communities in the face of ant invasions</t>
  </si>
  <si>
    <t>There is a general consensus that the diversity of a biotic community can have an influence on its stability, but the strength, ubiquity, and relative importance of this effect is less clear. In the context of biological invasions, diversity has usually been studied in terms of its effect on a community's invasibility, but diversity may also influence stability by affecting the magnitude of compositional or functional changes experienced by a community upon invasion. We examined the impacts of invasive ants on arthropod communities at five natural area sites in the Hawaiian Islands, and assessed whether differences among sites in community diversity and density variables were related to measures of stability. Ant invasion was usually associated with significant changes in overall community composition, as measured by Bray-Curtis distances, particularly among endemic subsets of the communities. Changes in mean species richness were also strong at three of the five sites. Among sites, diversity was negatively related to stability as measured by resistance to overall compositional change, but this effect could not be separated from the strong negative effect of invasive ant density on compositional stability. When compositional stability was measured as proportional change in richness, the best predictor of stability among endemic community subsets was endemic richness, with richer communities losing proportionately more species than species-poor communities. This effect was highly significant even after controlling for differences in invasive ant density and suggested that communities that had already lost many endemic species were resistant to further species loss upon ant invasion, while more intact communities remained vulnerable to species loss. Communities underwent strong but idiosyncratic functional shifts in association with ant invasion, both in terms of trophic structure and total arthropod biomass. There were no apparent relationships, however, between functional stability and community diversity or density measures. Instead, invasive ant density was the best among-site predictor of the magnitude of functional change. Overall, diversity appeared to be a poor predictor of stability in the face of ant invasion in these communities, possibly because any actual diversity effects were overshadowed by community-specific factors and variation in the magnitude of the ant-mediated perturbation.</t>
  </si>
  <si>
    <t>10.1890/07-1293.1</t>
  </si>
  <si>
    <t>WOS:000258413600018</t>
  </si>
  <si>
    <t>Effects of non-native plants on the native insect community of Delaware</t>
  </si>
  <si>
    <t>Due to the lack of a co-evolutionary history, the novel defenses presented by introduced plants may be insurmountable to many native insects. Accordingly, non-native plants are expected to support less insect biomass than native plants. Further, native insect specialists may be more affected by introduced plants than native generalist herbivores, resulting in decreased insect diversity on non-native plants due to the loss of specialists. To test these hypotheses, we used a common garden experiment to compare native insect biomass, species richness, and the proportion of native specialist to native generalist insects supported by 45 species of woody plants. Plants were classified into three groupings, with 10 replicates of each species: 15 species native to Delaware (Natives), 15 non-native species that were congeneric with a member of the Native group (Non-native Congeners), and 15 non-native species that did not have a congener present in the United States (Aliens). Native herbivorous insects were sampled in May, June, and July of 2004 and 2005. Overall, insect biomass was greater on Natives than Non-native Congeners and Aliens, but insect biomass varied unpredictably between congeneric pair members. Counter to expectations, Aliens held more insect biomass than did Non-native Congeners. There was no difference in species richness or the number of specialist and generalist species collected among the three plant groupings in either year, although our protocol was biased against sampling specialists. If these results generalize to other studies, loss of native insect biomass due to introduced plants may negatively affect higher trophic levels of the ecosystem.</t>
  </si>
  <si>
    <t>10.1007/s10530-007-9193-y</t>
  </si>
  <si>
    <t>WOS:000258704400021</t>
  </si>
  <si>
    <t>An invasion revisited:: the African big-headed ant (Pheidole megacephala) in northern Australia</t>
  </si>
  <si>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</si>
  <si>
    <t>10.1007/s10530-007-9194-x</t>
  </si>
  <si>
    <t>WOS:000258704400022</t>
  </si>
  <si>
    <t>Historical marine ecology: Examining the role of fisheries in changes in North Sea benthos</t>
  </si>
  <si>
    <t>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t>
  </si>
  <si>
    <t>10.1579/07-A-300.1</t>
  </si>
  <si>
    <t>WOS:000258729400007</t>
  </si>
  <si>
    <t>Downstream effects of mountaintop coal mining: comparing biological conditions using family- and genus-level macroinvertebrate bioassessment tools</t>
  </si>
  <si>
    <t>Surface coal mining with valley fills has impaired the aquatic life in numerous streams in the Central Appalachian Mountains. We characterized macroinvertebrate communities from riffles in 37 small West Virginia streams (10 unmined and 27 mined sites with valley fills) sampled in the spring index period (March-May) and compared the assessment results using family- and genus-level taxonomic data. Specific conductance was used to categorize levels of mining disturbance in mined watersheds as low (&lt;500 mu S/cm), medium (500-1000 mu S/cm), or high (&gt;1000 mu S/cm). Four lines of evidence indicate that mining activities impair biological condition of streams: shift in species assemblages, loss of Epherneroptera taxa, changes in individual metrics and indices, and differences in water chemistry. Results were consistent whether family- or genus-level data were used. In both family- and genus-level nonmetric multidimensional scaling (NMS) ordinations, mined sites were significantly separated from unmined sites, indicating that shifts in community structure were caused by mining. Several Epherneroptera genera (e.g., Ephemerella, Epeorus, Drunella) and their families (Ephemerellidae, Heptageniidae) were correlated most strongly with the primary NMS axis (r &gt; 0.59 for these genera; r &gt; 0.78 for these families). These same Ephemeroptera were absent and, thus, eliminated from most of the mined sites. Total Ephemeroptera richness and relative abundance both declined with increasing mining disturbance. Several other metrics, such as richness, composition, tolerance, and diversity, clearly discriminated unmined vs mined sites. Most family-level metrics performed well and approximated the strength of genus-based metrics. A genus-based multimetric index (MMI) rated more mined sites as impaired than did the family-based MMI. Water-quality variables related to mining were more strongly correlated to NMS axis-1 scores, metrics, and MMIS than were sedimentation and riparian habitat scores. Generally, the correlations between the genus-level MMI and water-quality variables were stronger than the correlations between the family-level MMI and those variables. Our results show that mining activity has had subtle to severe impacts on benthic macroinvertebrate communities and that the biological condition most strongly correlates with a gradient of ionic strength.</t>
  </si>
  <si>
    <t>10.1899/08-015.1</t>
  </si>
  <si>
    <t>WOS:000258851800019</t>
  </si>
  <si>
    <t>Assessing urban impacts on water quality, benthic communities and fish in streams of the Andes Mountains, Patagonia (Argentina)</t>
  </si>
  <si>
    <t>Communities of aquatic macroinvertebrates, fish density and biomass, and environmental variables were investigated in three Patagonian mountain rivers affected by urbanization. The rivers Las Minas, Esquel and Carbon that flow through the towns of Cholila, Esquel and Corcovado, respectively (northwest Chubut, Argentina) were selected to assess the degree of impairment. A reference site and an urban site were established on each river. Water quality variables including conductivity, major nutrients, total suspended solids (TSS) and dissolved oxygen, habitat conditions and quality of riparian ecosystems were investigated in autumn, winter, spring and summer 2005-2006. Macroinvertebrates were sampled concurrently in three riffles and three pools at each site. Invertebrate species richness, EPT richness, the Shannon-Weaver diversity index, % EPT density, and the BMPS index were lower at urban sites, whereas % collectors increased. The most impaired site was below Esquel, the largest town. Senzilloides panguipulli (Plecoptera), Polypedilum and Rheotanytarsus species (Diptera: Chironomidae), Nais communis (Oligochaeta) and Meridialaris chiloeensis (Ephemeroptera) dominated assemblages at reference and moderately impaired sites in summer, whereas the strongly polluted reach below Esquel had low flow in summer and a community dominated by Limnodrilus spp. (Oligochaeta), Helobdella spp. (Hirudinea), and two Hyallela species (Amphipoda). Canonical correspondence analysis indicated that ammonia, conductivity and TSS were important variables structuring invertebrate assemblages. In contrast, fish density and biomass varied in a non-systematic manner among sites. Overall, urbanization resulted in varying degrees of habitat degradation, sedimentation and nutrient enrichment that were reflected by the macroinvertebrate assemblages, which can be used effectively to monitor the effects of urban communities on Patagonian mountain streams.</t>
  </si>
  <si>
    <t>10.1007/s11270-008-9701-4</t>
  </si>
  <si>
    <t>WOS:000259143200010</t>
  </si>
  <si>
    <t>Assessing stream condition using macro invertebrates and macrophytes:: concordance of community responses to human impact</t>
  </si>
  <si>
    <t>Freshwater bioassessment is typically based on well known taxonomic groups. Such as fish and macroinvertebrates, while less studied groups are frequently excluded front bioassessment programs. We examined the community variation of stream macroinvertebrates and macrophytes (mainly aquatic bryophytes) in near-pristine reference sites and sites impacted by agriculture, forestry. or in-stream habitat alteration in western and central Finland. We specifically examined whether these taxonomic groups exhibited concordant variation in community Structure and whether they could be used as Surrogates for each other in stream bioassessment. The effects Of human disturbance on taxonomic composition and community Structure were investigated using canonical correspondence analysis and RIVPACS-type predictive models. The community concordance between macroinvertebrates and macrophytes was higher when test sites were included, suggesting that environmental degradation may increase community concordance between different biotic groups. However, despite increased concordance, macroinvertebrates and macrophytes responded to different stressors. The sensitivity of the two groups to human disturbance also differed markedly. The macroinvertebrate model determined 13 (with P-1 = 0+ as the threshold for species inclusion) and 12 (with P-t = 0.4) Out of 35 test sites as altered, whereas the macrophyte model detected impairment for only 7 sites (both probability levels), likely because of the low species richness of macrophytes in our study streams. Low richness of macrophytes may thus hinder their use in bioassessment based on taxonomic completeness, suggesting that measures that do not rely solely on species loss might perform better in at least high-gradient boreal streams.</t>
  </si>
  <si>
    <t>10.1127/1863-9135/2008/0172-0191</t>
  </si>
  <si>
    <t>WOS:000259370000003</t>
  </si>
  <si>
    <t>Ecological and functional changes associated with long-term recovery from organic enrichment</t>
  </si>
  <si>
    <t>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t>
  </si>
  <si>
    <t>10.3354/meps07534</t>
  </si>
  <si>
    <t>WOS:000259379600002</t>
  </si>
  <si>
    <t>Effective population size dynamics reveal impacts of historic climatic events and recent anthropogenic pressure in African elephants</t>
  </si>
  <si>
    <t>Two hundred years of elephant hunting for ivory, peaking in 1970-1980s, caused local extirpations and massive population declines across Africa. The resulting genetic impacts on surviving populations have not been studied, despite the importance of understanding the evolutionary repercussions of such human-mediated events on this keystone species. Using Bayesian coalescent-based genetic methods to evaluate time-specific changes in effective population size, we analysed genetic variation in 20 highly polymorphic microsatellite loci from 400 elephants inhabiting the greater Samburu-Laikipia region of northern Kenya. This area experienced a decline of between 80% and 90% in the last few decades when ivory harvesting was rampant. The most significant change in effective population size, however, occurred approximately 2500 years ago during a mid-Holocene period of climatic drying in tropical Africa. Contrary to expectations, detailed analyses of four contemporary age-based cohorts showed that the peak poaching epidemic in the 1970s caused detectable temporary genetic impacts, with genetic diversity rebounding as juveniles surviving the poaching era became reproductively mature. This study demonstrates the importance of climatic history in shaping the distribution and genetic history of a keystone species and highlights the utility of coalescent-based demographic approaches in unravelling ancestral demographic events despite a lack of ancient samples. Unique insights into the genetic signature of mid-Holocene climatic change in Africa and effects of recent poaching pressure on elephants are discussed.</t>
  </si>
  <si>
    <t>10.1111/j.1365-294X.2008.03871.x</t>
  </si>
  <si>
    <t>WOS:000259448800004</t>
  </si>
  <si>
    <t>Non-native habitat as home for non-native species: comparison of communities associated with invasive tubeworm and native oyster reefs</t>
  </si>
  <si>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</si>
  <si>
    <t>10.3354/ab00034</t>
  </si>
  <si>
    <t>WOS:000259452400005</t>
  </si>
  <si>
    <t>Key conservation issues for migratory land- and waterbird species on the world's major flyways</t>
  </si>
  <si>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</si>
  <si>
    <t>10.1017/S0959270908000439</t>
  </si>
  <si>
    <t>WOS:000259453100005</t>
  </si>
  <si>
    <t>Quantifying acceptable levels of visitor use on Red Sea reef flats</t>
  </si>
  <si>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</si>
  <si>
    <t>10.1002/aqc.870</t>
  </si>
  <si>
    <t>WOS:000259544200012</t>
  </si>
  <si>
    <t>Dung beetle assemblages in primary forest and disturbed habitats in a tropical dry forest landscape in Western Mexico</t>
  </si>
  <si>
    <t>Dung beetles (Scarabaeinae) are conspicuous components in most terrestrial ecosystems, performing important ecological functions and services. Being sensitive to several types of disturbance, they have been successfully used as indicators of habitat change. Dung beetle communities in tropical rainforests have been well studied, but considerably less information is available for tropical dry forests. In this study I sampled dung beetles in two undisturbed habitats, deciduous forest and semideciduous forest, and two disturbed habitats, secondary forest and open area habitat, in the Chamela-Cuixmala region of western Mexico. Dung beetle species with high indicator value for each habitat were identified. Beetle abundance, observed species richness and estimated species richness were similar in the three forest habitats, but significantly lower in the open area habitat. A more detailed analysis of species-specific abundances in the three forest habitats revealed some differences. Transects of one of the undisturbed habitats, the deciduous forest, were more similar to the non-adjacent transects of disturbed secondary forest, than to the adjacent undisturbed semideciduous forest transects. Unlike studies in other tropical sites that have found a decrease in equitability in Scarabaeinae assemblages between undisturbed forest and disturbed habitat (particularly open habitats), in the Chamela-Cuixmala region all four habitats showed similar low equitability in community structure, with two or three very dominant species.</t>
  </si>
  <si>
    <t>10.1007/s10841-007-9100-y</t>
  </si>
  <si>
    <t>WOS:000259671900006</t>
  </si>
  <si>
    <t>Comparison between epiphyte assemblages of leaves and rhizomes of the seagrass Posidonia oceanica subjected to different levels of anthropogenic eutrophication</t>
  </si>
  <si>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</si>
  <si>
    <t>10.1016/j.ecss.2008.05.009</t>
  </si>
  <si>
    <t>WOS:000259731900021</t>
  </si>
  <si>
    <t>High sexual reproduction and limited contemporary dispersal in the ectomycorrhizal fungus Tricholoma scalpturatum: new insights from population genetics and spatial autocorrelation analysis</t>
  </si>
  <si>
    <t>Dispersal and establishment are fundamental processes influencing the response of species to environmental changes, and the long-term persistence of populations. A previous study on the symbiotic ectomycorrhizal fungus Tricholoma scalpturatum revealed strong genetic differentiations between populations in Western Europe, suggesting restricted dispersal for this wind-dispersed cosmopolitan fungus. Two distinct genetic groups (genetic groups 1 and 2), co-occurring in some locations, were also identified and could correspond to cryptic species. In the present work, we examine the reproductive strategy and dispersal biology of the two T. scalpturatum's genetic groups. Variable molecular markers (intersimple sequence repeats and intergenic spacer 2-restriction fragment length polymorphisms) and spatial autocorrelation analyses were used to examine fine-scale patterns (&lt; 140 m) of genetic structure, in an effort to determine the physical scale at which genetic structure exists. A total of 473 fruit bodies were mapped and collected over 3 years from two plots located in the south of France, including 219 and 254 samples from group 1 and group 2, respectively. High genetic diversity and the presence of numerous small genets were observed in both groups. Autocorrelation analyses revealed significant positive spatial genetic structures of genets at close distances (up to few metres for both groups). Mantel tests confirmed this isolation-by-distance pattern. These results clearly demonstrate high sexual reproduction and spatial structuring of genets at very small geographical scales in this wind-dispersed ectomycorrhizal fungal species, a pattern consistent with restricted contemporary dispersal of spores.</t>
  </si>
  <si>
    <t>10.1111/j.1365-294X.2008.03924.x</t>
  </si>
  <si>
    <t>WOS:000259953500005</t>
  </si>
  <si>
    <t>Time-consistent rearrangement of carabid beetle assemblages by an urbanisation gradient in Hungary</t>
  </si>
  <si>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</si>
  <si>
    <t>10.1016/j.actao.2008.05.010</t>
  </si>
  <si>
    <t>WOS:000260099400012</t>
  </si>
  <si>
    <t>Temporal analysis of population genetic composition in the overexploited Japanese eel Anguilla japonica</t>
  </si>
  <si>
    <t>The Japanese eel has dramatically declined in Asia since the 1970s. Over the past two decades, glass eel productivity in Taiwan has decreased, but is highly variable among each year catch, though the cause for this is unknown. The impact of both population decline and instability on genetic diversity, however, is unknown. In this study, we investigated changes in allele frequencies of Japanese eel recruitment events over the past 20 years using six polymorphic microsatellite DNA loci. Specimens of glass eels were collected yearly from a single location in northern Taiwan from 1986 to 2007. Overall genetic differentiation among all samples was very low but significant (F-ST = 0.002, P = 0.002), and only 2 out of 120 pairwise tests were significant. The relationship between genetic and temporal distance showed a slight but insignificant correlation (R-2 = 0.03, P = 0.0504). There were no overall significant differences in allelic richness (P = 0.35) or genetic heterozygosity (P = 0.73) among annual recruitment events. No apparent loss of genetic diversity and occurrence of a genetic bottleneck for eel populations were observed. Estimates of the effective population size (N-e) generally exceeded 500, although confidence intervals were very wide. While El Nino/Southern Oscillation (ENSO) events had little impact on genetic diversity, they may account for the annual fluctuation in glass eel catch. These results indicate long-term stability of genetic diversity in the Japanese eel with little evidence for sweepstakes recruitment.</t>
  </si>
  <si>
    <t>10.1007/s00227-008-1057-1</t>
  </si>
  <si>
    <t>WOS:000260184400006</t>
  </si>
  <si>
    <t>Wastewater treatment plants (WWTPs) as a source of sediment contamination by toxic organic pollutants and fecal sterols in a semi-enclosed bay in Korea</t>
  </si>
  <si>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</si>
  <si>
    <t>10.1016/j.chemosphere.2008.07.038</t>
  </si>
  <si>
    <t>WOS:000260486600003</t>
  </si>
  <si>
    <t>Exploitation and habitat degradation as agents of change within coral reef fish communities</t>
  </si>
  <si>
    <t>Over-exploitation and habitat degradation are the two major drivers of global environmental change and are responsible for local extinctions and declining ecosystem services. Here we compare the top-down effect of exploitation by fishing with the bottom-up influence of habitat loss on fish communities in the most diverse of ecological systems, coral reefs. Using a combination of multivariate techniques and path analyses, we illustrate that the relative importance of coral cover and fishing in controlling fish abundance on remote Fijian reefs varies between species and functional groups. A decline in branching Acropora coral is strongly associated with a decline in abundance of coral-feeding species, and a decrease in coral-associated habitat complexity, which has indirectly contributed to reduced abundance of small-bodied damselfish. In contrast, reduced fishing pressure, brought about by declining human populations and a shift to alternate livelihoods, is associated with increased abundance of some piscivores and fisheries target species. However, availability of prey is controlled by coral-associated habitat complexity and appears to be a more important driver of total piscivore abundance compared with fishing pressure. Effects of both fishing and coral loss are stronger on individual species than functional groups, as variation in the relative importance of fishing or coral loss among species within the same functional group attenuated the impact of either of these potential drivers at the functional level. Overall, fishing continues to have an influence on Fijian fish communities; however, habitat loss is currently the overriding agent of change. The importance of coral loss mediated by climate change is expected to have an increasing contribution to fish community dynamics, particularly in remote locations or where the influence of fishing is waning.</t>
  </si>
  <si>
    <t>10.1111/j.1365-2486.2008.01696.x</t>
  </si>
  <si>
    <t>WOS:000261061000002</t>
  </si>
  <si>
    <t>Comparison of Medusahead-Invaded and Noninvaded Wyoming Big Sagebrush Steppe in Southeastern Oregon</t>
  </si>
  <si>
    <t>Medusahead (Taeniatherum caput-medusae [L.] Nevski) is an exotic, annual grass invading sagebrush steppe rangelands in the western United States. Medusahead invasion has been demonstrated to reduce livestock forage, but otherwise information comparing vegetation characteristics of medusahead-invaded to noninvaded sagebrush steppe communities is limited. This lack of knowledge makes it difficult to determine the cost-benefit ratio of controlling and preventing medusahead invasion. To estimate the impact of medusahead invasion, vegetation characteristics were compared between invaded and noninvaded Wyoming big sagebrush (Artemisia tridentate subsp. wyomingensis [Beetle &amp; A. Young] S.L. Welsh) steppe communities that had similar soils, topography, climate, and management. Noninvaded plant communities had greater cover and density of all native herbaceous functional groups compared to medusahead-invaded communities (P &lt; 0.01). Large perennial grass cover was 15-fold greater in the noninvaded compared to invaded plant communities. Sagebrush cover and density were greater in the noninvaded compared to the medushahead-invaded communities (P &lt; 0.01). Biomass production of all native herbaceous functional groups Was higher in noninvaded compared to invaded plant communities (P &lt; 0.02). Perennial and annual forb biomass production was 1.9- and 45-fold more, respectively, in the noninvaded than invaded communities. Species richness and diversity were greater in the noninvaded than invaded plant communities (P &lt; 0.01). The results Of this Study suggest that medusahead invasion substantially alters vegetation characteristics Of sagebrush steppe plant communities, and thereby diminishes wildlife habitat, forage production, and ecosystem functions. Because of the broad negative influence of medusahead invasion, greater efforts Should be directed at preventing its continued expansion.</t>
  </si>
  <si>
    <t>10.2111/08-005.1</t>
  </si>
  <si>
    <t>WOS:000261067700007</t>
  </si>
  <si>
    <t>Changes of macroalgal biodiversity in sublittoral sites in southwest Norway: impact of an introduced species or higher temperature?</t>
  </si>
  <si>
    <t>The Pacific red alga Heterosiphonia japonica has dispersed rapidly along European shores. Due to the species' high abundance in many habitats, an impact on species richness and composition of local macroalgal communities might be expected. Higher sea temperatures may also influence local macroalgal composition, by providing more favourable conditions for species requiring higher temperatures. Macroalgal composition at 22 sublittoral sites along the south-western coast of Norway investigated prior to the establishment of H. japonica (1994-1995) were reinvestigated in 2003-2004, using similar methods. The total number of species collected in the area was approximately the same in the present investigation as in the previous study. With regard to number and composition of species at each site, there were no significant differences between sites with high abundance of H. japonica and sites with low or no abundance. Similarity percentage analysis (SIMPER) showed that there were temporal changes in composition of the macroalgal communities, mainly caused by higher frequency of 'southern species' (species with a northern limit on our coast). There was a significant increase in the percentage share of such species in the reinvestigations. The temporal differences observed are most likely caused by several warm summers/autumns and mild winters since the first investigation, which may favour a higher abundance of 'southern species'. Heterosiphonia japonica was the most important species contributing to temporal dissimilarity in the area. This paper concludes that H. japonica has caused no negative impact on regional algal species richness in the relatively short time span since its introduction.</t>
  </si>
  <si>
    <t>10.1080/17451000802232874</t>
  </si>
  <si>
    <t>WOS:000261299100002</t>
  </si>
  <si>
    <t>Changes in Arthropod Assemblages along a Wide Gradient of Disturbance in Gabon</t>
  </si>
  <si>
    <t>Searching for indicator taxa representative of diverse assemblages, such as arthropods, is an important objective of many conservation studies. We evaluated the impacts of a wide gradient of disturbance in Gabon on a range of arthropod assemblages representing different feeding guilds. We examined 4 x 10(5) arthropod individuals from which 21 focal taxa were separated into 1534 morphospecies. Replication included the understory of 3 sites in each of 4 different stages of forest succession and land use (i.e., habitats) after logging (old and young forests, savanna, and gardens). We used 3 complementary sampling methods to survey sites throughout the year. Overall differences in arthropod abundance and diversity were greatest between forest and open habitats, and cleared forest invaded by savanna had the lowest abundance and diversity. The magnitude of faunal differences was much smaller between old and young forests. When considered at this local scale, anthropogenic modification of habitats did not result in a monotonous decline of diversity because many herbivore pests and their associated predators and parasitoids were abundant and diverse in gardens, where plant productivity was kept artificially high year-round through watering and crop rotation. We used a variety of response variables to measure the strength of correlations across survey locations among focal taxa. These could be ranked as follows in terms of decreasing number of significant correlations: species turnover &gt; abundance &gt; observed species richness &gt; estimated species richness &gt; percentage of site-specific species. The number of significant correlations was generally low and apparently unrelated to taxonomy or guild structure. Our results emphasize the value of reporting species turnover in conservation studies, as opposed to simply measuring species richness, and that the search for indicator taxa is elusive in the tropics. One promising alternative might be to consider predictor sets of a small number of taxa representative of different functional groups, as identified in our study.</t>
  </si>
  <si>
    <t>10.1111/j.1523-1739.2008.01017.x</t>
  </si>
  <si>
    <t>WOS:000261395700031</t>
  </si>
  <si>
    <t>Effects of the antibiotic ciprofloxacin on the bacterial community structure and degradation of pyrene in marine sediment</t>
  </si>
  <si>
    <t>The ecological consequences of antibiotics in the aquatic environment have been an issue of concern over the past years due to the potential risk for negative effects on indigenous microorganisms. Microorganisms provide important ecosystem services, such as nutrient recycling, organic matter mineralization and degradation of pollutants. In this study, effects of exposure to the antibiotic ciprofloxacin on the bacterial diversity and pollutant degradation in natural marine sediments were studied using molecular methods (T-RFLP) in combination with radiorespirometry. In a microcosm experiment, sediment spiked with C-14-labelled pyrene was exposed to five concentrations of ciprofloxacin (0, 20, 200, 1000 and 2000 mu g L-1) in a single dose to the overlying water. The production of (CO2)-C-14 (i.e. complete mineralization Of pyrene) was measured during 11 weeks. Sediment samples for bacterial community structure analysis were taken after 7 weeks. Results showed a significant dose-dependent inhibition of pyrene mineralization measured as the total (CO2)-C-14 production. The nominal EC50 was calculated to 560 mu g L-1, corresponding to 0.4 mu g/kg d.w. sediment. The lowest effect concentration on the bacterial community structure was 200 mu g L-1, which corresponds to 0.1 mu g/kg d.w. sediment. Our results show that antibiotic pollution can be a potential threat to both bacterial diversity and an essential ecosystem service they perform in marine sediment. (C) 2008 Elsevier B.V. All rights reserved.</t>
  </si>
  <si>
    <t>10.1016/j.aquatox.2008.09.002</t>
  </si>
  <si>
    <t>WOS:000261776000008</t>
  </si>
  <si>
    <t>Demo-genetic analysis of a recovering population of otters in Central Sweden</t>
  </si>
  <si>
    <t>We performed a demo-genetic population viability analysis on a recovering population of otters Lutra lutra in Central Sweden, using data on population size, survival and genetic data from microsatellites. Population data were obtained from genotyping faeces. At present, the size and genetic variability of the population is increasing. We found that survival to first reproduction was the most crucial demographic parameter, and that even slight changes downward in this parameter, might lead to a declining population trajectory. Human factors that can affect mortality are traffic, fishing equipment and traps, and we argue that efforts to minimize road kills by means of safe passages as well as careful fishing efforts in streams and lakes would reduce the risk of extinction. In general, even though the population is now growing and has no inbreeding problem, its small abundance could make it vulnerable to chance events and environmental perturbations.</t>
  </si>
  <si>
    <t>10.1111/j.1469-1795.2008.00214.x</t>
  </si>
  <si>
    <t>WOS:000261780600012</t>
  </si>
  <si>
    <t>Thinning and chipping small-diameter ponderosa pine changes understory plant communities on the Colorado Front Range</t>
  </si>
  <si>
    <t>Novel fire mitigation treatments that chip harvested biomass on site are increasingly prescribed to reduce the density of small-diameter trees, yet the ecological effects of these treatments are unknown. Our objective was to investigate the impacts of mechanical thinning and whole tree chipping on Pinus ponderosa (ponderosa pine) regeneration and understory plant communities to guide applications of these new fuel disposal methods. We sampled in three treatments: (1) unthinned forests (control), (2) thinned forests with harvested biomass removed (thin-only), and (3) thinned forests with harvested biomass chipped and broadcast on site (thin + chip). Plots were located in a ponderosa pine forest of Colorado and vegetation was sampled three to five growing seasons following treatment. Forest litter depth, augmented with chipped biomass, had a negative relationship with cover of understory plant species. In situ chipping often produces a mosaic of chipped patches tens of meters in size, creating a range of woodchip depths including areas lacking woodchip cover within thinned and chipped forest stands. Thin-only and thin + chip treatments had similar overall abundance and species richness of understory plants at the stand scale, but at smaller spatial scales, areas within thin + chip treatments that were free of woodchip cover had an increased abundance of understory vegetation compared to all other areas sampled.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including an increased richness of rhizomatous plant species. We suggest that thinning followed by either chipping or removing the harvested biomass could alter understory plant species composition in ponderosa pine forests of Colorado. When considering post-treatment responses, managers should be particularly aware of both the depth and the distribution of chipped biomass that is left in forested landscapes. (C) 2008 Elsevier B.V. All rights reserved.</t>
  </si>
  <si>
    <t>10.1016/j.foreco.2008.08.014</t>
  </si>
  <si>
    <t>WOS:000261856000010</t>
  </si>
  <si>
    <t>Effects of dredging on benthic diatom assemblages in a lowland stream</t>
  </si>
  <si>
    <t>The objective of this study was to assess the effects of dredging on the structure and composition of diatom assemblages from a lowland stream and to investigate whether the response of diatom assemblages to the dredging is also influenced by different water quality. Three sampling sites were established in Rodriguez Stream (Argentina); physico-chemical variables and benthic diatom assemblages were sampled weekly in spring 2001. Species composition, cell density, diversity and evenness were estimated. Diatom tolerance to organic Pollution and eutrophication were also analyzed. Differences in physico-chemical variables and changes in benthic diatom assemblages were compared between the pre- and post-dredging periods using a t-test. Data were analyzed using Principal Components Analysis (PCA), non-metric Multidimensional scaling (MDS) ordination and cluster analysis. The effects of dredging in the stream involve two types of disturbances: (i) in the stream bed, by the removal and destabilization Of the Substrate and (ii) in the water column, by generating chemical changes and an alteration of the light environment of the stream. Suspended solids, Soluble reactive phosphorus and dissolved inorganic nitrogen were significantly higher in post-dredging periods. Physical and chemical modifications in the habitat of benthic diatoms produced changes in the assemblage: diversity and species numbers showed an immediate increase after dredging, decreasing at the end of the study period. Changes in the tolerance of the diatom assemblage to organic pollution and eutrophication were also observed as a consequence of dredging; in the post-dredging period sensitive species were replaced by either tolerant or most tolerant species. These changes were particularly noticeable in site 1 (characterized by its lower amount of nutrients and organic matter previous to dredging), which showed an increase in the amount of nutrients and oxygen demand as a consequence of sediment removal. However, these changes were not so conspicuous in sites 2 and 3, which already presented a marked water quality deterioration before the execution of the dredging works. (C) 2008 Elsevier Ltd. All rights reserved.</t>
  </si>
  <si>
    <t>10.1016/j.jenvman.2008.03.004</t>
  </si>
  <si>
    <t>WOS:000261895500033</t>
  </si>
  <si>
    <t>Native Fish and Anuran Assemblages Differ between Impoundments with and without Non-Native Centrarchids and Bullfrogs</t>
  </si>
  <si>
    <t>Centrarchids (sunfish and bass species) and Bullfrogs (Lithobates catesbelanus) have been introduced Into aquatic systems around the world and have the potential to negatively Impact native fish and anurans. We surveyed fish and anuran assemblages from 26 Impoundments in the New Jersey Pinelands, USA. We excluded non-native species and used ordination analysis to generate four native-species community gradients based on native-fish and anuran presence-absence and abundance data. All four community gradients paralleled an Increase In the percentage of upstream-altered land (development and upland agriculture) and an Increase In either non-native-centrarchid richness or abundance. Based on presence-absence and abundance data, native-fish and native-anuran assemblages, Including restricted species (those generally limited to the Pinelands region) and widespread species (those widely distributed In New Jersey), differed between Impoundments with and without non-native centrarchids. Compared to widespread species, the greatest differences between Impoundment types were found for restricted species. Three non-native-frog species, Including Bullfrogs, were associated with degraded Impoundments that supported non-native fish. Our results demonstrate that watershed conditions and native fish and anuran assemblages differ between Impoundments with and without non-native centrarchids, and suggest that some restricted species may be especially vulnerable to Impacts from watershed disturbance and non-native species. Our findings support the Idea that the environmental resistance associated with Intact water-quality conditions may help prevent the Invasion of non-native fish and anurans. We recommend that land-use activities that degrade water quality and reduce Invasion resistance be avoided in unaltered watersheds to conserve native-fish and native-anuran community Integrity.</t>
  </si>
  <si>
    <t>10.1643/CE-07-089</t>
  </si>
  <si>
    <t>WOS:000262061200026</t>
  </si>
  <si>
    <t>Consequences of invasion by the alien plant Mimulus guttatus on the-species composition and soil properties of riparian plant communities in Scotland</t>
  </si>
  <si>
    <t>Invasive plant species are widely recognised to have severe ecological impacts in a wide range of ecosystems throughout the world, yet there are few experimental studies measuring community-level effects of invasive plant species. Thus most evidence is from correlative studies, and as such often cannot easily disentangle cause and effect. Through a combination of an addition and removal experiment and a correlative approach (multi-site comparisons), this study aimed to quantify the effects of a widespread invasive species, Mimulus guttatus, on species richness and soil properties of riparian plant communities. The marked negative association between Mimulus cover and plant species richness identified through correlative multi-site comparisons was consistent with experimental removal studies which indicate Mimulus significantly alters the structure of riparian plant communities. Total C and N and soil moisture were marginally higher in invaded than in uninvaded disturbed sediment plots. Following Mimulus removal, there was an increase in the occurrence and abundance of another non-native species, Claytonia sibirica, as well as germination and establishment of Mimulus seedlings. This highlights that, although removal increased richness, bringing the plant community closer structurally to uninvaded vegetation, the application of removal as a management tool needs to be undertaken with caution, as it may create opportunities for other invaders. The impact of Mimulus appeared restricted to disturbed sediment communities, as addition experiments into herb-grass communities were relatively unsuccessful in establishing Mimulus. These patterns were consistent with the distribution of the species in riparian plant communities. The addition experiments highlight that, as well as competition from the resident vegetation community, mollusc herbivory Further hinders the establishment of Mimulus. Many manipulation studies have removed invasive plant species from heavily invaded communities, and it is often thought that invasive species usually affect plant community structure only where their cover is high. This study is unique in demonstrating impacts where cover of the invasive plant is relatively low. (C) 2008 Rubel Foundation, ETH Zurich. Published by Elsevier GmbH. All rights reserved.</t>
  </si>
  <si>
    <t>10.1016/j.ppees.2008.04.001</t>
  </si>
  <si>
    <t>WOS:000262357600002</t>
  </si>
  <si>
    <t>Macrobenthic communities in a fishery exclusion zone and in a trawled area of the middle Adriatic Sea (Italy)</t>
  </si>
  <si>
    <t>Macrobenthic communities in a commercial fishing ground (middle Adriatic Sea) exploited by offer trawling were compared with communities living in all area closed to fishing for over 10 years located near a gas platform. Our data highlighted significant differences in macrofaunal community structure between the two areas. In addition, the macrofaunal communities in the fished area displayed evidence of a higher level of stress compared with the other one. Several taxa reported in the literature as being sensitive to trawling (e.g., Ebalia tuberosa, Callianassa subterranea) were markedly more abundant in the area not affected by fishing. Macrofaunal community analysis using the index of multivariate dispersion and k-dominance curves provided evidence of stress in the fished area; however, it is not possible to predict whether the patterns observed will remain consistent over time based oil only two temporal replicates. It is likely that the magnitude of the macrofaunal community response to fishing changes during the year according to season and fishing effort.</t>
  </si>
  <si>
    <t>10.7773/cm.v34i4.1382</t>
  </si>
  <si>
    <t>WOS:000262591300003</t>
  </si>
  <si>
    <t>MULTIPLE HYPOTHESIS TESTING AND THE DECLINING-POPULATION PARADIGM IN STELLER SEA LIONS</t>
  </si>
  <si>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</si>
  <si>
    <t>10.1890/07-1254.1</t>
  </si>
  <si>
    <t>WOS:000262605500010</t>
  </si>
  <si>
    <t>Does habitat fragmentation reduce genetic diversity and subpopulation connectivity?</t>
  </si>
  <si>
    <t>The estimation of levels of genetic variation has received considerable attention because it is generally thought to be indicative of overall species vitality and the potential for evolutionary responses to environmental changes. Here, we use allozymes markers and two distinct collections of Cakile maritima, an annual species from sandy coastal habitats (2000 generation and 2005 generation collected from 9 populations in their natural habitats), to assess the magnitude of expected genetic change. We compared genetic diversity between generations (all populations combined), and then between populations at each generation. Based on 13 loci scored from the eight enzymes examined, a high genetic diversity was detected at both the population and generation level as compared to other herbaceous species. However, allelic richness reduction in the 2005 generation suggested restricted gene flow and a high risk of future genetic bottlenecks, if larger tracts of coastal areas disappear. Most loci showed deviation from Hardy-Weinberg equilibrium due to excess of heterozygotes in all populations suggesting that this species has an allogamic mode of reproduction. It appears most likely that this species has experienced a recent decrease in population size, and that genetic drift in small populations has resulted in a loss of alleles occurring at low frequency. Despite the deterioration process, maintenance of high genetic diversity suggests that there are some ecological factors determining population structure.</t>
  </si>
  <si>
    <t>10.1111/j.1600-0587.2008.05622.x</t>
  </si>
  <si>
    <t>WOS:000262639100008</t>
  </si>
  <si>
    <t>Long-term change to fish assemblages and the flow regime in a southeastern US river system after extensive aquatic ecosystem fragmentation</t>
  </si>
  <si>
    <t>The upper Tombigbee River in northeastern Mississippi now exists as a fragment, confluencing with and fed by an extensively modified aquatic landscape now called the Tennessee-Tombigbee Waterway (TTW). We examined the changes to fish assemblages and flow regime after waterway construction based on contemporary comparisons to historical fish collections and discharge data. The river's flow regime has changed markedly since TTW construction. Analysis of discharge data from two stations for 15 years, pre- and post-waterway, indicated significant differences in flow regime including increased minimum and base flows, lower spring and higher late summer-autumn flows, and lower high flow durations, post-TTW. These changes corresponded to significantly reduced regional and local species richness, and strong shifts in fish assemblage structure across a 20 yr time span. Post-waterway fish assemblages were related strongly to measured environmental variables characterizing local habitats. Several lentic-adapted species increased their abundances in lower reaches of the river, including a recent invader to the TTW system, the Mississippi silverside Menidia audens. Fragmentation of river ecosystems via disruption to hydrologic regimes is a major threat to aquatic biodiversity worldwide. Because the flow regime of this fragmented river is in part controlled by waterway operations via five minimum flow control structures, adaptive conservation and management efforts could be implemented in order to maintain and potentially restore the natural flow regime and the ecological integrity of the system.</t>
  </si>
  <si>
    <t>10.1111/j.1600-0587.2008.05526.x</t>
  </si>
  <si>
    <t>WOS:000262639100012</t>
  </si>
  <si>
    <t>Reduced major histocompatibility complex class II polymorphism in a hunter-managed isolated Iberian red deer population</t>
  </si>
  <si>
    <t>The major histocompatibility complex (MHC) contains the most variable functional genes described in vertebrates. Individuals from natural populations deal constantly with a diverse range of pathogens and the polymorphism at MHC loci is what determines the diversity of foreign antigens that the host immune system can recognize. Polymorphism at individual loci may result in variable MHC class II (MHC-II) haplotypes. We characterized for the first time, the allelic diversity at the second DRB locus of the MHC-II in the Iberian red deer Cervus elaphus hispanicus. The studied population was sampled from a fenced estate that has been managed for hunting purposes and may provide information of the effect of game management on the genetic diversity of this species. Deer presented high levels of variation at MHC-II DRB-2 with 18 different alleles detected in 94 individuals. However, a significant heterozygous deficiency was found for MHC-II DRB-2 locus (92.5% of individuals only amplified one allele), whereas genotype frequencies at three neutral microsatellite loci were according to Hardy-Weinberg equilibrium, with heterozygosity over 50%. The analysis of control Iberian red deer from different geographic locations identified two expressed DRB-2 loci with a high degree of heterozygosis. The annual diversity index of MHC-II DRB-2 alleles significantly decreased along the 16-year study period, which was confirmed with losses in microsatellite markers. Although we cannot exclude positive non-assortative mating and/or substructured breeding (Wahlund effect) within our reference population, such unexpected apparent homozygosity at MHC DRB-2 loci is suggestive of null alleles occurring at our population. The observed pattern could be the result of a founder effect in this recently established population. Nonetheless, the loss of MHC-II DRB-2 allele diversity could reflect the effects of inbreeding in this fenced population managed for hunting. These findings support the importance of immunogenetic studies to assess management decisions, especially in isolated ungulate populations.</t>
  </si>
  <si>
    <t>10.1111/j.1469-7998.2008.00524.x</t>
  </si>
  <si>
    <t>WOS:000262678200010</t>
  </si>
  <si>
    <t>Elevated atmospheric carbon dioxide and ozone alter forest insect abundance and community composition</t>
  </si>
  <si>
    <t>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t>
  </si>
  <si>
    <t>10.1111/j.1752-4598.2008.00031.x</t>
  </si>
  <si>
    <t>WOS:000262759300006</t>
  </si>
  <si>
    <t>Differences between epiphytic assemblages on introduced Caulerpa taxifolia and coexisting eelgrass (Zostera capricorni) in Botany Bay (NSW, Australia)</t>
  </si>
  <si>
    <t>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t>
  </si>
  <si>
    <t>10.3989/scimar.2008.72n4645</t>
  </si>
  <si>
    <t>WOS:000262997400003</t>
  </si>
  <si>
    <t>Genetic structure of juvenile cohorts of bicolor damselfish (Stegastes partitus) along the Mesoamerican barrier reef: chaos through time</t>
  </si>
  <si>
    <t>Dispersal in marine systems is a critical component of the ecology, evolution, and conservation of such systems; however, estimating dispersal is logistically difficult, especially in coral reef fish. Juvenile bicolor damselfish (Stegastes partitus) were sampled at 13 sites along the Mesoamerican Barrier Reef System (MBRS), the barrier reefs on the east coast of Central America extending from the Yucatan, Mexico to Honduras, to evaluate genetic structure among recently settled cohorts. Using genotype data at eight microsatellite loci genetic structure was estimated at large and small spatial scales using exact tests for allele frequency differences and hierarchical analysis of molecular variance (AMOVA). Isolation-by-distance models of divergence were assessed at both spatial scales. Results showed genetic homogeneity of recently settled S. partitus at large geographic scales with subtle, but significant, genetic structure at smaller geographic scales. Genetic temporal stability was tested for using archived juvenile S. partitus collected earlier in the same year (nine sites), and in the previous year (six sites). The temporal analyses indicated that allele frequency differences among sites were not generally conserved over time, nor were pairwise genetic distances correlated through time, indicative of temporal instability. These results indicate that S. partitus larvae undergo high levels of dispersal along the MBRS, and that the structure detected at smaller spatial scales is likely driven by stochastic effects on dispersal coupled with microgeographic effects. Temporal variation in juvenile cohort genetic signature may be a fundamental characteristic of connectivity patterns in coral reef fishes, with various species and populations differing only in the magnitude of that instability. Such a scenario provides a basis for the reconciliation of conflicting views regarding levels of genetic structuring in S. partitus and possibly other coral reef fish species.</t>
  </si>
  <si>
    <t>10.1007/s00338-008-0423-2</t>
  </si>
  <si>
    <t>WOS:000263071800034</t>
  </si>
  <si>
    <t>Effects of saltmarsh invasion by Spartina alterniflora on arthropod community structure and diets</t>
  </si>
  <si>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</si>
  <si>
    <t>10.1007/s10530-008-9279-1</t>
  </si>
  <si>
    <t>WOS:000263128000015</t>
  </si>
  <si>
    <t>Invasion and management of a woody plant, Lantana camara L., alters vegetation diversity within wet sclerophyll forest in southeastern Australia</t>
  </si>
  <si>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</si>
  <si>
    <t>10.1016/j.foreco.2008.10.040</t>
  </si>
  <si>
    <t>WOS:000263215700022</t>
  </si>
  <si>
    <t>Changes in benthic algal communities following construction of a run-of-river dam</t>
  </si>
  <si>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</si>
  <si>
    <t>10.1899/08-047.1</t>
  </si>
  <si>
    <t>WOS:000263481300007</t>
  </si>
  <si>
    <t>Isotopic and genetic evidence for culturally inherited site fidelity to feeding grounds in southern right whales (Eubalaena australis)</t>
  </si>
  <si>
    <t>Ocean warming will undoubtedly affect the migratory patterns of many marine species, but specific changes can be predicted only where behavioural mechanisms guiding migration are understood. Southern right whales show maternally inherited site fidelity to near-shore winter nursery grounds, but exactly where they feed in summer (collectively and individually) remains mysterious. They consume huge quantities of copepods and krill, and their reproductive rates respond to fluctuations in krill abundance linked to El Nino Southern Oscillation (ENSO). Here we show that genetic and isotopic signatures, analysed together, indicate maternally directed site fidelity to diverse summer feeding grounds for female right whales calving at Peninsula ValdEs, Argentina. Isotopic values from 131 skin samples span a broad range (-23.1 to -17.2 parts per thousand delta C-13, 6.0 to 13.8 parts per thousand delta N-15) and are more similar than expected among individuals sharing the same mitochondrial haplotype. This pattern indicates that calves learn summer feeding locations from their mothers, and that the timescale of culturally inherited site fidelity to feeding grounds is at least several generations. Such conservatism would be expected to limit the exploration of new feeding opportunities, and may explain why this population shows increased rates of reproductive failure in years following elevated sea-surface temperature anomalies off South Georgia, the richest known feeding ground for baleen whales in the South Atlantic.</t>
  </si>
  <si>
    <t>10.1111/j.1365-294X.2008.04069.x</t>
  </si>
  <si>
    <t>WOS:000263521800004</t>
  </si>
  <si>
    <t>Riparian forest buffers mitigate the effects of deforestation on fish assemblages in tropical headwater streams</t>
  </si>
  <si>
    <t>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t>
  </si>
  <si>
    <t>10.1890/08-0050.1</t>
  </si>
  <si>
    <t>WOS:000263719400015</t>
  </si>
  <si>
    <t>Elevated air temperature alters an old-field insect community in a multifactor climate change experiment</t>
  </si>
  <si>
    <t>To address how multiple, interacting climate drivers may affect plant-insect community associations, we sampled insects that naturally colonized a constructed old-field plant community grown for over 2 years under simultaneous CO2, temperature, and water manipulation. Insects were sampled using a combination of sticky traps and vacuum sampling, identified to morphospecies and the insect community with respect to abundance, richness, and evenness quantified. Individuals were assigned to four broad feeding guilds in order to examine potential trophic level effects. Although there were occasional effects of CO2 and water treatment, the effects of warming on the insect community were large and consistent. Warming significantly increased Order Thysanoptera abundance and reduced overall morphospecies richness and evenness. Nonmetric multidimensional scaling found that only temperature affected insect community composition, while a Sorensen similarity index showed less correspondence in the insect community between temperature treatments compared with CO2 or soil water treatments. Within the herbivore guild, elevated temperature significantly reduced richness and evenness. Corresponding reductions of diversity measures at higher trophic levels (i.e. parasitoids), along with the finding that herbivore richness was a significant predictor of parasitoid richness, suggest trophic-level effects within the insect community. When the most abundant species were considered in temperature treatments, a small number of species increased in abundance at elevated temperature, while others declined compared with ambient temperature. Effects of temperature in the dominant insects demonstrated that treatment effects were limited to a relatively small number of morphospecies. Observed effects of elevated CO2 concentration on whole-community foliar N concentration did not result in any effect on herbivores, which are probably the most susceptible guild to changes in plant nutritional quality. These results demonstrate that climatic warming may alter certain insect communities via effects on insect species most responsive to a higher temperature, contributing to a change in community structure.</t>
  </si>
  <si>
    <t>10.1111/j.1365-2486.2008.01721.x</t>
  </si>
  <si>
    <t>WOS:000263752300013</t>
  </si>
  <si>
    <t>Responses of wasp communities to urbanization: effects on community resilience and species diversity</t>
  </si>
  <si>
    <t>Urbanization is one of the most extreme and rapidly growing anthropogenic pressures on the natural world. It is linked to significant impacts on biodiversity and disruptions to ecological processes in remnant vegetation. We investigated the richness and abundance of wasps in a highly fragmented urban landscape in Sydney, Australia, comparing assemblages in small urban remnants to edges and interiors of continuous areas of vegetation. We detected no difference in wasp abundance or species richness between remnant types indicating that communities are highly resilient to the effects of urbanization at this scale. However, Chao 2 estimates of predicted species richness indicate that edge sites would support a greater richness and abundance of species compared to small and interior sites. Although families were represented evenly across the sites, interior and edge sites supported more species within families. Wasp composition was significantly affected by the temporal variation and trap location (arboreal or ground), particularly at the family level demonstrating high species turnover and discrimination in vertical space. These sampling effects and temporal inconsistencies highlight the hazards of relying on one-off snapshot surveys and uncorrected datasets for assessments of diversity and responses to urban landscapes. The strong resilience of wasp communities to urbanization when assessed at coarse scales indicates that responses at finer spatial and taxonomic scales are critical to understanding the maintenance of ecosystem function in highly modified landscapes.</t>
  </si>
  <si>
    <t>10.1007/s10841-008-9146-5</t>
  </si>
  <si>
    <t>WOS:000263797600009</t>
  </si>
  <si>
    <t>Urban marine ecology in southern California: the ability of riprap structures to serve as rocky intertidal habitat</t>
  </si>
  <si>
    <t>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t>
  </si>
  <si>
    <t>10.1007/s00227-009-1130-4</t>
  </si>
  <si>
    <t>WOS:000263829900005</t>
  </si>
  <si>
    <t>Evidence of parasite-mediated disruptive selection on genetic diversity in a wild fish population</t>
  </si>
  <si>
    <t>Identifying the processes maintaining genetic variability in wild populations is a major concern in conservation and evolutionary biology. Parasite-mediated selection may strongly affect genetic variability in wild populations. The inbreeding depression theory predicts that directional selection imposed by parasites should act against the most inbred hosts, thus favouring genetic diversity in wild populations. We have tested this prediction by evaluating the strength and shape of the relationship between the load of a harmful fin-feeder ectoparasite (Tracheliastes polycolpus) and the genome-wide genetic diversity (i.e. heterozygosity measured at a set of 15 microsatellites) of its fish host, the rostrum dace (Leuciscus leuciscus). Contrary to expectation, we found a nonlinear relationship between host genetic diversity and ectoparasite load, with hosts that were either homozygous or heterozygous harbouring significantly fewer parasites than hosts with an intermediate level of heterozygosity. This relationship suggests that parasites could increase the variance of global heterozygosity in this host population through disruptive selection on genetic diversity. Moreover, when genetic diversity was measured at each locus separately, we found two very strong positive associations between host genetic diversity and the ectoparasite load. This latter result has three main implications: (i) genome-wide effect cannot alone explain the nonlinear relationship between global heterozygosity and ectoparasite load, (ii) negative non-additive allelic interactions (i.e. underdominance) may be a mechanism for resisting ectoparasite infection, and (iii) ectoparasites may favour homozygosity at some loci in this host population.</t>
  </si>
  <si>
    <t>10.1111/j.1365-294X.2009.04099.x</t>
  </si>
  <si>
    <t>WOS:000263853600009</t>
  </si>
  <si>
    <t>Parallel changes in genetic diversity and species diversity following a natural disturbance</t>
  </si>
  <si>
    <t>We examined the spatial and temporal variation of species diversity and genetic diversity in a metacommunity comprising 16 species of freshwater gastropods. We monitored species abundance at five localities of the Ain river floodplain in southeastern France, over a period of four years. Using 190 AFLP loci, we monitored the genetic diversity of Radix balthica, one of the most abundant gastropod species of the metacommunity, twice during that period. An exceptionally intense drought occurred during the last two years and differentially affected the study sites. This allowed us to test the effect of natural disturbances on changes in both genetic and species diversity. Overall, local (alpha) diversity declined as reflected by lower values of gene diversity H-S and evenness. In parallel, the among-sites (beta) diversity increased at both the genetic (F-ST) and species (F-STC) levels. These results suggest that disturbances can lead to similar changes in genetic and community structure through the combined effects of selective and neutral processes.</t>
  </si>
  <si>
    <t>10.1111/j.1365-294X.2009.04102.x</t>
  </si>
  <si>
    <t>WOS:000263853600011</t>
  </si>
  <si>
    <t>Molecular genetic analysis of a captive-breeding program: the vulnerable endemic Jamaican yellow boa</t>
  </si>
  <si>
    <t>The endemic Jamaican boa (or yellow boa, Epicrates subflavus) is a vulnerable species of the Caribbean biodiversity hotspot whose natural populations greatly declined mainly due to predation by introduced species, human persecution, and habitat destruction. A captive breeding program was initiated in 1976 and rationalized in 2002 by the establishment of a European Endangered Species Program. During the last 30 years, more than 600 offspring, of which 80 are still alive today, have been produced and distributed among European host institutions and privates. Here, using nine nuclear microsatellite loci and a fragment of the mitochondrial cytochrome b gene, we (i) determine the natural population from which the founders originate, (ii) identify parental allocation errors and ambiguities in the studbook, and (iii) assess the genetic diversity and estimate levels of inbreeding of the current captive population based on loss of alleles, variance in reproductive success, and relatedness among individuals. Combining measures of relatedness derived from multilocus genotypes with practical parameters such as age of animals and localization of host institutions, we propose mating groups that would maximize genetic diversity in the captive population of the Jamaican boa. Our analyses provide guidance for a more efficient breeding program that, in turn, could be used as the starting point of a repatriation program to increase the probability of the species long-term survival.</t>
  </si>
  <si>
    <t>10.1007/s10592-008-9519-z</t>
  </si>
  <si>
    <t>WOS:000263865100006</t>
  </si>
  <si>
    <t>Beyond the beneficial effects of translocations as an effective tool for the genetic restoration of isolated populations</t>
  </si>
  <si>
    <t>Translocations are becoming increasingly popular as appropriate management strategies for the genetic restoration of endangered species and populations. Although a few studies have shown that the introduction of novel alleles has reversed the detrimental effects of inbreeding over the short-term (i.e., genetic rescue), it is not clear how effective such translocations are for both maintaining neutral variation that may be adaptive in the future (i.e., genetic restoration) and increasing population viability over the long-term. In addition, scientists have expressed concerns regarding the potential genetic swamping of locally adapted populations, which may eliminate significant components of genetic diversity through the replacement of the target population by the source individuals used for translocations. Here we show that bird translocations into a wild population of greater prairie-chickens (Tympanuchus cupido pinnatus) in southeastern Illinois were effective in both removing detrimental variation associated with inbreeding depression as well as restoring neutral genetic variation to historical levels. Furthermore, we found that although translocations resulted in immediate increases in fitness, the demographic recovery and long-term viability of the population appears to be limited by the availability of suitable habitat. Our results demonstrate that although translocations can be effective management tools for the genetic restoration of wild populations on the verge of extinction, their long-term viability may not be guaranteed unless the initial conditions that led to most species declines (e.g., habitat loss) are reversed.</t>
  </si>
  <si>
    <t>10.1007/s10592-008-9547-8</t>
  </si>
  <si>
    <t>WOS:000263865100017</t>
  </si>
  <si>
    <t>Genetic structure of an isolated population of mantled howler monkeys (Alouatta palliata) on Barro Colorado Island, Panama</t>
  </si>
  <si>
    <t>Habitat fragmentation may influence genetic variability through reductions in population size and the physical isolation of conspecifics. We explored the effects of these factors on genetic diversity in a population of mantled howler monkeys (Alouatta palliata) on Barro Colorado Island (BCI), Panama. The study population was established in 1914 when an unknown number of resident individuals were isolated from the surrounding mainland by damming of the Rio Chagres to create the Panama Canal. Analyses of 10 microsatellite loci indicated that, despite this isolation, the howler monkeys on BCI exhibit levels of genetic diversity (H (S) = 0.584 +/- A 0.063) among the highest reported for any species of Alouatta. These data also revealed that although relatedness among adults in a social group was significantly greater than zero, the BCI population is not highly genetically structured. Tests for genetic bottlenecks based on departures from equilibrium expectations failed to reveal evidence of a recent reduction in population size. In contrast, coalescent modeling indicated that this population has likely experienced a marked decline within the last few 100 years. These findings generate new insights into the genetic structure of A. palliata and suggest that while the formation of BCI may not have substantially reduced genetic variation in these animals, genetic diversity has been influenced by historical changes in population size.</t>
  </si>
  <si>
    <t>10.1007/s10592-008-9584-3</t>
  </si>
  <si>
    <t>WOS:000263869100008</t>
  </si>
  <si>
    <t>Spatial and temporal boundaries to gene flow between Chaenocephalus aceratus populations at South Orkney and South Shetlands</t>
  </si>
  <si>
    <t>The black-fin icefish Chaenocephalus aceratus is among the most abundant fish species on the Antarctic continental shelves of the Scotia Arc, and Bouvet Island. We genotyped 11 microsatellite loci in C. aceratus population samples from South Orkney, southern South Shetlands, and Elephant Island (northern South Shetlands) collected in 2002 and 2006. This investigation further develops a previous study on the species reporting the presence of one panmittic population in southern South Shetlands and Elephant Island, with genetic differentiation between year classes. Our results reveal a more complex pattern of differentiation than shown previously, as genetic differences occur both at the temporal level at Elephant Island and at the geographic scale between southern South Shetland-Elephant Islands and South Orkney population samples. In particular, the magnitude of genetic differentiation at the temporal scale, the relatively high effective population size (N-e) and high gene flow indicate that genetic differentiation is not only driven by geographic distance. At present, our results should be taken into account when defining conservation measures and management boundaries in regions where fishery is still open or where other Antarctic fish species are still exploited.</t>
  </si>
  <si>
    <t>10.3354/meps07831</t>
  </si>
  <si>
    <t>WOS:000263999900022</t>
  </si>
  <si>
    <t>Temporal changes and effective population size of an Italian isolated and supportive-breeding managed northern pike (Esox lucius) population</t>
  </si>
  <si>
    <t>Genetic analyses allowed management and conservative programmes specifically designed for biodiversity conservation purposes. To date, no information is available for the N-e, definition of any Italian northern pike population, because of their wide, highly fragmented, distribution. Low gene flow levels may have caused some of the health population problems emerging from professional fisheries data, underlining a marked reduction of these populations. This paper reports the first estimate of genetic N-e, of the Lake Trasimeno's northern pike, by means of microsatellites data, over the last four decades compared with five other significant Italian populations. N-e, values were evaluated through specific software and H estimator. The N-e, results confirm that. despite a marked reduction between 1966 and 1997 and a less than optimal status, the Trasimeno population shows a positive trend in its health status, presumably due to proper management programmes. Considerations on the biological conservation and management of this pike population are also reported. (C) 2008 Elsevier B.V. All rights reserved.</t>
  </si>
  <si>
    <t>10.1016/j.fishres.2008.10.007</t>
  </si>
  <si>
    <t>WOS:000264087800004</t>
  </si>
  <si>
    <t>Frequent fire promotes diversity and cover of biological soil crusts in a derived temperate grassland</t>
  </si>
  <si>
    <t>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t>
  </si>
  <si>
    <t>10.1007/s00442-008-1260-2</t>
  </si>
  <si>
    <t>WOS:000264103800014</t>
  </si>
  <si>
    <t>Temporal variation in the genetic structure of a drone congregation area: an insight into the population dynamics of wild African honeybees (Apis mellifera scutellata)</t>
  </si>
  <si>
    <t>The mating system of the honeybee (Apis mellifera) has been regarded as one of the most panmictic in the animal kingdom, with thousands of males aggregating in drone congregation areas (DCAs) that virgin queens visit to mate with tens of partners. Although males from many colonies gather at such congregations, the temporal changes in the colonies contributing drones remain unknown. Yet, changes in the DCAs' genetic structure will ultimately determine population gene flow and effective population size. By repeatedly sampling drones from an African DCA over a period of 3 years, we studied the temporal changes in the genetic structure of a wild honeybee population. Using three sets of tightly linked microsatellite markers, we were able to reconstruct individual queen genotypes with a high accuracy, follow them through time and estimate their rate of replacement. The number of queens contributing drones to the DCA varied from 12 to 72 and was correlated with temperature and rainfall. We found that more than 80% of these queens were replaced by mostly unrelated ones in successive eight months sampling intervals, which resulted in a clear temporal genetic differentiation of the DCA. Our results suggest that the frequent long-range migration of colonies without nest-site fidelity is the main driver of this high queen turnover. DCAs of African honeybees should thus be regarded as extremely dynamic systems which together with migration boost the effective population size and maintain a high genetic diversity in the population.</t>
  </si>
  <si>
    <t>10.1111/j.1365-294X.2009.04143.x</t>
  </si>
  <si>
    <t>WOS:000264373900017</t>
  </si>
  <si>
    <t>Changes in Genetic Diversity of US Flue-Cured Tobacco Germplasm over Seven Decades of Cultivar Development</t>
  </si>
  <si>
    <t>Plant breeding methodologies have been applied to flue-cured tobacco (Nicotiana tabacum L.) for approximately seven decades. As has been observed in several other crops, stringent quality requirements have resulted in use of conservative breeding strategies in the development of new cultivars. The impact of breeding practices on genetic diversity within U.S. flue-cured tobacco germplasm has not been investigated. In this study, we genotyped 117 tobacco cultivars from eight sequential time periods with 71 microsatellite primer pairs. A total of 294 alleles were scored. Only a fraction (48%) of alleles present in the initial germplasm pool was represented in cultivars released during the 1990s and 2000s. Only 13 and 18 alleles were detected in the 1990s and 2000s, respectively, which were undetected in the initial gene pool. The overall trend was one of gradual reduction in allelic counts at microsatellite loci, indicating a reduction in diversity over time at the gene level. Average genetic similarity was highest among cultivars of the 1990s and 2000s, reflecting a reduction in genetic diversity at the population level. This observed narrowing of the U.S. flue-cured tobacco germplasm base in combination with low rates of genetic gain for yield in the last 20 years may point to a need for diversification of parental materials used in future breeding crosses. Reported genetic relationships among the group of genotyped cultivars may be valuable for future strategic germplasm choices.</t>
  </si>
  <si>
    <t>10.2135/cropsci2008.05.0253</t>
  </si>
  <si>
    <t>WOS:000264654000015</t>
  </si>
  <si>
    <t>Climate Warming, Marine Protected Areas and the Ocean-Scale Integrity of Coral Reef Ecosystems</t>
  </si>
  <si>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</si>
  <si>
    <t>10.1371/journal.pone.0003039</t>
  </si>
  <si>
    <t>WOS:000264796400003</t>
  </si>
  <si>
    <t>Impact of invasive plants on the species richness, diversity and composition of invaded communities</t>
  </si>
  <si>
    <t>Much attention has been paid to negative effects of alien species on resident communities but studies that quantify community-level effects of a number of invasive plants are scarce. We address this issue by assessing the impact of 13 species invasive in the Czech Republic on a wide range of plant communities. Vegetation in invaded and uninvaded plots with similar site conditions was sampled. All species of vascular plants were recorded, their covers were estimated and used as importance values for calculating the Shannon diversity index H', evenness J and Sorensen index of similarity between invaded and uninvaded vegetation. With the exception of two invasive species, species richness, diversity and evenness were reduced in invaded plots. Species exhibiting the greatest impact reduced species numbers per plot and the total number of species recorded in the communities sampled by almost 90%. A strong reduction of species number at the plot scale resulted in a marked reduction in the total species number at the landscape scale, and in less similarity between invaded and uninvaded vegetation. The decrease in species richness in invaded compared to uninvaded plots is largely driven by the identity of the invading species, whereas the major determinants of the decrease in Shannon diversity and evenness are the cover and height of invading species, and differences between height and cover of invading and dominant native species, independent of species identity. Synthesis. Management decisions based on impact need to distinguish between invasive species, as their effects on diversity and composition of resident vegetation differ largely. Tall invading species capable of forming populations with the cover markedly greater than that of native dominant species exert the most severe effects on species diversity and evenness. Since a strong impact on the community scale is associated with reduction in species diversity at higher scales, invaders with a high impact represent a serious hazard to the landscape.</t>
  </si>
  <si>
    <t>10.1111/j.1365-2745.2009.01480.x</t>
  </si>
  <si>
    <t>WOS:000265035400003</t>
  </si>
  <si>
    <t>Comparative genetic analyses of historical and contemporary collections highlight contrasting demographic histories for the bumble bees Bombus pensylvanicus and B. impatiens in Illinois</t>
  </si>
  <si>
    <t>Direct comparison of genetic patterns between museum specimens and contemporary collections can be a powerful approach for detecting recent demographic changes. Using microsatellite markers, we examined historical and contemporary genetic variation from an apparently declining bumble bee species, Bombus pensylvanicus, and from a stable species, Bombus impatiens, in central Illinois. For each species, we genotyped specimens from the Illinois Natural History Survey collected from three populations between 1969-1972 and from a resurvey of the same areas conducted in 2008. Population structure in B. pensylvanicus increased markedly over the last four decades (from theta(ST) = 0.001 to 0.027) while no structure was detected in B. impatiens for either time period (theta(ST) = -0.006 to -0.003). Changes in genetic diversity were not significant for either species, although small reductions were observed for B. pensylvanicus in all three populations. Coalescent simulations incorporating both contemporary and historical samples suggest that this small change is not surprising for recent population declines, as large reductions in genetic diversity were only apparent under the most severe bottleneck scenarios. These results demonstrate how comparisons of genetic patterns between temporal periods and species can help elucidate potential threats to population health and suggest several strategies that might be useful in the conservation of B. pensylvanicus in the Midwestern USA.</t>
  </si>
  <si>
    <t>10.1111/j.1365-294X.2009.04160.x</t>
  </si>
  <si>
    <t>WOS:000265189400008</t>
  </si>
  <si>
    <t>Impacts of the invasive Argentine ant on native ants and other invertebrates in coastal scrub in south-eastern Australia</t>
  </si>
  <si>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</si>
  <si>
    <t>10.1111/j.1442-9993.2008.01922.x</t>
  </si>
  <si>
    <t>WOS:000265222000001</t>
  </si>
  <si>
    <t>Deforestation and the Structure of Frog Communities in the Humedale Terraba-Sierpe, Costa Rica</t>
  </si>
  <si>
    <t>Loss of tropical forests is a major cause of biodiversity loss worldwide. Although drastic modification of the habitat has been shown to negatively affect amphibians, we are far from a complete understanding of the response of amphibian communities to deforestation. We studied frog assemblages in a gradient of forest modification in a humid area of Costa Rica, where the primary forest has been partially converted into pasture. The study area is a mosaic of primary palm forest, abandoned pasture covered by secondary forest, and pasture. Species richness was assessed by randomized walk surveys and audio strip transects. We also measured ecological features to evaluate the relationship between landscape alteration and amphibian distribution. The study area hosted a large number of amphibian species. We focused our monitoring on six anurans: Leptodactylus labialis, Eleutherodactylus fitzingeri, E. diastema, Hyla rosenbergi, H. microcephala, and Cochranella granulosa. Three species (L. labialis, H. rosenbergi, and H. microcephala) were most abundant in pasture areas with livestock presence, while E. fitzingeri, E. diastema, and C. granulosa were associated with primary forest. Most of the variation in community structure was explained by the joint effect of forest alteration and presence of livestock. Whereas forest specialists suffer direct negative effect from deforestation, generalist species can take advantage of forest alteration and the presence of farm animals. Species that are able to take advantage of the new environmental characteristics associated with human modifications of landscapes will come to prevail in the new communities.</t>
  </si>
  <si>
    <t>10.2108/zsj.26.197</t>
  </si>
  <si>
    <t>WOS:000265265700004</t>
  </si>
  <si>
    <t>EFFECTS OF NITROGEN AND PHOSPHORUS ADDITIONS ON PRIMARY PRODUCTION AND INVERTEBRATE DENSITIES IN A GEORGIA (USA) TIDAL FRESHWATER MARSH</t>
  </si>
  <si>
    <t>We added nitrogen (N), phosphorus (P), and N+P to a Zizaniopsis miliacea (Giant Cutgrass) dominated tidal freshwater marsh in Georgia USA to investigate nutrient limitation of tidal fresh water marsh primary production and invertebrate densities. After two years, aboveground biomass was significantly greater in the plots receiving N (2130 g m(-2)) and N+P (2066 g m(-2)) than in the control (886 g m(-2)) and P (971 g m (2)) only treatments. We observed no enrichment of leaf N or P in response to nutrient additions. Rather leaf N decreased and C:N increased in plots receiving N. suggesting that leaf N was diluted by increased production of carbon laden structural components used to support increased plant height. N:P ratios (mol:mol) of the plant tissue were consistently &lt; 30 (14-27) in the treatment plots, also suggesting N limitation of primary production. Total densities of benthic invertebrates and oligochaete worms (primarily Tubificidae and Lumbriculidae) were significantly greater in the N+P plots than in the other treatments after two years of nutrient additions. There were no clear differences in diversity of benthic invertebrates among treatments. Our results suggest that tidal freshwater marsh primary and secondary production is limited or co-limited by N, and thus, like estuaries and salt marshes. are susceptible to N enrichment and eutrophication.</t>
  </si>
  <si>
    <t>10.1672/07-79.1</t>
  </si>
  <si>
    <t>WOS:000265294500020</t>
  </si>
  <si>
    <t>Diversity declines in Microstegium vimineum (Japanese stiltgrass) patches</t>
  </si>
  <si>
    <t>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t>
  </si>
  <si>
    <t>10.1016/j.biocon.2009.01.009</t>
  </si>
  <si>
    <t>WOS:000265338600008</t>
  </si>
  <si>
    <t>Effects of oyster farming service vehicles on an intertidal sand flat</t>
  </si>
  <si>
    <t>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t>
  </si>
  <si>
    <t>10.1111/j.1365-2109.2008.02156.x</t>
  </si>
  <si>
    <t>WOS:000265424200003</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</si>
  <si>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</si>
  <si>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</si>
  <si>
    <t>10.1017/S0266467409006038</t>
  </si>
  <si>
    <t>WOS:000265504100006</t>
  </si>
  <si>
    <t>A manipulative field experiment to evaluate an integrative methodology for assessing sediment pollution in estuarine ecosystems</t>
  </si>
  <si>
    <t>The assessment of sediment contamination is of crucial importance for the management of estuarine ecosystems. Environmental risk assessment of oil pollution must be specific to these ecosystems because of their unique toxicant bioavailability dynamics, which is not comparable with that of other ecosystems where the environmental parameters are less variable. The goal of this work was to test in two European estuarine areas (Ria de Aveiro, Portugal; La Manga, Spain) whether the common methodology used to evaluate sediment pollution in marine sediment (amphipod toxicity tests and community structure analysis) is suited to these physico-chemically unique systems. Manipulative field experiments were conducted at three oil concentration levels, to compare resulting changes in community structure with laboratory and in situ amphipod toxicity tests carried out with native amphipod species Corophium multisetosum (Atlantic area) and Microdeutopus gryllotalpa (Mediterranean area). The impact of the toxicant was reflected in the community structure and toxicity tests, both of which were correlated with oil concentration. These results point to this methodology being a reliable tool for assessing and monitoring pollution in estuarine areas. (C) 2009 Elsevier B.V. All rights reserved.</t>
  </si>
  <si>
    <t>10.1016/j.scitotenv.2009.02.011</t>
  </si>
  <si>
    <t>WOS:000265545200009</t>
  </si>
  <si>
    <t>Changes in benthic macroinvertebrate communities in upper catchment streams across a gradient of catchment forest operation history</t>
  </si>
  <si>
    <t>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t>
  </si>
  <si>
    <t>10.1016/j.foreco.2009.02.029</t>
  </si>
  <si>
    <t>WOS:000265906500025</t>
  </si>
  <si>
    <t>Differences in soft-sediment macrobenthic assemblages invaded by Caulerpa taxifolia compared to uninvaded habitats</t>
  </si>
  <si>
    <t>Caulerpa taxifolia is a habitat-forming green alga that has invaded several temperate regions worldwide. Although C. taxifolia covers large areas of soft-sediment habitat, little is known about its effects on soft-sediment invertebrate assemblages. We compared soft-sediment macroinvertebrate assemblages in 2 estuaries in Southeastern Australia invaded by C. taxifolia to examine 2 main predictions: (1) areas covered with C. taxifolia will have different assemblages compared to unvegetated sediment because infauna are inhibited but epifauna are facilitated, and (2) areas with C. taxifolia will have different assemblages compared to those with native seagrasses (Halophila ovalis and Zostera capricorni) because infauna are inhibited but. epifauna are not. Multidimensional scaling and ANOSIM showed differences in invertebrate assemblages between all habitats. In C. taxifolia, infauna were less abundant and epifauna were more abundant compared to unvegetated sediment. However, when compared to native seagrasses, epifauna in C. taxifolia were more abundant than in H. ovalis in one estuary but less abundant than in Z. capricorni in another estuary, while infauna in C. taxifolia were less abundant than in both seagrass species. The consistently low infaunal abundance in C. taxifolia, irrespective of infaunal feeding mode, suggests C. taxifolia impacts infauna generally. Examination of environmental factors potentially responsible for the low abundance of infauna indicated that differences in redox potential (and associated chemical changes) may explain patterns in abundance of infauna among habitats. Our findings indicate that invasion by C. taxifolia causes important changes to soft-sediment macroinvertebrate assemblages and suggest that infauna may be particularly vulnerable to invasion because of changes to sediment chemistry.</t>
  </si>
  <si>
    <t>10.3354/meps07926</t>
  </si>
  <si>
    <t>WOS:000265907000005</t>
  </si>
  <si>
    <t>Fish Responses to Experimental Fragmentation of Seagrass Habitat</t>
  </si>
  <si>
    <t>Understanding the consequences of habitat fragmentation has come mostly from comparisons of patchy and continuous habitats. Because fragmentation is a process, it is most accurately studied by actively fragmenting large patches into multiple smaller patches. We fragmented artificial seagrass habitats and evaluated the impacts of fragmentation on fish abundance and species richness over time (1 day, 1 week, 1 month). Fish assemblages were compared among 4 treatments: control (single, continuous 9-m(2) patches); fragmented (single, continuous 9-m(2) patches fragmented to 4 discrete 1-m(2) patches); prefragmented/patchy (4 discrete 1-m(2) patches with the same arrangement as fragmented); and disturbance control (fragmented then immediately restored to continuous 9-m(2) patches). Patchy seagrass had lower species richness than actively fragmented seagrass (up to 39% fewer species after 1 week), but species richness in fragmented treatments was similar to controls. Total fish abundance did not vary among treatments and therefore was unaffected by fragmentation, patchiness, or disturbance caused during fragmentation. Patterns in species richness and abundance were consistent 1 day, 1 week, and 1 month after fragmentation. The expected decrease in fish abundance from reduced total seagrass area in fragmented and patchy seagrass appeared to be offset by greater fish density per unit area of seagrass. If fish prefer to live at edges, then the effects of seagrass habitat loss on fish abundance may have been offset by the increase (25%) in seagrass perimeter in fragmented and patchy treatments. Possibly there is some threshold of seagrass patch connectivity below which fish abundances cannot be maintained. The immediate responses of fish to experimental habitat fragmentation provided insights beyond those possible from comparisons of continuous and historically patchy habitat.</t>
  </si>
  <si>
    <t>10.1111/j.1523-1739.2008.01130.x</t>
  </si>
  <si>
    <t>WOS:000266071200019</t>
  </si>
  <si>
    <t>The challenge of maintaining Atlantic forest biodiversity: A multi-taxa conservation assessment of specialist and generalist species in an agro-forestry mosaic in southern Bahia</t>
  </si>
  <si>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</si>
  <si>
    <t>10.1016/j.biocon.2009.02.010</t>
  </si>
  <si>
    <t>WOS:000266154000006</t>
  </si>
  <si>
    <t>Aspen succession and nitrogen loading: a case for epiphytic lichens as bioindicators in the Rocky Mountains, USA</t>
  </si>
  <si>
    <t>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t>
  </si>
  <si>
    <t>10.1111/j.1654-1103.2009.01064.x</t>
  </si>
  <si>
    <t>WOS:000266244100012</t>
  </si>
  <si>
    <t>Socio-genetic structure and mating system of a wild boar population</t>
  </si>
  <si>
    <t>Wild boars Sus scrofa have a social organization based on female groups that can include several generations of adults and offspring, and are thus likely matrilineal. However, little is known about the degree of relatedness between animals living in such groups or occupying the same core area of spatial activity. Also, polygynous male mating combined with matrilineal female groups can have strong influences on the genetic structure of populations. We used microsatellite genotyping combined with behavioral data to investigate the fine-scale population genetic structure and the mating system of wild boars in a multi-year study at Chateauvillain-Arc-en-Barrois (France). According to spatial genetic autocorrelation, females in spatial proximity were significantly inter-related. However, we found that numerous males contributed to the next generation, even within the same social group. Based on our genetic data and behavioral observations, wild boars in this population appear to have a low level of polygyny associated with matrilineal female groups, and infrequent multiple paternity. Mortality due to hunting may facilitate the breakup of what historically has been a more predominantly polygynous mating system, and likely accelerates the turnover of adults within the matrilineal groups.</t>
  </si>
  <si>
    <t>10.1111/j.1469-7998.2009.00553.x</t>
  </si>
  <si>
    <t>WOS:000266268600005</t>
  </si>
  <si>
    <t>Negative responses of Collembola in a forest soil (Alptal, Switzerland) under experimentally increased N deposition</t>
  </si>
  <si>
    <t>The response of specific groups of organisms, like Collembola to atmospheric nitrogen (N) deposition is still scarcely known. We investigated the Collembola community in a subalpine forest (Alptal, Switzerland) as subjected for 12 years to an experimentally increased N deposition (+25 on top of ambient 12 kg N ha(-1) year(-1)). In the 0-5 cm soil layer, there was a tendency of total Collembola densities to be lower in N-treated than in control plots. The density of Isotomiella minor, the most abundant species, was significantly reduced by the N addition. A tendency of lower Collembola group richness was observed in N-treated plots. The Density-Group index (d(DG)) showed a significant reduction of community diversity, but the Shannon-Wiener index (H') was not significantly affected by the N addition. The Collembola community can be considered as a bioindicator of N inputs exceeding the biological needs, namely, soil N saturation. (C) 2009 Elsevier Ltd. All rights reserved.</t>
  </si>
  <si>
    <t>10.1016/j.envpol.2009.02.026</t>
  </si>
  <si>
    <t>WOS:000266350800009</t>
  </si>
  <si>
    <t>Weed Community Composition after 26 Years of Fertilization of Late Rice</t>
  </si>
  <si>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</si>
  <si>
    <t>10.1614/WS-08-106.1</t>
  </si>
  <si>
    <t>WOS:000266364800005</t>
  </si>
  <si>
    <t>Taxonomic structure and the effectiveness of surrogates in environmental monitoring: a lesson from polychaetes</t>
  </si>
  <si>
    <t>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t>
  </si>
  <si>
    <t>10.3354/meps07989</t>
  </si>
  <si>
    <t>WOS:000266756800016</t>
  </si>
  <si>
    <t>ARTIFICIAL STEPS TO STABILIZE MOUNTAIN RIVERS: A POST-PROJECT ECOLOGICAL ASSESSMENT</t>
  </si>
  <si>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</si>
  <si>
    <t>10.1002/rra.1234</t>
  </si>
  <si>
    <t>WOS:000266939400011</t>
  </si>
  <si>
    <t>Revegetation in agricultural areas: the development of structural complexity and floristic diversity</t>
  </si>
  <si>
    <t>Revegetation plantings have been established to ameliorate the negative effects of clearing remnant vegetation and to provide new habitat for fauna. We assessed the vegetation development of revegetation established on agricultural land in Gippsland, southeastern Australia. We compared (1) woodlot plantings (overstory eucalypts only) and (2) ecological plantings (many species of local trees, shrubs, and understory) with remnants and paddocks for development of vegetation structural complexity and colonizing plant species. We also assessed structural complexity and plant species composition in response to several site parameters. Structural complexity increased with age of planting, toward that of remnants, even when very few species were planted at establishment. Richness of all plants and native plants, however, did not increase with age. Native ground cover plants were not included at establishment in either planting type, and their richness also did not increase with age of planting. This indicated that colonization did not occur through time, which does not support the foster ecosystem hypothesis.'' Weed species richness was unrelated to native plant richness, which does not support the diversity-resistance hypothesis.'' Weed cover increased with age of planting in woodlot plantings but decreased with age in ecological plantings. Richness of all plants and native plants in plantings did not increase with planting size or with the presence of old remnant trees and was greater in gullies and where vegetation cover in the landscape was greater. Structural complexity was unaffected by planting size but was positively correlated with floristic richness. Ecological plantings had higher condition scores, greater shrub cover, more plant life-forms and fewer weeds than woodlot plantings indicating a possible greater benefit as habitat for wildlife. We conclude that ecological plantings can achieve similar overall structural complexity as remnant vegetation within 30-40 years but will not gain a native ground layer and will not necessarily contain some important structural features by this age. Ecological plantings may provide habitat for the conservation of fauna (through the development of structural complexity), but they may not provide for the conservation of non-planted. ora (given the absence of re-colonizing smaller life-forms).</t>
  </si>
  <si>
    <t>10.1890/08-0939.1</t>
  </si>
  <si>
    <t>WOS:000267020200011</t>
  </si>
  <si>
    <t>How does population genetic diversity change over time? An experimental seed bank study of Atriplex tatarica (Chenopodiaceae)</t>
  </si>
  <si>
    <t>Atriplex tatarica is an annual, early successional, facultative halophilic species of frequently disturbed human-made habitats in Central and Eastern Europe. We investigated to what extent the plants grown from seeds extracted from soil seed bank differed genetically to mature aboveground plants in experimental populations of A. tatarica over two successive years. At each of five plots 50 aboveground plants and 50 plants extracted from seeds stored in soil were assayed for allozyme analysis in 2003 and 2004. At the start of experiment, we introduced 1000 seeds of the study species into each of five experimental plots. While the species dominated in all of the experimental plots in the first year, the second year A. tatarica coverage decreased dramatically. Overall allele frequencies of soil seeds and mature plants showed significant differences between life history stages in both years, but not within years in soil seeds as well as mature plants stages. While mature plants showed a significantly greater amount of single and multilocus heterozygosity in both consecutive years, comparison between years did not yield any significant differences. In the same way, despite a relatively large seed bank the species population genetic parameters, i.e. allelic richness (A), observed heterozygosity (H-o), gene diversity (H-s), inbreeding coefficient (F-IS) and fixation index (F-ST), did not change over years between as well as within life history stages. The soil seeds and mature plants significantly differed in H-o, H-s and F-IS, while the A and F-ST were not significantly different between life history stages. (C) 2008 Elsevier GmbH. All rights reserved.</t>
  </si>
  <si>
    <t>10.1016/j.flora.2008.05.005</t>
  </si>
  <si>
    <t>WOS:000267532400002</t>
  </si>
  <si>
    <t>Microsatellite markers reveal shallow genetic differentiation between cohorts of the common sea urchin Paracentrotus lividus (Lamarck) in northwest Mediterranean</t>
  </si>
  <si>
    <t>Temporal variability was studied in the common sea urchin Paracentrotus lividus through the analysis of the genetic composition of three yearly cohorts sampled over two consecutive springs in a locality in northwestern Mediterranean. Individuals were aged using growth ring patterns observed in tests and samples were genotyped for five microsatellite loci. No reduction of genetic diversity was observed relative to a sample of the adult population from the same location or within cohorts across years. F-ST and amova results indicated that the differentiation between cohorts is rather shallow and not significant, as most variability is found within cohorts and within individuals. This mild differentiation translated into estimates of effective population size of 90-100 individuals. When the observed excess of homozygotes was taken into account, the estimate of the average number of breeders increased to c. 300 individuals. Given our restricted sampling area and the known small-scale heterogeneity in recruitment in this species, our results suggest that at stretches of a few kilometres of shoreline, large numbers of progenitors are likely to contribute to the larval pool at each reproduction event. Intercohort variation in our samples is six times smaller than spatial variation between adults of four localities in the western Mediterranean. Our results indicate that, notwithstanding the stochastic events that take place during the long planktonic phase and during the settlement and recruitment processes, reproductive success in this species is high enough to produce cohorts genetically diverse and with little differentiation between them. Further research is needed before the link between genetic structure and underlying physical and biological processes can be well established.</t>
  </si>
  <si>
    <t>10.1111/j.1365-294X.2009.04239.x</t>
  </si>
  <si>
    <t>WOS:000267540100012</t>
  </si>
  <si>
    <t>Experimental warming causes rapid loss of plant diversity in New England salt marshes</t>
  </si>
  <si>
    <t>Anthropogenic climate change is predicted to cause widespread biodiversity loss due to shifts in species' distributions, but these predictions rarely incorporate ecological associations such as zonation. Here, we predict the decline of a diverse assemblage of mid-latitude salt marsh plants, based on an ecosystem warming experiment. In New England salt marshes, a guild of halophytic forbs occupies stressful, waterlogged pannes. At three sites, experimental warming of &lt; 4 degrees C led to diversity declines in pannes and rapid takeover by a competitive dominant, Spartina patens. In Rhode Island, near their southern range limit, pannes were more sensitive to warming than farther north, and panne area also declined in control plots over the three-season experiment. These results suggest that warming will rapidly reduce plant diversity in New England salt marshes by eliminating a high diversity zone. Biodiversity in zoned ecosystems may be more affected by climate-driven shifts in zonation than by individual species' distribution shifts.</t>
  </si>
  <si>
    <t>10.1111/j.1461-0248.2009.01337.x</t>
  </si>
  <si>
    <t>WOS:000267660600013</t>
  </si>
  <si>
    <t>Comparative Resistance and Resilience of Soil Microbial Communities and Enzyme Activities in Adjacent Native Forest and Agricultural Soils</t>
  </si>
  <si>
    <t>Degradation of soil properties following deforestation and long-term soil cultivation may lead to decreases in soil microbial diversity and functional stability. In this study, we investigated the differences in the stability (resistance and resilience) of microbial community composition and enzyme activities in adjacent soils under either native tropical forest (FST) or in agricultural cropping use for 14 years (AGR). Mineral soil samples (0 to 5 cm) from both areas were incubated at 40A degrees C, 50A degrees C, 60A degrees C, or 70A degrees C for 15 min in order to successively reduce the microbial biomass. Three and 30 days after the heat shocks, fluorescein diacetate (FDA) hydrolysis, cellulase and laccase activities, and phospholipid-derived fatty acids-based microbial community composition were measured. Microbial biomass was reduced up to 25% in both soils 3 days after the heat shocks. The higher initial values of microbial biomass, enzyme activity, total and particulate soil organic carbon, and aggregate stability in the FST soil coincided with higher enzymatic stability after heat shocks. FDA hydrolysis activity was less affected (more resistance) and cellulase and laccase activities recovered more rapidly (more resilience) in the FST soil relative to the AGR counterpart. In the AGR soil, laccase activity did not show resilience to any heat shock level up to 30 days after the disturbance. Within each soil type, the microbial community composition did not differ between heat shock and control samples at day 3. However, at day 30, FST soil samples treated at 60A degrees C and 70A degrees C contained a microbial community significantly different from the control and with lower biomass regardless of high enzyme resilience. Results of this study show that deforestation followed by long-term cultivation changed microbial community composition and had differential effects on microbial functional stability. Both soils displayed similar resilience to FDA hydrolysis, a composite measure of a broad range of hydrolases, supporting the concept of high functional redundancy in soil microbial communities. In contrast, the resilience of the substrate-specific activities of laccase and cellulase were lower in AGR soils, indicating a less diverse community of microorganisms capable of producing these enzymes and confirming that specific microbial functions are more sensitive measurements for evaluating change in the ecological stability of soils.</t>
  </si>
  <si>
    <t>10.1007/s00248-009-9508-x</t>
  </si>
  <si>
    <t>WOS:000268019000016</t>
  </si>
  <si>
    <t>Testing hypotheses about temporary and persistent effects of otter trawling on infauna: changes in diversity rather than abundance</t>
  </si>
  <si>
    <t>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t>
  </si>
  <si>
    <t>10.3354/meps08056</t>
  </si>
  <si>
    <t>WOS:000268078800005</t>
  </si>
  <si>
    <t>Differences in leaf-litter invertebrate assemblages between radiata pine plantations and neighbouring native eucalypt woodland</t>
  </si>
  <si>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</si>
  <si>
    <t>10.1111/j.1442-9993.2009.01936.x</t>
  </si>
  <si>
    <t>WOS:000268196000002</t>
  </si>
  <si>
    <t>Biodiversity recovery during rainforest reforestation as indicated by rapid assessment of epigaeic ants in tropical and subtropical Australia</t>
  </si>
  <si>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</si>
  <si>
    <t>10.1111/j.1442-9993.2009.01943.x</t>
  </si>
  <si>
    <t>WOS:000268196000007</t>
  </si>
  <si>
    <t>Effect of deepwater trawling on the macro-invertebrate assemblages of seamounts on the Chatham Rise, New Zealand</t>
  </si>
  <si>
    <t>Seamounts, knolls, pinnacles and other seamount-like features are prominent and widely distributed features of the New Zealand marine environment. and also the focus of important commercial fisheries and some exploratory mineral mining. There is considerable debate about the effects of such activities on the benthic habitat of deep-water seamounts. In 2001 a study was undertaken of eight seamount-features on the Chatham Rise, an area that has been heavily trawled for orange roughy since the early 1990s. Half of the study seamounts were considered unfished and the other half fished. Benthic macro-invertebrate assemblages of each seamount were sampled using epibenthic sleds, whilst the presence of habitat-forming fauna (e.g., live corals), substrate type and indications of trawling (e.g., trawl door marks) were determined using a towed underwater camera. Fisheries catch-effort data were examined to determine the amount and distribution of bottom trawling effort on the seamounts. Analyses of camera data revealed that unfished seamounts possessed a relatively large amount of stony coral habitat comprising live Solenosmilia variabilis and Madrepora oculata (predominantly on the seamount peaks) whereas fished seamounts had relatively little coral habitat. Indications of trawling were observed over six times more frequently on seabed images from fished as opposed to unfished seamounts, and appeared related to the amount of fishing effort on individual seamounts. Multivariate analyses of sled data revealed a significant difference in macro-invertebrate assemblage composition between fished and unfished seamounts. The variability observed in assemblage composition between seamounts can in part be explained by the relative fishing pressure measured by a fishing effects index. The results of the study are discussed with respect to management of seamount habitat, and the need for ongoing monitoring and research to derive conservation practices that allow for sustainable seamount fisheries. (C) 2009 Elsevier Ltd. All rights reserved.</t>
  </si>
  <si>
    <t>10.1016/j.dsr.2009.04.015</t>
  </si>
  <si>
    <t>WOS:000268611100010</t>
  </si>
  <si>
    <t>Hyporheic Microbial Community Development Is a Sensitive Indicator of Metal Contamination</t>
  </si>
  <si>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</si>
  <si>
    <t>10.1021/es9005465</t>
  </si>
  <si>
    <t>WOS:000268907700012</t>
  </si>
  <si>
    <t>How do beetle assemblages respond to cyclonic disturbance of a fragmented tropical rainforest landscape?</t>
  </si>
  <si>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</si>
  <si>
    <t>10.1007/s00442-009-1399-5</t>
  </si>
  <si>
    <t>WOS:000269010300014</t>
  </si>
  <si>
    <t>Impacts of grazing, selective logging and hyper-aggressors on diurnal bird fauna in intact forest landscapes of the Brigalow Belt, Queensland</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</si>
  <si>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</si>
  <si>
    <t>10.1111/j.1442-9993.2009.01979.x</t>
  </si>
  <si>
    <t>WOS:000269675600012</t>
  </si>
  <si>
    <t>Experimental drought and warming decrease diversity and slow down post-fire succession in a Mediterranean shrubland</t>
  </si>
  <si>
    <t>Plant community recovery (species richness, diversity and composition) of a post-fire Mediterranean shrubland was monitored over a seven year period (1998-2005) under experimental drought and warming that simulated the environmental conditions forecast for this area in the coming decades. Species richness and Shannon's index were positively correlated with accumulated precipitation in the growing season and both variables were negatively affected by reduced water availability in drought plots. The relative abundance of the different species in both treatments was linearly correlated with their relative abundance in control plots. Moreover, we found species-specific responses to treatments. Drought and warming treatment reduced the competitive ability of the obligate seeder tree Pinus halepensis against native resprouter shrubs and consequently, the transformation from shrub to pine tree dominated vegetation was slowed down. Conversely, the water use strategy of Globularia alypum may allow this species to maintain a dominant position in drought plots. Therefore, future drier and warmer conditions in Mediterranean areas may severely affect plant community recovery after a disturbance, due to the existence of both abundance-dependent and species-specific responses that may change inter-specific competitive relationships.</t>
  </si>
  <si>
    <t>10.1111/j.1600-0587.2009.05738.x</t>
  </si>
  <si>
    <t>WOS:000269700700007</t>
  </si>
  <si>
    <t>Effects of hay management and native species sowing on grassland community structure, biomass, and restoration</t>
  </si>
  <si>
    <t>Prairie hay meadows are important reservoirs of grassland biodiversity in the tallgrass prairie regions of the central United States and are the object of increasing attention for conservation and restoration. In addition, there is growing interest in the potential use of such low-input, high-diversity (LIHD) native grasslands for biofuel production. The uplands of eastern Kansas, USA, which prior to European settlement were dominated by tallgrass prairie, are currently utilized for intensive agriculture or exist in a state of abandonment from agriculture. The dominant grasslands in the region are currently high-input, low-diversity (HILD) hay fields seeded to introduced C-3 hay grasses. We present results from a long-term experiment conducted in a recently abandoned HILD hay field in eastern Kansas to evaluate effects of fertilization, haying, and native species sowing on community dynamics, biomass, and potential for restoration to native LIHD hay meadow. Fertilized plots maintained dominance by introduced grasses, maintained low diversity, and were largely resistant to colonization throughout the study. Non-fertilized plots exhibited rapid successional turnover, increased diversity, and increased abundance of C-4 grasses over time. Haying led to modest changes in species composition and lessened the negative impact of fertilization on diversity. In non-fertilized plots, sowing increased representation by native species and increased diversity, successional turnover, and biomass production. Our results support the shifting limitations hypothesis of community organization and highlight the importance of species pools and seed limitations in constraining successional turnover, community structure, and ecosystem productivity under conditions of low fertility. Our findings also indicate that several biological and functional aspects of LIHD hay meadows can be restored from abandoned HILD hay fields by ceasing fertilization and reintroducing native species through sowing. Declines in primary production and hay yield that result from the cessation of fertilization may be at least partially compensated for by restoration.</t>
  </si>
  <si>
    <t>10.1890/08-0849.1</t>
  </si>
  <si>
    <t>WOS:000269942500016</t>
  </si>
  <si>
    <t>Sibship reconstruction demonstrates the extremely low effective population size of striped bass Morone saxatilis in the Santee-Cooper system, South Carolina, USA</t>
  </si>
  <si>
    <t>For organisms with great fecundity and high mortality in early life stages, such as shellfish or fishes, the need to match reproductive activity with environmental conditions conducive to spawning, fertilization, larval development and recruitment may result in extreme variance in reproductive success among individuals. The main objective of this study was to investigate evidence of large variance in the reproductive success of the striped bass Morone saxatilis in the Santee-Cooper system, South Carolina, USA. Seven microsatellite loci were analysed in 603 recruits representing three yearly cohorts from 1992 to 1994, and a group analysis was performed to identify full-sib families. Large variance in reproductive success was detected, with a few large, full-sib families contributing disproportionately to each of the cohorts. The severity of sweepstakes reproductive success varied among cohorts depending on environmentally imposed mortality. Estimations of the effective number of breeders in these long-lived fish ranged from 24 in 1992 to 44 in 1994. Furthermore, the estimated genetic effective population size (N-e = 93) is approximately four orders of magnitude lower than estimates of adult census size (N = 362 000). Furthermore, the presence of large full-sib families indicates that striped bass engage in pair mating in the wild. Heterogeneity in genetic composition was also observed among cohorts, suggesting that genetically different adults contribute to different cohorts and that chance rather than fitness variation determines reproductive success.</t>
  </si>
  <si>
    <t>10.1111/j.1365-294X.2009.04343.x</t>
  </si>
  <si>
    <t>WOS:000270079100014</t>
  </si>
  <si>
    <t>Long-term changes in the fine-scale population structure of coho salmon populations (Oncorhynchus kisutch) subject to extensive supportive breeding</t>
  </si>
  <si>
    <t>The long-term viability of a metapopulation depends partly on the gene flow among sub-populations. Management approaches such as translocations and supportive breeding between closely related populations may affect gene flow and overall structure, and therefore viability. Here, we examined temporal changes in the fine-scale population structure of coho salmon (Oncorhynchus kisutch) by comparing archived (1938) and modern (2001-2005) populations in six rivers within a single conservation unit (Puget Sound, Washington) sampled before and after an extended period of between-river transfers and releases of millions of cultured salmon. Genotype frequencies at eight microsatellite loci showed that current populations descended from historical Puget Sound populations, but populations in different rivers that exchanged fish for hatchery propagation share more of their ancestry recently than they did historically. Historically, populations in different rivers were isolated by geographic distance, but that relationship is no longer significant. Allelic richness among all populations declined significantly, suggesting that genetic drift has increased because of a population bottleneck. Populations in different rivers and within the same river have become more diverged, providing further evidence for a widespread bottleneck. Previously, we observed that genetic distance significantly decreased with the number of fish exchanged; however, some populations apparently resisted introgression. Altered gene flow and lost diversity may affect the complexity, and therefore resiliency of sub-populations within a conservation unit. Plans for artificial culture need to maintain existing genetic diversity and avoid disrupting the fine-scale structure by using local populations for parents whenever possible. Heredity (2009) 103, 299-309; doi: 10.1038/hdy.2009.69; published online 15 July 2009</t>
  </si>
  <si>
    <t>10.1038/hdy.2009.69</t>
  </si>
  <si>
    <t>WOS:000270087700005</t>
  </si>
  <si>
    <t>Seeding and fertilization effects on plant cover and community recovery following wildfire in the Eastern Cascade Mountains, USA</t>
  </si>
  <si>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</si>
  <si>
    <t>10.1016/j.foreco.2009.07.013</t>
  </si>
  <si>
    <t>WOS:000270152300065</t>
  </si>
  <si>
    <t>Impact threshold for an alien plant invader, Lantana camara L., on native plant communities</t>
  </si>
  <si>
    <t>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t>
  </si>
  <si>
    <t>10.1016/j.biocon.2009.06.012</t>
  </si>
  <si>
    <t>WOS:000270203100029</t>
  </si>
  <si>
    <t>Effects of dredged material disposal on benthic macrofauna near Itajai Harbour (Santa Catarina, South Brazil)</t>
  </si>
  <si>
    <t>From July 2006 to November 2007 the effects of sediment disposal on a macrobenthic association were evaluated at the dredged material disposal site, located 3 km northeast of Itajai Harbour navigation channel. Seven sample sites were chosen, five inside the licensed disposal area and two outside. Five samples were collected from each site with a 0.042 m(2) Van-Veen grab. Nine sampling campaigns took place, one before, one during, and seven after the disposal operations. Evaluations were carried out through sediment and macrofauna composition analysis. An increase in coarse fractions of sediments was found during the first months, mainly within the licensed disposal area. Sites outside the area kept the same granulometric characteristics. Nested ANOVA showed that abundance, taxa richness and Shannon-Weaver diversity were significantly smaller after the disposal, and recovered the initial mean values after the disposal ends. PERMANOVA showed a high heterogeneity between the sites. It decreased until the fifth month after disposal operations, mainly in the sites inside the licensed area. These sites were characterized by low abundance and high variability among the samples. Eight to 16 months after disposal sites recovered their heterogeneity, indicating less variability among the samples of each site and distinct benthic macrofaunal composition. The high volume and frequency of sediment disposal were the main factors of environmental modifications, since the amount of deposited sediment on the seabed probably exceeded the natural sedimentation rates. The presence of a benthic macrofauna adapted to natural/human disturbances was crucial to the fast recovery verified in the area. (C) 2009 Elsevier B.V. All rights reserved.</t>
  </si>
  <si>
    <t>10.1016/j.ecoleng.2009.06.005</t>
  </si>
  <si>
    <t>WOS:000270645400008</t>
  </si>
  <si>
    <t>Genetic monitoring of a founder population of brown bears (Ursus arctos) in central Austria</t>
  </si>
  <si>
    <t>The small population of brown bears in central Austria originated from a single migrant bear that had settled in the area in 1972 and three bears that were released in the years 1989-1993. Subsequently, the population has been monitored by radio-tracking and collecting data on bear signs and observations. In 2000 we started a genetic monitoring program of the population with the aim to obtain data on population size, sex ratio, relationships as well as movements of individuals. We present results from six years of genetic monitoring, which were combined with field observations. During this time 1,005 hair and faecal samples were gathered in an area of[ 3,000 km(2), most of them in the core area of &lt;1,000 km(2). Furthermore we analysed blood samples from captured individuals. Eight microsatellite and two sex determination loci were employed for DNA profiling. The number of detected individuals is surprisingly low, ranging from 5-8 per year. Concerning relationships the analysis reveals that all genotyped individuals are descendants of the founder individuals indicating that no immigration took place. Only one male and three females (mother and 2 daughters) took part in reproduction. Considering the fact that 28 bears were born in this region since 1991 the question arises where the bears disappear to. Our results suggest that subadult bears migrate from the core area. However, indices of bear occurrence outside the core area are rare and migration could be proved only for two young males. Other explanations, such as increased natural mortality and illegal hunting are discussed.</t>
  </si>
  <si>
    <t>10.1007/s10592-008-9654-6</t>
  </si>
  <si>
    <t>WOS:000270737400003</t>
  </si>
  <si>
    <t>NUTRIENT EFFECTS ON SEAGRASS EPIPHYTE COMMUNITY STRUCTURE IN FLORIDA BAY</t>
  </si>
  <si>
    <t>A field experiment was employed in Florida Bay investigating the response of seagrass epiphyte communities to nitrogen (N) and phosphorus (P) additions. While most of the variability in epiphyte community structure was related to uncontrolled temporal and spatial environmental heterogeneity, P additions increased the relative abundance of the red algae-cyanobacterial complex and green algae, with a concomitant decrease in diatoms. When N was added along with P, the observed changes to the diatoms and the red algae-cyanobacterial complex were in the same direction as P-only treatments, but the responses were decreased in magnitude. Within the diatom community, species relative abundances, species richness, and diversity responded weakly to nutrient addition. P additions produced changes in diatom community structure that were limited to summer and were stronger in eastern Florida Bay than in the western bay. These changes were consistent with well-established temporal and spatial patterns of P limitation. Despite the significant change in community structure resulting from P addition, diatom communities from the same site and time, regardless of nutrient treatment, remained more similar to one another than to the diatom communities subject to identical nutrient treatments from different sites and times. Overall, epiphyte communities exhibited responses to P addition that were most evident at the division level.</t>
  </si>
  <si>
    <t>10.1111/j.1529-8817.2009.00745.x</t>
  </si>
  <si>
    <t>WOS:000270901800003</t>
  </si>
  <si>
    <t>Comparison of Ground Beetle (Coleoptera: Carabidae) Assemblages in Rocky Mountain Savannas Invaded and Un-invaded by an Exotic Forb, Spotted Knapweed</t>
  </si>
  <si>
    <t>We compared ground beetle (Carabidae) assemblages between spotted knapweed (Centaurea maculosa Lam.) -invaded (invaded) and un-invaded (native) habitats in Rocky Mountain savannas. Carabids play important roles in biotic communities and are known as a good indictor group of environmental change. Carabid species activity-abundance and diversity were estimated, and environmental measurements were taken at four transects at each of six study sites in 1999 and 2000. Data on carabid trap captures were analyzed at both the species and functional group level. We found that species belonging to specialist predator and omnivore functional groups were more abundant on transects at invaded sites, whereas generalist predator species were more abundant within native sites. Carabid species richness was similar between invaded and native sites; however, evenness was greater at invaded compared to native sites. Greater species evenness in invaded versus native sites was primarily due to an increase in activity-abundance of species in the omnivore and specialist predator functional groups and a decrease in activity-abundance of dominant species belonging to the generalist predator functional group. Our results suggest that spotted knapweed invasion results in an alteration of carabid community structure and leads to the homogenization of carabid assemblages in Rocky Mountain savannas. Biotic homogenization, the increase in taxonomic similarity of once-diverse communities, is often a direct outcome of exotic invasions and an important concern currently facing biodiversity conservation.</t>
  </si>
  <si>
    <t>10.3955/046.083.0406</t>
  </si>
  <si>
    <t>WOS:000270930100006</t>
  </si>
  <si>
    <t>Effects of urbanization on plant species diversity in central Arizona</t>
  </si>
  <si>
    <t>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t>
  </si>
  <si>
    <t>10.1890/080084</t>
  </si>
  <si>
    <t>WOS:000271559000014</t>
  </si>
  <si>
    <t>Effect of simulated environmental change on alpine soil arthropods</t>
  </si>
  <si>
    <t>The effects of environmental change on soil animal communities are poorly known. Norwegian mountains are subject to both atmospheric nitrogen deposition and increased temperature. In a nutrient poor alpine Dryas heath in south Norway, soil arthropods were studied after 4 years of simulated environmental change by warming and/or nutrient addition. Warming alone only affected three low-density Collembola species, while nutrient addition, with or without warming, greatly changed the dominance hierarchy of the microarthropod community. Certain Collembola species with a short (1 year) life cycle and predatory Gamasina mites increased markedly in density. These groups may have been favored by increased litter production, as plant biomass and litter producing graminoids and forbs increased significantly in plots with nutrient addition and nutrient addition combined with warming. Microarthropods with a longer life cycle, such as Oribatida and certain Collembola, were generally unaffected by nutrient addition and probably need more time to respond. The number of Oribatida taxa was, however, reduced in plots with nutrient addition, both with and without warming. A ground-living species of Coccoidea (Homoptera) declined in plots with nutrient addition and warming compared with only warming, probably due to reduced cover of its host plant Dryas. The density of Diptera larvae (Sciaridae and Chironomidae) was unaffected by the treatments. Our results show that increased nutrient availability in nutrient poor alpine soils may have large but different effects on different taxa of soil animals. Species with short life cycles reacted first. Nutrient addition and nutrient addition combined with warming resulted in several effects below ground on microarthropods as previously shown above ground on plants: Increased biomass, high dominance of a few rapid-growing species, contrasting responses of closely related species, and a reduction in species numbers. These short-term responses may have profound long-term effects in this alpine ecosystem.</t>
  </si>
  <si>
    <t>10.1111/j.1365-2486.2009.01926.x</t>
  </si>
  <si>
    <t>WOS:000271710300014</t>
  </si>
  <si>
    <t>Tree invasion in managed tropical forests facilitates endemic species</t>
  </si>
  <si>
    <t>Aim To determine whether different abundances of introduced species of Cinchona (Rubiaceae) affect species composition and facilitate species richness in managed tropical forests, to test whether any facilitative effects on understorey species depend on forest type, and to investigate whether facilitative effects can be attributed to the 'substitutive facilitation model'. Location Makawao Forest Reserve on Maui, Hawai'i, USA. Methods Cinchona species (Cinchona pubescens and Cinchona calisaya) were mapped within various forest types. In three forest types (ageing Eucalyptus and Pinus plantations, and near-natural Acacia koa forests), we analysed environmental parameters (e.g. canopy cover, litter cover, pH value and soil depth) and the species composition of Cinchona-invaded and non-invaded plots; data were compared based on Cinchona cover and forest types. Habitat modelling for several endemic species and tree ferns was carried out to test whether Cinchona cover is an important variable for the probability of occurrence of these endemics. Results Cinchona species have naturalized mainly in Eucalyptus and Pinus plantations and Acacia koa forests and here add an additional shrub layer. In contrast to other studies, we revealed facilitative effects of Cinchona on native species within all forest types. Species richness is about 20% higher in invaded plots than in non-invaded plots, and these show a nearly 50% higher proportion of endemic species, including tree ferns. The proportion of endemics even increases with increasing Cinchona cover. For several endemics, Cinchona is found to be an important variable for the probability of occurrence, and the removal of Cinchona cover as an explanatory variable lowers the model fit. In addition to Cinchona, variables delineating vegetation structure and light availability have a strong effect on the model fit. Main conclusions In the structurally simplified Hawaiian forests studied, Cinchona facilitated endemic species in accordance with the 'substitutive facilitation model'. This contrasts with the results of an earlier study in the naturally treeless Galapagos highlands, which revealed a sharp decrease in the abundance of endemics under Cinchona canopy. These results illustrate that, through the same structural change (addition of a vegetation layer), an invasive species may exert divergent effects across different ecosystem types. The facilitation of endemic understorey species by invasive tree species in managed forests leads to a dilemma in conservation but also to new perspectives for ecosystem restoration.</t>
  </si>
  <si>
    <t>10.1111/j.1365-2699.2009.02173.x</t>
  </si>
  <si>
    <t>WOS:000271902200007</t>
  </si>
  <si>
    <t>Influence of forest fragmentation on an endangered large-bodied lemur in northwestern Madagascar</t>
  </si>
  <si>
    <t>Madagascar's diverse and mostly endemic fauna and flora suffer from recent landscape changes that are primarily caused by high levels of human activities. The loss and fragmentation of forest habitats are well known consequences of human activities. In this study, we investigate the effects of forest fragmentation on presence, abundance and genetic diversity in a larger-bodied lemur species, Lepilemur edwardsi, in northwestern Madagascar. In addition, we characterized the genetic differentiation among populations and demographic changes. We found L. edwardsi at only 13 (76.5%) of 17 visited sites, I I of which were situated in the Ankarafantsika National Park (ANP). We captured between two and 17 individuals per site. We sequenced the mtDNA d-loop of all samples and genotyped 14 microsatellite loci in two exemplary populations for demographic analyses. A negative influence on forest fragmentation could be detected, since the fragments had a lower genetic diversity than sites in the ANP. Genetic differentiation between populations ranged from low to high but was almost always significant. A typical pattern of isolation-by-distance could not be detected and the data could rather be interpreted as results of random genetic drift. The data furthermore revealed signals of a demographic collapse of about two orders of magnitude in the two exemplary sites. This decline probably started during the last few hundred years of intensified human disturbances and population growth. Given the results of this study, urgent conservation actions are needed and should concentrate on an effective protection of the few remaining populations in order to ensure the long-term survival of L. edwardsi. (C) 2009 Elsevier Ltd. All rights reserved.</t>
  </si>
  <si>
    <t>10.1016/j.biocon.2009.05.026</t>
  </si>
  <si>
    <t>WOS:000272100100006</t>
  </si>
  <si>
    <t>Long lasting impact of forest harvesting on the diversity of herbivorous insects</t>
  </si>
  <si>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</si>
  <si>
    <t>10.1007/s10531-009-9689-0</t>
  </si>
  <si>
    <t>WOS:000272173600016</t>
  </si>
  <si>
    <t>The Genetic Effects of Ecological Disturbance: Flooding in Jumping Mice</t>
  </si>
  <si>
    <t>Pacific jumping mice (Zapus trinotatus) live in riparian habitats that are discontinuously distributed and subject to regular flooding. Both of these characteristics have a spatial component. Habitat-restricted dispersal frequently leads to spatial genetic structure among individuals, and flooding often imposes spatially specific mortality. Here I report that following a severe flood, an interaction between these factors resulted in an immediate reduction of genetic diversity and genetic divergence of the postflood population. Survival was spatially biased toward more closely related individuals, and this was propagated throughout the postflood population by changes in reproduction. Not only did the number of closely related breeding pairs increase, but so did the production of offspring by individuals. These changes precipitated strong genetic effects, including a reduction in observed heterozygosity, an increase in relatedness, a doubling of inbreeding levels, and significant genetic divergence from previous years.</t>
  </si>
  <si>
    <t>10.1086/648606</t>
  </si>
  <si>
    <t>WOS:000272372200014</t>
  </si>
  <si>
    <t>Terrestrial birds as indicators of agricultural-induced changes and associated loss in conservation value of Mediterranean wetlands</t>
  </si>
  <si>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</si>
  <si>
    <t>10.1016/j.ecolind.2009.05.006</t>
  </si>
  <si>
    <t>WOS:000272431700022</t>
  </si>
  <si>
    <t>The effects of land use on environmental features and functional organization of macroinvertebrate communities in Patagonian low order streams</t>
  </si>
  <si>
    <t>Benthic invertebrates, water quality variables, chlorophyll a and particulate organic matter (POM) were studied in 18 sites of mountain streams in Patagonia (Argentina) subjected to six different land uses: native forest, pine plantation, pasture, harvest forest, urban and reference urban. Three streams of each land use were studied in March 2006. Macroinvertebrates were sampled in three riffles and three pools (n = 108) and biomass of detrital fractions of POM were quantified. Overall benthic POM biomass was higher at native and harvest forest than pastures, whereas fine fraction (FPOM) was higher in harvest forest than in pastures. Regarding to autotrophic Subsidies bryophytes were the only that changed consistently among uses. These differences in energy resources were correlated with changes in community attributes. Shredder richness was clearly higher at native and harvest forest than exotic pine plantations, collector gatherers density was consistently high at harvest sites, and total density was significantly higher at urban and harvest forest. Multidimensional scaling ordination based on macroinvertebrate density data showed a clear separation of forested (either native or exotic species) from riparian modified areas (pasture, urban and harvest sites). Environmental variables having explanation power on macroinvertebrate assemblages were mostly related with: detritus availability (wood and leaves biomass) and impairment (total phosphorous and % sand). These results confirm that macroinvertebrate assemblage structure in Patagonian low order streams can be altered by land use practices. Among guild structure measures, those indicators based on benthic community functional attributes. shredders richness and collectors density, resulted good candidates to assess land use impacts. On account of riparian corridor management may be critical to the distribution of benthic taxa, the maintenance of good conditions of vegetation adjacent to rivers will enhance water quality and the environment for highly endemic headwater communities of Patagonian streams. (C) 2009 Elsevier Ltd. All rights reserved.</t>
  </si>
  <si>
    <t>10.1016/j.ecolind.2009.06.008</t>
  </si>
  <si>
    <t>WOS:000272431700026</t>
  </si>
  <si>
    <t>Influence of wildfire severity on riparian plant community heterogeneity in an Idaho, USA wilderness</t>
  </si>
  <si>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</si>
  <si>
    <t>10.1016/j.foreco.2009.09.036</t>
  </si>
  <si>
    <t>WOS:000272582800004</t>
  </si>
  <si>
    <t>Temporally stable genetic structure of heavily exploited Atlantic herring (Clupea harengus) in Swedish waters</t>
  </si>
  <si>
    <t>Information on the temporal stability of genetic structures is important to permit detection of changes that can constitute threats to biological resources. Large-scale harvesting operations are known to potentially alter the composition and reduce the variability of populations, and Atlantic herring (Clupea harengus) has a long history of heavy exploitation. In the Baltic Sea and Skagerrak waters, the census population sizes have declined by 35-50% over the last three decades. We compared the genetic structure of Atlantic herring in these waters sampled at least two different times between 1979 and 2003 by assaying 11 allozyme and nine microsatellite loci. We cannot detect any changes in the amount of genetic variation or spatial structure, and differentiation is weak with overall F-ST-0.003 among localities for the older samples and F-ST=0.002 for the newer ones. There are indications of temporal allele frequency changes, particularly in one of five sampling localities that is reflected in a relatively small local N-e estimate of c. 400. The previously identified influence of selection at the microsatellite locus Cpa112 remains stable over the 24-year period studied here. Despite little genetic differentiation, migration among localities appears small enough to permit demographic independence between populations. Heredity (2010) 104, 40-51; doi:10.1038/hdy.2009.98; published online 5 August 2009</t>
  </si>
  <si>
    <t>10.1038/hdy.2009.98</t>
  </si>
  <si>
    <t>WOS:000272794600006</t>
  </si>
  <si>
    <t>Relationship between the presence of House Sparrows (Passer domesticus) and Neotropical bird community structure and diversity</t>
  </si>
  <si>
    <t>Invasive exotic species pose an important threat to biodiversity worldwide. However, there is little information on the effects that specific exotic bird species have on native biota. The House Sparrow is an excellent ecological model to evaluate the effect that an invasive exotic species has on native bird communities. Our study describes the relationship of the presence and abundance of House Sparrows with the structure, diversity, and composition of native bird communities in West Mexico. We used two approaches to compare House Sparrow invaded and non-invaded bird communities: (1) at a small geographic-scale that allowed us to evaluate shifts in avian communities with presence of the House Sparrow under similar environmental conditions; and (2) at the landscape-level to evaluate the effect of this species under a scenario of greater environmental heterogeneity. Results from both approaches show that areas invaded by House Sparrows have heavily-dominated avian communities with low species richness, while non-invaded areas exhibit highly-even and species-rich bird communities. Species turnover analysis indicates that the decrease in the number of bird species in House Sparrow invaded areas is caused by species loss, rather than a shift in species composition. Our results indicate that the invasion of an area by the House Sparrow, through synergistic interactions with human activities, determines the composition, structure, and diversity of native bird communities.</t>
  </si>
  <si>
    <t>10.1007/s10530-009-9432-5</t>
  </si>
  <si>
    <t>WOS:000272847900008</t>
  </si>
  <si>
    <t>PATTERNS OF ENVIRONMENTAL CHANGE ASSOCIATED WITH TYPHA X GLAUCA INVASION IN A GREAT LAKES COASTAL WETLAND</t>
  </si>
  <si>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</si>
  <si>
    <t>10.1672/08-71.1</t>
  </si>
  <si>
    <t>WOS:000272944400018</t>
  </si>
  <si>
    <t>Effects of anthropogenic silt on aquatic macroinvertebrates and abiotic variables in streams in the Brazilian Amazon</t>
  </si>
  <si>
    <t>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t>
  </si>
  <si>
    <t>10.1007/s11368-009-0148-z</t>
  </si>
  <si>
    <t>WOS:000273088400009</t>
  </si>
  <si>
    <t>ARTHROPOD AND PLANT COMMUNITIES AS INDICATORS OF LAND REHABILITATION EFFECTIVENESS IN A SEMIARID SHRUBSTEPPE</t>
  </si>
  <si>
    <t>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t>
  </si>
  <si>
    <t>10.3398/064.069.0412</t>
  </si>
  <si>
    <t>WOS:000273548100012</t>
  </si>
  <si>
    <t>Temporal genetic variation in populations of the limpet Cellana grata from Hong Kong shores</t>
  </si>
  <si>
    <t>Variations in the relative contributions of gene flow and spatial and temporal variation in recruitment are considered the major determinants of population genetic structure in marine organisms. Such variation can be assessed through repeated measures of the genetic structure of a species over time. To test the relative importance of these two phenomena, temporal variation in genetic composition was measured in the limpet Cellana grata, among four annual cohorts over 10 years at four rocky shores in Hong Kong. A total of 408 limpets, comprising individuals from 1998, 1999, 2006 and 2007 cohorts were screened for genetic variation using five microsatellite loci. Minor but significant genetic differentiation was detected among samples from the 1998/1999 collection (F (ST) = 0.0023), but there was no significant differentiation among the 2006/2007 collection (F (ST) = 0.0008). Partitioning of genetic variation among shores was also significant in 1998/1999 but not in the 2006/2007 collection, although there was no correlation between genetic and geographic distances. There was no significant difference between collections made in 1998/1999 and 2006/2007. This lack of clear structure implies a high level of gene flow, but differentiation with time may be the result of stochastic recruitment variation among shores. Estimates of effective population size were not high (599, 95% C.L. 352-11397), suggesting the potential susceptibility of the populations to genetic drift, although a significant bottleneck effect was not detected. These findings indicate that genetic structuring between populations of C. grata in space and time may result from spatio-temporal variation in recruitment, but the potential development of biologically significant differentiation is suppressed by a lack of consistency in recruitment variability and high connectivity among shores.</t>
  </si>
  <si>
    <t>10.1007/s00227-009-1320-0</t>
  </si>
  <si>
    <t>WOS:000273560200010</t>
  </si>
  <si>
    <t>Introduced deer reduce native plant cover and facilitate invasion of non-native tree species: evidence for invasional meltdown</t>
  </si>
  <si>
    <t>Invasive species are a major threat to native communities and ecosystems worldwide. One factor frequently invoked to explain the invasiveness of exotic species is their release in the new habitat from control by natural enemies (enemy-release hypothesis). More recently, interactions between exotic species have been proposed as a potential mechanism to facilitate invasions (invasional meltdown hypothesis). We studied the effects of introduced deer on native plant communities and exotic plant species on an island in Patagonia, Argentina using five 400 m(2) exclosures paired with control areas in an Austrocedrus chilensis native forest stand. We hypothesized that introduced deer modify native understory composition and abundance and facilitate invasion of introduced tree species that have been widely planted in the region. After 4 years of deer exclusion, native Austrocedrus and exotic Pseudotsuga menziesii tree sapling abundances are not different inside and outside exclosures. However, deer browsing has strongly inhibited growth of native tree saplings (relative height growth is 77% lower with deer present), while exotic tree sapling growth is less affected (relative height growth is 3.3% lower). Deer significantly change abundance and composition of native understory plants. Cover of native plants in exclosures increased while cover in controls remained constant. Understory composition in exclosures after only 4 years differs greatly from that in controls, mainly owing to the abundance of highly-browsed native species. This study shows that introduced deer can aid the invasion of non-native tree species through negatively affecting native plant species.</t>
  </si>
  <si>
    <t>10.1007/s10530-009-9623-0</t>
  </si>
  <si>
    <t>WOS:000273588100002</t>
  </si>
  <si>
    <t>Global indicators of biological invasion: species numbers, biodiversity impact and policy responses</t>
  </si>
  <si>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</si>
  <si>
    <t>10.1111/j.1472-4642.2009.00633.x</t>
  </si>
  <si>
    <t>WOS:000273723100010</t>
  </si>
  <si>
    <t>Spatial and temporal patterns of genetic diversity in an endangered Hawaiian honeycreeper, the Hawaii Akepa (Loxops coccineus coccineus)</t>
  </si>
  <si>
    <t>As a result of disease, habitat destruction, and other anthropogenic factors, the Hawaii Akepa (Loxops coccineus coccineus) currently occupies &lt;10% of its original range and exists in five disjunct populations, raising concerns about what effect such reduction and fragmentation has had on the connectivity and diversity of Akepa populations. In this study, we used both historical and contemporary samples to assess genetic diversity and structure in this endangered Hawaiian honeycreeper. We generated sequence data from two mtDNA regions (ND2, control region) and two nuclear introns for contemporary samples representing three of the five current populations. We also generated control region sequence data for museum specimens collected over 100 years ago from throughout the historical range of the bird. Results indicate that despite recent declines and fragmentation, genetic diversity has not been lost. We detected a modest level of genetic differentiation, which followed a combined pattern of isolation-by-barriers and isolation-by-distance, across the historical range of Akepa. The similarly low level of differentiation observed between the contemporary populations indicates that not much divergence, if any, has occurred post-fragmentation. Rather, the present structure seen likely reflects the historical pattern of distribution. Ironically, this declining species exhibits the genetic signal of an expanding population, demonstrating that earlier demographic events are outweighing the effects of recent changes in population size, and genetic estimates of Ne, though crude, suggest Hawaii Akepa were at least an order of magnitude more abundant prior to the decline.</t>
  </si>
  <si>
    <t>10.1007/s10592-009-0025-8</t>
  </si>
  <si>
    <t>WOS:000273744300019</t>
  </si>
  <si>
    <t>Ant communities on small tropical islands: effects of island size and isolation are obscured by habitat disturbance and 'tramp' ant species</t>
  </si>
  <si>
    <t>Aim Comparisons among islands offer an opportunity to study the effects of biotic and abiotic factors on small, replicated biological communities. Smaller population sizes on islands accelerate some ecological processes, which may decrease the time needed for perturbations to affect community composition. We surveyed ants on 18 small tropical islands to determine the effects of island size, isolation from the mainland, and habitat disturbance on ant community composition. Location Thousand Islands Archipelago (Indonesian name: Kepulauan Seribu) off Jakarta, West Java, Indonesia. Methods Ants were sampled from the soil surface, leaf litter and vegetation in all habitat types on each island. Island size, isolation from the mainland, and land-use patterns were quantified using GIS software. The presence of settlements and of boat docks were used as indicators of anthropogenic disturbance. The richness of ant communities and non-tramp ant species on each island were analysed in relation to the islands' physical characteristics and indicators of human disturbance. Results Forty-eight ant species from 5 subfamilies and 28 genera were recorded from the archipelago, and approximately 20% of the ant species were well-known human-commensal 'tramp' species. Islands with boat docks or human settlements had significantly more tramp species than did islands lacking these indicators of anthropogenic disturbance, and the diversity of non-tramp species decreased with habitat disturbance. Main conclusions Human disturbance on islands in the Thousand Islands Archipelago promotes the introduction and/or establishment of tramp species. Tramp species affect the composition of insular ant communities, and expected biogeographical patterns of ant richness are masked. The island with the greatest estimated species richness and the greatest number of unique ant species, Rambut Island, is a forested bird sanctuary, highlighting the importance of protected areas in preserving the diversity of species-rich invertebrate faunas.</t>
  </si>
  <si>
    <t>10.1111/j.1365-2699.2009.02194.x</t>
  </si>
  <si>
    <t>WOS:000273771100003</t>
  </si>
  <si>
    <t>Adult survival and microsatellite diversity in possums: effects of major histocompatibility complex-linked microsatellite diversity but not multilocus inbreeding estimators</t>
  </si>
  <si>
    <t>Adult survival is perhaps the fitness parameter most important to population growth in long-lived species. Intrinsic and extrinsic covariates of survival are therefore likely to be important drivers of population dynamics. We used long-term mark-recapture data to identify genetic, individual and environmental covariates of local survival in a natural population of mountain brushtail possums (Trichosurus cunninghami). Rainfall and intra-individual diversity at microsatellite DNA markers were associated with increased local survival of adults and juveniles. We contrasted the performance of several microsatellite heterozygosity measures, including internal relatedness (IR), homozygosity by loci (HL) and the mean multilocus estimate of the squared difference in microsatellite allele sizes within an individual (mean d (2)). However, the strongest effect on survival was not associated with multilocus microsatellite diversity (which would indicate a genome-wide inbreeding effect), but a subset of two loci. This included a major histocompatibility complex (MHC)-linked marker and a putatively neutral microsatellite locus. For both loci, diversity measures incorporating allele size information had stronger associations with survival than measures based on heterozygosity, whether or not allele frequency information was included (such as IR). Increased survival was apparent among heterozygotes at the MHC-linked locus, but the benefits of heterozygosity to survival were reduced in heterozygotes with larger differences in allele size. The effect of heterozygosity on fitness-related traits was supported by data on endoparasites in a subset of the individuals studied in this population. There was no apparent density dependence in survival, nor an effect of sex, age or immigrant status. Our findings suggest that in the apparent absence of inbreeding, variation at specific loci can generate strong associations between fitness and diversity at linked markers.</t>
  </si>
  <si>
    <t>10.1007/s00442-009-1464-0</t>
  </si>
  <si>
    <t>WOS:000273795200010</t>
  </si>
  <si>
    <t>Seasonal variability of landuse impacts on macroinvertebrate assemblages in streams of western Georgia, USA</t>
  </si>
  <si>
    <t>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t>
  </si>
  <si>
    <t>10.1899/08-162.1</t>
  </si>
  <si>
    <t>WOS:000273886000019</t>
  </si>
  <si>
    <t>Impacts of bottom trawling on deep-coral ecosystems of seamounts are long-lasting</t>
  </si>
  <si>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</si>
  <si>
    <t>10.3354/meps08248</t>
  </si>
  <si>
    <t>WOS:000273968400026</t>
  </si>
  <si>
    <t>The response of nematode assemblages to intensive mussel farming in coastal sediments (Southern Brazil)</t>
  </si>
  <si>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</si>
  <si>
    <t>10.1007/s10661-009-0777-0</t>
  </si>
  <si>
    <t>WOS:000274331700007</t>
  </si>
  <si>
    <t>Population genetics of south European Atlantic salmon under global change</t>
  </si>
  <si>
    <t>Populations at the edge of species distributions are especially vulnerable to climate change. Genetic changes as well as modification of their population structure are expected as reactions to global warming. Atlantic salmon (Salmo salar) inhabiting south France has been chosen as a model for studying the effect of global warming in marginal populations during the last 15 years. Increased gene flow between neighboring populations and dichotomy of maturation age between sexes have been identified as two main population changes significantly associated with high values of the North Atlantic Oscillation index, a global climate indicator. Although occurrence of isolated populations in each river (or even tributary) is a paradigm for this species, at least in northern areas, increased gene flow between rivers is forecasted as long as climate warming increases, favoring metapopulations at regional level.</t>
  </si>
  <si>
    <t>10.1111/j.1365-2486.2009.01922.x</t>
  </si>
  <si>
    <t>WOS:000274419200004</t>
  </si>
  <si>
    <t>Stability in temperate reef communities over a decadal time scale despite concurrent ocean warming</t>
  </si>
  <si>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</si>
  <si>
    <t>10.1111/j.1365-2486.2009.01955.x</t>
  </si>
  <si>
    <t>WOS:000274419200011</t>
  </si>
  <si>
    <t>Indirect genetic estimates of breeding population size in the polyploid green sturgeon (Acipenser medirostris)</t>
  </si>
  <si>
    <t>The utility of genetic measures for kinship reconstruction in polysomic species is not well evaluated. We developed a framework to test hypotheses about estimating breeding population size indirectly from collections of outmigrating green sturgeon juveniles. We evaluated a polysomic dataset, in allelic frequency and phenotypic formats, from green sturgeon to describe the relationship among known progeny from experimental families. The distributions of relatedness values for kin classes were used for reconstructing green sturgeon pedigrees from juveniles of unknown relationship. We compared three rarefaction functions that described the relationship between the number of kin groups and number of samples in a pedigree to estimate the annual abundance of spawners contributing to the threatened green sturgeon Southern Distinct Population Segment in the upper Sacramento River. Results suggested the estimated abundance of breeding green sturgeon remained roughly constant in the upper Sacramento River over a 5-year period, ranging from 10 to 28 individuals depending on the year and rarefaction method. These results demonstrate an empirical understanding for the distribution of relatedness values among individuals is a benefit for assessing pedigree reconstruction methods and identifying misclassification rates. Monitoring of rare species using these indirect methods is feasible and can provide insight into breeding and ontogenetic behaviour. While this framework was developed for specific application to studying fish populations in a riverscape, the framework could be advanced to improve genetic estimation of breeding population size and to identify important breeding habitats of rare species when combined with finer-scaled sampling of offspring.</t>
  </si>
  <si>
    <t>10.1111/j.1365-294X.2010.04533.x</t>
  </si>
  <si>
    <t>WOS:000274550100018</t>
  </si>
  <si>
    <t>Assessing impacts of introduced aquaculture species on native fish communities: Nile tilapia and major carps in SE Asian freshwaters</t>
  </si>
  <si>
    <t>Herbivorous or omnivorous tilapia and carp species form the backbone of tropical inland aquaculture and fisheries enhancement and have been introduced widely outside their natural ranges. Perceptions of their impact on native fish faunas vary widely, but there have been few rigorous assessments. To quantify the impact of tilapia and carp stocking on native fish communities in freshwater wetlands of the Mekong region, we conducted observational and experimental impact-control studies replicated at the wetland level, at a total of 46 sites in Lao PDR. The studies were designed as paired comparisons of wetlands where the nonnative species (Nile tilapia Oreochromis niloticus, mrigal Cirrhinus cirrhosus, rohu Labeo rohita and bighead carp Hypophthalmichthys nobilis) were stocked in substantial numbers with similar wetlands where the species were absent. Stocking of these non-native species was associated with significant increases in total fish biomass, by 180% in the observational study and by 49% in the experiment. Native fish biomass was not affected by stocking of the non-native species. No significant impacts on native fish species richness, diversity indices, species composition or feeding guild composition were detected, except for moderately negative effects on Simpson diversity and equitability in the observational study. In the experiment, no effect had a point estimate exceeding -14%, or a 95% confidence limit exceeding -35% of the non-impacted value. Use of these non-native tilapia and carp species in fisheries enhancement in mainland SE Asia supported substantial increases in harvestable biomass while having only mild impacts on native fish communities. Escapes of the same species from pond and cage aquaculture facilities are likely to result in lower biomass in the wild and have lower impacts than enhancement stocking. We encourage building on our results through a systematic and stakeholder-participatory evaluation of the significance and acceptability of benefits and risks associated with the use of these non-native species. This evaluation should be extended to the relative benefits and risks of replacing non-native species with native ones in aquaculture and enhancement, considering that risks associated with using the current set of non-native species are increasingly well known and appear mild-to-moderate, whilst ecological and genetic risks of releasing domesticated types of native species are poorly known. (C) 2009 Elsevier B.V. All rights reserved.</t>
  </si>
  <si>
    <t>10.1016/j.aquaculture.2009.11.022</t>
  </si>
  <si>
    <t>WOS:000275033500012</t>
  </si>
  <si>
    <t>Does Tropical Forest Fragmentation Increase Long-Term Variability of Butterfly Communities?</t>
  </si>
  <si>
    <t>Habitat fragmentation is a major driver of biodiversity loss. Yet, the overall effects of fragmentation on biodiversity may be obscured by differences in responses among species. These opposing responses to fragmentation may be manifest in higher variability in species richness and abundance (termed hyperdynamism), and in predictable changes in community composition. We tested whether forest fragmentation causes long-term hyperdynamism in butterfly communities, a taxon that naturally displays large variations in species richness and community composition. Using a dataset from an experimentally fragmented landscape in the central Amazon that spanned 11 years, we evaluated the effect of fragmentation on changes in species richness and community composition through time. Overall, adjusted species richness (adjusted for survey duration) did not differ between fragmented forest and intact forest. However, spatial and temporal variation of adjusted species richness was significantly higher in fragmented forests relative to intact forest. This variation was associated with changes in butterfly community composition, specifically lower proportions of understory shade species and higher proportions of edge species in fragmented forest. Analysis of rarefied species richness, estimated using indices of butterfly abundance, showed no differences between fragmented and intact forest plots in spatial or temporal variation. These results do not contradict the results from adjusted species richness, but rather suggest that higher variability in butterfly adjusted species richness may be explained by changes in butterfly abundance. Combined, these results indicate that butterfly communities in fragmented tropical forests are more variable than in intact forest, and that the natural variability of butterflies was not a buffer against the effects of fragmentation on community dynamics.</t>
  </si>
  <si>
    <t>10.1371/journal.pone.0009534</t>
  </si>
  <si>
    <t>WOS:000275328800006</t>
  </si>
  <si>
    <t>Biological responses to liming in boreal lakes: an assessment using plankton, macroinvertebrate and fish communities</t>
  </si>
  <si>
    <t>P&gt;1. Biological responses to liming of acidified surface waters are equivocal and limit the overall assessment of food web responses. In this study, we analysed community structure in limed, acidified and circumneutral lakes, based on the analyses of phytoplankton, zooplankton, macroinvertebrates (littoral, sublittoral, profundal) and fish between 2000 and 2004. We also studied associations between functional feeding groups in food webs. 2. Most univariate metrics of structure and function revealed similar community attributes among lake types, suggesting that community responses to natural recovery from acidification and liming management converge with those observed in circumneutral lakes. These trends were less clear in the multivariate analyses which showed significant community differences among lake types. For phytoplankton, these patterns were partly mediated by the invasive raphidophycean flagellate Gonyostomum semen. 3. The associations between functional feeding groups indicated less connectivity and food web complexity in limed lakes relative to the other lake types. We speculate that repeated lime applications comprise frequent pulse disturbances which offset the establishment of stable trophic relationships in the food webs of limed lakes. 4. Synthesis and applications. The limited structural and functional food web similarity among lake types supports the argument that liming constitutes an ecosystem-level disturbance. Managers should be aware of the ecosystem impacts of altered disturbance regimes when designing their management schemes because this can influence the success of restoration programmes. Furthermore, the lack of recovery, mediated in part by species invasions, suggests that impacts derived from global change are likely to lead to novel environmental situations. This calls for adaptive management strategies where managers are challenged to tackle multiple forms of anthropogenic stress simultaneously.</t>
  </si>
  <si>
    <t>10.1111/j.1365-2664.2010.01794.x</t>
  </si>
  <si>
    <t>WOS:000275334400027</t>
  </si>
  <si>
    <t>Effects of urbanization on ground-dwelling spiders in forest patches, in Hungary</t>
  </si>
  <si>
    <t>Effects of urbanization on ground-dwelling spiders (Araneae) were studied using pitfall traps along an urban-suburban-rural forest gradient in Debrecen (Hungary). We found that overall spider species richness was significantly higher in the urban sites compared to the suburban and rural ones. The increased diversity was due to the significantly more open-habitat species in the assemblages at the urban sites. This suggests that species from the surrounding matrix (grasslands and arable lands) penetrated the disturbed urban sites. The ratio of forest species was significantly higher in the rural sites than in the suburban and urban ones, suggesting that forest species are indeed sensitive to the disturbance caused by urbanization. Canonical correspondence analysis revealed that the species composition changed remarkably along the urbanization gradient. Open-habitat spiders were associated with the urban sites of higher ground and air temperature. Forest spiders were characteristic of the rural sites with higher amount of decaying woods. Our findings suggest that the overall diversity was not the most appropriate indicator of disturbance; species with different habitat affinity should be analyzed separately to get an ecologically relevant picture of the effect of urbanization.</t>
  </si>
  <si>
    <t>10.1007/s10980-009-9445-6</t>
  </si>
  <si>
    <t>WOS:000275444100010</t>
  </si>
  <si>
    <t>Effects of habitat-modifying invasive macroalgae on epiphytic algal communities</t>
  </si>
  <si>
    <t>Although invasive species can negatively impact communities via processes such as resource competition, they may also add new resources that facilitate the distribution and/or abundance of other organisms. In rocky intertidal systems, many benthic macroalgae compete for primary substrate, while providing secondary substrata to which sessile organisms can attach. Using field surveys and laboratory experiments, we investigated algal host-epiphyte dynamics in a New England rocky intertidal system. First, we compared the composition, abundance, richness, and diversity of epiphytes on 2 invasive macroalgal species, Codium fragile ssp. tomentosoides and Grateloupia turuturu, to 2 native macroalgal species, Chondrus crispus and Fucus vesiculosus. We found significant differences among epiphyte communities, as all macroalgal hosts supported different assemblages of species. While epiphyte richness and diversity were generally low on F. vesiculosus and G. turuturu year-round, they were low on C. crispus during the winter only, In contrast, epiphyte richness and diversity on C. fragile remained high throughout the year, suggesting that C. fragile plays an important role for supporting epiphytes during the cooler months. Second, we examined the relationship between epiphytes and a common herbivorous snail, Lacuna vincta. The abundance of juvenile L. vincta was positively correlated with 1 of the 2 most common epiphyte species, Neosiphonia harveyi. However, L. vincta showed a significant consumption preference for the other abundant epiphyte, Ceramium virgatum, in laboratory assays. Our results suggest that epiphyte facilitation by these invasive algal hosts is not only seasonally important for maintaining species richness and diversity, but may also provide both food and habitat for higher trophic levels.</t>
  </si>
  <si>
    <t>10.3354/meps08391</t>
  </si>
  <si>
    <t>WOS:000275528300008</t>
  </si>
  <si>
    <t>Facilitative effects of introduced Pacific oysters on native macroalgae are limited by a secondary invader, the seaweed Sargassum muticum</t>
  </si>
  <si>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</si>
  <si>
    <t>10.1016/j.seares.2009.11.002</t>
  </si>
  <si>
    <t>WOS:000275570500005</t>
  </si>
  <si>
    <t>Ecological restoration following the local eradication of an invasive ant in northern Australia</t>
  </si>
  <si>
    <t>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t>
  </si>
  <si>
    <t>10.1007/s10530-009-9516-2</t>
  </si>
  <si>
    <t>WOS:000275634800023</t>
  </si>
  <si>
    <t>Long-term phytoplankton community changes in a deep subalpine lake: responses to nutrient availability and climatic fluctuations</t>
  </si>
  <si>
    <t>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t>
  </si>
  <si>
    <t>10.1111/j.1365-2427.2009.02325.x</t>
  </si>
  <si>
    <t>WOS:000275676700008</t>
  </si>
  <si>
    <t>Tree community change in a tropical dry forest: the role of roads and exotic plant invasion</t>
  </si>
  <si>
    <t>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t>
  </si>
  <si>
    <t>10.1017/S0376892909990257</t>
  </si>
  <si>
    <t>WOS:000275897300004</t>
  </si>
  <si>
    <t>Decline in top predator body size and changing climate alter trophic structure in an oceanic ecosystem</t>
  </si>
  <si>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</si>
  <si>
    <t>10.1098/rspb.2009.1020</t>
  </si>
  <si>
    <t>WOS:000276003400008</t>
  </si>
  <si>
    <t>A multimetric diatom index to assess the ecological status of coastal Galician rivers (NW Spain)</t>
  </si>
  <si>
    <t>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t>
  </si>
  <si>
    <t>10.1007/s10750-010-0206-y</t>
  </si>
  <si>
    <t>WOS:000276071600027</t>
  </si>
  <si>
    <t>Fine-scale spatial and temporal population genetics of Aedes japonicus, a new US mosquito, reveal multiple introductions</t>
  </si>
  <si>
    <t>The newly introduced mosquito Aedes japonicus has expanded from its original range in Northeastern Asia to 29 US states (including Hawaii) plus Canada and northern Europe. Our objectives were to test an earlier hypothesis of multiple introductions of this species to the Northeastern US and evaluate putative temporal changes in genetic makeup. Using a panel of seven microsatellite loci, we confirmed the existence of two abundant genetic forms in specimens originally collected in 1999-2000 (F-ST value based on microsatellite data = 0.26) that matches the disjunctive distribution of mitochondrial haplotypes. To examine the distribution of the two genetic 'types' across Pennsylvania we created a fine-scale genetic map of Ae. japonicus using 439 specimens collected from 54 Pennsylvania counties in 2002-2003. We also made direct comparisons between collections in 1999-2000 and new collections made in 2004-2005 obtained from the same areas in the northeastern US. We observed that the strong association between mtDNA haplotype and microsatellite signature seen in 1999-2000 had weakened significantly by 2002 across Pennsylvania, a trend continued to some extent in 2004-2005 in PA, NJ, and NY, indicating that once easily distinguishable separate introductions are merging. The two expanding genetic forms create a complex correlation between spatial and genetic distances. The existence of multiple introductions would be obscured without sampling early and across time with highly polymorphic molecular markers. Our results provide a high-resolution analysis of the spatial and temporal dynamics of a newly introduced disease vector and argue that successive introductions may be a common pattern for invasive mosquitoes.</t>
  </si>
  <si>
    <t>10.1111/j.1365-294X.2010.04576.x</t>
  </si>
  <si>
    <t>WOS:000276151600006</t>
  </si>
  <si>
    <t>Invasive alien goldenrods negatively affect grassland bird communities in Eastern Europe</t>
  </si>
  <si>
    <t>Invasive alien plants constitute a major threat to local biodiversity. Moreover, their appearance often coincides with land use change. Many endangered groups of organisms suffer from habitat loss, which is often a consequence of the invasion of alien plants This paper examines how invasive alien goldenrods Solidago spp affect the richness of endangered grassland bird species and numbers of breeding pairs in abandoned meadows in southern Poland. Meadows invaded by goldenrods (n = 15) had lower bird spedes richness and a lower number of breeding pairs than meadows in which goldenrods were absent (n = 15) Two important factors positively influencing bird species richness were meadow area and shrub density (the latter only in meadows without goldenrods). Moreover, both the index of potential food density (number of butterflies) and plant species richness were much lower in meadows invaded by goldenrods than in meadows without these plants Urgent action aimed at preventing the invasion of alien goldenrods in abandoned meadows is needed and such measures should involve regular mowing Our results also highlight the fact that land abandonment in Central and Eastern Europe is not necessarily as beneficial for biodiversity as it is commonly believed and it may even lead to a decrease in the populations of several bird species in the agricultural landscape. (C) 2009 Elsevier Ltd. All rights reserved.</t>
  </si>
  <si>
    <t>10.1016/j.biocon.2009.12.030</t>
  </si>
  <si>
    <t>WOS:000276425400006</t>
  </si>
  <si>
    <t>The Loss of Species: Mangrove Extinction Risk and Geographic Areas of Global Concern</t>
  </si>
  <si>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</si>
  <si>
    <t>10.1371/journal.pone.0010095</t>
  </si>
  <si>
    <t>WOS:000276482000021</t>
  </si>
  <si>
    <t>Non-native grass invasion alters native plant composition in experimental communities</t>
  </si>
  <si>
    <t>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t>
  </si>
  <si>
    <t>10.1007/s10530-009-9546-9</t>
  </si>
  <si>
    <t>WOS:000276509400029</t>
  </si>
  <si>
    <t>Non-indigenous macroalga hosts different epiphytic assemblages to conspecific natives in southeast Australia</t>
  </si>
  <si>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</si>
  <si>
    <t>10.1007/s00227-010-1391-y</t>
  </si>
  <si>
    <t>WOS:000276610000016</t>
  </si>
  <si>
    <t>Severely degraded rangeland: Implications for plant diversity from a case study in Succulent Karoo, South Africa</t>
  </si>
  <si>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</si>
  <si>
    <t>10.1016/j.jaridenv.2009.10.013</t>
  </si>
  <si>
    <t>WOS:000276652700010</t>
  </si>
  <si>
    <t>Spatio-temporal dynamics of genetic diversity in Sorghum bicolor in Niger</t>
  </si>
  <si>
    <t>The dynamics of crop genetic diversity need to be assessed to draw up monitoring and conservation priorities. However, few surveys have been conducted in centres of diversity. Sub-Saharan Africa is the centre of origin of sorghum. Most Sahel countries have been faced with major human, environmental and social changes in recent decades, which are suspected to cause genetic erosion. Sorghum is the second staple cereal in Niger, a centre of diversity for this crop. Niger was submitted to recurrent drought period and to major social changes during these last decades. We report here on a spatio-temporal analysis of sorghum genetic diversity, conducted in 71 villages covering the rainfall gradient and range of agro-ecological conditions in Niger's agricultural areas. We used 28 microsatellite markers and applied spatial and genetic clustering methods to investigate change in genetic diversity over a 26-year period (1976-2003). Global genetic differentiation between the two collections was very low (F (st) = 0.0025). Most of the spatial clusters presented no major differentiation, as measured by F (st), and showed stability or an increase in allelic richness, except for two of them located in eastern Niger. The genetic clusters identified by Bayesian analysis did not show a major change between the two collections in the distribution of accessions between them or in their spatial location. These results suggest that farmers' management has globally preserved sorghum genetic diversity in Niger.</t>
  </si>
  <si>
    <t>10.1007/s00122-009-1257-1</t>
  </si>
  <si>
    <t>WOS:000276674500003</t>
  </si>
  <si>
    <t>Temporal patterns of spatial genetic structure and effective population size in European plaice (Pleuronectes platessa) along the west coast of Scotland and in the Irish Sea</t>
  </si>
  <si>
    <t>Watts, P. C., Kay, S. M., Wolfenden, D., Fox, C. J., Geffen, A. J., Kemp, S. J., and Nash, R. D. M. 2010. Temporal patterns of spatial genetic structure and effective population size in European plaice (Pleuronectes platessa) along the west coast of Scotland and in the Irish Sea. - ICES Journal of Marine Science, 67: 607-616.</t>
  </si>
  <si>
    <t>10.1093/icesjms/fsp274</t>
  </si>
  <si>
    <t>WOS:000276732500001</t>
  </si>
  <si>
    <t>Identifying footprints of selection in stocked brown trout populations: a spatio-temporal approach</t>
  </si>
  <si>
    <t>Studies of interactions between farmed and wild salmonid fishes have suggested reduced fitness of farmed strains in the wild, but evidence for selection at the genic level is lacking. We studied three brown trout populations in Denmark which have been significantly admixed with stocked hatchery trout (19-64%), along with two hatchery strains used for stocking. The wild populations were represented by contemporary samples (2000-2006) and two of them by historical samples (1943-1956). We analysed 61 microsatellite loci, nine of which showed putative functional relationships [expressed sequence tag (EST)-linked or quantitative trait loci]. FST-based outlier tests provided support for diversifying selection at chromosome regions marked by three loci, two anonymous and one EST-linked. Patterns of differentiation suggested that the loci were candidates for being under diversifying hitch-hiking selection in hatchery vs. wild environments. Analysis of hatchery strain admixture proportions showed that in one wild population, two of the loci showed significantly lower admixture proportions than the putatively neutral loci, implying contemporary selection against alleles introduced by hatchery strain trout. In the most strongly admixed population, however, there was no evidence for selection, possibly because of immigration by stocked trout overcoming selection against hatchery-derived alleles or supportive breeding practices allowing hatchery strain trout to escape natural selection. To our knowledge, this is the first study demonstrating footprints of selection in wild salmonid populations subject to spawning intrusion by farmed fish.</t>
  </si>
  <si>
    <t>10.1111/j.1365-294X.2010.04615.x</t>
  </si>
  <si>
    <t>WOS:000276794300005</t>
  </si>
  <si>
    <t>Multiple stressors in agricultural streams: interactions among sediment addition, nutrient enrichment and water abstraction</t>
  </si>
  <si>
    <t>P&gt;1. Many ecosystems are influenced simultaneously by multiple stressors, and the consequences of stressors are often unpredictable on the basis of knowledge of single effects. Agriculture affects streams world-wide via nutrient enrichment, elevated fine sediment and water abstraction for irrigation, but the combined impacts of these stressors are unknown. 2. We manipulated all three stressors simultaneously in an 18-day experiment and determined their individual and pair-wise combined effects on benthic invertebrates, algal biomass and leaf decay. We added nutrients (phosphorus plus nitrogen) and/or fine sediment (grain size 0 center dot 2 mm) to 18 experimental stream channels (dimensions 250 x 15 x 15 cm) supplied with water from a nearby stream. Three sediment and three nutrient treatments (high, intermediate, natural) were applied to each of six channels while flow was reduced by 80% in half the channels. Invertebrates (composition, abundance) and algae (chlorophyll a) were assayed using ceramic tile substrata and leaf decay was assayed using bundled leaves of a native shrub. Invertebrates colonizing leaf packs were also sampled. 3. Effects of sediment addition and flow reduction on biological response parameters were twice as common as nutrient enrichment effects. Nutrient enrichment increased total invertebrate abundance on tiles, algal biomass accrual and leaf decay rates, whereas both sediment addition (at the highest level) and flow reduction had mostly negative effects (e.g. reduced algal biomass, invertebrate abundance and/or taxonomic richness). 4. Stressors interacted often, and interactions between sediment and flow were particularly common. The negative impact of added sediment on aquatic biota was stronger at reduced flow, especially on tile substrata that were more exposed to the current than leaf-pack substrata. 5. Synthesis and applications. Our key findings imply that abstracting water from a stream already subjected to high fine sediment inputs may have far worse effects on the invertebrate fauna than abstraction from a similar stream with lower sediment levels. Aquatic resource managers should be aware of this important interaction between multiple stressors.</t>
  </si>
  <si>
    <t>10.1111/j.1365-2664.2010.01809.x</t>
  </si>
  <si>
    <t>WOS:000277168000016</t>
  </si>
  <si>
    <t>Invasive mangroves alter macrofaunal community structure and facilitate opportunistic exotics</t>
  </si>
  <si>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</si>
  <si>
    <t>10.3354/meps08483</t>
  </si>
  <si>
    <t>WOS:000277230100005</t>
  </si>
  <si>
    <t>Distribution and community-level effects of the Chinese mystery snail (Bellamya chinensis) in northern Wisconsin lakes</t>
  </si>
  <si>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</si>
  <si>
    <t>10.1007/s10530-009-9572-7</t>
  </si>
  <si>
    <t>WOS:000277410800017</t>
  </si>
  <si>
    <t>Impact of Prunus serotina invasion on understory functional diversity in a European temperate forest</t>
  </si>
  <si>
    <t>We investigated the relationships between the overstory dominance of Prunus serotina, and the functional diversity of the understory plant communities, in a managed European forest. Vegetation, habitat characteristics and disturbance history were surveyed in 32 invaded stands vs. 32 paired uninvaded stands, after a random stratification. Community specialization and functional diversity indices were compared and a RLQ analysis was run to link species traits to environmental variables. The herb layer of invaded stands exhibited significantly more specialist species and a lower trait diversity compared to uninvaded stands, with respect of species richness and vegetation cover. Light arrival to the forest floor and soil properties explained most of the variation in the RLQ analysis, but 20% of the variation strongly correlated with P. serotina dominance and associated disturbances. Traits characterizing shade-tolerant, short-living ruderals and shade-avoiders (vernal geophytes) were significantly associated to invaded stands, while those associated to light-demanding graminoids characterized uninvaded stands. The establishment of functionally close species (seedlings and saplings of native woody species) tended to be lower in invaded stands. We concluded that the invader was becoming the new ecosystem engineer, first by inducing trait convergence and community specialization, thus promoting traits that enable species to capture resources in the new environment it was creating, and second by reducing the grain of local heterogeneities.</t>
  </si>
  <si>
    <t>10.1007/s10530-009-9599-9</t>
  </si>
  <si>
    <t>WOS:000277410800042</t>
  </si>
  <si>
    <t>Effects of enhanced loads of nutrients on epiphytes on leaves and rhizomes of Posidonia oceanica</t>
  </si>
  <si>
    <t>The increase of anthropogenic activities has severely altered both terrestrial and aquatic systems. Urbanisation, excessive use of agricultural fertilisers, organic runoff and climate change have caused an increase of nutrients in coastal waters, altering the diversity and food-web structure of benthic assemblages. The aims of the present paper were to text if an experimentally increased availability of nutrients, primarily nitrogen and phosphorous, in an oligotrophic basin, would affect epiphytic assemblages on leaves and rhizomes of P. oceanica and whether this could change rates of consumption of the plant by herbivores. In particular, we tested the hypothesis i) that changes to species composition and abundance of epiphytic assemblages generated by nutrients enrichment would vary between leaves and rhizomes and that ii) alterations to epiphytic assemblages on leaves might, in turn, modify feeding rates of herbivorous fish. After two years, the structure of both leaf and rhizome epiphytic assemblages responded to changes in nutrient concentrations before the occurrence of drastic alterations to the host plant, but only the former showed significant changes in terms of species composition. Moreover, a larger intensity of grazing on P. oceanica leaves was documented in experimentally enriched areas than in controls. The present findings and conclusions are applicable to other systems where patterns of biodiversity depend on changes in the availability of nutrients due to natural or anthropogenic events, likely interacting with biological processes, such as competition and grazing. (C) 2009 Elsevier B.V. All rights reserved.</t>
  </si>
  <si>
    <t>10.1016/j.seares.2009.12.001</t>
  </si>
  <si>
    <t>WOS:000277545800002</t>
  </si>
  <si>
    <t>Biotic affinities of rocky reef fishes, invertebrates and macroalgae in different zones of the Port Davey marine protected area, south-western Tasmania</t>
  </si>
  <si>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</si>
  <si>
    <t>10.1002/aqc.1082</t>
  </si>
  <si>
    <t>WOS:000277830200006</t>
  </si>
  <si>
    <t>Conservation of natural wilderness values in the Port Davey marine and estuarine protected area, south-western Tasmania</t>
  </si>
  <si>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</si>
  <si>
    <t>10.1002/aqc.1079</t>
  </si>
  <si>
    <t>WOS:000277830200007</t>
  </si>
  <si>
    <t>Using plant functional types to compare vegetation structure of alien-invaded and uninvaded Acacia nilotica savannas</t>
  </si>
  <si>
    <t>Four plant functional types (PFTs) were used to compare the vegetation structure of an alien-invaded Acacia nilotica savanna with one of negligible invasions. Heights, canopy covers and species richness of three native PFTs (woody plants, grasses and herbs) and one alien PFT (woody plants) were measured in 14, 1-m(2) quadrats sampled in a stratified-random pattern in a 400-m(2) plot demarcated in each savanna. In the uninvaded plot, mean heights of native PFTs were stratified. In the invaded plot, the mean height of aliens extended into the native woody stratum with the lower range of native woody PFT heights reduced to the grass stratum. Discriminant analysis of canopy covers and species richness of the four PFTs revealed significant differences in composition between plots with the alien PFT being the most important variable correlated with these differences. Univariate analysis confirmed the dominance of alien woody plants in the invaded plot but also showed significant reductions in the canopy covers and species richness of native herbs and grasses compared to those in the uninvaded plot. These results suggest that PFTs can rapidly measure small-scale, spatial differences in the physiognomy, composition and species richness of A. nilotica savannas when invaded by alien woody plants. (C) 2009 SAAB. Published by Elsevier B.V. All rights reserved.</t>
  </si>
  <si>
    <t>10.1016/j.sajb.2009.12.004</t>
  </si>
  <si>
    <t>WOS:000277902300023</t>
  </si>
  <si>
    <t>Mapping an aggregate extraction site off the Eastern English Channel: A methodology in support of monitoring and management</t>
  </si>
  <si>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</si>
  <si>
    <t>10.1016/j.ecss.2010.01.005</t>
  </si>
  <si>
    <t>WOS:000277906600007</t>
  </si>
  <si>
    <t>Conservation of population structure and genetic diversity under captive breeding of remnant coaster brook trout (Salvelinus fontinalis) populations</t>
  </si>
  <si>
    <t>Rebuilding wild populations often involves captive broodstocks derived from small, remnant populations. We measured a hatchery program's ability to conserve genetic diversity when founding captive broodstocks from such populations. Migratory coaster brook trout were extirpated from most of their historic range in US waters of Lake Superior and were proposed for listing under the Endangered Species Act. Two captive broodstocks, one with 19 founders and another with 99 founders, were established to rebuild US populations. We used microsatellite markers to examine genetic variation in source populations and early hatchery generations. Broodstocks retained the strong differentiation found between source populations; however, one founder, with a low probability of belonging to either source population, sired 5.7% of F(1) progeny. We found small changes in within-population genetic variation across successive wild and hatchery generations of broodstocks. Evaluation of stage-specific survivorship indicated that equalizing family sizes of embryos produced modest gains in the effective number of breeders, and that survival in the hatchery was nearly random across families. Our study demonstrates the value of genetic monitoring during initial stages of hatchery programs for small and declining populations.</t>
  </si>
  <si>
    <t>10.1007/s10592-009-9841-0</t>
  </si>
  <si>
    <t>WOS:000277955700036</t>
  </si>
  <si>
    <t>Edge effects as the principal cause of area effects on birds in fragmented secondary forest</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</si>
  <si>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</si>
  <si>
    <t>10.1111/j.1600-0706.2009.18061.x</t>
  </si>
  <si>
    <t>WOS:000278036500003</t>
  </si>
  <si>
    <t>Litter decomposition can detect effects of high and moderate levels of forest disturbance on stream condition</t>
  </si>
  <si>
    <t>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t>
  </si>
  <si>
    <t>10.1016/j.foreco.2010.03.022</t>
  </si>
  <si>
    <t>WOS:000278303700022</t>
  </si>
  <si>
    <t>Taxonomic resolution needed to describe invertebrate assemblages and to detect harvesting effects on coral reef ecosystems</t>
  </si>
  <si>
    <t>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t>
  </si>
  <si>
    <t>10.3354/meps08521</t>
  </si>
  <si>
    <t>WOS:000278441200017</t>
  </si>
  <si>
    <t>Measuring stream macroinvertebrate responses to gradients of vegetation cover: when is enough enough?</t>
  </si>
  <si>
    <t>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t>
  </si>
  <si>
    <t>10.1111/j.1365-2427.2009.02233.x</t>
  </si>
  <si>
    <t>WOS:000278566100006</t>
  </si>
  <si>
    <t>Combined effects of nutrient enrichment, sedimentation and grazer loss on rock pool assemblages</t>
  </si>
  <si>
    <t>Coastal areas around the world are experiencing increasing disturbance from multiple stressors caused by anthropogenic activities. Although there is good knowledge about the impacts of individual stressors, there is less understanding of the consequences of several stressors acting simultaneously. Eutrophication and sediment deposition are widely recognized as major problems for the functioning of coastal systems, and they are expected to increase during the next decades. In a field experiment, using rock pools as a model system, different levels of nutrients and sedimentation were applied in a factorial experimental design that also accounted for the influence of molluscan grazers. Sedimentation significantly changed assemblage structure, mainly owing to an increase in turfing and filamentous algae and a decrease in crustose algae. Nutrients also caused an increase in the cover of green filamentous algae, which in turn was synergistically magnified by the removal of grazers. Here we showed that these stressors can individually alter the structure of rock pools assemblages; and that in this system top-down control (by grazers) is more important than bottom-up factors (nutrients) in controlling macroalgal assemblage structure. The combined effect of grazers loss and nutrients was larger than the sum of their individual effects. This study enhanced mechanistic understanding of the impacts of multiple stressors on coastal ecosystems, which will help to develop management strategies and conservation of the marine environment. (C) 2010 Elsevier B.V. All rights reserved.</t>
  </si>
  <si>
    <t>10.1016/j.jembe.2010.03.005</t>
  </si>
  <si>
    <t>WOS:000278643300007</t>
  </si>
  <si>
    <t>Long-term dynamics of bird diversity in forest and suburb: decay, turnover or homogenization?</t>
  </si>
  <si>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</si>
  <si>
    <t>10.1111/j.1472-4642.2010.00665.x</t>
  </si>
  <si>
    <t>WOS:000278646000005</t>
  </si>
  <si>
    <t>Meiofauna communities in exposed sandy beaches on the Galician coast (NW Spain), six months after the Prestige oil spill: the role of polycyclic aromatic hydrocarbons (PAHs)</t>
  </si>
  <si>
    <t>The effect of polycyclic aromatic hydrocarbons (PAHs) on Galician sandy beach ecosystems, six months after the Prestige oil spill, was evaluated using the meiobenthos at a higher taxon level as an indicator. Meiobenthos community structure, environmental variables and sediment PAH content from six affected exposed beaches were studied and compared with three reference sites. They were also compared with data from polluted beaches obtained during the first days of the spill. Significant amounts of PAHs were found in affected beach sediments and both univariate and multivariate analyses showed differences between affected and reference beaches. Correlation analyses between PAH content and the meiobenthos community structure showed that 1,2-dimethylnaphthalene (C2-NAPH) and 1-methylphenanthrene (C-PHEN) affected both the community structure and the abundance of the main taxa. These two PAHs seem to be responsible for the low meiofauna density values, which suggests that there is a relationship between the oil spill and the differences between affected and reference localities.</t>
  </si>
  <si>
    <t>10.3989/scimar.2010.74n2385</t>
  </si>
  <si>
    <t>WOS:000278668500016</t>
  </si>
  <si>
    <t>Deforestation homogenizes tropical parasitoid-host networks</t>
  </si>
  <si>
    <t>Human activities drive biotic homogenization (loss of regional diversity) of many taxa. However, whether species interaction networks (e.g., food webs) can also become homogenized remains largely unexplored. Using 48 quantitative parasitoid-host networks replicated through space and time across five tropical habitats, we show that deforestation greatly homogenized network structure at a regional level, such that interaction composition became more similar across rice and pasture sites compared with forested habitats. This was not simply caused by altered consumer and resource community composition, but was associated with altered consumer foraging success, such that parasitoids were more likely to locate their hosts in deforested habitats. Furthermore, deforestation indirectly homogenized networks in time through altered mean consumer and prey body size, which decreased in deforested habitats. Similar patterns were obtained with binary networks, suggesting that interaction (link) presence-absence data may be sufficient to detect network homogenization effects. Our results show that tropical agroforestry systems can support regionally diverse parasitoid-host networks, but that removal of canopy cover greatly homogenizes the structure of these networks in space, and to a lesser degree in time. Spatiotemporal homogenization of interaction networks may alter coevolutionary outcomes and reduce ecological resilience at regional scales, but may not necessarily be predictable from community changes observed within individual trophic levels.</t>
  </si>
  <si>
    <t>10.1890/09-1328.1</t>
  </si>
  <si>
    <t>WOS:000278859700019</t>
  </si>
  <si>
    <t>Temporal genetic variability in the Mediterranean common sea urchin Paracentrotus lividus</t>
  </si>
  <si>
    <t>In sedentary benthic invertebrates with pelagic larval stages, the genetic composition of individuals that recruit at a given site is determined by the interaction between factors such as non-random mating, differential reproductive success, dispersal ability, selective pressures, and environmental factors. We studied the temporal variation of genetic structure of several cohorts of the sea urchin Paracentrotus lividus (Lamarck) collected over 2 consecutive years (2006, 2007) from a locality in the NW Mediterranean. Sea urchins bigger than ca. 1 cm in diameter were collected and aged using growth bands visible in the tests. Small recruits of the year were collected by scraping off algal substrates. A fragment of the mitochondrial gene of the cytochrome c oxidase subunit I (COI) and a fragment of the nuclear gene of the gamete recognition protein bindin were sequenced for 374 and 316 urchins, respectively. Differentiation between cohorts was smaller than between spatially separated populations for both markers. Likewise, our results do not show a reduction of diversity within cohorts over time or a reduced diversity of the juveniles relative to adult populations. No significant changes in allelic frequencies were detected between cohorts for COI, indicating that sweepstake episodes-in which few individuals dominate reproductive events, resulting in high levels of genetic variance-are not common in this species. In contrast, a stronger signal of differentiation was found for bindin, with many pairwise comparisons among cohorts being significant. This differentiation was mainly due to positively selected codons in this gamete recognition protein, which suggests some degree of non-random mating in Paracentrotus lividus. This can be due to spatial and temporal heterogeneity in the pool of gametes resulting in inter-cohort differences in the composition of bindin alleles that maximized fertilization. Our results indicate that processes occurring previous to fertilization are important in shaping the genetic structure of populations. This information is relevant if management plans are to be designed for this commercially interesting species.</t>
  </si>
  <si>
    <t>10.3354/meps08576</t>
  </si>
  <si>
    <t>WOS:000278978800014</t>
  </si>
  <si>
    <t>Composition of epiphytic leaf community of Posidonia oceanica as a tool for environmental biomonitoring</t>
  </si>
  <si>
    <t>The demand for sensitive biological tools to assess the environmental quality of coastal waters at broad spatial scales is increasing. Many of the tools used are based on the taxonomic composition of biotic assemblages. They usually require a valuable taxonomic expertise while are unique reflecting the overall ecosystem integrity. Here, we evaluate the potential indicator value of several features of the epiphytic community (overall assemblage composition, species richness, and proportion of the main taxonomic groups) growing on the seagrass Posidonia oceanica leaves. We do so by empirically examining their changes along a disturbance gradient where multiple human activities have interactive and cumulative impacts, sampling at different spatial scales and at two different depths (5 and 15 m). Our results show that the specific composition of the epiphytic assemblages (i.e. species composition) closely reflects, in the deep meadows, the combined effects of different anthropogenic stressors along the gradient, showing an integrative and non-specific response. Similarly, an increase in the proportion of hydrozoans, and a decrease in the proportion of rhodophytes and chlorophytes are observed in deep meadows along the gradient. In shallow meadows, grazing and biotic features of the seagrass seem the main forcing factors determining species composition, and therefore masking the response of epiphytes to the deterioration gradient. After address the effect of natural sources of variability (water depth, within- and between-meadow heterogeneity), changes in epiphyte assemblages and in the proportion of hydrozoans, rhodophytes and chlorophytes in relatively deep meadows seem promising monitoring tools for detecting coastal environmental deterioration. (C) 2010 Elsevier Ltd. All rights reserved.</t>
  </si>
  <si>
    <t>10.1016/j.ecss.2010.03.026</t>
  </si>
  <si>
    <t>WOS:000279089400004</t>
  </si>
  <si>
    <t>Contribution of progeny cohorts to the restoration of genetic diversity in the post-harvest dragon spruce (Picea asperata) stands</t>
  </si>
  <si>
    <t>Naturally regenerated seedlings or saplings in post-harvest forest stands are expected to contribute to population regeneration and the restoration and maintenance of genetic diversity in forest trees. In this study, we used intact old-growth stands of dragon spruce (Picea asperata Mast.) as a benchmark to compare genetic diversity between mature and progeny cohorts sampled from post-harvest planted and post-harvest naturally regenerated stands in western Sichuan, China. Mature cohorts in the intact stands exhibited the highest levels of genetic diversity among the three types of stands. Genetic diversity within the progeny cohorts in the intact stands was significantly lower than their parent cohorts for all five measures of diversity. The progeny cohorts of the intact stands had lower genetic diversity than progeny cohorts from two types of post-harvest stands, but only for two measures of diversity. There were no significant differences in diversity between the mature or progeny cohorts of the planted and naturally regenerated stands. When mature and progeny cohorts were pooled, genetic variation within the united sample was enriched and close to that of the mature cohort in the intact stands. High genetic similarity and low genetic differentiation between progeny cohorts in the post-harvest stands and mature cohorts in the intact stands indicated a sufficient seed or pollen migration from the surrounding intact stands into the regenerated area. These findings illustrate the important role of the mature cohorts in the intact stands as reservoirs of genetic diversity.</t>
  </si>
  <si>
    <t>10.1093/forestry/cpq013</t>
  </si>
  <si>
    <t>WOS:000279189800008</t>
  </si>
  <si>
    <t>How might intensification of farming influence dung beetle diversity (Coleoptera: Scarabaeidae) in Maputo Special Reserve (Mozambique)?</t>
  </si>
  <si>
    <t>There are concerns over the increasing encroachment of humans, domestic livestock, and farming onto Maputo Special Reserve because of the potential for habitat modification. Therefore, differences between an undisturbed area of the reserve and a neighbouring farming area are assessed using dung beetle as indicators. In each of the two areas, pig-dung-baited pitfall traps were used to sample dung beetle assemblages in two contrasting habitats, grassland and forest. Distributional analysis of the 57 species and 36 942 individuals that were captured, showed that species richness, species turnover, relative abundance patterns, and biogeographical composition differed strongly between both habitats and areas under different land usage. However, in analyses that apportion variation, the greatest amounts were related to habitat rather than land usage. Even so, in both habitats, the total and mean number of species per trap was higher in the farmed area than in the reserve although this was a significant trend only in grassland. Furthermore, in grassland, widespread species were better represented in the farmed area than in the reserve whereas in forest, widespread species were poorly represented compared to grassland. Also in forest, Maputaland endemics were better represented in the reserve than in the farmed area. Further work is necessary to separate the different geographical, ecological, and land usage factors responsible for the patterns detected in this preliminary study. Even so, there are clearly differences between the Maputo Special Reserve and the farmed area.</t>
  </si>
  <si>
    <t>10.1007/s10841-010-9270-x</t>
  </si>
  <si>
    <t>WOS:000279310800007</t>
  </si>
  <si>
    <t>Genetic evidence for a recent geographic expansion of 15-acetyldeoxynivalenol chemotypes of Fusarium graminearum in Canada</t>
  </si>
  <si>
    <t>The genetic structure of 15-acetyldeoxynivalenol (15-ADON) chemotypes of Fusarium graminearum populations collected from Canada was examined using restriction length fragment polymorphism and inter simple sequence repeat molecular markers. The genetic analysis revealed that 15-ADON producing F. graminearum populations from different provinces of Canada are genetically homogeneous. Mismatch distribution analysis was used to examine the evolutionary factors leading to genetic homogeneity among populations. The results of mismatch distributions showed evidence of a recent burst in population growth and demographic expansion across Canada. These results suggested that vigilant monitoring of trends of population growth of F. graminearum in Canada may be useful for management of this fungal pathogen.</t>
  </si>
  <si>
    <t>10.1080/07060660909507621</t>
  </si>
  <si>
    <t>WOS:000279668900010</t>
  </si>
  <si>
    <t>The spread of the Argentine ant: environmental determinants and impacts on native ant communities</t>
  </si>
  <si>
    <t>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t>
  </si>
  <si>
    <t>10.1007/s10530-009-9650-x</t>
  </si>
  <si>
    <t>WOS:000279682800005</t>
  </si>
  <si>
    <t>Bryoid Layer Response to Soil Disturbance by Fuel Reduction Treatments in a Dry Conifer Forest</t>
  </si>
  <si>
    <t>We investigated the response of the bryoid layer, bryophyte and lichen communities on the soil surface, three years after fuel reduction treatment (logging and burning) in the central Blue Mountains of eastern Oregon. Both treatment and control areas had been decimated by spruce budworm and drought before the fuel reduction treatments. Treatments reduced overstory and understory woody vegetation, litter, and coarse woody debris and disturbed the soil surface. In the untreated stands minor local disturbances had created bare mineral soil over about 1% of the ground area, about half of that was from burrowing rodents. Fuel reduction treatments disturbed an additional 23% of the ground area, beyond the 1% disturbed in untreated sites. Over half of the recently disturbed treatment areas had been colonized by pioneering short mosses. Bare soil from rodent disturbances covered about 10 times more area in treated sites than in untreated sites, increasing from 0.4% to 5.5% cover. The bryoid layer responded to the treatments by changes in species composition, rather than species richness. Treated areas had more cover of small acrocarpous pioneer bryophytes (i.e., Funaria hygrometrica, Ceratodon purpureus, and especially Bryum caespiticium), whereas cover of larger pleurocarps, such as Brachythecium and Rhytidiadelphus was reduced by soil disturbance. We infer that pioneer bryophytes perform a valuable ecosystem service in these dry forests by rapidly colonizing and stabilizing the soil surface, reducing its vulnerability to erosion by wind and water.</t>
  </si>
  <si>
    <t>10.1639/0007-2745-113.2.235</t>
  </si>
  <si>
    <t>WOS:000279869600002</t>
  </si>
  <si>
    <t>Investigation of the fate and effects of acetyl cedrene on Capitella teleta and sediment bacterial community</t>
  </si>
  <si>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</si>
  <si>
    <t>10.1007/s10646-010-0486-z</t>
  </si>
  <si>
    <t>WOS:000280068900008</t>
  </si>
  <si>
    <t>The Effects of Fishing, Climate Change, and Other Anthropogenic Disturbances on Red Grouper and Other Reef Fishes in the Gulf of Mexico</t>
  </si>
  <si>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</si>
  <si>
    <t>10.1093/icb/icq072</t>
  </si>
  <si>
    <t>WOS:000280279800005</t>
  </si>
  <si>
    <t>Yellow crazy ant (Anoplolepis gracilipes) invasions within undisturbed mainland Australian habitats: no support for biotic resistance hypothesis</t>
  </si>
  <si>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</si>
  <si>
    <t>10.1007/s10530-010-9701-3</t>
  </si>
  <si>
    <t>WOS:000280892600023</t>
  </si>
  <si>
    <t>Diversity and distribution of macroinvertebrates in lentic habitats in massively altered landscapes in south-eastern Australia</t>
  </si>
  <si>
    <t>Aim We investigated whether faunas of lentic macroinvertebrates differed among two landscape types: (1) those that are largely covered in forests (presumed to be in a more pre-human-impact condition) and (2) those that are completely cleared for agricultural exploitation (massively altered). Location Five pairs of landscapes (each pair referred to as a region) - one of each landscape type - across a 30,000 km2 region of north-central Victoria, Australia. Methods Each individual waterbody was surveyed three times (austral spring 2006, autumn 2007, and spring 2007) for invertebrates. Waterbodies were characterized by measurements of static (e.g. abutting vegetation cover) and labile (e.g. pH) variables. Data were analysed using hierarchical Bayesian models of species richness, alpha- and beta-diversities and functional feeding groups. Assemblage composition was related to landscape and in-waterbody characteristics. Results Neither measured, nor asymptotic estimates of, species richness differed among landscape types, notwithstanding consistent differences in in-waterbody habitat characteristics among waterbodies in the two landscape types. There were no discernible differences in patterns of alpha- and beta-diversities at landscape scales relating to landscape type. Habitat diversity of waterbodies at the landscape scale did not affect beta-diversity, although distinct waterbodies within landscapes tended to have more distinct faunas. Main conclusions The lentic macroinvertebrate faunas are relatively homogeneous over the entire region, with little differentiation between wooded and cleared landscapes. The regional fauna may be a homogenized subset of native species, possibly arising from the huge numerical predominance of lentic habitats in agricultural landscapes producing 'spill-over' effects into forested landscapes. Of taxa more frequently found in one or other landscape type, trophic group diversity was greater in forested landscapes.</t>
  </si>
  <si>
    <t>10.1111/j.1472-4642.2010.00685.x</t>
  </si>
  <si>
    <t>WOS:000280973100001</t>
  </si>
  <si>
    <t>Experimental introduction of the alien plant Hieracium lepidulum reveals no significant impact on montane plant communities in New Zealand</t>
  </si>
  <si>
    <t>Aim There is debate over whether alien plants necessarily alter the communities they invade or can coexist with native species without discernable impacts. We followed the fate of montane plant communities in response to the experimental sowing of the alien weed Hieracium lepidulum, looking for changes in plant community composition and structure over 6 years. Location Craigieburn Range, New Zealand. Methods We used a replicated randomised block design, with 30 x 30 cm plots (n = 756) subdivided into 5 x 5 cm cells to examine and compare the effects of H. lepidulum at 0.09 m2 (plot) and 0.0025 m2 (cell) scales. Plots were sown with between 0 and 15,625 H. lepidulum seeds in 2003, forming gradients of invader density and cover. Measurements comprised community richness, evenness and diversity along with H. lepidulum density and cover at both scales. The relationships between the invader and local community attributes were modelled using hierarchical mixed-effect models. Results Plant communities differed in the extent to which they became invaded, with H. lepidulum cover in the plots ranging from 0% to 52%, with a mean of only 1.89%. Plot species richness increased from 2003 to 2009, with a component of this increase (+0.002 species per year) associated with increasing H. lepidulum density. Other relationships between the plant community and H. lepidulum were generally non-significant. Main conclusions In these montane plant communities, it appears H. lepidulum coexists with the native community with no measurable negative effects after 6 years on species richness, evenness or diversity, even where density and cover of the invader are highest. We suggest H. lepidulum has persisted preferentially at those sites with abiotic conditions sufficient to support a species-rich assemblage.</t>
  </si>
  <si>
    <t>10.1111/j.1472-4642.2010.00684.x</t>
  </si>
  <si>
    <t>WOS:000280973100010</t>
  </si>
  <si>
    <t>Impacts of invasion by Dreissena polymorpha (Pallas, 1771) on the performance of macroinvertebrate assessment tools for eutrophication pressure in lakes</t>
  </si>
  <si>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</si>
  <si>
    <t>10.1007/s10750-010-0391-8</t>
  </si>
  <si>
    <t>WOS:000281026500019</t>
  </si>
  <si>
    <t>Effects of Warming, Summer Drought, and CO2 Enrichment on Aboveground Biomass Production, Flowering Phenology, and Community Structure in an Upland Grassland Ecosystem</t>
  </si>
  <si>
    <t>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t>
  </si>
  <si>
    <t>10.1007/s10021-010-9363-0</t>
  </si>
  <si>
    <t>WOS:000281162400008</t>
  </si>
  <si>
    <t>Population genetic structure of dolphinfish (Coryphaena hippurus) in the Gulf of California, using microsatellite loci</t>
  </si>
  <si>
    <t>We assayed genetic variations at five microsatellite loci of dolphinfish captured at five sites in 2005 and eight sites in 2006 to detect genetic population structure of dolphinfish Coryphaena hippurus in the Gulf of California and surrounding waters. Results show high genetic variation, similar to other pelagic fishes with large populations. Pairwise F-ST values and hierarchical AMOVA detected subtle but significant spatial and temporal heterogeneity, mainly in samples of 2005 and some of 2006. However, Bayesian assignment analysis failed to detect genetic differentiation, which was also supported by the Mantel test and gene flow estimates among the sampled sites. This suggests that, despite the slight heterogeneity detected in this region, the dolphinfish forms a single panmictic population with high genetic variation and gene flow. (C) 2010 Elsevier B.V. All rights reserved.</t>
  </si>
  <si>
    <t>10.1016/j.fishres.2010.03.023</t>
  </si>
  <si>
    <t>WOS:000281181500007</t>
  </si>
  <si>
    <t>Effect of forest clear-cutting on subtropical bryophyte communities in waterfalls, on dripping walls, and along streams</t>
  </si>
  <si>
    <t>Forested freshwater ecosystems worldwide are threatened by a number of anthropogenic disturbances, such as water pollution and canalization. Transient or permanent deforestation can also be a serious threat to organisms in forested watersheds, but its effects on different types of freshwater systems has been little studied. We investigated lotic bryophyte communities on rock and soil in subtropical cloud laurel forests on La Gomera Island in the Canary Islands, Spain, and asked whether the response to forest clear-cutting varied among the communities associated with dripping walls, streams, and waterfalls. We compared three successional forest stages: ancient forests (&gt;250 years), young forests (20-50 years after clear-cutting), and open stands (5-15 years after clear-cutting). In each of 56 study sites we sampled general vegetation and substrate data in a 0.01-ha plot and took composition data of bryophyte species in 3 + 3 subplots of 1 x 1 m. The general pattern of decline in species richness and change in species composition after forest clear-cutting was stronger for streamside assemblages compared to assemblages on dripping walls and in waterfalls. The change in species numbers on rocks was larger than that on soils, because a guild of species growing on soil (but not on rocks) were favored by disturbance and thus increased in the disturbed sites. Most of the sensitive species could be classified as typical laurel forest species. Mosses were generally more tolerant to forest clear-cutting than were liverworts. We suggest that streamsides are more sensitive to disturbance than waterfalls and dripping walls because of a larger variation in microclimate before than after clear-cutting and because they are more easily invaded by early-successional species (both bryophytes and highly competitive vascular plants). We propose that special care should be taken along small streams within disturbed watersheds if bryophyte assemblages and threatened species should be protected. The susceptibility to anthropogenic pressures is probably rather high in ecosystems that do not regularly experience large-scale stand-replacing disturbances, especially on oceanic islands because of isolation and a small total habitat area for focal organisms.</t>
  </si>
  <si>
    <t>10.1890/09-1086.1</t>
  </si>
  <si>
    <t>WOS:000281278500013</t>
  </si>
  <si>
    <t>Nutrient availability modifies species abundance and community structure of Fucus-associated littoral benthic fauna</t>
  </si>
  <si>
    <t>The brown alga Focus vesiculosus is a foundation species in the Baltic Sea littoral, hosting a rich faunal community. We compared the species composition and diversity of invertebrate macrofauna living on E vesiculosus between sites differing in their eutrophication status and exposure to waves at three different times during a season. We determined the size, nitrogen and phlorotannin content of the alga. The invertebrate community differed substantially between sites near fish farms and those in more pristine environment. Snails and bivalves were more abundant on the Focus stands near fish farms than on control stands, where crustaceans were more abundant. The abundance of molluscs decreased with the increasing shore exposure, while gammaridean amphipods dominated on the exposed shores. Abundance of several taxa increased during the proceeding growing season. The density of the most important herbivore of F. vesiculosus, Idotea balthica, varied 100-fold during the season being the lowest in June and the highest in August when the generation born in the summer started to feed on Fucus. Thus, the diversity and composition of Fucus-associated invertebrate fauna varies both with environmental conditions of the stand and seasonally. Although the negative effects of eutrophication on distribution and abundance of Fucus stands are well documented, a moderate increase of nutrients was found to increase the species richness of Focus-associated fauna in early summer. (C) 2010 Elsevier Ltd. All rights reserved.</t>
  </si>
  <si>
    <t>10.1016/j.marenvres.2010.05.010</t>
  </si>
  <si>
    <t>WOS:000281347200004</t>
  </si>
  <si>
    <t>Effects of marine cage aquaculture on macrofauna assemblages associated with Posidonia oceanica meadows</t>
  </si>
  <si>
    <t>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t>
  </si>
  <si>
    <t>10.1080/11250000903464075</t>
  </si>
  <si>
    <t>WOS:000281363500015</t>
  </si>
  <si>
    <t>Linking fisheries, trophic interactions and climate: threshold dynamics drive herring Clupea harengus growth in the central Baltic Sea</t>
  </si>
  <si>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</si>
  <si>
    <t>10.3354/meps08592</t>
  </si>
  <si>
    <t>WOS:000281566900019</t>
  </si>
  <si>
    <t>Effects of experimental nitrogen additions on plant diversity in an old-growth tropical forest</t>
  </si>
  <si>
    <t>Response of plant biodiversity to increased availability of nitrogen (N) has been investigated in temperate and boreal forests, which are typically N-limited, but little is known in tropical forests. We examined the effects of artificial N additions on plant diversity (species richness, density and cover) of the understory layer in an N saturated old-growth tropical forest in southern China to test the following hypothesis: N additions decrease plant diversity in N saturated tropical forests primarily from N-mediated changes in soil properties. Experimental additions of N were administered at the following levels from July 2003 to July 2008: no addition (Control); 50 kg N ha-1 yr-1 (Low-N); 100 kg N ha-1 yr-1 (Medium-N), and 150 kg N ha-1 yr-1 (High-N). Results showed that no understory species exhibited positive growth response to any level of N addition during the study period. Although low-to-medium levels of N addition (&lt; 100 kg N ha-1 yr-1) generally did not alter plant diversity through time, high levels of N addition significantly reduced species diversity. This decrease was most closely related to declines within tree seedling and fern functional groups, as well as to significant increases in soil acidity and Al mobility, and decreases in Ca availability and fine-root biomass. This mechanism for loss of biodiversity provides sharp contrast to competition-based mechanisms suggested in studies of understory communities in other forests. Our results suggest that high-N additions can decrease plant diversity in tropical forests, but that this response may vary with rate of N addition.</t>
  </si>
  <si>
    <t>10.1111/j.1365-2486.2010.02174.x</t>
  </si>
  <si>
    <t>WOS:000281676700005</t>
  </si>
  <si>
    <t>Influence of Post-Clearing Treatment on the Recovery of Herbaceous Plant Communities in Amazonian Secondary Forests</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</si>
  <si>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</si>
  <si>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10.1111/j.1526-100X.2010.00715.x</t>
  </si>
  <si>
    <t>WOS:000281717200006</t>
  </si>
  <si>
    <t>The power of genetic monitoring for studying demography, ecology and genetics of a reintroduced brown bear population</t>
  </si>
  <si>
    <t>Genetic monitoring has rarely been used for wildlife translocations despite the potential benefits this approach offers, compared to traditional field-based methods. We applied genetic monitoring to the reintroduced brown bear population in northern Italy. From 2002 to 2008, 2781 hair and faecal samples collected noninvasively plus 12 samples obtained from captured or dead bears were used to follow the demographic and geographical expansion and changes in genetic composition. Individual genotypes were used to reconstruct the wild pedigree and revealed that the population increased rapidly, from nine founders to &gt; 27 individuals in 2008 (lambda = 1.17-1.19). Spatial mapping of bear samples indicated that most bears were distributed in the region surrounding the translocation site; however, individual bears were found up to 163 km away. Genetic diversity in the population was high, with expected heterozygosity of 0.74-0.79 and allelic richness of 4.55-5.41. However, multi-year genetic monitoring data showed that mortality rates were elevated, immigration did not occur, one dominant male sired all cubs born from 2002 to 2005, genetic diversity declined, relatedness increased, inbreeding occurred, and the effective population size was extremely small (Ne = 3.03, ecological method). The comprehensive information collected through genetic monitoring is critical for implementing future conservation plans for the brown bear population in the Italian Alps. This study provides a model for other reintroduction programmes by demonstrating how genetic monitoring can be implemented to uncover aspects of the demography, ecology and genetics of small and reintroduced populations that will advance our understanding of the processes influencing their viability, evolution, and successful restoration.</t>
  </si>
  <si>
    <t>10.1111/j.1365-294X.2010.04791.x</t>
  </si>
  <si>
    <t>WOS:000281797400012</t>
  </si>
  <si>
    <t>Experimental plant invasion reduces arthropod abundance and richness across multiple trophic levels</t>
  </si>
  <si>
    <t>Plant invasions are known to have negative impacts on native plant communities, yet their influence on higher trophic levels has not been well documented. Past studies investigating the effects of invasive plants on herbivores and carnivores have been largely observational in nature and thus lack the ability to tease apart whether differences are a cause or consequence of the invasion. In addition, understanding how plant traits and plant species compositions change in invaded habitats may increase our ability to predict when and where invasive plants will have effects that cascade to animals. To assess effects on arthropods, we experimentally introduced a non-native plant (Microstegium vimineum, Japanese stiltgrass) in a community re-assembly experiment. We also investigated possible mechanisms through which the invader could affect associated arthropods, including changes in native plant species richness, above-ground plant biomass, light availability and vegetation height. In experimentally invaded plots, arthropod abundance was reduced by 39%, and species richness declined by 19%. Carnivores experienced greater reductions in abundance than herbivores (61% vs 31% reduction). Arthropod composition significantly diverged between experimentally invaded and control plots, and particular species belonging to the abundant families Aphididae (aphids), Formicidae (ants) and Phalacridae (shining flower beetles) contributed the most to compositional differences. Among the mechanisms we investigated, only the reduction in native plant species richness caused by invasion was strongly correlated with total arthropod abundance and richness. In sum, our results demonstrate negative impacts of M. vimineum invasion on higher trophic levels and suggest that these effects occur, in part, indirectly through invader-mediated reductions in the richness of the native plant community. The particularly strong response of carnivores suggests that plant invasion could reduce top-down control of herbivorous species for native plants.</t>
  </si>
  <si>
    <t>10.1111/j.1600-0706.2010.18382.x</t>
  </si>
  <si>
    <t>WOS:000281833700003</t>
  </si>
  <si>
    <t>Genetic signatures of population change in the British golden eagle (Aquila chrysaetos)</t>
  </si>
  <si>
    <t>The golden eagle (Aquila chrysaetos) was once widely distributed in the uplands of the British Isles, but is now extinct in Ireland, and largely confined to the highlands and islands of Scotland. As the precise extent and severity of the reduction in population size are unclear, it is important to understand how the population was affected by the decline. We therefore genotyped 13 polymorphic microsatellite loci in 172 individuals from the contemporary British population and compared their genetic diversity to 70 British and 9 Irish museum specimens. Despite the recent population decline, there is only slight evidence for a concomitant loss of genetic variation. Instead, two likelihood-based Bayesian methods provided evidence for a severe ancient genetic bottleneck, possibly caused by the fragmentation of a large mainland European population and/or the founding effects of colonising the British Isles. As the population persisted despite this ancient bottleneck, our conclusion is that there is limited need for intervention to augment the present-day genetic diversity. The main short-term objective of conservation measures should be to increase population sizes by continuous safeguarding of individuals and habitat management. Finally, we also confirmed that, for management purposes, the species should be considered a single population unit and that the extinct Irish population was not differentiated from the British one.</t>
  </si>
  <si>
    <t>10.1007/s10592-010-0076-x</t>
  </si>
  <si>
    <t>WOS:000281907000020</t>
  </si>
  <si>
    <t>The conservation genetics of Ash Meadows pupfish populations. I. The Warm Springs pupfish Cyprinodon nevadensis pectoralis</t>
  </si>
  <si>
    <t>The Warm Springs pupfish (Cyprinodon nevadensis pectoralis) inhabits several low flow (&lt;0.15 cfs) springs in an otherwise dry Mojave Desert landscape. Increasing demands on groundwater coupled with predictions of decreased precipitation from global warming make this species a sentinel for biodiversity dependent on springs. Here we examine mitochondrial DNA haplotypes and nuclear microsatellite genotypes for individuals sampled in 1998 and 2007 as a means of inferring the historical demography of the subspecies. Estimates of genetic effective population size from comparison of allele frequencies over time underscores that all spring populations support small populations, typically &lt;100 individuals. Such small population sizes suggest spring populations may have heightened probabilities of extirpation. Despite small population sizes, all springs harbor relatively high levels of genetic variation for both nuclear and mitochondrial DNA. Unexpectedly high levels of variation may be explained by recent declines in population size coupled with rare episodes of gene flow between springs suspected of occurring during flooding events. The inferences gained from the genetic data provide the basis for evaluating current and future restoration plans. The genetic data suggest there is a need to balance the predicted positive effects of restoring hydrological connectivity with the potential negative impacts of providing avenues for the spread of exotic species detrimental to pupfish populations.</t>
  </si>
  <si>
    <t>10.1007/s10592-010-0077-9</t>
  </si>
  <si>
    <t>WOS:000281907000021</t>
  </si>
  <si>
    <t>Genetic Restoration of the Florida Panther</t>
  </si>
  <si>
    <t>The rediscovery of remnant Florida panthers (Puma concolor coryi) in southern Florida swamplands prompted a program to protect and stabilize the population. In 1995, conservation managers translocated eight female pumas (P. c. stanleyana) from Texas to increase depleted genetic diversity, improve population numbers, and reverse indications of inbreeding depression. We have assessed the demographic, population-genetic, and biomedical consequences of this restoration experiment and show that panther numbers increased threefold, genetic heterozygosity doubled, survival and fitness measures improved, and inbreeding correlates declined significantly. Although these results are encouraging, continued habitat loss, persistent inbreeding, infectious agents, and possible habitat saturation pose new dilemmas. This intensive management program illustrates the challenges of maintaining populations of large predators worldwide.</t>
  </si>
  <si>
    <t>10.1126/science.1192891</t>
  </si>
  <si>
    <t>WOS:000282098100040</t>
  </si>
  <si>
    <t>Historical influences dominate the population genetic structure of a sedentary marine fish, Atlantic wolffish (Anarhichas lupus), across the North Atlantic Ocean</t>
  </si>
  <si>
    <t>Genetic variation was assessed in Atlantic wolffish, Anarhichas lupus, across the North Atlantic Ocean using microsatellite and amplified fragment length polymorphism (AFLP) markers. Despite unusual life history attributes such as large benthic eggs, large larvae, a limited pelagic stage and relatively sedentary adults, which suggest potential for strong population structure, range-wide F-ST values were comparable to other marine fishes (&lt; 0.035). Nevertheless, both significant genetic differentiation among regions and isolation by distance were observed, suggesting limited dispersal in this species. AFLP loci, evaluated on a subset of samples, revealed slightly higher F-ST values, but similar patterns of differentiation and isolation-by-distance estimates, compared to microsatellites. The genetic structure of Atlantic wolffish has likely been shaped by its post-glacial history of recolonization, North Atlantic current patterns and continuity of habitat on continental shelves.</t>
  </si>
  <si>
    <t>10.1111/j.1365-294X.2010.04806.x</t>
  </si>
  <si>
    <t>WOS:000282180500014</t>
  </si>
  <si>
    <t>Large-scale human effects on an arid African raptor community</t>
  </si>
  <si>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</si>
  <si>
    <t>10.1111/j.1469-1795.2010.00369.x</t>
  </si>
  <si>
    <t>WOS:000282370500011</t>
  </si>
  <si>
    <t>Large effective population size and temporal genetic stability in Atlantic cod (Gadus morhua) in the southern Gulf of St. Lawrence</t>
  </si>
  <si>
    <t>Worldwide, many commercial fish stocks have experienced dramatic declines due to overfishing. Such fisheries-induced population reductions could potentially erode the genetic diversity of marine fish populations. Based on analyses of DNA extracted from archived and contemporary samples, this paper compares the genetic variability at nine microsatellite loci in a Canadian population of Atlantic cod (Gadus morhua) over 80 years, spanning from before the fishery intensified to now when the population is at historically low abundance. Extensively validated genetic data from the temporally spaced samples were used to estimate the effective population size. Over the period, we observed no loss of either heterozygosity or allelic diversity. Several of the estimation methods applied could not distinguish the effective population size from infinity, and the lower 95% confidence limit on estimates was generally &gt;500, suggesting that the effective population size is probably considerably larger than this. Hence, it appears that the southern Gulf of St. Lawrence cod stock has maintained genetic variability to sustain future evolution despite a dramatic population decline.</t>
  </si>
  <si>
    <t>10.1139/F10-084</t>
  </si>
  <si>
    <t>WOS:000282589200004</t>
  </si>
  <si>
    <t>The effect of a supplementation program on the genetic and life history characteristics of an Oncorhynchus mykiss population</t>
  </si>
  <si>
    <t>Conservation hatcheries, which supplement natural populations by removing adults or embryos from the natural environment and rearing and releasing parr, smolts, or adults back into their natal or ancestral streams, are increasingly being used to avoid extinction of localized populations of Pacific salmonids. We collected data before and during a steelhead (Oncorhynchus mykiss) supplementation program to investigate the effect that the program has had on the population's genetic diversity and effective population size and any changes to an important life history trait (residency or anadromy). We found that supplementation did not cause substantial changes in the genetic diversity or effective size of the population, most likely because a large proportion of all of the steelhead redds in the river each year were sampled to create the supplementation broodstock. Our data also showed that the captively reared fish released as adults successfully produced parr. Furthermore, we found that during supplementation, there was an increase in the proportion of O. mykiss with anadromous ancestry vs. resident ancestry.</t>
  </si>
  <si>
    <t>10.1139/F10-073</t>
  </si>
  <si>
    <t>WOS:000282839800008</t>
  </si>
  <si>
    <t>Location and disturbance affect population genetic structure in four coral species of the genus Acropora on the Great Barrier Reef</t>
  </si>
  <si>
    <t>The impact of a mass bleaching event on temporal and spatial population genetic structure in 4 scleractinian coral species in the Acropora aspera group was studied around the Palm Islands in the central Great Barrier Reef. Species status of sympatric populations of 2 of the 4 species, A. millepora and A. spathulata, was confirmed by the population genetic data; these species have recently been separated based on morphological and breeding characters. Spatial analyses of population samples from 2004 detected differences in the level of gene flow among locations. No significant genetic differentiation was inferred between conspecific populations at Orpheus and Pelorus Islands, which are both located in the northern part of the island group and separated by similar to 1000 m. In contrast, all populations at Fantome Island were genetically differentiated, despite this island being located only 11 km south. Sampling of A. millepora and A. pulchra in the year prior to the 1998 mass bleaching event enabled a temporal comparison across this event. The genetic composition of these populations changed between 1997 and 2004, but patterns of genetic differentiation among locations were similar in 1997 and 2004. Extensive mortality of these species following the 1998 bleaching event did not cause an apparent reduction in genetic diversity and identical multi-locus genotypes were encountered in both temporal samples, suggesting that re-growth of surviving genotypes contributed to the recovery of these populations. Comparisons among the 4 study species revealed lower genetic diversity in A. papillare, consistent with its low abundance throughout its distributional range.</t>
  </si>
  <si>
    <t>10.3354/meps08740</t>
  </si>
  <si>
    <t>WOS:000283446400003</t>
  </si>
  <si>
    <t>Landscape matrix and species traits mediate responses of Neotropical resident birds to forest fragmentation in Jamaica</t>
  </si>
  <si>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</si>
  <si>
    <t>10.1890/09-0904.1</t>
  </si>
  <si>
    <t>WOS:000283478800007</t>
  </si>
  <si>
    <t>Genetic population structure and management units of the endangered Tokyo bitterling, Tanakia tanago (Cyprinidae)</t>
  </si>
  <si>
    <t>The Tokyo bitterling Tanakia tanago (Cyprinidae) was once found throughout the Kanto Plain, central Japan, but most of their habitats have been lost due to human activities such as urbanization and improvement of paddy fields. Subsequently, conservation efforts, including captive breeding and reintroduction, have been ongoing. However, the genetic relationships among populations of this species including captive and remnant wild populations have been uncertain and thus management units for this species have been unidentified. We examined the population differentiation among 12 populations, including four wild and eight captive populations, and their relative genetic diversities to assist in conservation management decisions. Phylogeographic analyses based on partial mitochondrial cytochrome b gene sequences and microsatellite polymorphisms revealed four geographically associated genetic groups in the populations. Northern Tochigi populations have diverged from other populations (0.77% of d (A) ), likely stemming from allopatric fragmentation following a change in the route of the Naka River, which occurred during the middle of the Pleistocene epoch. Microsatellite analysis has revealed that the genetic diversity of each population is generally low, and that most of the populations have experienced genetic bottlenecks. For future in- and ex-situ conservation programs to succeed, the population structure and genetic variability of remnant populations need to be taken into consideration.</t>
  </si>
  <si>
    <t>10.1007/s10592-010-0120-x</t>
  </si>
  <si>
    <t>WOS:000283505900022</t>
  </si>
  <si>
    <t>Landscape indicators and thresholds of stream ecological impairment in an intensively mined Appalachian watershed</t>
  </si>
  <si>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</si>
  <si>
    <t>10.1899/09-149.1</t>
  </si>
  <si>
    <t>WOS:000283891800009</t>
  </si>
  <si>
    <t>Effective methods for assessing ecological quality in intertidal soft-sediment habitats</t>
  </si>
  <si>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</si>
  <si>
    <t>10.1016/j.marpolbul.2010.06.027</t>
  </si>
  <si>
    <t>WOS:000283899500013</t>
  </si>
  <si>
    <t>Habitat Complexity and Invasive Species: The Impacts of Gamba Grass (Andropogon gayanus) on Invertebrates in an Australian Tropical Savanna</t>
  </si>
  <si>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</si>
  <si>
    <t>10.1111/j.1744-7429.2010.00637.x</t>
  </si>
  <si>
    <t>WOS:000283949700009</t>
  </si>
  <si>
    <t>Biological Invasions in the Amazonian Tropical Rain Forest: The Case of Drosophilidae (Insecta, Diptera) in Ecuador, South America</t>
  </si>
  <si>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</si>
  <si>
    <t>10.1111/j.1744-7429.2010.00628.x</t>
  </si>
  <si>
    <t>WOS:000283949700013</t>
  </si>
  <si>
    <t>Effects of diesel and lubricant oils on Antarctic benthic microbial communities over five years</t>
  </si>
  <si>
    <t>A 5 yr field experiment was carried out comparing the effects of Special Antarctic Blend (SAB) diesel, synthetic lubricant (Mobil 0W40), used synthetic lubricant (used Mobil 0W40) and a biodegradable lubricant (Titan GT1) on Antarctic benthic microbial communities. Sediment from an uncontaminated site was collected, spiked with one of the oils and deployed in O'Brien Bay, East Antarctica. Sediment samples were then collected over 5 yr. All the oils caused changes in the microbial community in the top 1 cm of sediment, as determined by 16S ribosomal ribonucleic acid (rRNA) gene-based terminal restriction fragment length polymorphism analysis. The greatest effect was observed in the SAB diesel treatment. The biodegradable oil did not have a significant effect on the communities initially, but the communities present at 2 and 5 yr were significantly different to the controls. The unused and used lubricants were both significantly different to the control treatment. All the oils degraded, with 39% of the SAB, 15% of the unused lubricant, 15% of the used lubricant and 12% of the biodegradable oil, remaining after 5 yr. These results show that the effects of all these oils will be evident in the Antarctic benthic ecosystem for longer than 5 yr. This highlights the need for studies into the longevity and ecotoxicology of oil products in the Antarctic environment.</t>
  </si>
  <si>
    <t>10.3354/ame01441</t>
  </si>
  <si>
    <t>WOS:000284005000002</t>
  </si>
  <si>
    <t>Assessment of Genetic Diversity among U.S. Runner-Type Peanut Cultivars Using Simple Sequence Repeat Markers</t>
  </si>
  <si>
    <t>The scientific community has long assumed that plant breeding activities decrease genetic diversity in crop species. To determine the influence of plant breeding on peanut, this study was designed to assess allelic diversity changes among peanut (Arachis hypogaea L.) cultivars of the runner market type using simple sequence repeat (SSR) markers. All runner-type cultivars released to date were included with the exception of ten cultivars released in the 2000s. Thirty-four SSR primer pairs amplified a total of 154 alleles. The results indicated that (i) at the gene level, allelic diversity has increased significantly through decades of breeding, (ii) at the population level, genetic diversity was at its lowest during the pre-1980s time period and gradually increased in each subsequent decade, and (iii) most of the observed SSR variation occurred within, rather than among time periods. A principal coordinate analysis (PCO) clearly demonstrated increases in the variation present in each subsequent breeding decade, reaching its maximum in the 2000s. Therefore, it appears that runner-type peanut breeders have been successful at developing improved peanut cultivars while increasing levels of diversity in the last three decades of breeding. In addition, genetic relationships among cultivars reported in this study might be of use for peanut breeders when selecting parents for establishment of breeding populations.</t>
  </si>
  <si>
    <t>10.2135/cropsci2010.04.0223</t>
  </si>
  <si>
    <t>WOS:000284134000022</t>
  </si>
  <si>
    <t>Seasonal variation in the mode of reproduction of Ulva intestinalis in a brackish water environment</t>
  </si>
  <si>
    <t>We explored the reproductive modes of Viva intestinalis in the inner part of the Baltic Sea during three consecutive years by using five microsatellite loci to estimate the relative abundance of diploid sporophytes and haploid gametophytes. Our results suggest that both diploid sporophytes and haploid gametophytes occur regularly in the Baltic Sea. The ratio of haploid to diploid individuals changes with seasons. Sporophytes are more abundant than gametophytes throughout the year, but the proportion of haploids increases from 10% in early summer to 35% in September. The over-wintering takes primarily place as diploid spores released by sporophytes. The sporophytes appear to reproduce both sexually and asexually in the Baltic Sea, since clones were found for this life phase. The fraction of individuals which belonged to an apparent diploid clone was higher in spring (62%) than in autumn (33%). We also found evidence for asexual clones in haploid gametophytes. The presence of both diploid and haploid individuals and the pattern of genetic and genotypic diversity provide evidence of sexual reproduction in the Baltic Sea. Thus the sporophytes and gametophytes do not function as two reproductively separate units. Compared with many other algal species with a reduced reproductive cycle in low salinity, U. intestinalis differs by having a multitude of reproductive modes also in the brackish water Baltic Sea, which can in part explain the dynamic propagation and high adaptability of the species. (C) 2010 Elsevier B.V. All rights reserved.</t>
  </si>
  <si>
    <t>10.1016/j.aquabot.2010.08.003</t>
  </si>
  <si>
    <t>WOS:000284253900006</t>
  </si>
  <si>
    <t>The Use of Genetics for the Management of a Recovering Population: Temporal Assessment of Migratory Peregrine Falcons in North America</t>
  </si>
  <si>
    <t>Background: Our ability to monitor populations or species that were once threatened or endangered and in the process of recovery is enhanced by using genetic methods to assess overall population stability and size over time. This can be accomplished most directly by obtaining genetic measures from temporally-spaced samples that reflect the overall stability of the population as given by changes in genetic diversity levels (allelic richness and heterozygosity), degree of population differentiation (F-ST and D-EST), and effective population size (Ne). The primary goal of any recovery effort is to produce a long-term self-sustaining population, and these genetic measures provide a metric by which we can gauge our progress and help make important management decisions. Methodology/Principal Findings: The peregrine falcon in North America (Falco peregrinus tundrius and anatum) was delisted in 1994 and 1999, respectively, and its abundance will be monitored by the species Recovery Team every three years until 2015. Although the United States Fish and Wildlife Service makes a distinction between tundrius and anatum subspecies, our genetic results based on eleven microsatellite loci suggest limited differentiation that can be attributed to an isolation by distance relationship and warrant no delineation of these two subspecies in its northern latitudinal distribution from Alaska through Canada into Greenland. Using temporal samples collected at Padre Island, Texas during migration (seven temporal time periods between 1985-2007), no significant differences in genetic diversity or significant population differentiation in allele frequencies between time periods were observed and were indistinguishable from those obtained from tundrius/anatum breeding locations throughout their northern distribution. Estimates of harmonic mean Ne were variable and imprecise, but always greater than 500 when employing multiple temporal genetic methods. Conclusions/Significance: These results, including those from simulations to assess the power of each method to estimate Ne, suggest a stable or growing population, which is consistent with ongoing field-based monitoring surveys. Therefore, historic and continuing efforts to prevent the extinction of the peregrine falcon in North America appear successful with no indication of recent decline, at least from the northern latitude range-wide perspective. The results also further highlight the importance of archiving samples and their use for continual assessment of population recovery and long-term viability.</t>
  </si>
  <si>
    <t>10.1371/journal.pone.0014042</t>
  </si>
  <si>
    <t>WOS:000284356900005</t>
  </si>
  <si>
    <t>Impacts of a simulated heat wave on composition of a marine community</t>
  </si>
  <si>
    <t>Extreme events, such as heat waves, are predicted to increase in frequency, duration, and severity as a consequence of climate change. However, global change research generally focuses on increases in mean temperatures and fails to address the potential impacts of increasingly severe heat waves. In addition, climate change may interact with another primary threat to biodiversity, non-native species invasions. We assessed the impacts of a short-term heat wave on the marine epibenthic fouling community of Bodega Harbor, California, USA, by exposing experimental mesocosms to a simulated heat wave in the laboratory and then monitoring community development in the field. We hypothesized that (1) juveniles would be more susceptible to heat waves than adults, (2) native species would be more susceptible than non-native species, and (3) non-native species would recover more quickly than native species. We observed no effect of the heat wave on juvenile species richness, either initially or during the recovery period, relative to communities at ambient seawater temperatures. In contrast, total adult species richness initially declined in response to the heat wave. Adult community composition also changed in heat-wave treatments, with non-natives representing the majority of species and occupying more cover than native species. The reduction in native richness associated with the heat wave persisted through the recovery period, whereas invasive richness was actually higher on heat-wave versus ambient plates at 95 days. Heat waves have the potential to alter the composition of this community because of species-, taxon-, and/or origin-specific responses; for example, non-native bryozoans displayed greater resistance than native and non-native tunicates. Recovery from the heat wave occurred via growth of resistant individuals and larval recruitment. Our study highlights the importance of considering species' and community responses to heat waves, and not just mean predicted temperature increases, to evaluate the consequences of climate change.</t>
  </si>
  <si>
    <t>10.1111/j.1600-0706.2010.18663.x</t>
  </si>
  <si>
    <t>WOS:000284371000007</t>
  </si>
  <si>
    <t>Polar Ecosystem Dynamics: Recovery of Communities from Organic Enrichment in McMurdo Sound, Antarctica</t>
  </si>
  <si>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</si>
  <si>
    <t>10.1093/icb/icq058</t>
  </si>
  <si>
    <t>WOS:000284430400011</t>
  </si>
  <si>
    <t>Degraded lands worth protecting: the biological importance of Southeast Asia's repeatedly logged forests</t>
  </si>
  <si>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</si>
  <si>
    <t>10.1098/rspb.2010.1062</t>
  </si>
  <si>
    <t>WOS:000284554800012</t>
  </si>
  <si>
    <t>Sewage treatment level and flow rates affect polychaete assemblages</t>
  </si>
  <si>
    <t>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t>
  </si>
  <si>
    <t>10.1016/j.marpolbul.2010.07.037</t>
  </si>
  <si>
    <t>WOS:000284662800015</t>
  </si>
  <si>
    <t>Community structure and composition in response to climate change in a temperate steppe</t>
  </si>
  <si>
    <t>Climate change would have profound influences on community structure and composition, and subsequently has impacts on ecosystem functioning and feedback to climate change. A field experiment with increased temperature and precipitation was conducted to examine effects of experimental warming, increased precipitation and their interactions on community structure and composition in a temperate steppe in northern China since April 2005. Increased precipitation significantly stimulated species richness and coverage of plant community. In contrast, experimental warming markedly reduced species richness of grasses and community coverage. Species richness was positively dependent upon soil moisture (SM) across all treatments and years. Redundancy analysis (RDA) illustrated that SM dominated the response of community composition to climate change at the individual level, suggesting indirect effects of climate change on plant community composition via altering water availability. In addition, species interaction also mediated the responses of functional group coverage to increased precipitation and temperature. Our observations revealed that both abiotic (soil water availability) and biotic (interspecific interactions) factors play important roles in regulating plant community structure and composition in response to climate change in the semiarid steppe. Therefore these factors should be incorporated in model predicting terrestrial vegetation dynamics under climate change.</t>
  </si>
  <si>
    <t>10.1111/j.1365-2486.2010.02253.x</t>
  </si>
  <si>
    <t>WOS:000284851500037</t>
  </si>
  <si>
    <t>Vegetation and ghost crabs in coastal dunes as indicators of putative stressors from tourism</t>
  </si>
  <si>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</si>
  <si>
    <t>10.1016/j.ecolind.2010.05.006</t>
  </si>
  <si>
    <t>WOS:000285035000008</t>
  </si>
  <si>
    <t>The contribution of man-made ditches to the regional stream biodiversity of the new river watershed in the Florida panhandle</t>
  </si>
  <si>
    <t>The role of ditches as reservoirs for or contributors to regional diversity has rarely been assessed. In this study, we aimed (1) to assess the effect of ditches on aquatic faunal assemblages of first order streams and (2) to assess the extent to which the animal communities in altered streams that are crossed by ditches resembled those found in nearby natural streams. We examined the fauna of four different aquatic habitats of the New River watershed in the Florida Panhandle: (1) natural streams, (2) altered streams, (3) ditches that cross the altered streams, and (4) ditches that do not cross the altered streams, sampling these habitats in three geographically distinct sites and visiting each location three times during a summer. Ditches did not have the same environmental features as streams and as a result their faunal community did not completely mimic those of natural streams. Streams contained 50% less aquatic vegetation and more canopy cover, while natural streams were more acidic than any other habitat. The connected altered stream and ditch habitats contained the highest biodiversity, while natural streams contained the lowest. Our ordination of taxonomic composition did not reveal any significant differences between habitats. However, natural streams were more likely to contain Hyalella spp., Oligochaetes, and Palaemonetes spp. than other sites, yet did not contain Baetidae spp., Naucorida spp., Trepobate spp., Dolomedes okefinokensis, Leptolucania ommata, or any Centrarcids. These results indicate the importance of ditches within this system as a reservoir for and contributor to regional stream biodiversity and this finding should be taken into consideration by managers for the conservation of the regional freshwater biodiversity.</t>
  </si>
  <si>
    <t>10.1007/s10750-010-0521-3</t>
  </si>
  <si>
    <t>WOS:000285064900014</t>
  </si>
  <si>
    <t>Long-term shifts in abundance and distribution of a temperate fish fauna: a response to climate change and fishing practices</t>
  </si>
  <si>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</si>
  <si>
    <t>10.1111/j.1466-8238.2010.00575.x</t>
  </si>
  <si>
    <t>WOS:000285109200005</t>
  </si>
  <si>
    <t>Assessing the nature of the combined effects of copper and zinc on estuarine infaunal communities</t>
  </si>
  <si>
    <t>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t>
  </si>
  <si>
    <t>10.1016/j.envpol.2010.09.012</t>
  </si>
  <si>
    <t>WOS:000285129600016</t>
  </si>
  <si>
    <t>Evidence that disease-induced population decline changes genetic structure and alters dispersal patterns in the Tasmanian devil</t>
  </si>
  <si>
    <t>Infectious disease has been shown to be a major cause of population declines in wild animals. However, there remains little empirical evidence on the genetic consequences of disease-mediated population declines, or how such perturbations might affect demographic processes such as dispersal. Devil facial tumour disease (DFTD) has resulted in the rapid decline of the Tasmanian devil, Sarcophilus harrisii, and threatens to cause extinction. Using 10 microsatellite DNA markers, we compared genetic diversity and structure before and after DFTD outbreaks in three Tasmanian devil populations to assess the genetic consequences of disease-induced population decline. We also used both genetic and demographic data to investigate dispersal patterns in Tasmanian devils along the east coast of Tasmania. We observed a significant increase in inbreeding (FIS pre/post-disease -0.030/0.012, P&lt;0.05; relatedness pre/post-disease 0.011/0.038, P=0.06) in devil populations after just 2-3 generations of disease arrival, but no detectable change in genetic diversity. Furthermore, although there was no subdivision apparent among pre-disease populations (theta=0.005, 95% confidence interval (CI) -0.003 to 0.017), we found significant genetic differentiation among populations post-disease (theta=0.020, 0.010-0.027), apparently driven by a combination of selection and altered dispersal patterns of females in disease-affected populations. We also show that dispersal is male-biased in devils and that dispersal distances follow a typical leptokurtic distribution. Our results show that disease can result in genetic and demographic changes in host populations over few generations and short time scales. Ongoing management of Tasmanian devils must now attempt to maintain genetic variability in this species through actions designed to reverse the detrimental effects of inbreeding and subdivision in disease-affected populations. Heredity (2011) 106, 172-182; doi:10.1038/hdy.2010.17; published online 10 March 2010</t>
  </si>
  <si>
    <t>10.1038/hdy.2010.17</t>
  </si>
  <si>
    <t>WOS:000285336100017</t>
  </si>
  <si>
    <t>Effects of forest fragmentation on assemblages of pollinators and floral visitors to male- and female-phase inflorescences of Astrocaryum mexicanum (Arecaceae) in a Mexican rain forest</t>
  </si>
  <si>
    <t>We examined the consequences of habitat fragmentation on the assemblage of floral visitors and pollinators to male-and female-phase inflorescences of the understorey dominant palm Astrocaryum mexicanum at the Los Tuxtlas tropical rain forest. In six forest fragments ranging from 2 to 700 ha, we collected all floral visitors, pollinators and non-pollinators, to male-and female-phase inflorescences at the time of their greatest activity. We used multivariate and mixed-effects models to explore differences in guild composition between sexual phases of inflorescences and the effects of forest fragment size on several metrics of the assemblages of floral visitors. We detected 228 786 floral visitors, grouped into 57 species, across the six forest fragments. On average, abundance and species richness of floral visitors to female-phase inflorescences were higher than to male-phase ones. Forest fragmentation had no effect on species richness but negatively affected Shannon's diversity index. Overall, the most abundant species of floral visitors were predominantly found in inflorescences of plants from the large fragments. In contrast, most of the less common species were more abundant in the smallest fragments. The abundance of pollinators (those found on inflorescences of both phases and dusted with pollen that was carried to flower stigmas), and the ratio of pollinators to other floral visitors, increased with fragment size in both sexual phases of the inflorescences but these effects were significantly stronger on male-phase inflorescences than on female-phase inflorescences. These results show that tropical forest fragmentation correlates with changes in the composition of flower visitors to a dominant palm, with a reduction in the abundance of pollinators, but that such changes co-vary with the sexual phase of the plants.</t>
  </si>
  <si>
    <t>10.1017/S0266467410000556</t>
  </si>
  <si>
    <t>WOS:000285722500003</t>
  </si>
  <si>
    <t>Interspecific Aggression and Resource Monopolization of the Invasive Ant Anoplolepis gracilipes in Malaysian Borneo</t>
  </si>
  <si>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</si>
  <si>
    <t>10.1111/j.1744-7429.2010.00662.x</t>
  </si>
  <si>
    <t>WOS:000285832000015</t>
  </si>
  <si>
    <t>Genetic structure in species with shallow evolutionary lineages: a case study of the rare flatfish Verasper variegatus</t>
  </si>
  <si>
    <t>We examined the genetic population divergence of the spotted halibut Verasper variegatus. A previous report suggested two conservation units for this species along the Japanese Pacific coast. Extending the coverage of the genomes (29 microsatellites and three mitochondrial DNA segments) revealed hitherto-undetected genetic population boundaries. We screened population samples from the major habitats along the Japanese coast and the Yellow Sea coast (East Asian Continent). Significant genetic differentiation was found in every comparison between the habitats. In most cases, the nuclear and mitochondrial population divergences were incongruent, most likely caused by differences between the two genomes in the effects of genetic drift after recent population isolation and bottleneck events. We discuss the ecological and evolutionary mechanisms of the genetic structure as well as the units of conservation. The present study illustrates the merits of wider coverage of genomes in genetic population analysis especially for species with a shallow population history.</t>
  </si>
  <si>
    <t>10.1007/s10592-010-0128-2</t>
  </si>
  <si>
    <t>WOS:000285971900013</t>
  </si>
  <si>
    <t>Survival of the endangered butterfly Lycaena helle in a fragmented environment: Genetic analyses over 15 years</t>
  </si>
  <si>
    <t>Temporal changes in allele frequencies are often assumed in studies addressing the history of populations affected by different anthropogenic and natural impacts at different time scales. Yet, few studies directly compare the genetic composition of populations over time spans of more than 10 years. Therefore, to test the genetic effects of 15 years of population isolation in the butterfly Lycaena helle, we analysed 472 individuals from 27 samples, of which nine were collected in 1991 and 18 in 2006. Sampling was performed in five mountain regions (Pyrenees, Massif Central, Jura, Vosges and Ardennes). Genetic analyses were performed using five polymorphic microsatellites. Old and new samples of identical or neighbouring populations revealed similar genetic differentiations among these five mountain regions. A comparatively strong genetic differentiation among populations combined with a high amount of private alleles for each mountain area was detected, but mountain-specific alleles were in most cases identical in 1991 and 2006. Nevertheless, the obtained data also indicate moderate changes between 1991 and 2006 in the species' genetic structure - genetic differentiation among local populations increased marginally and allele frequencies showed corresponding modifications. A significant decline in genetic diversity was not detectable, and nine private alleles exclusive to a single mountain region were only detected in samples from the year 1991, whereas eleven were only observed in the individuals collected in 2006. These observations might indicate the results of genetic drift within isolated populations.Zusammenfassung Anderungen von Allelfrequenzen wurden haufig als Effekte athropogener und naturlicher Einflusse auf Populationen diskutiert. Jedoch wurde bislang in nur wenigen Studien ein direkter Vergleich der genetischen Struktur von Populationen uber mehrere Jahre vorgenommen. Daher wurden die genetischen Effekte andauernder Isolation uber einen Zeitraum von 15 Jahren an 472 Individuen der Schmetterlingsart Lycaena helle an 27 Populationen untersucht, wovon neun 1991 und 18 2006 beprobt wurden. Die Probenahme wurde in funf voneinander getrennten Bergregionen (Pyrenaen, Massif Central, Jura, Vogesen und Ardennen) durchgefuhrt. Genetische Analysen wurden auf der Grundlage funf polymorpher Mikrosatelliten vorgenommen. Alte und neue Proben identischer oder benachbarter Populationen zeigen ubereinstimmende genetische Strukturen zwischen diesen funf Bergregionen. Eine vergleichbar starke genetische Differenzierung zwischen diesen Populationen sowie ein hoher Anteil privater Allele wurden fur die entsprechenden Bergregionen nachgewiesen. Die Daten zeigen eine langsame Veranderung der genetischen Struktur uber den Zeitraum von 1991 bis 2006: die genetische Differenzierung zwischen lokalen Populationen stieg leicht an, und die Allelfrequenzen veranderten sich. Ein signifikanter Ruckgang genetischer Diversitat konnte nicht festgestellt werden. Neun private Allele konnten ausschlie ss lich im Jahr 1991 und elf ausschlie ss lich im Jahr 2006 nachgewiesen werden. Diese Beobachtungen konnten das Ergebnis genetischer Drift innerhalb dieser isolierten Populationen sein.</t>
  </si>
  <si>
    <t>10.1111/j.1439-0469.2010.00575.x</t>
  </si>
  <si>
    <t>WOS:000286002900004</t>
  </si>
  <si>
    <t>Temporal stability of a hybrid swarm between the migratory marine and estuarine fishes Acanthopagrus australis and A. butcheri</t>
  </si>
  <si>
    <t>We predict estuaries to be hotspots of hybridisation between migratory marine and estuary-restricted species, although hybridisation rates may vary in space and time, reflecting the dynamic nature of estuaries and potentially widespread but erratic dispersal of marine taxa. Within estuaries, genotype frequencies may reflect past hybridisation events, with genetically intermediate and backcrossed individuals contributing to persistent hybrid swarms. In southeastern Australia, hybridisation has occurred between estuarine black bream Acanthopagrus butcheri and marine yellowfin bream A. australis, but it is unclear whether this reflects a contemporary process. We recently found that, within lakes and lagoons at the southern range limit of A. australis, hybrids were abundant and A. butcheri extremely rare, and surprisingly, we detected hybrids within a small sample of fish from the Gippsland Lakes, an estuary 250 km further south. In the present study, we compare the genotypic composition of the contemporary Gippsland Lakes population of Acanthopagrus spp. with the historical composition revealed by analysis of museum specimens. The genetic makeup of samples varied little over time, with ancestral A. butcheri virtually absent, and most introgressed individuals matching expectation for later-generation hybrids or A. butcheri backcrosses, suggesting that the lakes have supported persistent hybrid swarms. At each sampling time, the samples were genetically diverse, as measured by mean number of alleles per locus, which ranged from 8.2 to 9.2, and expected heterozygosity (He), which ranged from 0.66 to 0.70; however, we detected little allelic differentiation (F-ST = 0.003) across sampling times. Our data imply that introgressed populations of Acanthopagrus spp. are more widespread and persistent than previously predicted.</t>
  </si>
  <si>
    <t>10.3354/meps08901</t>
  </si>
  <si>
    <t>WOS:000286390800017</t>
  </si>
  <si>
    <t>Influence of riparian condition on aquatic macroinvertebrate communities in an agricultural catchment in south-eastern Australia</t>
  </si>
  <si>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</si>
  <si>
    <t>10.1007/s11284-010-0767-2</t>
  </si>
  <si>
    <t>WOS:000286431900013</t>
  </si>
  <si>
    <t>Effects of Unplanned Development on Marine Biodiversity: A Lesson from Albania (Central Mediterranean Sea)</t>
  </si>
  <si>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</si>
  <si>
    <t>10.2112/SI_58_10</t>
  </si>
  <si>
    <t>WOS:000286957500010</t>
  </si>
  <si>
    <t>Biodiversity and ecosystem function of tropical forest dung beetles under contrasting logging regimes</t>
  </si>
  <si>
    <t>A key challenge for tropical conservation biologists is to assess how forest management practices affect biodiversity and associated ecosystem functions. Dung beetles (Scarabaeidae: Scarabaeinae) provide an ideal focal guild for such studies. We compared dung beetle assemblages and experimentally assessed rates of dung removal and seed burial in undisturbed forest, low-intensity selectively logged forest under sustainable forest management, and high-intensity logged forest, not under sustainable management in Malaysian Borneo. In total, 7923 individuals from 39 species of dung beetle were collected. There were no significant differences in abundance, biomass or diversity across sites. Species richness was significantly lower in the high-intensity logged sites. Beta diversity was low: of 35 species recorded in undisturbed forest sites, 32 were also captured in low-intensity sites and 29 in high-intensity sites. The environmental and vegetation variables measured had little influence on species composition. An average of 63-99% of dung was removed over 24 h. Mean dung and seed removal were significantly lower in the high-intensity logged sites. Dung removal rates were significantly and positively correlated with dung beetle species richness, but not with dung beetle biomass or abundance. However, the biomass of large-bodied, nocturnal dung beetles was positively correlated with dung removal. In contrast to previous studies, dung beetle biomass and abundance were not correlated with species richness, indicative of density compensation. Overall, dung beetle communities and associated ecosystem functions were robust to low-intensity but not high-intensity selective logging. These differences may be related to changes in the abundance and biomass of particular dung beetle species or guilds rather than community-wide measures of abundance and biomass, highlighting the need to move beyond simplistic biodiversity-ecosystem functioning correlations to understand the functional consequences of habitat modification in high-diversity ecosystems. (C) 2010 Elsevier Ltd. All rights reserved.</t>
  </si>
  <si>
    <t>10.1016/j.biocon.2010.08.011</t>
  </si>
  <si>
    <t>WOS:000287168100017</t>
  </si>
  <si>
    <t>Relationship between sedimentation rates and benthic impact on Maerl beds derived from fish farming in the Mediterranean</t>
  </si>
  <si>
    <t>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t>
  </si>
  <si>
    <t>10.1016/j.marenvres.2010.09.005</t>
  </si>
  <si>
    <t>WOS:000287276100004</t>
  </si>
  <si>
    <t>Experimental removal of the invasive Caulerpa racemosa triggers partial assemblage recovery</t>
  </si>
  <si>
    <t>The invasive species Caulerpa racemosa var. cylindracea represents a serious threat to the diversity of benthic assemblages in the Mediterranean Sea. In the present study, a removal experiment was carried out to test whether, after 18 months of C. racemosa var. cylindracea exclusion, the macrophyte assemblage resembled a non-invaded assemblage. The results show that in the assemblage invaded by C. racemosa var. cylindracea the number of species, macrophyte cover, Shannon diversity and Pielou's evenness were lower than in the non-invaded assemblage. Erect perennial species were particularly affected and other introduced species were significantly reduced or completely excluded. After 18 months of removal/exclusion of C. racemosa var. cylindracea, only partial recovery of the macrophyte assemblage could be observed. Species numbers, total cover and erect perennial species cover were still significantly lower than in the non-invaded plots. However Shannon diversity and Pielou's evenness had reached comparable levels. In contrast to native macrophytes, the total cover of other introduced species reached a level comparable to the non-invaded plots. In summary, the present study revealed that after 18 months of C. racemosa var. cylindracea exclusion: (i) only partial recovery of the macrophyte assemblage occurred; and (ii) the development of other invasive species was favoured by the absence of C. racemosa var. cylindracea (Sisyphus effect).</t>
  </si>
  <si>
    <t>10.1017/S0025315410000792</t>
  </si>
  <si>
    <t>WOS:000287282500011</t>
  </si>
  <si>
    <t>Forest fragmentation drives Atlantic forest of northeastern Brazil to biotic homogenization</t>
  </si>
  <si>
    <t>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t>
  </si>
  <si>
    <t>10.1111/j.1472-4642.2010.00739.x</t>
  </si>
  <si>
    <t>WOS:000287448100010</t>
  </si>
  <si>
    <t>Higher abundance and diversity in faunal assemblages with the invasion of Codium fragile ssp fragile in eelgrass meadows</t>
  </si>
  <si>
    <t>The present study examined how species-specific attributes of the invasive alga Codium fragile ssp. fragile (hereafter Codium) and eelgrass Zostera marina influenced faunal assemblages associated with eelgrass ecosystems in iles de la Madeleine, eastern Canada. Direct association of species with Codium (&lt; 1 m) was evaluated and compared to eelgrass faunal assemblages from invaded beds. Potential neighborhood effects (ca. 10 m) were assessed by comparing invertebrates associated with eelgrass in invaded and non-invaded beds. The influence of Codium on more mobile species was evaluated by comparing fish assemblages associated with macrophytes in invaded and non-invaded beds. In addition, species-area relationships for low mobility species associated with Codium were contrasted between beds where Codium or eelgrass was the dominant structuring macrophyte. Codium had distinct invertebrate species assemblages, as there was a greater abundance and diversity of invertebrates associated with Codium than with eelgrass, and multivariate assemblage structure differed between macrophyte types. In contrast, no neighborhood patterns were observed as invertebrate assemblages associated with eelgrass did not differ between invaded and non-invaded beds, suggesting that the mechanisms that account for differences between the invertebrate assemblages are a function of the macrophyte's nature and operate at small spatial scales. Fish community structure differed between invaded and non-invaded beds, largely due to a greater abundance of 2 fishes, Apeltes quadracus and Tautogolabrus adspersus, in invaded beds. Epifaunal abundance and species richness were positively correlated with Codium thallus biomass, and the abundance relative to biomass correlation was greatest where Codium was the dominant macrophyte. Experimental manipulation of thallus structure to create straight or branched Codium fronds with similar surface area showed that associated invertebrate and gastropod abundance was not influenced by this factor and indicated that factors other than macrostructure complexity influenced the presence of epifauna on the introduced alga. Overall, the present study suggests that the invasion of eelgrass beds by Codium increases faunal density and diversity. However, longer-term effects of Codium invasion in this and other eelgrass ecosystems require further assessment, as the severity of the invasion effects on faunal communities likely depends on the interaction between Codium and eelgrass.</t>
  </si>
  <si>
    <t>10.3354/meps08961</t>
  </si>
  <si>
    <t>WOS:000287966400009</t>
  </si>
  <si>
    <t>Genetic Monitoring Reveals Genetic Stability within and among Threatened Chinook Salmon Populations in the Salmon River, Idaho</t>
  </si>
  <si>
    <t>Identifying and understanding temporal genetic changes within fish populations is important for the management of these populations, especially those of conservation concern. Such changes are often the result of genetic drift, which can be exacerbated when the size of a population decreases. Using molecular-genetics techniques, we monitored nine populations of Chinook salmon Oncorhynchus tshawytscha in the Salmon River, Idaho, to determine how the genetic characteristics within and among these populations have changed over time. We found no evidence of change in the level of heterozygosity or allelic richness over three to four generations in eight of the populations. This is probably due to the fact that the populations all maintained a sufficiently large effective size, even though a few of the populations did show a decline in effective size. Also, the genetic structure among the populations did not change appreciably over time. Populations that had been supplemented with hatchery-reared fish showed genetic similarity to the within-basin hatchery source population, presumably because of the extensive use of native fish for hatchery brood stocks and minimal out-of-basin stock transfers. The lack of a detectable decline in these populations' levels of genetic diversity is encouraging, given the species' threatened status under the U.S. Endangered Species Act.</t>
  </si>
  <si>
    <t>10.1080/02755947.2011.562443</t>
  </si>
  <si>
    <t>WOS:000288279800011</t>
  </si>
  <si>
    <t>Characteristics of mammal communities in Tasmanian forests: exploring the influence of forest type and disturbance history</t>
  </si>
  <si>
    <t>Context. With increasing pressure worldwide on forest habitat, it is crucial to understand faunal ecology to effectively manage and minimise impacts of anthropogenic habitat disturbance. Aims. This study assessed whether differences in forest type and disturbance history were reflected in small to medium mammal communities found in Tasmania's production forests. Methods. Trapping was conducted in spring and summer, and autumn and winter during 2007-08 at four dry Eucalyptus forest sites (two regenerating after harvest and two in relatively undisturbed forest) in south-east Tasmania, and four wet Eucalyptus forest sites (two regenerating after harvest and two in relatively undisturbed forest) in north-east Tasmania. All sites were embedded within a matrix of mature or older aged regenerating forest. Key results. Thirteen mammal species were recorded across all sites. There was no difference in species diversity or richness between forest type or disturbance regime, but species composition differed. Total number of individual animals and captures was influenced strongly by forest type and disturbance history, with most animals captured in the dry disturbed forest sites. Abundance of some species (e. g. bettongs and potoroos) was higher in disturbed sites than undisturbed sites. Brushtail possum numbers (adults and offspring), however, were lower in disturbed sites and populations displayed a male biased adult sex ratio and lower breeding frequency. Habitat structural complexity and vegetation diversity within core sites, and age structure of the forest in the surrounding landscape did not vary significantly, indicating that broad resource (food and refuge) availability was equivalent across sites. Conclusions. In general, the small to medium mammals in this study did not appear to be significantly affected by forest harvesting in the medium term. Implications. Although past harvesting altered the abundance of some habitat features (e. g. canopy cover, basal area of trees, and tree hollow availability), we suggest that the availability of such features in the surrounding landscape may mitigate the potential effects of disturbance on the species for which such habitat features are important.</t>
  </si>
  <si>
    <t>10.1071/WR10025</t>
  </si>
  <si>
    <t>WOS:000288326800002</t>
  </si>
  <si>
    <t>Long-term changes in a population of an invasive bivalve and its effects</t>
  </si>
  <si>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</si>
  <si>
    <t>10.1007/s00442-010-1792-0</t>
  </si>
  <si>
    <t>WOS:000288397200022</t>
  </si>
  <si>
    <t>What can gene flow and recruitment dynamics tell us about connectivity between European hake stocks in the Eastern North Atlantic?</t>
  </si>
  <si>
    <t>Systematic genetic analyses of fish populations allow the testing of temporal stability in their genetic structures and better understanding their pattern of connectivity. In this study the pattern of gene flow between the two Atlantic stocks of the European hake has been examined for the period 2000-2002. Present analyses indicate that a large genetic homogeneity existed among all Atlantic populations in that period, and that a systematic grouping occurred between Porcupine Bank samples and Cantabric ones. This scenario is congruent with an inter-annual gene flow from central grounds of the northern stock (Porcupine and Great Sole) to Iberian grounds inhabited by the southern stock. Additionally, estimated migration figures were in agreement with the good recruitments observed in the southern stock after 2003 despite the spawning biomass was at its historical minimum. Altogether these results highlight the central role of Porcupine bank and Great Sole in making sustainable both stocks and advocate the integrative management of this hake fishery by means of a multidisciplinary assessment. (C) 2010 Elsevier Ltd. All rights reserved.</t>
  </si>
  <si>
    <t>10.1016/j.csr.2010.09.010</t>
  </si>
  <si>
    <t>WOS:000288818200002</t>
  </si>
  <si>
    <t>Temporal estimates of genetic diversity in some Mytilus galloprovincialis populations impacted by the Prestige oil-spill</t>
  </si>
  <si>
    <t>The sinking of the tanker Prestige in November 2002 off the coast of Galicia resulted in the release of about 60,000 tons of heavy oil. The oil-spill provoked a serious environmental impact in Spanish and French coasts, which biological consequences are still being assessed. In this study we address the temporal dynamics of genetic diversity in some mussel populations impacted by the oil-spill. Changes in genetic diversity can be measured in natural populations provided that serial samples are available from before (year 2000) and after (years 2003, 2005) the oil-spill. Analyses of seven microsatellites indicate a weak but significant increase of genetic variation after the spill. This phenomenon is interpreted herein in terms of a balance between a enhanced genome mutability on microsatellite variation and a low genetic drift due to toxicants and asphyxia although other stochastic phenomena cannot be ruled out. Per locus annotation showed that in spite of the allelic changes observed in the period 2000-2005, the final size of most allelic series remained quite alike to those of year 2000. Present genetic data suggest that the genotoxic impact of the Prestige spill did not compromise the genetic diversity of studied mussel populations, at least regarding the genetic markers analysed. (C) 2010 Elsevier Ltd. All rights reserved.</t>
  </si>
  <si>
    <t>10.1016/j.csr.2010.06.008</t>
  </si>
  <si>
    <t>WOS:000288818200010</t>
  </si>
  <si>
    <t>China's terrestrial carbon balance: Contributions from multiple global change factors</t>
  </si>
  <si>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</si>
  <si>
    <t>10.1029/2010GB003838</t>
  </si>
  <si>
    <t>WOS:000289085400001</t>
  </si>
  <si>
    <t>Salt Marsh-Upland Ecotones in Central California: Vulnerability to Invasions and Anthropogenic Stressors</t>
  </si>
  <si>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</si>
  <si>
    <t>10.1007/s13157-011-0153-z</t>
  </si>
  <si>
    <t>WOS:000289288700018</t>
  </si>
  <si>
    <t>Synergism between two anthropic impacts: Caulerpa racemosa var. cylindracea invasion and seawater nutrient enrichment</t>
  </si>
  <si>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</si>
  <si>
    <t>10.3354/meps09053</t>
  </si>
  <si>
    <t>WOS:000289489800005</t>
  </si>
  <si>
    <t>Dispersal strategies, secondary range expansion and invasion genetics of the nonindigenous round goby, Neogobius melanostomus, in Great Lakes tributaries</t>
  </si>
  <si>
    <t>Dispersal strategies are important mechanisms underlying the spatial distribution and colonizing ability of all mobile species. In the current study, we use highly polymorphic microsatellite markers to evaluate local dispersal and colonization dynamics of the round goby (Neogobius melanostomus), an aquatic invader expanding its range from lake to river environments in its introduced North American range. Genetic structure, genotype assignment and genetic diversity were compared among 1262 round gobies from 20 river and four lake sites in three Great Lakes tributaries. Our results indicate that a combination of short-distance diffusion and long-distance dispersal, collectively referred to as 'stratified dispersal', is facilitating river colonization. Colonization proceeded upstream yearly (approximately 500 m/year; 2005-2009) in one of two temporal replicates while genetic structure was temporally stable. Contiguous dispersal from the lake was observed in all three rivers with a substantial portion of river fish (7.3%) identified as migrants. Genotype assignment indicated a separate introduction occurred upstream of the invasion front in one river. Genetic diversity was similar and relatively high among lake and recently colonized river populations, indicating that founder effects are mitigated through a dual-dispersal strategy. The remarkable success of round goby as an aquatic invader stresses the need for better diffusion models of secondary range expansion for presumably sessile invasive species.</t>
  </si>
  <si>
    <t>10.1111/j.1365-294X.2011.05030.x</t>
  </si>
  <si>
    <t>WOS:000289522400007</t>
  </si>
  <si>
    <t>Changes in molecular genetic variation at AFLP loci associated with naturalization and domestication of the Pacific oyster (Crassostrea gigas)</t>
  </si>
  <si>
    <t>The Pacific oyster (Crassostrea gigas) is an important commercial species in the US Pacific Northwest with a history of production initially based on wild-caught seed imported directly from the Miyagi region of northern Japan (1920s-1970s) followed by an extended period of seed collection from a small number of naturalized, self-recruiting populations in US estuaries (early 1970s-present) and more recently through large-scale hatchery production of seed oysters (mid 1970s-present). I studied the genetic level consequences of each of these major transformations of the oyster industry by examining the patterns of private alleles (bands unique to one sample), the number of polymorphic loci, expected heterozygosity, genetic distance between populations and genetic divergence between individuals within and among three native Pacific oyster populations in Japan (Hiroshima, Miyagi, Midori River), five naturalized populations in North America (Pipestem Inlet BC, Nootka Inlet BC, Dabob Bay WA, Willapa Bay, WA, and Tillamook Bay, OR), two in New Zealand (Chance Bay and Kaipara Harbor), and seven domesticated and selectively bred cohorts from an ongoing genetic improvement program on the West Coast of the United States using amplified fragment length polymorphism (AFLP) markers. All but one of the naturalized populations in both the USA and New Zealand are genetically more similar to native populations from the Ariake Sea (Midori River) than to the Miyagi region of their origin, but all domesticated stocks more closely resemble the wild Miyagi population. According to local oyster producers, the one exceptional naturalized population (Tillamook) is a very recent colonization derived from farmed oysters. Such consistency is unexpected under random genetic drift, and I speculate that both natural and artificial selection may have altered AFLP allele frequencies in this species in the course of naturalization and domestication.</t>
  </si>
  <si>
    <t>10.1051/alr/2011107</t>
  </si>
  <si>
    <t>WOS:000289622900004</t>
  </si>
  <si>
    <t>Urban areas may serve as habitat and corridors for dry-adapted, heat tolerant species; an example from ants</t>
  </si>
  <si>
    <t>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t>
  </si>
  <si>
    <t>10.1007/s11252-010-0150-7</t>
  </si>
  <si>
    <t>WOS:000289684900001</t>
  </si>
  <si>
    <t>Impact of Parthenium hysterophorus L. invasion on plant species composition and soil properties of grassland communities in Nepal</t>
  </si>
  <si>
    <t>Parthenium hysterophorus (Asteraceae) is a noxious plant that is considered one of the most invasive species in the world. We studied changes in the composition of plant species and soil properties related to the invasion of P. hysterophorus in three grassland communities of central Nepal. We collected vegetation and soil data along transects that were established in densely invaded to non-invaded areas within homogenous grassland stands. We found significant differences between invaded, transitional and non-invaded plots in species composition and soil properties. There were fewer species in non-invaded than transitional and invaded plots. By P. hysterophorus invasion both native and non-native species were supported or replaced, respectively. The concentrations of soil nitrogen and organic matter were significantly higher in transitional and invaded plots than in non-invaded plots. Soil pH, phosphorus and potassium were highest in the invaded plots, lowest in the non-invaded and intermediate in the transitional plots. Due to changes in above-ground vegetation and below-ground soil nutrient contents, P. hysterophorus invasion is likely to have an overall negative effect on the functioning of the entire ecosystem. Therefore, management of noxious P. hysterophorus is necessary to prevent future problems. (C) 2010 Elsevier GmbH. All rights reserved.</t>
  </si>
  <si>
    <t>10.1016/j.flora.2010.09.004</t>
  </si>
  <si>
    <t>WOS:000289708300008</t>
  </si>
  <si>
    <t>Biomass compensation and plant responses to 7 years of plant functional group removals</t>
  </si>
  <si>
    <t>Question What is the role of functional group identity in determining community composition and dynamics? Location A natural grassland in Yukon Territory, Canada. Methods We selectively removed single plant functional groups (graminoids, forbs, legumes) to examine their effects on biomass compensation, the distribution of biomass among common and rare colonizing species, and plant species richness and diversity. Removals were conducted across two environmental treatments (fertilization and fungicide) to test if biomass compensation was context-dependent. Biomass was estimated non-destructively using point-intercept sampling. Results When graminoids or legumes were continuously removed, there was full biomass compensation by the remaining functional groups after 5 years, but only partial compensation when forbs were removed. Biomass compensation depended on the colonizing functional group; forbs showed no increase in biomass until 5 years after the removal of any functional group, but graminoids colonized quickly after removals. After any removal, the dominant species within each remaining functional group showed no compensatory growth, whereas the first subdominant forb and graminoid both increased in biomass. Rare species had a delayed response to removals; rare species biomass only increased beginning 5 years after removals. Context dependence was observed only in the response of subdominant species to removals, and these responses did not translate into context-dependent effects on total estimated biomass. Conclusion We show that the effects of losing a plant functional group depends both on the identity of the group removed and on the species remaining. In this northern grassland, most compensatory growth was by the subdominant species, which may determine the direction of community development in the long term.</t>
  </si>
  <si>
    <t>10.1111/j.1654-1103.2011.01263.x</t>
  </si>
  <si>
    <t>WOS:000289728200012</t>
  </si>
  <si>
    <t>Predicted levels of future ocean acidification and temperature rise could alter community structure and biodiversity in marine benthic communities</t>
  </si>
  <si>
    <t>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t>
  </si>
  <si>
    <t>10.1111/j.1600-0706.2010.19469.x</t>
  </si>
  <si>
    <t>WOS:000289740200003</t>
  </si>
  <si>
    <t>Population genetic structure of Atlantic salmon, Salmo salar L., in the River Tamar, southwest England</t>
  </si>
  <si>
    <t>P&gt;Population genetic studies can be useful for informing conservation and management. In Atlantic salmon, Salmo salar L., population structuring frequently occurs between river systems, but contrasting patterns occur within rivers, highlighting the need for catchment-specific studies to inform management. Here, population structure of Atlantic salmon was examined in the River Tamar, United Kingdom, using 12 microsatellite loci. Gene diversity and allelic richness ranged from 0.80 to 0.84 and from 8.96 to 10.24, respectively. Some evidence of genetic structure was found, including significant genetic differentiation between samples in different subcatchments (pairwise theta and tests of genic differentiation), results from assignment tests and a pattern of isolation by distance. Conversely, structure revealed only one population cluster, and an analysis of molecular variance showed no significant variation between subcatchments. Evidence of population bottlenecks depended on the mutation model assumed and is discussed with reference to catchment-specific studies of stock abundance. Implications for implementing management actions are considered.</t>
  </si>
  <si>
    <t>10.1111/j.1365-2400.2010.00776.x</t>
  </si>
  <si>
    <t>WOS:000290173700006</t>
  </si>
  <si>
    <t>Selection for Earlier Flowering Crop Associated with Climatic Variations in the Sahel</t>
  </si>
  <si>
    <t>Climate changes will have an impact on food production and will require costly adaptive responses. Adapting to a changing environment will be particularly challenging in sub-Saharan Africa where climate change is expected to have a major impact. However, one important phenomenon that is often overlooked and is poorly documented is the ability of agro-systems to rapidly adapt to environmental variations. Such an adaptation could proceed by the adoption of new varieties or by the adaptation of varieties to a changing environment. In this study, we analyzed these two processes in one of the driest agro-ecosystems in Africa, the Sahel. We performed a detailed study in Niger where pearl millet is the main crop and covers 65% of the cultivated area. To assess how the agro-system is responding to recent recurrent drought, we analyzed samples of pearl millet landraces collected in the same villages in 1976 and 2003 throughout the entire cultivated area of Niger. We studied phenological and morphological differences in the 1976 and 2003 collections by comparing them over three cropping seasons in a common garden experiment. We found no major changes in the main cultivated varieties or in their genetic diversity. However, we observed a significant shift in adaptive traits. Compared to the 1976 samples, samples collected in 2003 displayed a shorter lifecycle, and a reduction in plant and spike size. We also found that an early flowering allele at the PHYC locus increased in frequency between 1976 and 2003. The increase exceeded the effect of drift and sampling, suggesting a direct effect of selection for earliness on this gene. We conclude that recurrent drought can lead to selection for earlier flowering in a major Sahelian crop. Surprisingly, these results suggest that diffusion of crop varieties is not the main driver of short term adaptation to climatic variation.</t>
  </si>
  <si>
    <t>10.1371/journal.pone.0019563</t>
  </si>
  <si>
    <t>WOS:000290224800034</t>
  </si>
  <si>
    <t>No apparent genetic bottleneck in the demographically declining European eel using molecular genetics and forward-time simulations</t>
  </si>
  <si>
    <t>The stock of the European eel is considered to be outside safe biological limits, following a dramatic demographic decline in recent decades (90-99% drop) that involves a large number of factors including overfishing, contaminants and environmental fluctuations. The aim of the present study is to estimate the effective population size of the European eel and the possible existence of a genetic bottleneck, which is expected during or after a severe demographic crash. Using a panel of 22 EST-derived microsatellite loci, we found no evidence for a genetic bottleneck in the European eel as our data showed moderate to high levels of genetic diversity, no loss of allele size range or rare alleles, and a stationary population with growth values not statistically different from zero, which is confirmed by finding comparable value of short-term and long-term effective population size. Our results suggest that the observed demographic decline in the European eel did not entail a genetic decline of the same magnitude. Forward-time simulations confirmed that large exploited marine fish populations can undergo genetic bottleneck episodes and experience a loss of genetic variability. Simulations indicated that the failure to pick up the signal of a genetic bottleneck in the European eel is not due to lack of power. Although anthropogenic factors lowered the continental stock biomass, the observation of a stable genetic effective population size suggests that the eel crash was not due to a reduction in spawning stock abundance. Alternatively, we propose that overfishing, pollution and/or parasites might have affected individual fitness and fecundity, leading to an impoverished spawning stock that may fail to produce enough good quality eggs. A reduced reproduction success due to poor quality of the spawners may be exacerbated by oceanic processes inducing changes in primary production in the Sargasso Sea and/or pathway of transport across the Atlantic Ocean leading to a higher larval mortality.</t>
  </si>
  <si>
    <t>10.1007/s10592-011-0188-y</t>
  </si>
  <si>
    <t>WOS:000290319200020</t>
  </si>
  <si>
    <t>Additive effects of mining and residential development on stream conditions in a central Appalachian watershed</t>
  </si>
  <si>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</si>
  <si>
    <t>10.1899/10-079.1</t>
  </si>
  <si>
    <t>WOS:000290361600006</t>
  </si>
  <si>
    <t>Microsatellite loci for testing temporal changes in the population genetics of the Florida mouse (Podomys floridanus)</t>
  </si>
  <si>
    <t>The Florida mouse (Podomys floridanus) is endemic to Florida and is considered vulnerable by the IUCN due to extensive habitat loss. Here, we describe a panel of 76 microsatellite DNA markers for population genetic studies of this species. Fourteen of these loci were examined to estimate genetic diversity for 39 specimens collected in Florida in 1957 and 2006. DNA extractions from the 1957 specimens were carried out from snips of skin taken from museum voucher skins, whereas the 2006 samples were extracted from fresh liver tissue. The use of museum skins for reconstructing the genetics of historical populations is becoming a critical part of understanding past, present, and future genetic trends for threatened species. Mean expected heterozygosity for the two populations was 0.73 and mean observed heterozygosity was 0.75. The number of alleles per locus ranged from 2 to 15. All microsatellites were polymorphic, and exhibited variability across time.</t>
  </si>
  <si>
    <t>10.1007/s12686-010-9308-0</t>
  </si>
  <si>
    <t>WOS:000290438500033</t>
  </si>
  <si>
    <t>Directional changes in the species composition of a tropical forest</t>
  </si>
  <si>
    <t>Long-term studies have revealed that the structure and dynamics of many tropical forests are changing, but the causes and consequences of these changes remain debated. To learn more about the forces driving changes within tropical forests, we investigated shifts in tree species composition over the past 25 years within the 50-ha Forest Dynamics Plot on Barro Colorado Island (BCI), Panama, and examined how observed patterns relate to predictions of (1) random population fluctuations, (2) carbon fertilization, (3) succession from past disturbance, (4) recovery from an extreme El Nino drought at the start of the study period, and (5) long-term climate change. We found that there have been consistent and directional changes in the tree species composition. These shifts have led to increased relative representations of drought-tolerant species as determined by the species' occurrence both across a gradient of soil moisture within BCI and across a wider precipitation gradient from a dry forest near the Pacific coast of Panama to a wet forest near its Caribbean coast. These nonrandom changes cannot be explained by stochastic fluctuations or carbon fertilization. They may be the legacy of the El Nino drought, or alternatively, potentially reflect increased aridity due to long-term climate change. By investigating compositional changes, we increased not only our understanding of the ecology of tropical forests and their responses to large-scale disturbances, but also our ability to predict how future global change will impact some of the critical services provided by these important ecosystems.</t>
  </si>
  <si>
    <t>10.1890/10-0724.1</t>
  </si>
  <si>
    <t>WOS:000290533700009</t>
  </si>
  <si>
    <t>Temperature mediates competitive exclusion and diversity in benthic microalgae under different N:P stoichiometry</t>
  </si>
  <si>
    <t>The dependence of competitive interactions on abiotic conditions is attracting increasing interest in the face of globally rising temperatures and altered biogeochemical cycles of major nutrients. In a microcosm experiment involving a natural inoculum of benthic microalgae, temperature and nutrient supply ratios were manipulated in order to test three main hypotheses: (1) temperature and nutrient supply ratios determine species composition and diversity of the assemblage, (2) the identity of the dominating species depends on nutrient supply and temperature, and (3) higher temperature leads to faster competitive exclusion and thus more rapid decline in species richness. Over a period of 7 weeks, algal biomass reached an equilibrium carrying capacity, with was higher at colder temperatures and intermediate N:P supply ratios (N:P = 16). Initial growth rate increased with temperature and under high P-supply. Species richness in the stationary phase of the experiment decreased with increasing temperature, reflecting a higher extinction rate in the warmer treatments, which were also characterized by higher dominance of single species. Thus, increasing temperature both altered the identity of the dominating species and accelerated competitive displacement. This experiment thus indicates that warming might influence outcome and temporal dynamics in species interactions, and thereby eventually local diversity.</t>
  </si>
  <si>
    <t>10.1007/s11284-011-0810-y</t>
  </si>
  <si>
    <t>WOS:000290538900007</t>
  </si>
  <si>
    <t>Effect of deforestation in palm-epiphytic bryophyte communities in a cloud forest in the northern Andes</t>
  </si>
  <si>
    <t>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t>
  </si>
  <si>
    <t>10.1639/0007-2745-114.1.155</t>
  </si>
  <si>
    <t>WOS:000290637900013</t>
  </si>
  <si>
    <t>Differential diameter-size effects of forest management on tree species richness and community structure: implications for conservation</t>
  </si>
  <si>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</si>
  <si>
    <t>10.1007/s10531-011-0046-8</t>
  </si>
  <si>
    <t>WOS:000290726200014</t>
  </si>
  <si>
    <t>Community level response to climate change: The long-term study of the fish and crustacean community of the Bristol Channel</t>
  </si>
  <si>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</si>
  <si>
    <t>10.1016/j.jembe.2011.02.028</t>
  </si>
  <si>
    <t>WOS:000291143900007</t>
  </si>
  <si>
    <t>Combined effects of temperature, inorganic nutrients and organic matter on ecosystem processes in intertidal sediments</t>
  </si>
  <si>
    <t>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t>
  </si>
  <si>
    <t>10.1016/j.jembe.2011.02.005</t>
  </si>
  <si>
    <t>WOS:000291143900024</t>
  </si>
  <si>
    <t>Understory plant diversity assessment of Eucalyptus plantations over three vegetation types in Yunnan, China</t>
  </si>
  <si>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</si>
  <si>
    <t>10.1007/s11056-010-9240-x</t>
  </si>
  <si>
    <t>WOS:000291165800007</t>
  </si>
  <si>
    <t>After the fence: vegetation and topsoil condition in grazed, fenced and benchmark eucalypt woodlands of fragmented agricultural landscapes</t>
  </si>
  <si>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</si>
  <si>
    <t>10.1071/BT11026</t>
  </si>
  <si>
    <t>WOS:000291397300007</t>
  </si>
  <si>
    <t>Effects of Alien Plants on Ecosystem Structure and Functioning and Implications for Restoration: Insights from Three Degraded Sites in South African Fynbos</t>
  </si>
  <si>
    <t>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t>
  </si>
  <si>
    <t>10.1007/s00267-011-9675-7</t>
  </si>
  <si>
    <t>WOS:000291748500005</t>
  </si>
  <si>
    <t>Atlantic Salmon at Risk: Apparent Rapid Declines in Effective Population Size in Southern European Populations</t>
  </si>
  <si>
    <t>Populations of southern European Atlantic salmon Salmo salar are subjected to exploitation by sportfishing and exhibit evidence of dramatic catch reduction for the same fishing effort over recent history. We employed nine microsatellite loci as markers to estimate effective population sizes of Atlantic salmon in five rivers of northern Spain for comparison with 1990s data describing the same populations; marked declines in effective population sizes over the last decade were detected, and a reduced census size is proposed to be one of the probable causes. These estimates highlight the endangered status of the Atlantic salmon populations in northern Spain. A reduction in fishing effort and an increase in protective measures are recommended for the conservation of these fragile populations at the southernmost edge of the species' natural distribution.</t>
  </si>
  <si>
    <t>10.1080/00028487.2011.585574</t>
  </si>
  <si>
    <t>WOS:000291813800009</t>
  </si>
  <si>
    <t>Plant communities of mountain grasslands in a broad cross-section of the Eastern Alps</t>
  </si>
  <si>
    <t>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t>
  </si>
  <si>
    <t>10.1016/j.flora.2010.11.007</t>
  </si>
  <si>
    <t>WOS:000291839400004</t>
  </si>
  <si>
    <t>Responses of carabid beetles to urbanization in Transylvania (Romania)</t>
  </si>
  <si>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</si>
  <si>
    <t>10.1016/j.landurbplan.2011.02.038</t>
  </si>
  <si>
    <t>WOS:000291843200004</t>
  </si>
  <si>
    <t>Measuring the Short-term Success of Grassland Restoration: The Use of Habitat Affinity Indices in Ecological Restoration</t>
  </si>
  <si>
    <t>Agricultural intensification threatens grasslands worldwide and the restoration of grasslands from arable lands can at least partially counter this threat. We studied grassland restoration by following early successional changes of arthropod assemblages (spiders, Araneae; true bugs, Heteroptera; orthopterans, Orthoptera; and ground beetles, Carabidae) on 1- and 2-year-old restorations using arable lands and native grasslands as two ends of the succession timescale. To examine the changes in species composition among the habitat types, we used habitat affinity indices based on fidelity and/or specificity of the species. We found that the number of species did not differ between habitat types, while species composition changed markedly with time. Species richness was thus not adequate to detect favorable changes after grassland restoration. Habitat affinity indices, on the other hand, were useful to detect compositional changes caused by the increasing numbers of species characteristic of target grasslands as early as the second year after restoration. Habitat affinity indices are easy-to-use, easy-to-interpret measures of restoration success; therefore, we recommend their use as measures complementary to species richness and simple similarity. Our results show that sowing low-diversity seed mixture followed by mowing and grazing can be particularly successful in grassland restoration in time periods as short as 2 years.</t>
  </si>
  <si>
    <t>10.1111/j.1526-100X.2009.00631.x</t>
  </si>
  <si>
    <t>WOS:000292205800012</t>
  </si>
  <si>
    <t>Diatom biomonitoring of streams: Reliability of reference sites and the response of metrics to environmental variations across temporal scales</t>
  </si>
  <si>
    <t>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t>
  </si>
  <si>
    <t>10.1016/j.ecolind.2011.04.011</t>
  </si>
  <si>
    <t>WOS:000292434100015</t>
  </si>
  <si>
    <t>Phase shift to algal dominated communities at mesophotic depths associated with lionfish (Pterois volitans) invasion on a Bahamian coral reef</t>
  </si>
  <si>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</si>
  <si>
    <t>10.1007/s10530-011-0005-z</t>
  </si>
  <si>
    <t>WOS:000292556200014</t>
  </si>
  <si>
    <t>Do young eucalypt plantations benefit bats in an intensive agricultural landscape?</t>
  </si>
  <si>
    <t>Context. Environmental benefits of timber plantations have been a major selling point for land use change from previously cleared farmland, but data concerning the response of biodiversity are scarce. Aims. We investigated the use of young (4-11 years old) timber plantations by bats in comparison with other vegetation classes in a highly cleared and productive agricultural landscape in north-west New South Wales (NSW), Australia. Methods. Initially, we recorded activity in paddocks before plantation establishment, and then four to six years after establishment. We compared activity within young eucalypt plantations with surrounding paddocks and remnant woodland. We also radio-tracked four different bat species to investigate how roosting and foraging was apportioned into different habitats. Key results. The ultrasonic survey of bats found that the young plantations were typically used by 7-8 species and activity averaged 87 passes per night. Activity within plantations was similar to treeless paddocks, and approximately six times less than in small remnants. The very high activity levels and feeding buzzes in small remnants was significantly related to rich, basalt soil (which was used as a proxy for invertebrate biomass) on agricultural plains. Total activity and species richness was correlated positively with the number of remnant trees on the site, but neither plantation area nor shape influenced bat activity. Plantations were not used preferentially by radio-tracked bats at night compared with their availability in the local landscape (13-14% bat use, 17% available). No bat roosts were located within the plantations. Most bat roosts were in tree hollows, which were absent in the plantations. Decorticating bark was abundant in eucalypt plantations, but only Nyctophilus geoffroyi was observed beneath bark and only in remnant trees outside of plantations. Conclusions. Young eucalypt plantations have limited value for bats, and this is comparable to previous studies on more environmentally focussed plantings. Implications. The value of plantations for bats would be improved by retaining remnant trees, both in the surrounding landscape and within plantations. We also recommend varying tree densities to increase the diversity of animal species using plantations.</t>
  </si>
  <si>
    <t>10.1071/WR10204</t>
  </si>
  <si>
    <t>WOS:000292686300001</t>
  </si>
  <si>
    <t>Effects of Prescribed Burning on Ant Nesting Ecology in Oak Savannas</t>
  </si>
  <si>
    <t>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t>
  </si>
  <si>
    <t>10.1674/0003-0031-166.1.98</t>
  </si>
  <si>
    <t>WOS:000292803700009</t>
  </si>
  <si>
    <t>Contrasting effects of habitat loss and fragmentation on coral-associated reef fishes</t>
  </si>
  <si>
    <t>Disturbance can result in the fragmentation and/or loss of suitable habitat, both of which can have important consequences for survival, species interactions, and resulting patterns of local diversity. However, effects of habitat loss and fragmentation are typically confounded during disturbance events, and previous attempts to determine their relative significance have proved ineffective. Here we experimentally manipulated live coral habitats to examine the potential independent and interactive effects of habitat loss and fragmentation on survival, abundance, and species richness of recruitment-stage, coral-associated reef fishes. Loss of 75% of live coral from experimental reefs resulted in low survival of a coral-associated damselfish and low abundance and richness of other recruits 16 weeks after habitat manipulations. In contrast, fragmentation had positive effects on damselfish survival and resulted in greater abundance and species richness of other recruits. We hypothesize that spacing of habitat through fragmentation weakens competition within and among species. Comparison of effect sizes over the course of the study period revealed that, in the first six weeks following habitat manipulations, the positive effects of fragmentation were at least four times stronger than the effects of habitat loss. This initial positive effect of fragmentation attenuated considerably after 16 weeks, whereas the negative effects of habitat loss increased in strength over time. There was little indication that the amount of habitat influenced the magnitude of the habitat fragmentation effect. Numerous studies have reported dramatic declines in coral reef fish abundance and diversity in response to disturbances that cause the loss and fragmentation of coral habitats. Our results suggest that these declines occur as a result of habitat loss, not habitat fragmentation. Positive fragmentation effects may actually buffer against the negative effects of habitat loss and contribute to the resistance of reef fish populations to declines in coral cover.</t>
  </si>
  <si>
    <t>10.1890/10-0627.1</t>
  </si>
  <si>
    <t>WOS:000292814300014</t>
  </si>
  <si>
    <t>Genetic monitoring of two decades of hybridization between allis shad (Alosa alosa) and twaite shad (Alosa fallax)</t>
  </si>
  <si>
    <t>Habitat alteration has been implicated in driving hybridization between the sympatric migratory shads Alosa alosa and Alosa fallax. Morphological and molecular evidence is consistent with hybridization across the overlapping range of these species, but the temporal extent of hybrid occurrence and genetic consequences for populations have not been explored. Using eight nuclear microsatellite loci and samples collected between 1989 and 2008 in the Solway Firth (UK), we genetically identified hybrids, studied temporal changes in their frequency, and explored changes in allele frequencies of parental populations. These molecular data confirmed the hybrid status of individuals identified using morphology (number of rakers on the outer gill arch), and enabled separation of hybrids from purebred individuals. Mitochondrial cytochrome-b sequencing revealed the presence of two haplogroups, each predominantly occurring in one species. Heterospecific haplotypes were found in 22.3 and 12.8% of A. alosa and A. fallax individuals, respectively, consistent with backcrossing and suggesting that hybrids are fertile. On average, microsatellite-identified hybrids comprised 12.7% of all samples, but when individuals with cytonuclear discordance were also considered introgressed on average 25.4% of individuals were of hybrid ancestry. Overall, allelic richness remained largely unchanged within species, but there were declines in the inbreeding coefficient (F (IS)) of both species and episodes of significant temporal allelic frequency change. Hybrids sampled between 2004 and 2008 showed no evidence of lower fecundity relative to purebred individuals. Together, results suggest that hybridization between shad species in northern Europe is prevalent, and has been ongoing over at least two decades. The challenge is now to understand the extent to which observed patterns are linked to immigration from other populations, and the mechanisms that have prevented species collapse despite apparent hybrid fertility and longstanding introgression of neutral markers.</t>
  </si>
  <si>
    <t>10.1007/s10592-011-0211-3</t>
  </si>
  <si>
    <t>WOS:000292880800019</t>
  </si>
  <si>
    <t>Estimating California ecosystem carbon change using process model and land cover disturbance data: 1951-2000</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</si>
  <si>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</si>
  <si>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10.1016/j.ecolmodel.2011.03.042</t>
  </si>
  <si>
    <t>WOS:000293038700014</t>
  </si>
  <si>
    <t>Impacts of the 'Pacific Adventurer' Oil Spill on the Macrobenthos of Subtropical Sandy Beaches</t>
  </si>
  <si>
    <t>Biological impacts of oil on sandy shore ecosystems remain incompletely understood, especially following smaller spills on subtropical beaches. Here we quantified changes to benthic assemblages on a sandy beach following the 270-t spill of heavy fuel oil from the Pacific Adventurer that occurred in March 2009 off Moreton Island in Eastern Australia. Assessments of ecological impacts are based on spatial contrasts between multiple reference and impact sites sampled 1 week and 3 months after the spill. Benthic invertebrate assemblages exposed to oil had significantly fewer individuals of fewer species 1 week after the spill, markedly changing their ecological structure. Biological differences consistent with oil-related mortality were significant on the lower shore and in the swash and remained so 3 months after the spill. This signals a lack of recovery of these communities in the short term, despite the fairly rapid removal of oil. Results show that, despite the relatively small size of the spill, heavy fuel oil contamination can cause substantial impacts on sandy beach ecosystems, and that recovery may be prolonged.</t>
  </si>
  <si>
    <t>10.1007/s12237-010-9354-6</t>
  </si>
  <si>
    <t>WOS:000293185800005</t>
  </si>
  <si>
    <t>Small-sized Fish Assemblages Do not Differ Between a Native and a Recently Established Non-indigenous Macrophyte in a Neotropical Ecosystem</t>
  </si>
  <si>
    <t>Hydrilla verticillata recently invaded a protected area in the Upper Parana River floodplain. In a rare opportunity, when this non-indigenous species co-occurred with the native Egeria najas in a secondary channel of the river, we assessed its effects on assemblage of small-sized fish. Traps were used to catch fish inside macrophyte patches in periods of low and high water. We assessed fish abundance, biomass, diversity, richness and the community composition (using a DCA). The number of fish species did not differ between plants. Fish abundance and biomass were significantly higher during the low water period but plant species did not affect these attributes. Similarly, fish assemblage composition differed only between seasons. Our results indicate that the oscillations in the water level had a greater effect on the small-sized fish assemblage than the presence of the non-indigenous macrophyte. In addition, H. verticillata favors small fish assemblages such as the native does; however, we contend that our conclusions are valid only for habitats scarcely colonized by native plant species. The invasion of other habitats colonized by a high diversity of native species of macrophytes, which are key for small-sized fish, is a matter of concern.</t>
  </si>
  <si>
    <t>10.4322/natcon.2011.007</t>
  </si>
  <si>
    <t>WOS:000293259300007</t>
  </si>
  <si>
    <t>Gardening in the desert changes bee communities and pollination network characteristics</t>
  </si>
  <si>
    <t>Conversion of natural habitats to human settlements creates an alternative habitat with different bio-physical characteristics such as micro-climatic conditions and resource availability. Deserts are especially sensitive to such effects due to generally low nutrient levels and water availability. Gardens in human settlements in the desert are often a main source of alien plant species that provide ample foraging resources year round. These changes in floral composition and availability may alter pollinator community composition and foraging behaviour, as well as pollination network characteristics. We investigated the effects of desert gardening on pollinator communities and pollination networks in the Jordan Rift Valley (Israel), an arid agro-natural landscape south of the Dead Sea. We studied seasonal diversity patterns of plants and wild bees in natural habitats and in gardens in settlements. Wild bees and blooming plants were sampled from February to July in 2007 and in 2008. We constructed plant pollinator networks and compared bee communities between the two habitat types along the season. We found that bee abundance was greater in the gardens, and that rarefied bee species richness was greater in the natural habitat. Bee species richness and abundance exhibited contrasting seasonal patterns between habitats. Bee community composition also differed greatly between habitats, and species in the gardens had a generally wider geographical range in comparison to species in the natural habitat. We also found a higher level of generalisation of the pollination network in the gardens compared to the natural habitat, which may indicate a response to a disturbed and unstable environment. We conclude that gardening in deserts although promoting overall bee abundance, negatively affects species richness and changes community composition and network characteristics, with possible implications on the composition of native flora in the natural habitat surrounding the gardens.</t>
  </si>
  <si>
    <t>10.1016/j.baae.2010.12.003</t>
  </si>
  <si>
    <t>WOS:000293312600005</t>
  </si>
  <si>
    <t>Anthropogenic Disturbance Can Determine the Magnitude of Opportunistic Species Responses on Marine Urban Infrastructures</t>
  </si>
  <si>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</si>
  <si>
    <t>10.1371/journal.pone.0022985</t>
  </si>
  <si>
    <t>WOS:000293558900050</t>
  </si>
  <si>
    <t>Variation in reef fish and invertebrate communities with level of protection from fishing across the Eastern Tropical Pacific seascape</t>
  </si>
  <si>
    <t>Aim To quantify general differences in reef community structure between well-enforced and poorly enforced marine protected areas (MPAs) and fished sites across the Eastern Tropical Pacific (ETP) regional seascape Location The Pacific continental margin and oceanic islands of Costa Rica, Panama, Colombia and Ecuador, including World Heritage sites at Galapagos, Coiba, Cocos and Malpelo Methods Densities of reef fishes, mobile and sessile invertebrates, and macroalgae were quantified using underwater visual surveys at 136 'no-take' and 54 openly fished sites associated with seven large MPAs that encompassed a range of management strategies. Spatial variation inmultivariate and univariate community metrics was related to three levels of fishing pressure (high-protection MPAs, limited-protection MPAs, fishing zones) for both continental and oceanic reefs. Results High-protection MPAs possessed a much greater biomass of higher carnivorous fishes, lower densities of asteroids and Eucidaris spp. urchins, and higher coral cover than limited-protection MPAs and fished zones. These results were generally consistent with the hypothesis that overfishing of predatory fishes within the ETP has led to increased densities of habitat-modifying macroinvertebrates, which has contributed to regional declines in coral cover. Major differences in ecological patterns were also evident between continental and oceanic biogeographic provinces. Main conclusions Fishing down the food web, with associated trophic cascades, has occurred to a greater extent along the continental coast than off oceanic islands. Poorly enforced MPAs generate food</t>
  </si>
  <si>
    <t>10.1111/j.1466-8238.2010.00642.x</t>
  </si>
  <si>
    <t>WOS:000293701300008</t>
  </si>
  <si>
    <t>Watershed Urbanization Alters the Composition and Function of Stream Bacterial Communities</t>
  </si>
  <si>
    <t>Watershed urbanization leads to dramatic changes in draining streams, with urban streams receiving a high frequency of scouring flows, together with the nutrient, contaminant, and thermal pollution associated with urbanization. These changes are known to cause significant losses of sensitive insect and fish species from urban streams, yet little is known about how these changes affect the composition and function of stream microbial communities. Over the course of two years, we repeatedly sampled sediments from eight central North Carolina streams affected to varying degrees by watershed urbanization. For each stream and sampling date, we characterized both overall and denitrifying bacterial communities and measured denitrification potentials. Denitrification is an ecologically important process, mediated by denitrifying bacteria that use nitrate and organic carbon as substrates. Differences in overall and denitrifying bacterial community composition were strongly associated with the gradient in urbanization. Denitrification potentials, which varied widely, were not significantly associated with substrate supply. By incorporating information on the community composition of denitrifying bacteria together with substrate supply in a linear mixed-effects model, we explained 45% of the variation in denitrification potential (p-value&lt;0.001). Our results suggest that (1) the composition of stream bacterial communities change in response to watershed urbanization and (2) such changes may have important consequences for critical ecosystem functions such as denitrification.</t>
  </si>
  <si>
    <t>10.1371/journal.pone.0022972</t>
  </si>
  <si>
    <t>WOS:000293953500011</t>
  </si>
  <si>
    <t>Alternative silvicultural practices with variable retention to improve understory plant diversity conservation in southern Patagonian forests</t>
  </si>
  <si>
    <t>Understory plants could can act as indicators of temperate forest sustainability, health and conservation status due to their importance in ecosystem function. Harvesting impacts on understory plant diversity depends on their intensity. Variable retention has been proposed to mitigate the harmful effects of timber harvesting, but its effectiveness remains unknown in southern Patagonian Nothofagus pumilio forests. The objectives of this study were to: (i) define a baseline of understory plant diversity in old-growth forests along a site quality gradient and under canopy gaps; (ii) evaluate stands with three different variable retention treatments compared to old-growth forests; and (iii) assess temporal changes during 4 years after harvesting (YAH). A 61 ha N. pumilio forest was selected. Understory plant (Dicotyledonae, Monocotyledonae and Pteridophyta) richness, cover (including woody debris and bare forest floor) and above-ground dry biomass were characterized in summer for 5 years. Before harvesting, baseline samples were conducted along a site quality gradient and outside/inside canopy gaps. Analyzed treatments include a control of old-growth forest (OGF) and three different harvesting treatments with variable retention: (i) dispersed retention (DR) of 30 m(2) ha(-1) (20-30% retention); (ii) aggregated retention (AR) with one aggregate per hectare and clear-cuts (28% retention); and (iii) combined dispersed and aggregated retention (DAR) with one aggregate per hectare and dispersed retention of 10-15 m(2) ha(-1) (40-50% retention). Data analyses included parametric and permutational ANOVAs, multivariate classification and ordinations. Before harvesting, 31 plant species were found, where richness, cover and biomass were directly related to site quality. The presence of canopy gaps did not have a significant impact on the measured variables. After harvesting, 20 new species appeared from adjacent associated environments (two from N. antarctica forests and 18 from grasslands and peatlands). At the stand level, understory values were higher in AR &gt; DR &gt; DAR &gt; OGF. Most (81-95%) plant richness at baseline conditions was conserved in all treatments, where inside the aggregates understory remained similar to OGF. Combination of aggregated and dispersed retention (DAR) better limited exotic species introduction and protected sensitive species, improving conservation in harvested stands. Changes in understory variables were observed after the first YAH in all treatments; greater changes were observed in the harvested areas than in aggregates. Changes stabilized at the fourth YAH. As a conclusion, the location of retention aggregates should be selected to preserve species understory diversity of more speciose and diverse habitats or particularly uncommon stands. Implementation of different kinds (patterns and levels) of retention for improvement of biodiversity conservation in harvested forests should be included in timber and forest management planning. (C) 2011 Elsevier B.V. All rights reserved.</t>
  </si>
  <si>
    <t>10.1016/j.foreco.2011.06.021</t>
  </si>
  <si>
    <t>WOS:000294143100010</t>
  </si>
  <si>
    <t>Effects of urbanization and urban stream restoration on the physical and biological structure of stream ecosystems</t>
  </si>
  <si>
    <t>Streams, as low-lying points in the landscape, are strongly influenced by the stormwaters, pollutants, and warming that characterize catchment urbanization. River restoration projects are an increasingly popular method for mitigating urban insults. Despite the growing frequency and high expense of urban stream restoration projects, very few projects have been evaluated to determine whether they can successfully enhance habitat structure or support the stream biota characteristic of reference sites. We compared the physical and biological structure of four urban degraded, four urban restored, and four forested streams in the Piedmont region of North Carolina to quantify the ability of reach-scale stream restoration to restore physical and biological structure to urban streams and to examine the assumption that providing habitat is sufficient for biological recovery. To be successful at mitigating urban impacts, the habitat structure and biological communities found in restored streams should be more similar to forested reference sites than to their urban degraded counterparts. For every measured reach-and patch-scale attribute, we found that restored streams were indistinguishable from their degraded urban stream counterparts. Forested streams were shallower, had greater habitat complexity and median sediment size, and contained less-tolerant communities with higher sensitive taxa richness than streams in either urban category. Because heavy machinery is used to regrade and reconfigure restored channels, restored streams had less canopy cover than either forested or urban streams. Channel habitat complexity and watershed impervious surface cover (ISC) were the best predictors of sensitive taxa richness and biotic index at the reach and catchment scale, respectively. Macroinvertebrate communities in restored channels were compositionally similar to the communities in urban degraded channels, and both were dissimilar to communities in forested streams. The macroinvertebrate communities of both restored and urban degraded streams were correlated with environmental variables characteristic of degraded urban systems. Our study suggests that reach-scale restoration is not successfully mitigating for the factors causing physical and biological degradation.</t>
  </si>
  <si>
    <t>10.1890/10-1551.1</t>
  </si>
  <si>
    <t>WOS:000294155900006</t>
  </si>
  <si>
    <t>Do birds and beetles show similar responses to urbanization?</t>
  </si>
  <si>
    <t>To date, the vast majority of studies in urban areas have been carried out on birds, yet it is not known whether the responses of birds to urbanization are congruent with those of other taxa. In this paper, we compared the responses of breeding birds and carabid beetles to urbanization, specifically asking whether the emerging generalizations of the effects of extreme levels of urbanization on birds (declines in total species richness and the richness of specialist species, increases in total abundance and the abundances of native generalist and introduced species, and community simplification, including increasing similarity) could also be applied to ground beetles. We also directly tested for congruence between birds and ground beetles using correlations between variables describing bird and beetle community structure and correlations between bird and beetle distance matrices describing community dissimilarity between pairs of sampling locations. Breeding bird and carabid beetle community data were collected in Ottawa, Ontario, and Gatineau, Quebec, Canada, in two groups of sites: developed sites representing the predictor variable within-site housing density, and forested sites adjacent to development representing the predictor variable neighboring housing density (each site was 0.25 km(2)). Breeding birds and carabid beetles do not respond similarly to increasing within-site housing density but do exhibit some similar responses to increasing neighboring housing density. Birds displayed strong declines in diversity, compositional changes, and community simplification in response to increasing within-site housing density. Forest and introduced species of birds and beetles responded similarly to increasing housing density within a site, but responses of overall diversity and open-habitat species richness and patterns of community simplification differed between birds and beetles. Increasing neighboring housing density resulted in increases in the abundances of introduced birds and introduced beetles and similar patterns of community simplification in both taxa. To better understand and mitigate the effects of urbanization on biodiversity, we suggest that, in addition to the responses of birds, future research should focus on the responses of other taxa in the urban matrix.</t>
  </si>
  <si>
    <t>10.1890/09-1905.1</t>
  </si>
  <si>
    <t>WOS:000294155900033</t>
  </si>
  <si>
    <t>Impacts of traffic noise on anuran and bird communities</t>
  </si>
  <si>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</si>
  <si>
    <t>10.1007/s11252-011-0158-7</t>
  </si>
  <si>
    <t>WOS:000294217600007</t>
  </si>
  <si>
    <t>Microbats in a 'leafy' urban landscape: are they persisting, and what factors influence their presence?</t>
  </si>
  <si>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</si>
  <si>
    <t>10.1111/j.1442-9993.2010.02202.x</t>
  </si>
  <si>
    <t>WOS:000294219000008</t>
  </si>
  <si>
    <t>Temporal variation in genetic diversity and effective population size of Mediterranean and subalpine Arabidopsis thaliana populations</t>
  </si>
  <si>
    <t>Currently, there exists a limited knowledge on the extent of temporal variation in population genetic parameters of natural populations. Here, we study the extent of temporal variation in population genetics by genotyping 151 genome-wide SNP markers polymorphic in 466 individuals collected from nine populations of the annual plant Arabidopsis thaliana during 4 years. Populations are located along an altitudinal climatic gradient from Mediterranean to subalpine environments in NE Spain, which has been shown to influence key demographic attributes and life cycle adaptations. Genetically, A. thaliana populations were more variable across space than over time. Common multilocus genotypes were detected several years in the same population, whereas low-frequency multilocus genotypes appeared only 1 year. High-elevation populations were genetically poorer and more variable over time than low-elevation populations, which might be caused by a higher overall demographic instability at higher altitudes. Estimated effective population sizes were low but also showed a significant decreasing trend with increasing altitude, suggesting a deeper impact of genetic drift at high-elevation populations. In comparison with single-year samplings, repeated genotyping over time captured substantially higher amount of genetic variation contained in A. thaliana populations. Furthermore, repeated genotyping of populations provided novel information on the genetic properties of A. thaliana populations and allowed hypothesizing on their underlying mechanisms. Therefore, including temporal genotyping programmes into traditional population genetic studies can significantly increase our understanding of the dynamics of natural populations.</t>
  </si>
  <si>
    <t>10.1111/j.1365-294X.2011.05193.x</t>
  </si>
  <si>
    <t>WOS:000294224400008</t>
  </si>
  <si>
    <t>Temporal genetic stability and high effective population size despite fisheries-induced life-history trait evolution in the North Sea sole</t>
  </si>
  <si>
    <t>Heavy fishing and other anthropogenic influences can have profound impact on a species' resilience to harvesting. Besides the decrease in the census and effective population size, strong declines in mature adults and recruiting individuals may lead to almost irreversible genetic changes in life-history traits. Here, we investigated the evolution of genetic diversity and effective population size in the heavily exploited sole (Solea solea), through the analysis of historical DNA from a collection of 1379 sole otoliths dating back from 1957. Despite documented shifts in life-history traits, neutral genetic diversity inferred from 11 microsatellite markers showed a remarkable stability over a period of 50 years of heavy fishing. Using simulations and corrections for fisheries induced demographic variation, both single-sample estimates and temporal estimates of effective population size (N-e) were always higher than 1000, suggesting that despite the severe census size decrease over a 50-year period of harvesting, genetic drift is probably not strong enough to significantly decrease the neutral diversity of this species in the North Sea. However, the inferred ratio of effective population size to the census size (N-e/N-c) appears very small (10(-5)), suggesting that overall only a low proportion of adults contribute to the next generation. The high N-e level together with the low N-e/N-c ratio is probably caused by a combination of an equalized reproductive output of younger cohorts, a decrease in generation time and a large variance in reproductive success typical for marine species. Because strong evolutionary changes in age and size at first maturation have been observed for sole, changes in adaptive genetic variation should be further monitored to detect the evolutionary consequences of human-induced selection.</t>
  </si>
  <si>
    <t>10.1111/j.1365-294X.2011.05196.x</t>
  </si>
  <si>
    <t>WOS:000294224400009</t>
  </si>
  <si>
    <t>The effects of land-use change on arthropod richness and abundance on Santa Maria Island (Azores): unmanaged plantations favour endemic beetles</t>
  </si>
  <si>
    <t>We study how endemic, native and introduced arthropod species richness, abundance, diversity and community composition vary between four different habitat types (native forest, exotic forest of Cryptomeria japonica, semi-natural pasture and intensive pasture) and how arthropod richness and abundance change with increasing distance from the native forest in adjacent habitat types in Santa Maria Island, the Azores. Arthropods were sampled in four 150 m long transects in each habitat type. Arthropods were identified to species level and classified as Azorean endemic, single-island endemic (SIE), native, or introduced. The native forest had the highest values for species richness of Azorean endemics, SIEs and natives; and also had highest values of Azorean endemic diversity (Fisher's alpha). In contrast, the intensive pasture had the lowest values for endemic and native species richness and diversity, but the highest values of total arthropod abundance and introduced species richness and diversity. Arthropod community composition was significantly different between the four habitat types. In the semi-natural pasture, the number of SIE species decreased with increasing distance from the native forest, and in the exotic forest the abundance of both Azorean endemics and SIEs decreased with increasing distance from the native forest. There is a gradient of decreasing arthropod richness and abundance from the native forest to the intensive pasture. Although this study demonstrates the important role of the native forest in arthropod conservation in the Azores, it also shows that unmanaged exotic forests have provided alternative habitat suitable for some native species of forest specialist arthropods, particularly saproxylic beetles.</t>
  </si>
  <si>
    <t>10.1007/s10841-010-9330-2</t>
  </si>
  <si>
    <t>WOS:000294460300002</t>
  </si>
  <si>
    <t>Genetic monitoring and effects of stocking practices on small Cyprinus carpio populations</t>
  </si>
  <si>
    <t>The ability to detect genetic differences both in space and time is crucial for conserving genetic variation. It can reveal genetic diversity and genetic composition changes of declining native populations that are supported through stocking with captive bred individuals. The present study was designed to analyse the temporal stability of a declining common carp (Cyprinus carpio) population from Lake Volvi (North Greece). Polymorphism was evaluated using seven microsatellite loci at two sampling time points (separated by 12 years). The genetic variability of four additional populations (from two rivers and two lakes) in Northern Greece was also investigated for comparison. Heterozygosity values (0.692-0.868) and allelic richness (8.530-11.148) were high for all studied populations and comparable to other European populations. However, the analysis of temporal common carp samples from Lake Volvi revealed a significant change in their genetic composition and admixture analysis demonstrated significant introgression of stocked individuals into the native population. Both temporal and point estimate methods revealed low effective size (Ne = 61-171.3) for this population, possibly a result of an ancient genetic bottleneck that led to population decline and/or recent anthropogenic interventions. This low Ne has rendered the native population vulnerable to alteration of its genetic composition. Our study demonstrates that enhancement programs should be applied cautiously, especially for small populations. Moreover, it underlines the need for temporal analyses, which may contribute to the evaluation of previous management policies and to future decision making.</t>
  </si>
  <si>
    <t>10.1007/s10592-011-0231-z</t>
  </si>
  <si>
    <t>WOS:000294799600014</t>
  </si>
  <si>
    <t>Bayesian inference of a historical bottleneck in a heavily exploited marine mammal</t>
  </si>
  <si>
    <t>Emerging Bayesian analytical approaches offer increasingly sophisticated means of reconstructing historical population dynamics from genetic data, but have been little applied to scenarios involving demographic bottlenecks. Consequently, we analysed a large mitochondrial and microsatellite dataset from the Antarctic fur seal Arctocephalus gazella, a species subjected to one of the most extreme examples of uncontrolled exploitation in history when it was reduced to the brink of extinction by the sealing industry during the late eighteenth and nineteenth centuries. Classical bottleneck tests, which exploit the fact that rare alleles are rapidly lost during demographic reduction, yielded ambiguous results. In contrast, a strong signal of recent demographic decline was detected using both Bayesian skyline plots and Approximate Bayesian Computation, the latter also allowing derivation of posterior parameter estimates that were remarkably consistent with historical observations. This was achieved using only contemporary samples, further emphasizing the potential of Bayesian approaches to address important problems in conservation and evolutionary biology.</t>
  </si>
  <si>
    <t>10.1111/j.1365-294X.2011.05248.x</t>
  </si>
  <si>
    <t>WOS:000295230000006</t>
  </si>
  <si>
    <t>Effects of local-scale management on herbaceous plant communities in Brigalow (Acacia harpophylla) agroecosystems of southern Queensland, Australia</t>
  </si>
  <si>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</si>
  <si>
    <t>10.1016/j.agee.2011.05.001</t>
  </si>
  <si>
    <t>WOS:000295245100008</t>
  </si>
  <si>
    <t>Impacts of physical disturbance on the recovery of a macrofaunal community: A comparative analysis using traditional and novel approaches</t>
  </si>
  <si>
    <t>The recovery of macrofaunal communities after marine aggregate dredging was assessed using both traditional indices (abundance, biomass and species diversity), and functional analysis techniques (Somatic Production, Taxonomic Distinctness, Infaunal Trophic Index, Biological Traits Analysis and Rao's Quadratic Entropy). A previously dredged area (Area 222). located off the southeast coast of England was selected for this investigation. Area 222 was split into sites that had been subjected to relatively high dredging intensity, relatively low dredging intensity, and undisturbed reference areas. Both traditional and functional analyses indicated that macrofauna at the low dredging intensity site had fully recovered at least 7 years after the dredging ceased. Recovery times at the high intensity site had a greater variability and most of the techniques recorded the recovery had yet to take place even 11 years after the dredging had ceased. Since Area 222 was dredged for a long period of time (approx. 25 years), it is suggested that a longer time series of study be carried out so that the definitive recovery period in this high intensity site can be determined. While a longer time series study is not always a realistic or cost effective, the present study could be useful to facilitate the selection of metrics to support in the assessment of macrofaunal recovery. Crown Copyright (C) 2011 Published by Elsevier Ltd. All rights reserved.</t>
  </si>
  <si>
    <t>10.1016/j.ecolind.2011.03.016</t>
  </si>
  <si>
    <t>WOS:000295437200005</t>
  </si>
  <si>
    <t>Invasive shrub alters native forest amphibian communities</t>
  </si>
  <si>
    <t>Although invasive plants can have transformative effects on native plant communities, studies of the consequences of plant invasion for native fauna are generally restricted to primary consumers. Here we investigate whether an invasive shrub, Lonicera maackii, impacts native amphibians and evaluate evidence for the role of invasive plant-induced alteration of forest understory microclimate as a mechanism driving amphibian responses to L maackii invasion. We sampled amphibian communities in forest plots with high or low density of L. maackii, and monitored microclimate (temperature and humidity at ground level) in the same forest plots. Amphibian species richness and evenness were lower in invaded plots. Invasion also resulted in shifts in amphibian species composition. Mean daily maximum temperature and mean daily temperature were lower in invaded plots, and counts of the Green frog Litho bates clamitans were marginally negatively related to mean daily temperature. Our work illustrates how an invasive ecosystem engineer may affect native organisms with which it shares no trophic connection, and suggests that changes in microclimate may be one mechanism by which alien plants affect communities where they invade. (C) 2011 Elsevier Ltd. All rights reserved.</t>
  </si>
  <si>
    <t>10.1016/j.biocon.2011.07.005</t>
  </si>
  <si>
    <t>WOS:000295442900006</t>
  </si>
  <si>
    <t>An investigation of benthic sediments and macrofauna within pearl farms of Western Australia</t>
  </si>
  <si>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</si>
  <si>
    <t>10.1016/j.aquaculture.2011.07.011</t>
  </si>
  <si>
    <t>WOS:000295562100023</t>
  </si>
  <si>
    <t>In situ interactions between the effects of season, current velocity and pollution on a river biofilm</t>
  </si>
  <si>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</si>
  <si>
    <t>10.1111/j.1365-2427.2011.02649.x</t>
  </si>
  <si>
    <t>WOS:000296061400005</t>
  </si>
  <si>
    <t>COMMUNITY SECONDARY PRODUCTION AS A MEASURE OF ECOSYSTEM FUNCTION: A CASE STUDY WITH AQUATIC ECOSYSTEM FRAGMENTATION</t>
  </si>
  <si>
    <t>Secondary production is a composite measure of an animal population's density, biomass, and growth over time. Thus, secondary production converts animal abundance and biomass data into a functional measure of energy flow through an ecosystem. In the present study, we used community secondary production as a composite measure of ecosystem functional response to anthropogenic disturbance, and applied this approach to examine effects of fragmentation on tidal creek ecosystems in The Bahamas. Community fish production decreased from a mean of 901 g m(-2) yr(-1) in unfragmented creeks to 166 g m(-2) yr(-1) in downstream areas of fragmented creeks to 29 g m(-2) yr(-1) upstream of creek blockages in fragmented creeks. When compared with several univariate measures (species richness, evenness, abundance, biomass), community composition (by ordination), and community distribution (via rank-curve analysis), community secondary production appeared to be the most consistent variable for distinguishing between three creek fragmentation categories. These data suggest that small, non-significant declines in diversity or other structural metrics can yield disproportionately large declines in ecosystem function. We suggest community secondary production can be an important component of future assessments of anthropogenic impacts, especially when alterations in diversity or community structure are small, but potentially have dramatic impacts on ecosystem function.</t>
  </si>
  <si>
    <t>10.5343/bms.2010.1043</t>
  </si>
  <si>
    <t>WOS:000296074600011</t>
  </si>
  <si>
    <t>Invasion impacts on biodiversity: responses of ant communities to infestation by cat's claw creeper vine, Macfadyena unguis-cati (Bignoniaceae) in subtropical Australia</t>
  </si>
  <si>
    <t>Ants are the dominant soil faunal group in many if not most terrestrial ecosystems, and play a key role in soil structure and function. This study documents the impacts of invasion by the exotic cat's claw creeper vine, Macfadyena unguis-cati (L.) Gentry (Bignoniaceae) on surface-situated (epigaeic) and subterranean (hypogaeic) ant communities in subtropical SE Queensland Australia where it is a major environmental weed of riparian areas, rainforest communities and remnant natural vegetation, smothering standing vegetation and causing canopy collapse. Soil ants were sampled in infested and uninfested areas at eight sites spanning both riparian and non-riparian habitats in subtropical SE Queensland. Patterns of ant species composition and functional grouping in response to patch invasion status, landscape type and habitat stratum were investigated using ANOVA and non-metric multidimensional scaling ordination. The epigaeic and subterranean strata supported markedly different ant assemblages, and ant communities also differed between riparian and non-riparian habitats. However, M. unguis-cati invasion had a surprisingly limited impact. There was a tendency for ant abundance and species richness to be lower in infested patches, and overall species composition was different between infested and uninfested patches, but these differences were relatively small, and did not occur consistently across sites. There were changes in functional group composition that conformed to known functional group responses to environmental change, but these were similarly limited and inconsistent across sites. Our study has shown that ant communities are surprisingly resilient to invasion by M. unguis-cati, and serves as a warning against making assumptions about invasion impacts based on visual appearances.</t>
  </si>
  <si>
    <t>10.1007/s10530-011-0040-9</t>
  </si>
  <si>
    <t>WOS:000296350800012</t>
  </si>
  <si>
    <t>Plant species richness responses to grazing protection and degradation history in a low productivity landscape</t>
  </si>
  <si>
    <t>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t>
  </si>
  <si>
    <t>10.1111/j.1654-1103.2011.01305.x</t>
  </si>
  <si>
    <t>WOS:000296387700004</t>
  </si>
  <si>
    <t>Genetic variation between outer-coastal and fjord populations of Pacific herring (Clupea pallasii) in the eastern Gulf of Alaska</t>
  </si>
  <si>
    <t>Pacific herring (Clupea pallasii) from the Gulf of Alaska were screened for temporal and spatial genetic variation with 15 microsatellite loci. Thirteen collections were examined in this study: 11 from Southeast Alaska and 2 from Prince William Sound, Alaska. Although F(ST) values were low, a neighbor-joining tree based on genetic distance, homogeneity, and F(ST) values revealed that collectively, the Berners Bay and Lynn Canal (interior) collections were genetically distinct from Sitka Sound and Prince of Wales Island (outer-coastal) collections. Temporal genetic variation within regions (among three years of Berners Bay spawners and between the two Sitka Sound spawners) was zero, whereas 0.05% was attributable to genetic variation between Berners Bay and Sitka Sound. This divergence may be attributable to environmental differences between interior archipelago waters and outer-coast habitats, such as differences in temperature and salinity. Early spring collections of nonspawning Lynn Canal herring were nearly genetically identical to collections of spawning herring in Berners Bay two months later-an indication that Berners Bay spawners over-winter in Lynn Canal. Southeast Alaskan herring (collectively) were significantly different from those in Prince William Sound. This study illustrates that adequate sample size is needed to detect variation in pelagic fish species with a large effective population size, and microsatellite markers may be useful in detecting low-level genetic divergence in Pacific herring in the Gulf of Alaska.</t>
  </si>
  <si>
    <t>WOS:000296395600003</t>
  </si>
  <si>
    <t>Flow variability maintains the structure and composition of in-channel riparian vegetation</t>
  </si>
  <si>
    <t>1. Naturally variable river flows are considered to be important for structuring riparian vegetation. However, while the importance of floods for the ecology of riparian vegetation is well recognised, much less is known about the importance of small fluctuations in river flows. 2. We investigated the effect of water supply diversion weirs on the riparian vegetation of upland streams. These weirs remove within-channel fluctuations in flow but do not prevent large floods downstream. We surveyed the in-channel and banktop vegetation of five streams, three of which were regulated by weirs and two of which acted as controls. 3. Unexpectedly, we observed greater species richness within the channel downstream of the weirs. This was because of increased numbers of exotic and terrestrial ('dry') plant species. Grass cover was also greater downstream of the weirs. There were no significant differences in the banktop vegetation between the upstream and downstream sites of the regulated streams. 4. Our results highlight the role of within-channel flow variability in maintaining the composition of vegetation within the stream channel. We suggest that greater species richness does not necessarily indicate a less-disturbed environment. Rather, a greater number of 'dry' species is indicative of the impacts of flow regulation. 5. Small fluctuations in river flows are probably necessary to protect the ecosystem structure and function of regulated streams. It is recommended that variable within-channel flows be provided in regulated streams.</t>
  </si>
  <si>
    <t>10.1111/j.1365-2427.2011.02676.x</t>
  </si>
  <si>
    <t>WOS:000296502000008</t>
  </si>
  <si>
    <t>A CENTURY OF GENETIC CHANGE AND METAPOPULATION DYNAMICS IN THE GALAPAGOS WARBLER FINCHES (CERTHIDEA)</t>
  </si>
  <si>
    <t>Populations that are connected by immigrants play an important role in evolutionary and conservation biology, yet we have little direct evidence of how such metapopulations change genetically over evolutionary time. We compared historic (1894-1906) to modern (1988-2006) genetic variation in 11 populations of warbler finches at 14 microsatellite loci. Although several lines of evidence suggest that Darwin's finches may be in decline, we found that the genetic diversity of warbler finches has not generally declined, and broad-scale patterns of variation remained similar over time. Contrary to expectations, inferred population sizes have generally increased over time (6-8%) as have immigration rates (8-16%), which may reflect a recent increase in the frequency and intensity of El Nino events. Individual island populations showed significant declines (18-19%) and also substantial gains (18-20%) in allelic richness over time. Changes in genetic diversity were correlated with changes in immigration rates, but did not correspond to population size or human disturbance. These results reflect the expected stabilizing properties of whole metapopulations over time. However, the dramatic and unpredictable changes observed in individual populations during this short time interval suggests that care should be taken when monitoring individual population fragments with snapshots of genetic variation.</t>
  </si>
  <si>
    <t>10.1111/j.1558-5646.2011.01385.x</t>
  </si>
  <si>
    <t>WOS:000296702800011</t>
  </si>
  <si>
    <t>Effects of anthropogenic activities on lizard communities in northern Madagascar</t>
  </si>
  <si>
    <t>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t>
  </si>
  <si>
    <t>10.1111/j.1469-1795.2011.00459.x</t>
  </si>
  <si>
    <t>WOS:000296894900012</t>
  </si>
  <si>
    <t>Roles of climate changes and human interventions in land degradation: a case study by net primary productivity analysis in China's Shiyanghe Basin</t>
  </si>
  <si>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</si>
  <si>
    <t>10.1007/s12665-011-1046-4</t>
  </si>
  <si>
    <t>WOS:000297165900017</t>
  </si>
  <si>
    <t>Assessing bee species richness in two Mediterranean communities: importance of habitat type and sampling techniques</t>
  </si>
  <si>
    <t>The decline of bees has raised concerns regarding their conservation and the maintenance of ecosystem services they provide to bee-pollinated wild flowers and crops. Although the Mediterranean region is a hotspot for bee species richness, their status remains poorly studied. There is an urgent need for cost-effective, reliable, and unbiased sampling methods that give good bee species richness estimates. This study aims: (a) to assess bee species richness in two common Mediterranean habitat types: semi-natural scrub (phrygana) and managed olive groves; (b) to compare species richness in those systems to that of other biogeographic regions, and (c) to assess whether six different sampling methods (pan traps, variable and standardized transect walks, observation plots and trap nests), previously tested in other European biogeographic regions, are suitable in Mediterranean communities. Eight study sites, four per habitat type, were selected on the island of Lesvos, Greece. The species richness observed was high compared to other habitat types worldwide for which comparable data exist. Pan traps collected the highest proportion of the total bee species richness across all methods at the scale of a study site. Variable and standardized transect walks detected the highest total richness over all eight study sites. Trap nests and observation plots detected only a limited fraction of the bee species richness. To assess the total bee species richness in bee diversity hotspots, such as the studied habitats, we suggest a combination of transect walks conducted by trained bee collectors and pan trap sampling.</t>
  </si>
  <si>
    <t>10.1007/s11284-011-0852-1</t>
  </si>
  <si>
    <t>WOS:000297204000013</t>
  </si>
  <si>
    <t>Impact of a Pulse Human Disturbance Experiment on Macrofaunal Assemblages on an Australian Sandy Beach</t>
  </si>
  <si>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</si>
  <si>
    <t>10.2112/JCOASTRES-D-09-00138.1</t>
  </si>
  <si>
    <t>WOS:000297278500017</t>
  </si>
  <si>
    <t>Putting marine sanctuaries into context: a comparison of estuary fish assemblages over multiple levels of protection and modification</t>
  </si>
  <si>
    <t>1. In recent decades there has been a significant effort to establish marine sanctuaries for the purpose of protecting marine biodiversity and ecological processes. While many studies have demonstrated that marine sanctuaries increase the abundance, diversity, and trophic level of marine fish communities, few have compared these parameters across multiple levels of protection and human modification. 2. This study utilized baited remote underwater video to compare fish assemblages between marine parks, between different levels of protection within parks (sanctuary and habitat protection zones), and between parks and highly modified systems with similar ecological communities. 3. It was demonstrated that sanctuary zones have higher abundance of targeted fish species compared with other areas within some marine parks. 4. The total abundance of targeted species and abundances of some key fisheries species (e.g. pink snapper) were found to be higher in sanctuary zones. This suggests that increased protection may be effective at improving these aspects of the fish assemblage. 5. However, when marine parks were compared with highly modified environments it was found that targeted species were much more abundant in the highly modified systems. 6. Community composition of entire fish assemblages also differed between these levels of modification and economically important fisheries species contributed most to this difference. 7. These findings suggest that while highly protected sanctuary zones may increase the abundance of targeted fish compared with less protected areas within the same estuary, highly industrialized or urbanized systems, not typically chosen as marine parks, may actually support more targeted species of fish. 8. It was demonstrated that forms of modification in addition to fishing pressure are having large effects on fish assemblages and productivity. Copyright (c) 2011 John Wiley &amp; Sons, Ltd.</t>
  </si>
  <si>
    <t>10.1002/aqc.1223</t>
  </si>
  <si>
    <t>WOS:000297282000005</t>
  </si>
  <si>
    <t>The effects of weirs on structural stream habitat and biological communities</t>
  </si>
  <si>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</si>
  <si>
    <t>10.1111/j.1365-2664.2011.02035.x</t>
  </si>
  <si>
    <t>WOS:000297416300015</t>
  </si>
  <si>
    <t>Forest Fragmentation and Selective Logging Have Inconsistent Effects on Multiple Animal-Mediated Ecosystem Processes in a Tropical Forest</t>
  </si>
  <si>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</si>
  <si>
    <t>10.1371/journal.pone.0027785</t>
  </si>
  <si>
    <t>WOS:000297555400114</t>
  </si>
  <si>
    <t>Investigation of the domestication of common bean (Phaseolus vulgaris) using multilocus sequence data</t>
  </si>
  <si>
    <t>Multilocus sequence data collected from domesticated and related wild relatives provides a rich source of information on the effect of human selection on the diversity and adaptability of a species to complex environments. To evaluate the domestication history of common bean (Phaseolus vulgaris L.), multilocus sequence data from landraces representing the various races within the Middle American (MA) and Andean gene pools was evaluated. Across 13 loci, nucleotide diversity was similar between landraces and wild germplasm in both gene pools. The diversity data were evaluated using the approximate Bayesian computation approach to test multiple domestication models and estimate population demographic parameters. A model with a single domestication event coupled with bidirectional migration between wild and domesticated genotypes fitted the data better than models consisting of two or three domestication events in each genepool. The effective bottleneck population size was similar to 50% of the base population in each genepool. The bottleneck began similar to 8200 and similar to 8500 years before present and ended at similar to 6300 and similar to 7000 years before present in MA and Andean gene pools respectively. Linkage disequilibrium decayed to a greater extent in the MA genepool. Given the (1) geographical adaptation bottleneck in each wild gene pool, (2) a subsequent domestication bottleneck within each gene pool, (3) differentiation into gene-pool specific races and (4) variable extents of linkage disequilibrium, association mapping experiments for common bean would more appropriately be performed within each genepool.</t>
  </si>
  <si>
    <t>10.1071/FP11124</t>
  </si>
  <si>
    <t>WOS:000297556100005</t>
  </si>
  <si>
    <t>Singular and interactive effects of blowdown, salvage logging, and wildfire in sub-boreal pine systems</t>
  </si>
  <si>
    <t>The role of disturbance in structuring vegetation is widely recognized; however, we are only beginning to understand the effects of multiple interacting disturbances on ecosystem recovery and development. Of particular interest is the impact of post-disturbance management interventions, particularly in light of the global controversy surrounding the effects of salvage logging on forest ecosystem recovery. Studies of salvage logging impacts have focused on the effects of post-disturbance salvage logging within the context of a single natural disturbance event. There have been no formal evaluations of how these effects may differ when followed in short sequence by a second, high severity natural disturbance. To evaluate the impact of this management practice within the context of multiple disturbances, we examined the structural and woody plant community responses of sub-boreal Pinus banksiana systems to a rapid sequence of disturbances. Specifically, we compared responses to Blowdown (B), Fire (F), Blowdown-Fire, and Blowdown-Salvage-Fire (BSF) and compared these to undisturbed control (C) stands. Comparisons between BF and BSF indicated that the primary effect of salvage logging was a decrease in the abundance of structural legacies, such as downed woody debris and snags. Both of these compound disturbance sequences (BF and BSF), resulted in similar woody plant communities, largely dominated by Populus tremuloides; however, there was greater homogeneity in community composition in salvage logged areas. Areas experiencing solely fire (F stands) were dominated by P. banksiana regeneration, and blowdown areas (B stands) were largely characterized by regeneration from shade tolerant conifer species. Our results suggest that salvage logging impacts on woody plant communities are diminished when followed by a second high severity disturbance; however, impacts on structural legacies persist. Provisions for the retention of snags, downed logs, and surviving trees as part of salvage logging operations will minimize these structural impacts and may allow for greater ecosystem recovery following these disturbance combinations. (C) 2011 Elsevier B.V. All rights reserved.</t>
  </si>
  <si>
    <t>10.1016/j.foreco.2011.09.003</t>
  </si>
  <si>
    <t>WOS:000297602200013</t>
  </si>
  <si>
    <t>Biodiversity loss in Appalachian headwater streams (Kentucky, USA): Plecoptera and Trichoptera communities</t>
  </si>
  <si>
    <t>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t>
  </si>
  <si>
    <t>10.1007/s10750-011-0858-2</t>
  </si>
  <si>
    <t>WOS:000297620100008</t>
  </si>
  <si>
    <t>FORESTCHECK: the response of epigeous macrofungi to silviculture in jarrah (Eucalyptus marginata) forest</t>
  </si>
  <si>
    <t>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t>
  </si>
  <si>
    <t>10.1080/00049158.2011.10676373</t>
  </si>
  <si>
    <t>WOS:000297980400006</t>
  </si>
  <si>
    <t>Structure, composition and dynamics of a calcareous grassland metacommunity over a 70-year interval</t>
  </si>
  <si>
    <t>1. Calcareous grasslands are communities of high conservation value, often characterized by high plant species richness. These grasslands have experienced a major decline in area throughout Europe, principally resulting from agricultural intensification. Although they have been the focus of extensive previous research, few attempts have been made to examine the long-term dynamics of multiple communities at the landscape scale.</t>
  </si>
  <si>
    <t>10.1111/j.1365-2745.2011.01923.x</t>
  </si>
  <si>
    <t>WOS:000298014400018</t>
  </si>
  <si>
    <t>Sediment bacterial community structure and function in response to C and Zn amendments: urban and nonurban streams</t>
  </si>
  <si>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</si>
  <si>
    <t>10.1899/11-009.1</t>
  </si>
  <si>
    <t>WOS:000298218600007</t>
  </si>
  <si>
    <t>Benthic community responses to invasion by the golden mussel, Limnoperna fortunei Dunker: biotic homogenization vs environmental driving forces</t>
  </si>
  <si>
    <t>The goal of our study was to investigate the interaction between the invasive mussel Linmoperna fortunei and benthic invertebrate communities at different spatial scales and under different environmental conditions. We analyzed the effects of L. fortunei on benthic invertebrate communities at different downstream distances. (meters) from mussel beds and compared these trends in 2 rivers characterized by dissimilar chemical disturbance levels. In areas distant from L. fortunei beds, invertebrate composition at the 2 rivers differed strongly, probably in response to different levels of environmental pollution. In areas near L. fortunei beds, invertebrate composition at the 2 rivers was similar, suggesting that golden mussels have strong homogenizing effects on faunal makeup. We also found that facilitation was species specific and, in contrast to the general paradigm, weaker (rather than stronger) under more stressful conditions. Our results show that understanding the effects of L. fortunei requires accounting for scale- and species-specific effects.</t>
  </si>
  <si>
    <t>10.1899/10-170.1</t>
  </si>
  <si>
    <t>WOS:000298218600011</t>
  </si>
  <si>
    <t>Biological and biogeochemical effects of organic matter and drilling discharges in two sediment communities</t>
  </si>
  <si>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</si>
  <si>
    <t>10.3354/meps09340</t>
  </si>
  <si>
    <t>WOS:000298301200003</t>
  </si>
  <si>
    <t>Effects of Caulerpa racemosa invasion on soft-bottom assemblages in the Western Mediterranean Sea</t>
  </si>
  <si>
    <t>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t>
  </si>
  <si>
    <t>10.1007/s10530-011-9938-5</t>
  </si>
  <si>
    <t>WOS:000298645800005</t>
  </si>
  <si>
    <t>Local and landscape scale variables impact parasitoid assemblages across an urbanization gradient</t>
  </si>
  <si>
    <t>Urbanization is a major driver of land cover change worldwide, yet little is known about how urbanization affects beneficial arthropod communities. This study examined how local and landscape scale variables associated with urbanization influenced parasitic Hymenoptera abundance and diversity in residential and commercial properties along a rural to urban landscape gradient in Wisconsin. At a landscape scale, 300 m surrounding sites, land cover percentages were calculated for five cover classes: impervious cover, forest, grassland, agriculture, and urban green space. In addition, habitat diversity (Simpson's index) was calculated for the landscape surrounding study sites. At a local scale (within the boundaries of an individual property), flower diversity, flower area, tree density, and hardscape were measured and related to parasitoid abundance and diversity. During 2006 and 2007, parasitoids were sampled twice a month June-August using yellow sticky cards. Parasitoid abundance was a positive function of flower diversity, a local scale variable. The positive relationship between parasitoid abundance and flower diversity only occurred in areas containing high to moderate levels of urban development, suggesting parasitoids locally benefited from the increased availability of floral resources in urban but not rural sites. Parasitoid diversity decreased as impervious cover increased in the surrounding landscape. Parasitoid diversity decreased by approximately 10% in highly urbanized sites relative to rural sites, a pattern driven by several parasitoid families not detected in urban sites. These results suggest conservation strategies that focus on landscape variables at multiple scales can play an integral role in preserving beneficial arthropods across urban landscapes. Published by Elsevier B.V.</t>
  </si>
  <si>
    <t>10.1016/j.landurbplan.2011.09.007</t>
  </si>
  <si>
    <t>WOS:000298708800004</t>
  </si>
  <si>
    <t>A forest pathogen drives change in plant functional trait composition in the Southwest Australian Floristic Region</t>
  </si>
  <si>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</si>
  <si>
    <t>10.1016/j.agee.2010.11.004</t>
  </si>
  <si>
    <t>WOS:000298894500007</t>
  </si>
  <si>
    <t>Sharp decrease of genetic variation in two Spanish localities of razor clam Ensis siliqua: natural fluctuation or Prestige oil spill effects?</t>
  </si>
  <si>
    <t>Pollution is one of the main concerns in marine ecosystems nowadays. Environmental anthropogenic-mediated toxicants may affect genetic diversity both at the individual and ecosystem levels and may also alter the genetic structure of populations. This study examined the temporal pattern of genetic diversity among populations of the benthic bivalve Ensis siliqua in two locations of Galicia, following the Prestige oil spillage. On November 13, 2002 the oil tanker Prestige sank at 240 km from Galician coast and 63,000 tonnes of heavy fuel were released to the marine environment. E. siliqua samples were sampled between 2001 and 2006. Genetic variation was assessed by means of Random Amplification of Polymorphic DNA (RAPD). A significant decrease in genetic diversity was observed for the 2006 samples. Nei's genetic distance, fixation index (PhiPT), and PCA values also supported differences in the 2006 samples. We hypothesize that the temporal genetic variation observed in E. siliqua populations is due to a strong effect of genetic drift caused by a reduction in population size and that the indirect effects of the Prestige spill possibly caused this reduction.</t>
  </si>
  <si>
    <t>10.1007/s10646-011-0781-3</t>
  </si>
  <si>
    <t>WOS:000298996900023</t>
  </si>
  <si>
    <t>Warming, eutrophication, and predator loss amplify subsidies between aquatic and terrestrial ecosystems</t>
  </si>
  <si>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</si>
  <si>
    <t>10.1111/j.1365-2486.2011.02540.x</t>
  </si>
  <si>
    <t>WOS:000299042500010</t>
  </si>
  <si>
    <t>Species interactions are disrupted by habitat degradation in the highly threatened Tumbesian region of Ecuador</t>
  </si>
  <si>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</si>
  <si>
    <t>10.1890/10-1886.1</t>
  </si>
  <si>
    <t>WOS:000299166300011</t>
  </si>
  <si>
    <t>Phenotypic plasticity allows the Mediterranean parsley frog Pelodytes punctatus to exploit two temporal niches under continuous gene flow</t>
  </si>
  <si>
    <t>Environmental changes, such as climate change, lead to the opening of new niches. In such situations, species that adapt to new niches can survive and/or expand their ranges. However, gene flow can hamper genetic adaptation to new environments. Alternatively, recent models have highlighted the importance of phenotypic plasticity in tracking environmental change. Here, we investigate whether phenotypic plasticity or genetic evolution (or both) allows an amphibian species to exploit two divergent climatic niches. In the Mediterranean region, the parsley frog Pelodytes punctatus breeds both in spring, as do most other species, and in autumn, a temporal niche not exploited by most other species, but which may become increasingly important with global warming. Conditions of development are dramatically different between the two seasons and deeply impact tadpole life-history traits. To determine whether these temporal niches are exploited by two genetically differentiated subpopulations, or whether the bimodal phenology arises in a panmictic population displaying plastic life-history traits, we use two complementary approaches. We measure both molecular genetic differentiation and quantitative-trait differentiation between spring and autumn cohorts, using microsatellites and common garden experiments, respectively. Seasonal cohorts were not genetically differentiated and differences in tadpole life history between cohorts were not maintained in laboratory conditions. We conclude that phenotypic plasticity, rather than genetic adaptation, allows Parsley frog to exploit two contrasting temporal niches.</t>
  </si>
  <si>
    <t>10.1111/j.1365-294X.2011.05420.x</t>
  </si>
  <si>
    <t>WOS:000299416900008</t>
  </si>
  <si>
    <t>Genetic heterogeneity in natural beds of the razor clam Ensis siliqua revealed by microsatellites</t>
  </si>
  <si>
    <t>The aim of this study was to analyse the genetic diversity and population structure in the razor clam Ensis siliqua along the European Atlantic coast taking into account their recent history of exploitation and the 'Prestige' oil spill. To this end we examined the genetic variability of microsatellite markers in 211 razor clams from five populations in Ireland, Portugal and Spain. Microsatellite data revealed a low genetic differentiation between the Spanish and Portuguese populations (F-ST = 0-0.032) and a moderate differentiation of these populations and the Irish samples (F-ST = 0.071-0.100). Although we observed changes in genetic diversity in accordance with the level of exploitation and the distribution of the oil spill, these changes were mild and not significant after Bonferroni correction. This could be the result of a genuine low impact, lack of statistical power and/or the capacity of this species to recolonize quickly after the impact of anthropogenic stressors. Supporting the latter argument we found a significant temporal heterogeneity of allelic frequencies in samples coming from the same sampling locality that could be attributed to the movement of adults or larvae from unaffected source populations.</t>
  </si>
  <si>
    <t>10.1017/S0025315411000646</t>
  </si>
  <si>
    <t>WOS:000299655400015</t>
  </si>
  <si>
    <t>Biotic indexes reveal the impact of harbour enlargement on benthic fauna</t>
  </si>
  <si>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</si>
  <si>
    <t>10.1080/02757540.2011.570753</t>
  </si>
  <si>
    <t>WOS:000299690000003</t>
  </si>
  <si>
    <t>The effects of catchment land use on water quality and macroinvertebrate assemblages in Otara Creek, New Zealand</t>
  </si>
  <si>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</si>
  <si>
    <t>10.1080/02757540.2011.575374</t>
  </si>
  <si>
    <t>WOS:000299690700005</t>
  </si>
  <si>
    <t>Spatial and temporal variation of fish assemblages and their associations to habitat variables in a mountain stream of north Tiaoxi River, China</t>
  </si>
  <si>
    <t>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t>
  </si>
  <si>
    <t>10.1007/s10641-011-9928-6</t>
  </si>
  <si>
    <t>WOS:000299768600009</t>
  </si>
  <si>
    <t>A study of genetic variations, population size, and population dynamics of the catadromous Japanese eel Anguilla japonica (Pisces) in northern Taiwan</t>
  </si>
  <si>
    <t>Japanese eels are widely distributed in northeast Asian countries, and they have a catadromous life history. In this article, we explored whether Japanese elvers have temporal genetic structure and whether the population went through population expansion during the Pleistocene. In total, 273 specimens were collected from the Tanshui River estuary, northern Taiwan, in 1989-2008. The highly variable region of the mitochondrial DNA D-loop was cloned and sequenced. A genealogy was reconstructed based on the Neighbor-joining method, and results showed an unobvious yearly clade and a high level of haplotype diversity, but low mean nucleotide diversity among samples. Most of the pairwise F (ST) appeared statistically insignificant. These genetic parameters suggested a lack of temporal population structure combined with a sustainable high effective population size of Japanese eels. Negative values of Tajima's D and Fu's F (s) appeared in all samples with high significance. The mismatch distribution, skyline plot, and minimum spanning network indicated that historical population expansion of the Japanese eel could be traced back to the Pleistocene. Results of this study imply the Japanese eel has a complex life history, and the temporal structure of Japanese eels should be continually monitored in the future.</t>
  </si>
  <si>
    <t>10.1007/s10750-011-0958-z</t>
  </si>
  <si>
    <t>WOS:000299925200015</t>
  </si>
  <si>
    <t>Genetic diversity, population genetic structure and demographic history of Przewalski's gazelle (Procapra przewalskii): implications for conservation</t>
  </si>
  <si>
    <t>The Przewalski's gazelle (Procapra przewalskii) is one of the most endangered antelope species in the world. It is endemic to China and is a flagship species in the eastern part of the Qinghai-Tibet plateau. To establish effective conservation measures on this species, genetic information such as genetic structure is needed. However, there has not been a comprehensive genetic assessment on this gazelle using nuclear DNA markers yet. Here, we employed 13 microsatellite loci to investigate genetic diversity, population genetic structure and demographic history of Przewalski's gazelle using noninvasive samples of 169 wild gazelles collected from nine populations. A total of 76 alleles were detected from the entire samples, mean allele number was 5.85, and overall H-O and H-E were 0.525 and 0.552, respectively. Structure and GENELAND analyses found six genetic groups in the nine populations. Between the inferred genetic groups, significant genetic differentiation and low migration rates were detected. Demographic analyses indicated that Przewalski's gazelle experienced genetic bottleneck and severe population decline, with the ancestral effective population size reducing to less than one percent. Based on the results of this study, we provide several conservation recommendations for Przewalski's gazelle, such as six management units, periodic monitoring and special conservation consideration on the Qiejitan population.</t>
  </si>
  <si>
    <t>10.1007/s10592-011-0244-7</t>
  </si>
  <si>
    <t>WOS:000300092900006</t>
  </si>
  <si>
    <t>Reproductive synchrony in a recovering bottlenecked sea turtle population</t>
  </si>
  <si>
    <t>1. The assessment of species extinction risk has been well established for some time now. Assessing the potential for recovery in endangered species is however much more challenging, because complementary approaches are required to detect reliable signals of positive trends. 2. This study combines genetics, demography and behavioural data at three different time-scales to assess historical and recent population changes and evidence of reproductive synchrony in a small population of olive ridley sea turtle Lepidochelys olivacea. Lepidochelys is considered as the most extraordinary example of reproductive synchrony in reptiles, yet to date, it has only been reported in large populations. 3. Using Bayesian coalescent-based models on microsatellite nuclear DNA variability, we demonstrate that effective population size in olive ridleys nesting in French Guiana has dramatically declined by 99% over the last 20 centuries. This low current population size is further illustrated by the absence of genetic mitochondrial DNA diversity in the present nesting population. Yet, monitoring of nesting sites in French Guiana suggests a possible recovery of the population over the last decade. 4. Satellite telemetry shows that over the first 14 days of their 28-days inter-nesting interval, i.e. when eggs maturation is likely to occur, gravid females disperse over the continental shelf. They then gather together with a striking spatiotemporal consistency close to the nesting site, where they later emerge for their second nesting event. 5. Our results therefore suggest that reproductive synchrony also occurs in small populations. Olive ridleys may ensure this synchrony by adjusting the duration of the second half of their internesting interval prior to landing, possibly through social mediation. 6. Such reproductive synchrony may be related to the maintenance of some species-specific strategy despite former collapse and may contribute to the present population recovery. The gregarious behaviour of reproductive individuals close to shore where human-induced perturbations occur is however a cause for conservation concern for this still poorly known species.</t>
  </si>
  <si>
    <t>10.1111/j.1365-2656.2011.01915.x</t>
  </si>
  <si>
    <t>WOS:000300502600005</t>
  </si>
  <si>
    <t>Shifts in soil microorganisms in response to warming are consistent across a range of Antarctic environments</t>
  </si>
  <si>
    <t>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t>
  </si>
  <si>
    <t>10.1038/ismej.2011.124</t>
  </si>
  <si>
    <t>WOS:000300883200021</t>
  </si>
  <si>
    <t>Recovery of woody plant diversity in tropical rain forests in southern China after logging and shifting cultivation</t>
  </si>
  <si>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</si>
  <si>
    <t>10.1016/j.biocon.2011.11.009</t>
  </si>
  <si>
    <t>WOS:000301092400029</t>
  </si>
  <si>
    <t>Spatial and temporal patterns of neutral and adaptive genetic variation in the endangered African wild dog (Lycaon pictus)</t>
  </si>
  <si>
    <t>Deciphering patterns of genetic variation within a species is essential for understanding population structure, local adaptation and differences in diversity between populations. Whilst neutrally evolving genetic markers can be used to elucidate demographic processes and genetic structure, they are not subject to selection and therefore are not informative about patterns of adaptive variation. As such, assessments of pertinent adaptive loci, such as the immunity genes of the major histocompatibility complex (MHC), are increasingly being incorporated into genetic studies. In this study, we combined neutral (microsatellite, mtDNA) and adaptive (MHC class II DLA-DRB1 locus) markers to elucidate the factors influencing patterns of genetic variation in the African wild dog (Lycaon pictus); an endangered canid that has suffered extensive declines in distribution and abundance. Our genetic analyses found all extant wild dog populations to be relatively small (Ne &lt; 30). Furthermore, through coalescent modelling, we detected a genetic signature of a recent and substantial demographic decline, which correlates with human expansion, but contrasts with findings in some other African mammals. We found strong structuring of wild dog populations, indicating the negative influence of extensive habitat fragmentation and loss of gene flow between habitat patches. Across populations, we found that the spatial and temporal structure of microsatellite diversity and MHC diversity were correlated and strongly influenced by demographic stability and population size, indicating the effects of genetic drift in these small populations. Despite this correlation, we detected signatures of selection at the MHC, implying that selection has not been completely overwhelmed by genetic drift.</t>
  </si>
  <si>
    <t>10.1111/j.1365-294X.2012.05477.x</t>
  </si>
  <si>
    <t>WOS:000301116000007</t>
  </si>
  <si>
    <t>Past and Present Processes Influencing Genetic Diversity and Effective Population Size in a Natural Population of Atlantic Sturgeon</t>
  </si>
  <si>
    <t>Threats such as habitat loss, invasive species, and overexploitation cause species extinctions; however, stochastic processes can accelerate extinction rates as census sizes decline. Using molecular and ecological data, we explored the influence of these processes on the demography of a candidate species under the U. S. Endangered Species Act-the Atlantic sturgeon Acipenser oxyrinchus oxyrinchus. We used molecular microsatellite markers to estimate the effective population size (N-e) and effective number of breeders (N-b) and we used mark-recapture data to estimate the number of spawners (N-a) for Atlantic sturgeon of the Altamaha River, Georgia. We found that estimates of N-b were 7-45% less than the estimated N-a over four consecutive cohorts and that skewed sex ratios could explain the relative decrease of N-b to N-a. Our estimate of contemporary N-e was 125 (95% confidence interval = 75-348) and was at least an order of magnitude less than our estimate of historical N-e. To explain the large discrepancy between these estimates, we tested several alternative evolutionary scenarios that might explain the observed pattern of genetic diversity. Our results indicated that the observed genetic data were indeed best explained (i.e., 0.998 posterior probability of the data given the hypothesis) by overexploitation during the last half of the 20th century.</t>
  </si>
  <si>
    <t>10.1080/00028487.2011.651073</t>
  </si>
  <si>
    <t>WOS:000301154500006</t>
  </si>
  <si>
    <t>Habitat alteration and community-level effects of an invasive ecosystem engineer: a case study along the coast of NSW, Australia</t>
  </si>
  <si>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</si>
  <si>
    <t>10.3354/meps09547</t>
  </si>
  <si>
    <t>WOS:000301231500008</t>
  </si>
  <si>
    <t>Seabird conservation status, threats and priority actions: a global assessment</t>
  </si>
  <si>
    <t>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</si>
  <si>
    <t>10.1017/S0959270912000020</t>
  </si>
  <si>
    <t>WOS:000301298900001</t>
  </si>
  <si>
    <t>Assessing local scale impacts of Opuntia stricta (Cactaceae) invasion on beetle and spider diversity in Kruger National Park, South Africa</t>
  </si>
  <si>
    <t>There is a paucity of studies examining direct impacts of introduced alien species on biodiversity, a key need for motivating for alien species control in conservation areas. The introduced prickly pear (Opuntia stricta) has invaded some 35 000 ha of Kruger National Park. We investigated the effect of O. stricta on beetle and spider species assemblages in the Skukuza region of Kruger National Park. We used unbaited pitfall traps over a 12-month period in four treatments of varying O. stricta density. Species richness, species density and abundance of beetles and spiders were compared. A total of 72 beetle and 128 spider species were collected. Species richness and species density for beetles and spiders did not differ significantly across the four treatments. Assemblages for spiders did not differ across treatments but beetle assemblages were significantly different from uninvaded control sites. This study suggests that the current density of O. stricta does not significantly affect spider species richness, density or assemblages but that beetle assemblages are significantly affected.</t>
  </si>
  <si>
    <t>10.3377/004.046.0202</t>
  </si>
  <si>
    <t>WOS:000301469800002</t>
  </si>
  <si>
    <t>Environmental assessment in a shallow subtidal rocky habitat: approach coupling chemical and ecological tools</t>
  </si>
  <si>
    <t>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t>
  </si>
  <si>
    <t>10.1080/02757540.2011.619529</t>
  </si>
  <si>
    <t>WOS:000301591900001</t>
  </si>
  <si>
    <t>Absence of snow cover reduces understory plant cover and alters plant community composition in boreal forests</t>
  </si>
  <si>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</si>
  <si>
    <t>10.1007/s00442-011-2092-z</t>
  </si>
  <si>
    <t>WOS:000301705700026</t>
  </si>
  <si>
    <t>Influence of 'bouchot' mussel culture on the benthic environment in a dynamic intertidal system</t>
  </si>
  <si>
    <t>The present study examines the influence of mussel aquaculture structures (bouchots) in the intertidal zone of the Chausey Archipelago (Normandy, France) where strong tidal currents are predicted to disperse biodeposits. Six sites were sampled to determine the spatial variability of organic matter content, sediment grain size, and benthic infaunal community characteristics. The influence of bouchots on the benthic environment was evident at both the mesoscale (i.e. km-scale, between farm and reference sites) and small-scale (i.e. m-scale, spatial structure within farms but not reference sites). This influence was also apparent for sediment grain size distribution and most metrics of macrobenthic community structure, but not for sediment organic matter. Mussel culture structures likely modify natural flow patterns within farm sites, which increases shear stress around individual bouchots, thereby increasing the heterogeneity of benthic communities, altering the dominance of particular species within farms and differentiating them from reference sites.</t>
  </si>
  <si>
    <t>10.3354/aei00035</t>
  </si>
  <si>
    <t>WOS:000302066300002</t>
  </si>
  <si>
    <t>Extremely Low Genetic Diversity Indicating the Endangered Status of Ranodon sibiricus (Amphibia: Caudata) and Implications for Phylogeography</t>
  </si>
  <si>
    <t>Background: The Siberian salamander (Ranodon sibiricus), distributed in geographically isolated areas of Central Asia, is an ideal alpine species for studies of conservation and phylogeography. However, there are few data regarding the genetic diversity in R. sibiricus populations. Methodology/Principal Findings: We used two genetic markers (mtDNA and microsatellites) to survey all six populations of R. sibiricus in China. Both of the markers revealed extreme genetic uniformity among these populations. There were only three haplotypes in the mtDNA, and the overall nucleotide diversity in the mtDNA was 0.00064, ranging from 0.00000 to 0.00091 for the six populations. Although we recovered 70 sequences containing microsatellite repeats, there were only two loci that displayed polymorphism. We used the approximate Bayesian computation (ABC) method to study the demographic history of the populations. This analysis suggested that the extant populations diverged from the ancestral population approximately 120 years ago and that the historical population size was much larger than the present population size; i.e., R. sibiricus has experienced dramatic population declines. Conclusion/Significance: Our findings suggest that the genetic diversity in the R. sibiricus populations is the lowest among all investigated amphibians. We conclude that the isolation of R. sibiricus populations occurred recently and was a result of recent human activity and/or climatic changes. The Pleistocene glaciation oscillations may have facilitated intraspecies genetic homogeneity rather than enhanced divergence. A low genomic evolutionary rate and elevated inbreeding frequency may have also contributed to the low genetic variation observed in this species. Our findings indicate the urgency of implementing a protection plan for this endangered species.</t>
  </si>
  <si>
    <t>10.1371/journal.pone.0033378</t>
  </si>
  <si>
    <t>WOS:000302381500136</t>
  </si>
  <si>
    <t>Seaweed assemblage changes in the eastern Cantabrian Sea and their potential relationship to climate change</t>
  </si>
  <si>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</si>
  <si>
    <t>10.1016/j.ecss.2011.12.027</t>
  </si>
  <si>
    <t>WOS:000302448300011</t>
  </si>
  <si>
    <t>Nutrient enrichment and variation in community structure on rocky shores: The potential of molluscan assemblages for biomonitoring</t>
  </si>
  <si>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</si>
  <si>
    <t>10.1016/j.ecss.2011.12.034</t>
  </si>
  <si>
    <t>WOS:000302448300016</t>
  </si>
  <si>
    <t>Climate-induced range contraction drives genetic erosion in an alpine mammal</t>
  </si>
  <si>
    <t>Increasing documentation of changes in the distribution of species provides evidence of climate change impacts(1), yet surprisingly little empirical work has endeavoured to quantify how such recent and rapid changes impact genetic diversity(2). Here we compare modern and historical specimens spanning a century to quantify the population genetic effects of a climate-driven elevational range contraction in the alpine chipmunk, Tamias alpinus, in Yosemite National Park, USA. Previous work showed that T. alpinus responded to warming in the park by retracting its lower elevational limit upslope by more than 500 m, whereas the closely related chipmunk T. speciosus remained stable(3,4). Consistent with a reduced and more fragmented range, we found a decline in overall genetic diversity and increased genetic subdivision in T. alpinus. In contrast, there were no significant genetic changes in T. speciosus over the same time period. This study demonstrates genetic erosion accompanying a climate-induced range reduction and points to decreasing size and increasing fragmentation of montane populations as a result of global warming.</t>
  </si>
  <si>
    <t>10.1038/NCLIMATE1415</t>
  </si>
  <si>
    <t>WOS:000302672800024</t>
  </si>
  <si>
    <t>Impact of simulated nitrogen pollution on heathland microfauna, mesofauna and plants</t>
  </si>
  <si>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</si>
  <si>
    <t>10.1016/j.ejsobi.2011.08.003</t>
  </si>
  <si>
    <t>WOS:000302736500010</t>
  </si>
  <si>
    <t>Genetic differentiation between collections of hatchery and wild masu salmon (Oncorhynchus masou) inferred from mitochondrial and microsatellite DNA analyses</t>
  </si>
  <si>
    <t>There has been very little effort to understand genetic divergence between wild and hatchery populations of masu salmon (Oncorhynchus masou). In this study, we used mitochondrial (mt) NADH dehydrogenase subunit 5 gene (ND5) and six polymorphic nuclear microsatellite DNA loci to compare the genetic variability in three hatchery broodstocks of masu salmon with the variability in eight putative wild masu populations sampled in five rivers including one known source river for the hatchery broodstocks. Both ND5 and microsatellites showed no significant genetic divergence (based on F-ST estimates) between four annual collections from the source river population, suggesting no change in genetic diversity over this time period. The F-ST estimates, an analysis of molecular variance (AMOVA), and a neighbor-joining tree using both DNA markers suggested significant differentiation between the three hatchery and all eight putative wild populations. We conclude that genetic diversity of hatchery populations are low relative to putative wild populations of masu salmon, and we discuss the implications for conservation and fisheries management in Hokkaido.</t>
  </si>
  <si>
    <t>10.1007/s10641-011-9869-0</t>
  </si>
  <si>
    <t>WOS:000302742500019</t>
  </si>
  <si>
    <t>Mature non-native black-locust (Robinia pseudoacacia L.) forest does not regain the lichen diversity of the natural forest</t>
  </si>
  <si>
    <t>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t>
  </si>
  <si>
    <t>10.1016/j.scitotenv.2012.01.051</t>
  </si>
  <si>
    <t>WOS:000302832500020</t>
  </si>
  <si>
    <t>Adapting global biodiversity indicators to the national scale: A Red List Index for Australian birds</t>
  </si>
  <si>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</si>
  <si>
    <t>10.1016/j.biocon.2012.01.062</t>
  </si>
  <si>
    <t>WOS:000302840100007</t>
  </si>
  <si>
    <t>From forests to cattail: how does the riparian zone influence stream fish?</t>
  </si>
  <si>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</si>
  <si>
    <t>10.1590/S1679-62252012000100020</t>
  </si>
  <si>
    <t>WOS:000302926400020</t>
  </si>
  <si>
    <t>Beach recreation impacts benthic invertebrates on ocean-exposed sandy shores</t>
  </si>
  <si>
    <t>Ocean beaches are prime recreational assets and are becoming increasingly urbanised: more beaches today front metropolitan regions, are mechanically cleaned, and are used for recreation by increasing numbers of residents and tourists. This 'urbanisation' of beaches presents complex management and conservation challenges, including the accurate determination of ecological effects caused by human beach use. Here we tested whether spatial variation in recreational beach use translates into ecological changes in the benthic invertebrate assemblages inhabiting the intertidal zone in Eastern Australia. Detected faunal changes were consistent with an interpretation of trampling impacts on the lower part of the beach: here, reductions in key ecological measures were significant in terms of total abundance (-72% to -44% lower than control areas), and species richness (-55% to -5%), resulting in significant shifts in community structure. Conversely, upper-shore assemblages were structurally similar between trampling treatments. Because benthic invertebrates are structurally and functionally important in beach ecosystems (e.g. nutrient cycling, trophic links), human impacts from recreation are likely to propagate beyond the macrobenthos and hence require mitigation. Conservation measures for beaches are challenging in urban settings. However, a practicable approach to systematic conservation planning for urban beaches that recognises the social and political reality of beaches having a prime role as recreational assets while maximising environmental outcomes via spatial zoning and visitor management is not unrealistic. (C) 2011 Elsevier Ltd. All rights reserved.</t>
  </si>
  <si>
    <t>10.1016/j.biocon.2011.12.022</t>
  </si>
  <si>
    <t>WOS:000302972700016</t>
  </si>
  <si>
    <t>Genetic structure and differentiation at a short-time scale of the introduced calcarean sponge Paraleucilla magna to the western Mediterranean</t>
  </si>
  <si>
    <t>The allochthonous calcarean sponge Paraleucilla magna has proliferated in the western Mediterranean during the last decade, where it currently shows a highly patchy distribution with dense populations in the neighboring of sea farms and slightly eutrophised marinas, and more sparse populations in well-preserved habitats. To gain knowledge about the species invasive capacity, we studied spatial genetic differentiation and structure, clonality, and temporal differentiation, in three close populations of P. magna at the NE of the Iberian Peninsula, in three successive years. The study hypothesis was that the species is able to proliferate under favorable conditions in newly colonized habitats but populations can easily disappear where perturbations occur with some frequency. Samples were genotyped for nine polymorphic microsatellites. Spatial genetic structure was found in the three populations of 2006. One population disappeared in 2007, and the other two remained slightly differentiated, while the three populations were in place again in 2008, and showed very low (but significant) F-ST values, and non-significant D values. Low but statistically significant differentiation also occurred for the three populations between years. Results showed high-allele diversity, but heterozygote deficit and changes in allele frequencies in the populations over the 3 years, which are consistent with some genetic drift. The whole population descriptors pointed to the species as a good opportunistic colonizer as it has been hypothesized, but highly sensitive to stochastic events affecting recruitment. This suggests a high impact of the species in favorable habitats (sea culture and sheltered zones) and a low-medium influence in native communities.</t>
  </si>
  <si>
    <t>10.1007/s10750-011-0948-1</t>
  </si>
  <si>
    <t>WOS:000303066300008</t>
  </si>
  <si>
    <t>Ostracoda (Crustacea) as indicators for surface water quality: a case study from the Ledra River basin (NE Italy)</t>
  </si>
  <si>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</si>
  <si>
    <t>10.1007/s10750-010-0568-1</t>
  </si>
  <si>
    <t>WOS:000303066600003</t>
  </si>
  <si>
    <t>Meiofauna as an indicator for assessing the impact of fish farming at an exposed marine site</t>
  </si>
  <si>
    <t>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t>
  </si>
  <si>
    <t>10.1016/j.ecolind.2011.12.015</t>
  </si>
  <si>
    <t>WOS:000303284500051</t>
  </si>
  <si>
    <t>Multi-marker estimate of genetic connectivity of sole (Solea solea) in the North-East Atlantic Ocean</t>
  </si>
  <si>
    <t>A thorough knowledge on the genetic connectivity of marine populations is important for fisheries management and conservation. Using a dense population sampling design and two types of neutral molecular markers (10 nuclear microsatellite loci and a mtDNA cytochrome b fragment), we inferred the genetic connectivity among the main known spawning grounds of sole (Solea solea L.) in the North-East Atlantic Ocean. The results revealed a clear genetic structure for sole in the North-East Atlantic Ocean with at least three different populations, namely the Kattegat/Skagerrak region, the North Sea and the Bay of Biscay, and with indications for a fourth population, namely the Irish/Celtic Sea. The lack of genetically meaningful differences between biological populations within the southern North Sea is likely due to a large effective population size and sufficient connection (gene flow) between populations. Nevertheless, an isolation-by-distance pattern was found based on microsatellite genotyping, while no such pattern was observed with the cytochrome b marker, indicating an historical pattern prevailing in the latter marker. Our results demonstrate the importance of a combined multi-marker approach to understand the connectivity among marine populations at region scales.</t>
  </si>
  <si>
    <t>10.1007/s00227-012-1905-x</t>
  </si>
  <si>
    <t>WOS:000303472100006</t>
  </si>
  <si>
    <t>Inferring the ancestry of African wild dogs that returned to the Serengeti-Mara</t>
  </si>
  <si>
    <t>An endangered population of African wild dogs (Lycaon pictus) disappeared from the Serengeti-Mara area in 1991. The reasons for the extinction are not well understood, but disease was implicated in the disappearance. In 2001, wild dogs naturally re-established themselves in the region. We conducted genetic profiling on samples collected prior and subsequent to this event, as well as samples from three geographically close populations, to determine the potential source of colonisers. Contrary to expectations, we found no evidence of re-colonisation from these nearby wild dog populations. Rather, our analyses suggest that the re-established animals are primarily derived from the same genetic population as the pre-extinction animals, indicating that wild dogs are likely to have persisted in the Serengeti-Mara after 1991. We also detected some migrants that could be derived from genetically distinct populations outside the recovery area. Overall, we did not detect a decline in genetic diversity at either neutral microsatellites or major histocompatibility complex loci, indicating that the supposed disappearance of wild dogs in the Serengeti-Mara did not substantially impact genetic variation of the population.</t>
  </si>
  <si>
    <t>10.1007/s10592-011-0304-z</t>
  </si>
  <si>
    <t>WOS:000303476600020</t>
  </si>
  <si>
    <t>Reduced Impacts or A Longer Lag Phase? Tamarix in the Northwestern USA</t>
  </si>
  <si>
    <t>Tamarix spp. (tamarisk) have caused ecological impacts in the southwestern United States; however, such impacts have not been extensively studied in the Northwest where tamarisk is a relatively new invader. Here we present the results of soil, arbuscular mycorrhizal fungi, and vegetation studies from tamarisk-occupied and unoccupied areas on the dammed Bighorn River, Fort Peck Reservoir, and the free flowing Yellowstone River, in Montana. Soil sample results indicated that at Fort Peck Reservoir soil salinity was twice as high at occupied sites compared to unoccupied ones, and at the Bighorn River occupied sites nitrate, phosphorus and potassium were 2.2, 4, and 1.9 times higher, respectively, than at unoccupied sites. No soil differences were observed on the Yellowstone River. Mycorrhizal infectivity potential was high in both occupied and unoccupied soils, with a slight reduction (from 73% to 65% colonization) in tamarisk occupied soils. These impacts were statistically but not ecologically significant and did not extend to other metrics of impact such as richness, Simpson's diversity or composition of plant communities. Our results indicate that either tamarisk has minimal impacts in the northwest, or it is still in a lag phase.</t>
  </si>
  <si>
    <t>10.1007/s13157-012-0283-y</t>
  </si>
  <si>
    <t>WOS:000303884100009</t>
  </si>
  <si>
    <t>Bottlenecks and loss of genetic diversity: spatio-temporal patterns of genetic structure in an ascidian recently introduced in Europe</t>
  </si>
  <si>
    <t>We explored temporal patterns of genetic diversity and spatial genetic structure of the recently introduced ascidian Perophora japonica Oka, 1927 in Europe. A fragment of the mitochondrial gene cytochrome c oxidase subunit I (COI) was sequenced for 291 colonies of one population in Plymouth, UK, which was monitored for 9 yr after its initial discovery. A total of 238 colonies from 12 localities were also sequenced for population structure analyses. The temporal monitoring of the Plymouth population showed a progressive loss of genetic diversity over time attributable to a strong initial bottleneck followed by genetic drift and/or selection. Population genetic structure was consistent with the historical records of this introduction, which probably originated from oyster farming activities in France, from where the species spread to the UK and Spain. Only one population in France displayed high levels of genetic diversity, and most of the remaining populations presented very low variability. In addition, significant differentiation in terms of allele frequencies was detected between some populations. P. japonica has suffered a loss of genetic diversity in both space and time since its introduction, but this did not prevent its expansion. Accidental human transport is the most likely mechanism of spread within the introduced range. Asexual propagation modes and chimerism in this species may play an important role in introduction events. The genetic data presented here can contribute to the design of more efficient management methods for this and similar introduced-species.</t>
  </si>
  <si>
    <t>10.3354/meps09560</t>
  </si>
  <si>
    <t>WOS:000303908000007</t>
  </si>
  <si>
    <t>The widespread collapse of an invasive species: Argentine ants (Linepithema humile) in New Zealand</t>
  </si>
  <si>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</si>
  <si>
    <t>10.1098/rsbl.2011.1014</t>
  </si>
  <si>
    <t>WOS:000303933300032</t>
  </si>
  <si>
    <t>Temperature-related changes in polar cyanobacterial mat diversity and toxin production</t>
  </si>
  <si>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</si>
  <si>
    <t>10.1038/NCLIMATE1418</t>
  </si>
  <si>
    <t>WOS:000304024800020</t>
  </si>
  <si>
    <t>Habitat characteristics may override climatic influences on ant assemblage composition: a study using a 300-km climatic gradient</t>
  </si>
  <si>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</si>
  <si>
    <t>10.1071/ZO11096</t>
  </si>
  <si>
    <t>WOS:000304091200006</t>
  </si>
  <si>
    <t>Impact of rubber plantation on carabid beetle communities and species distribution in a changing tropical landscape (southern Yunnan, China)</t>
  </si>
  <si>
    <t>Carabid beetles (Coleoptera: Carabidae) have widely been used to assess biodiversity values of different habitats in cultivated landscapes, but rarely in the humid tropics. This study aimed to investigate effects of land use change on the carabid assemblages in a tributary valley of the Mekong River in tropical southern Yunnan, China. The study area includes habitats of traditional land use systems (rice production and shifting cultivation successions) and was dominated by natural forests until about 30 years ago. Since then, large areas of forest have been, and still are, successively transformed into commercial rubber monoculture plantations. In total, 102 species of Carabidae (including Cicindelinae) were recorded from 13 sites over different seasons, using pitfall traps, Malaise traps and aerial collectors in trees. Cluster analysis and indicator species analysis showed that three types of habitat (rice field fallows, early natural successions and natural forest) possess a degree of uniqueness in species composition. Non-metric multidimensional scaling revealed that the environmental factors explaining 80% of the total variation in carabid assemblage composition are the degree of vegetational openness of a habitat and its plant species diversity. Rice field fallows had significantly higher numbers of species and individuals than any other type of habitat and are probably dominated by species originating from other regions. Carabid assemblages of young rubber plantations (5 and 8 years) were quantitatively similar to those of forests, but without species of significant indicator value. With increasing plantation age (20 and 40 years), the number of carabid species decreased. Increasing age and a further spatial expansion of rubber plantations at the expense of forest areas will have negative impacts on the native forest carabid assemblages with strongest effects on forest specialists and rare species.</t>
  </si>
  <si>
    <t>10.1007/s10841-011-9428-1</t>
  </si>
  <si>
    <t>WOS:000304135600010</t>
  </si>
  <si>
    <t>Butterfly response to floral resources during early establishment at a heterogeneous prairie biomass production site in Iowa, USA</t>
  </si>
  <si>
    <t>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t>
  </si>
  <si>
    <t>10.1007/s10841-011-9433-4</t>
  </si>
  <si>
    <t>WOS:000304135600013</t>
  </si>
  <si>
    <t>Homegarden agroforestry systems: an intermediary for biodiversity conservation in Bangladesh</t>
  </si>
  <si>
    <t>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t>
  </si>
  <si>
    <t>10.1007/s10457-012-9515-7</t>
  </si>
  <si>
    <t>WOS:000304153100003</t>
  </si>
  <si>
    <t>Changes in subtidal assemblages in a scenario of warming: Proliferations of ephemeral benthic algae in the Canary Islands (eastern Atlantic Ocean)</t>
  </si>
  <si>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</si>
  <si>
    <t>10.1016/j.marenvres.2012.03.004</t>
  </si>
  <si>
    <t>WOS:000304296700015</t>
  </si>
  <si>
    <t>Effects of macroalgal identity on epifaunal assemblages: native species versus the invasive species Sargassum muticum</t>
  </si>
  <si>
    <t>Seaweeds are a refuge from stressful conditions associated with life on rocky intertidal shores, and there is evidence that different macrophytes support different assemblages of mobile epifauna. Introduction of non-indigenous macroalgae may have a great impact on associated epifaunal assemblages and ecosystem processes in coastal areas. Previous studies have reported conflicting evidences for the ability of epifauna to colonize non-indigenous species. Here, we analyzed epifaunal assemblages associated with three species of macroalgae that are very abundant on intertidal shores along the Galician coast: the two native species Bifurcaria bifurcata and Saccorhiza polyschides and the invasive species Sargassum muticum. We collected samples of each species from three different sites at three different times to test whether variability of epifaunal assemblages was consistent over space and time. Epifaunal assemblages differed between the three macroalgae. Results suggested that stability and morphology of habitat played an important role in shaping the structure of epifaunal assemblages. This study also showed that the invasive S. muticum offered a suitable habitat for many invertebrates.</t>
  </si>
  <si>
    <t>10.1007/s10152-011-0257-0</t>
  </si>
  <si>
    <t>WOS:000304298100005</t>
  </si>
  <si>
    <t>Comparing assemblages of Asteraceae and their insect herbivores under different land-use regimens</t>
  </si>
  <si>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</si>
  <si>
    <t>10.1111/j.1442-9993.2011.02294.x</t>
  </si>
  <si>
    <t>WOS:000304389700002</t>
  </si>
  <si>
    <t>Long-Term Changes in Population Dynamics of the Shrimp Palaemon longirostris in the Gironde Estuary</t>
  </si>
  <si>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</si>
  <si>
    <t>10.1007/s12237-012-9506-y</t>
  </si>
  <si>
    <t>WOS:000304697600014</t>
  </si>
  <si>
    <t>Dense regeneration of floodplain Eucalyptus coolabah: invasive scrub or passive restoration of an endangered woodland community?</t>
  </si>
  <si>
    <t>Clearing of native vegetation and changes to disturbance regimes have resulted in dense regeneration of native trees and shrubs in parts of Australia. The conversion of open vegetation to dense woodlands may result in changes to the composition of plant communities and ecosystem function if structure, composition and function are tightly linked. Widespread clearing of the floodplain tree Eucalyptus coolabah subsp. coolabah (coolibah), in New South Wales, Australia, has led to state and federal listings of coolibah woodland as an endangered ecological community. Dense regeneration of coolibah in the mid 1970s, however, also resulted in its listing as an 'invasive native species' in NSW, meaning it can be legally cleared under certain conditions. Dense regeneration could be a novel state dissimilar to the threatened community or it could represent the next generation of coolibah woodlands and may contribute to passive restoration of heavily cleared landscapes. This study investigated if dense stands are distinct from remnant woodland by comparing floristic composition of the ground-storey community and top-soil properties of four coolibah vegetation states: derived grassland, derived degraded grassland, dense regeneration and remnant woodland. Ground-storey composition was found to overlap broadly among states regardless of tree density. Most species were common to all states, although dense regeneration contained characteristic woodland species that were absent from grasslands. The carbon : nitrogen ratio of the soil was significantly higher in dense regeneration and remnant woodland than in either of the grassland states, indicating that the woody states are broadly similar in terms of nutrient cycling. The study demonstrates that structurally different vegetation states (grasslands, woodlands and dense regeneration) are not associated with distinct plant communities. The results also suggest that grazing management has a more pronounced effect on ground-storey composition of plant communities than tree density and that well managed derived grasslands and dense regeneration are floristically similar to remnant woodlands. Since dense regeneration and remnant woodlands are not floristically distinct from one another, dense regeneration could contribute to the conservation of endangered coolibah woodlands in cleared agricultural landscapes.</t>
  </si>
  <si>
    <t>10.1071/RJ12008</t>
  </si>
  <si>
    <t>WOS:000304769700010</t>
  </si>
  <si>
    <t>Large-scale, long-term trends in British river macroinvertebrates</t>
  </si>
  <si>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</si>
  <si>
    <t>10.1111/j.1365-2486.2012.02662.x</t>
  </si>
  <si>
    <t>WOS:000304820300009</t>
  </si>
  <si>
    <t>Amphibian and butterfly diversity across a tropical land-use gradient in Sri Lanka; implications for conservation decision making</t>
  </si>
  <si>
    <t>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t>
  </si>
  <si>
    <t>10.1111/j.1469-1795.2011.00507.x</t>
  </si>
  <si>
    <t>WOS:000305118700009</t>
  </si>
  <si>
    <t>Attributing carbon changes in conterminous U.S. forests to disturbance and non-disturbance factors from 1901 to 2010</t>
  </si>
  <si>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</si>
  <si>
    <t>10.1029/2011JG001930</t>
  </si>
  <si>
    <t>WOS:000305154000001</t>
  </si>
  <si>
    <t>How deforestation pattern in the Amazon influences vertebrate richness and community composition</t>
  </si>
  <si>
    <t>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t>
  </si>
  <si>
    <t>10.1007/s10980-012-9729-0</t>
  </si>
  <si>
    <t>WOS:000305218000002</t>
  </si>
  <si>
    <t>Native forest management in subtropical South America: long-term effects of logging and multiple-use on forest structure and diversity</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</si>
  <si>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</si>
  <si>
    <t>10.1007/s10531-012-0287-1</t>
  </si>
  <si>
    <t>WOS:000305228400004</t>
  </si>
  <si>
    <t>Determinants of extinction in fragmented plant populations: Crepis sancta (asteraceae) in urban environments</t>
  </si>
  <si>
    <t>Local populations are subject to recurrent extinctions, and small populations are particularly prone to extinction. Both demographic (stochasticity and the Allee effect) and genetic factors (drift load and inbreeding depression) potentially affect extinction. In fragmented populations, regular dispersal may boost population sizes (demographic rescue effect) or/and reduce the local inbreeding level and genetic drift (genetic rescue effect), which can affect extinction risks. We studied extinction processes in highly fragmented populations of the common species Crepis sancta (Asteraceae) in urban habitats exhibiting a rapid turnover of patches. A four-year demographic monitoring survey and microsatellite genotyping of individuals allowed us to study the determinants of extinction. We documented a low genetic structure and an absence of inbreeding (estimated by multilocus heterozygosity), which suggest that genetic factors were not a major cause of patch extinction. On the contrary, local population size was the main factor in extinction, whereas connectivity was shown to decrease patch extinction, which we interpreted as a demographic rescue effect that was likely due to better pollination services for reproduction. This coupling of demographic and genetic tools highlighted the importance of dispersal in local patch extinctions of small fragmented populations connected by gene flow.</t>
  </si>
  <si>
    <t>10.1007/s00442-011-2229-0</t>
  </si>
  <si>
    <t>WOS:000305229400012</t>
  </si>
  <si>
    <t>Limited genetic impacts of habitat fragmentation in an old rare relict tree, Euptelea pleiospermum (Eupteleaceae)</t>
  </si>
  <si>
    <t>Euptelea pleiospermum is an old rare tree species distributed along the high-elevation streamsides in Burma, China, and India. Deforestation and construction of roads for timber transport have highly fragmented the natural habitats of this species in the Shennongjia Forestry District. In this study, we used this fragmentation to test the hypothesis that old rare tree species are insusceptible to the genetic consequences of habitat fragmentation. Using eight microsatellite loci, we estimated allelic richness (A (R)), observed heterozygosity (H (O)), expected heterozygosity (H (E)), Wright's inbreeding coefficient (F (IS)), and genetic differentiation (F (ST) and D (EST)) between pre- and post-fragmentation cohorts. We found no significant differences in either genetic diversity or genetic differentiation between the two cohorts. The limited genetic effects of fragmentation may result from too few fragmented generations, because the time between the start of fragmentation (year 1970) and our study (year 2008) was less than one generation of this tree species. It should be mentioned that clonal reproduction by sprouting, a common phenomenon in many old rare tree species, can help E. pleiospermum buffer the genetic impacts of fragmentation by delaying the time between generations. Therefore, we conclude that this old rare tree species show limited genetic impacts from recent habitat fragmentation. However, the elimination of rare alleles and increase of inbreeding coefficient in the post-fragmentation cohort are early warnings of deleterious genetic consequences of fragmentation. Our results provide valuable information to formulate conservation and restoration guidelines for E. pleiospermum.</t>
  </si>
  <si>
    <t>10.1007/s11258-012-0052-2</t>
  </si>
  <si>
    <t>WOS:000305235100003</t>
  </si>
  <si>
    <t>Effects of pine invasion on anurans assemblage in southern Brazil coastal ponds</t>
  </si>
  <si>
    <t>The destruction of wetlands due to afforestation areas is a common activity in temperate and subtropical regions in Southern America. The expansion of pine in the Coastal Plain of Southern Brazil is out of control and its impacts on aquatic biodiversity are little known. We tested the following hypotheses: the pine occurrence diminishes the anuran richness and abundance in ponds and it changes the anuran composition; the beta-diversity between pine and native grassland matrix ponds (natural ponds) is determined mainly by nestedness. Sampling was carried out from 2007 to 2009 in five ponds in pine invasion matrix and five ponds in native grassland matrix. The natural ponds showed a greater richness of tadpoles (10 species) than pine ponds (5 species). The mean richness of adults was higher in natural ponds than pine ponds throughout the entire study. The species composition was different between natural and pine ponds, for both adults and tadpoles. Comparing natural ponds with each other and the pine ponds with each other, our results showed that neither nestedness nor turnover was determinant for beta-diversity. However, when natural ponds were compared with pine ones, we found that the contribution of nestedness was higher for the anurans beta-diversity than turnover. Increases in the nestedness mechanism indicated that the pine occurrence results in species loss in Southern Brazil ponds. Since 90% of its wetland has been already affected, the removal of Pinus in the conservation areas in southern Brazil is important to minimize their impacts on aquatic biodiversity.</t>
  </si>
  <si>
    <t>10.1163/156853812X638518</t>
  </si>
  <si>
    <t>WOS:000305270600007</t>
  </si>
  <si>
    <t>Population Genetic Structure and Colonisation History of the Tool-Using New Caledonian Crow</t>
  </si>
  <si>
    <t>New Caledonian crows exhibit considerable variation in tool making between populations. Here, we present the first study of the species' genetic structure over its geographical distribution. We collected feathers from crows on mainland Grande Terre, the inshore island of Toupeti, and the nearby island of Mare where it is believed birds were introduced after European colonisation. We used nine microsatellite markers to establish the genotypes of 136 crows from these islands and classical population genetic tools as well as Approximate Bayesian Computations to explore the distribution of genetic diversity. We found that New Caledonian crows most likely separate into three main distinct clusters: Grande Terre, Toupeti and Mare. Furthermore, Toupeti and Mare crows represent a subset of the genetic diversity observed on Grande Terre, confirming their mainland origin. The genetic data are compatible with a colonisation of Mare taking place after European colonisation around 1900. Importantly, we observed (1) moderate, but significant, genetic differentiation across Grande Terre, and (2) that the degree of differentiation between populations on the mainland increases with geographic distance. These data indicate that despite individual crows' potential ability to disperse over large distances, most gene flow occurs over short distances. The temporal and spatial patterns described provide a basis for further hypothesis testing and investigation of the geographical variation observed in the tool skills of these crows.</t>
  </si>
  <si>
    <t>10.1371/journal.pone.0036608</t>
  </si>
  <si>
    <t>WOS:000305336100047</t>
  </si>
  <si>
    <t>Population genetic structure and gene flow patterns between populations of the Antarctic icefish Chionodraco rastrospinosus</t>
  </si>
  <si>
    <t>Aim A lack of genetic structure is predicted for Antarctic fish due to the duration of pelagic larval stages and the strength of the currents in the Southern Ocean, particularly the Antarctic Circumpolar Current. In this study we explored the population structure of the ocellated icefish, Chionodraco rastrospinosus, by means of analysing a total of 394 individuals collected at four geographical areas off the Antarctic Peninsula in the period 19962006. Location Elephant Island, southern South Shetlands, Joinville Island and South Orkneys in the Southern Ocean. Methods The spatio-temporal genetic structure of Chionodraco rastrospinosus was explored using seven microsatellite loci. Existence and direction of gene flow across sampling locations were investigated using the isolation-by-migration procedure. Results Microsatellite data showed a lack of genetic structuring in the area studied, with no differences found at both the geographical or temporal level, and an eastward unidirectional gene flow among sites. This suggested a lack of genetic barriers for this species, attributable to larval dispersal following the Antarctic Circumpolar Current, which fits well with the predicted pattern for Antarctic fish. Re-examination of genetic data of the closely related icefish Chaenocephalus aceratus, with similar larval duration but displaying genetically structured populations, indicated a weak but significant bidirectional gene flow. Main conclusions Our results point to a relationship that is more complex than expected between potential for dispersal and realized gene flow in the marine environment. In addition to ocean circulation and larval dispersal, other major life-history traits might be driving connectivity, particularly larval retention.</t>
  </si>
  <si>
    <t>10.1111/j.1365-2699.2011.02682.x</t>
  </si>
  <si>
    <t>WOS:000305452500013</t>
  </si>
  <si>
    <t>Abiotic drivers of coastal fish community change during four decades in the Baltic Sea</t>
  </si>
  <si>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</si>
  <si>
    <t>10.1093/icesjms/fss072</t>
  </si>
  <si>
    <t>WOS:000305461200004</t>
  </si>
  <si>
    <t>Reduced Ectomycorrhizae on Oak near Invasive Garlic Mustard</t>
  </si>
  <si>
    <t>Invasive plants may disrupt symbioses between plants and soil biota. We tested whether ectomycorrhizal fungi (ECM) associating with Quercus rubra (Northern Red Oak) seedlings was lower near invasive Alliaria petiolata (Garlic Mustard). We quantified ECM colonization, identified morphotypes, and compared composition in forests with contrasting Garlic Mustard densities. Seedlings had lower ECM colonization and diversity in a stand with dense Garlic Mustard than in a stand without Garlic Mustard. ECM composition also differed between stands. Seedlings in a stand with moderate density Garlic Mustard had marginally less ECM than those at the no Garlic Mustard site. These findings suggest that ECM association is negatively correlated with Garlic Mustard invasion. This association may result in lasting changes to forest communities and hinder site restoration following Garlic Mustard removal.</t>
  </si>
  <si>
    <t>10.1656/045.019.0101</t>
  </si>
  <si>
    <t>WOS:000305920900001</t>
  </si>
  <si>
    <t>The impact of an invasive predator (Orconectes rusticus) on freshwater snail communities: insights on habitat-specific effects from a multilake long-term study</t>
  </si>
  <si>
    <t>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t>
  </si>
  <si>
    <t>10.1139/F2012-052</t>
  </si>
  <si>
    <t>WOS:000306000100003</t>
  </si>
  <si>
    <t>Invertebrate community composition differs between invasive herb alligator weed and native sedges</t>
  </si>
  <si>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</si>
  <si>
    <t>10.1016/j.actao.2012.04.007</t>
  </si>
  <si>
    <t>WOS:000306090700008</t>
  </si>
  <si>
    <t>Variations in the endemic fish assemblage of a global freshwater ecoregion: Associations with introduced species in cascading reservoirs</t>
  </si>
  <si>
    <t>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t>
  </si>
  <si>
    <t>10.1016/j.actao.2012.04.005</t>
  </si>
  <si>
    <t>WOS:000306090700012</t>
  </si>
  <si>
    <t>Spatial variation of benthic infaunal communities in baie de Gaspe (eastern Canada) - Influence of mussel aquaculture</t>
  </si>
  <si>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</si>
  <si>
    <t>10.1016/j.aquaculture.2012.05.037</t>
  </si>
  <si>
    <t>WOS:000306171100007</t>
  </si>
  <si>
    <t>Traits explain community disassembly and trophic contraction following experimental environmental change</t>
  </si>
  <si>
    <t>Many ecosystems are currently undergoing dramatic changes in biodiversity due to habitat loss and climate change. Responses to global change at the community level are poorly understood, as are the impacts of community disassembly on ecosystem-level processes. Uncertainties remain regarding the patterns of extirpation and persistence under single vs. multiple forms of environmental change. Here, we use a trait-based and food web approach to examine the effects of experimentally changing moisture, temperature and habitat openness on a functionally important group of microarthropods associated with a boreal forest floor bryosphere (detrital moss) system. Overall, the outcome of community disassembly was mediated by the correlation between our environmental factors and species traits, particularly body size. Minor increases in summer temperatures maintained greater species richness, whereas drought stress had a significant negative effect on community-level abundance and richness. These effects were reflected in modifications to the community-wide body-size spectra. Habitat openness alleviated biodiversity loss in the larger-bodied species of the most abundant taxonomic group, but did not fully mitigate the effects of drought. The most striking result of this experiment was an overall contraction of the food web among persistent species under drought stress (i.e. those not extirpated by environmental change). These results suggest that major changes in boreal microarthropod community structure are likely to occur in response to common forms of global change. Moreover, the contraction in trophic structure even amongst tolerant species suggests that ecosystem function within the bryosphere can be altered by environmental change.</t>
  </si>
  <si>
    <t>10.1111/j.1365-2486.2012.02725.x</t>
  </si>
  <si>
    <t>WOS:000306228300007</t>
  </si>
  <si>
    <t>Biological aspects and ecological effects of a bed of the invasive non-indigenous mussel Brachidontes pharaonis (Fischer P., 1870) in Malta</t>
  </si>
  <si>
    <t>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t>
  </si>
  <si>
    <t>10.12681/mms.32</t>
  </si>
  <si>
    <t>WOS:000306303500015</t>
  </si>
  <si>
    <t>The Likelihood of Extinction of Iconic and Dominant Herbivores and Detritivores of Coral Reefs: The Parrotfishes and Surgeonfishes</t>
  </si>
  <si>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</si>
  <si>
    <t>10.1371/journal.pone.0039825</t>
  </si>
  <si>
    <t>WOS:000306362400022</t>
  </si>
  <si>
    <t>Effects of Power-line Maintenance on Forest Structure in a Fragmented Urban Forest, Raleigh, NC</t>
  </si>
  <si>
    <t>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t>
  </si>
  <si>
    <t>10.1656/058.010.0103</t>
  </si>
  <si>
    <t>WOS:000306600900003</t>
  </si>
  <si>
    <t>A continental comparison indicates long-term effects of forest management on understory diversity in coniferous forests</t>
  </si>
  <si>
    <t>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t>
  </si>
  <si>
    <t>10.1139/X2012-052</t>
  </si>
  <si>
    <t>WOS:000306612800007</t>
  </si>
  <si>
    <t>Distinct Soil Bacterial Communities Revealed under a Diversely Managed Agroecosystem</t>
  </si>
  <si>
    <t>Land-use change and management practices are normally enacted to manipulate environments to improve conditions that relate to production, remediation, and accommodation. However, their effect on the soil microbial community and their subsequent influence on soil function is still difficult to quantify. Recent applications of molecular techniques to soil biology, especially the use of 16S rRNA, are helping to bridge this gap. In this study, the influence of three land-use systems within a demonstration farm were evaluated with a view to further understand how these practices may impact observed soil bacterial communities. Replicate soil samples collected from the three land-use systems (grazed pine forest, cultivated crop, and grazed pasture) on a single soil type. High throughput 16S rRNA gene pyrosequencing was used to generate sequence datasets. The different land use systems showed distinction in the structure of their bacterial communities with respect to the differences detected in cluster analysis as well as diversity indices. Specific taxa, particularly Actinobacteria, Acidobacteria, and classes of Proteobacteria, showed significant shifts across the land-use strata. Families belonging to these taxa broke with notions of copio- and oligotrphy at the class level, as many of the less abundant groups of families of Actinobacteria showed a propensity for soil environments with reduced carbon/nutrient availability. Orders Actinomycetales and Solirubrobacterales showed their highest abundance in the heavily disturbed cultivated system despite the lowest soil organic carbon (SOC) values across the site. Selected soil properties ([SOC], total nitrogen [TN], soil texture, phosphodiesterase [PD], alkaline phosphatase [APA], acid phosphatase [ACP] activity, and pH) also differed significantly across land-use regimes, with SOM, PD, and pH showing variation consistent with shifts in community structure and composition. These results suggest that use of pyrosequencing along with traditional analysis of soil physiochemical properties may provide insight into the ecology of descending taxonomic groups in bacterial communities.</t>
  </si>
  <si>
    <t>10.1371/journal.pone.0040338</t>
  </si>
  <si>
    <t>WOS:000306687700011</t>
  </si>
  <si>
    <t>Effects of elevated nitrogen and exotic plant invasion on soil seed bank composition in Joshua Tree National Park</t>
  </si>
  <si>
    <t>We investigated the effects of exotic species invasion and 3 years of nitrogen (N) fertilization on the soil seed bank in Joshua Tree National Park, California, USA at four sites along an N deposition gradient. We compared seed bank composition and density in control (no N added) and fertilized (30 kg N ha(-1) year(-1)) plots to determine if the seed bank would reflect aboveground changes due to N fertilization. Soil samples were collected and germinated in a greenhouse over 2 years. In the field, invasive species cover responded positively to N fertilization. However, we did not observe increased seed density of exotic invasive species in fertilized plots. While no significant differences were detected between treatments within sites, exotic invasive grass seeds overwhelmed the seed bank at all sites. Significant differences between sites were found, which may be due to differences in level of invasion, historic N deposition, and soil surface roughness. Sites experiencing low N deposition had the highest seed bank species richness for both control and fertilized treatments. Aboveground plant density did not correlate well with seed bank density, possibly due to the inherent patchiness of soil seed banks and differential ability of species to form seed banks. This seed bank study provided insight into site-specific impacts on native versus invasive species composition of soil seed banks, as well as magnitude of invasion and restoration potential at invaded sites.</t>
  </si>
  <si>
    <t>10.1007/s11258-012-0085-6</t>
  </si>
  <si>
    <t>WOS:000306694200007</t>
  </si>
  <si>
    <t>Variation in the structure of subtidal landscapes in the NW Mediterranean Sea</t>
  </si>
  <si>
    <t>Compounded effects of climate change and local human activities are threatening marine biodiversity worldwide. At a regional scale (10s to 100s km), comparisons among areas characterized by the prevalence of different human activities provide an insight into the effects of anthropogenic disturbances at multiple levels of ecological organization (i.e. from landscapes to assemblages). At the landscape scale (1000s m), we hypothesized that patchiness in habitat distribution and proportion of degraded assemblages would increase with increasing levels of disturbance, as a result of the decline of habitat-forming species. In addition, we hypothesized that prevailing human influences would affect the structure and variability of rocky benthic assemblages at smaller spatial scales (10s cm to 10s m). An extensive survey encompassing areas subjected to different human influences (i.e. from urbanized to protected areas) was carried out along the coasts of Tuscany (NW Mediterranean Sea). Seagrass beds and macroalgal canopy stands were the dominant habitats in relatively pristine areas, while macroalgal turfs and dead rhizomes of Posidonia oceanica were the most extended habitats in urbanized areas. In general, habitat fragmentation did not vary among areas subjected to different human influences. At a smaller scale (10s cm to 10s m), urbanization favored dominance by opportunistic species and promoted biotic homogenization. Our study shows that regional variations in the composition of landscapes and assemblages can be predicted on the basis of prevailing human activities. Our results also suggest that variations in landscape composition could be an effective descriptor of the effects of multiple human stressors in marine environments.</t>
  </si>
  <si>
    <t>10.3354/meps09703</t>
  </si>
  <si>
    <t>WOS:000306755000004</t>
  </si>
  <si>
    <t>The effects of mechanical disturbance and burn intensity on the floristic composition of two-year old aggregated retention coupes in Tasmanian wet eucalypt forests</t>
  </si>
  <si>
    <t>Due to concerns about the ecological impacts of clearfelling in Tasmanian wet eucalypt forests, aggregated retention (ARN) was developed as an alternative harvesting method. It is predicted that, compared to clearfelling, ARN will have ecological benefits such as preservation of old-growth structures and improved regeneration of late successional species in harvested areas. However, early studies have indicated that ARN requires lower intensity regeneration burns and results in greater levels of mechanical soil disturbance than clearfelling. This study therefore aimed to assess the impacts of both soil disturbance and burn intensity on floristic composition, species dominance and species richness following harvesting in ARN coupes. Floristic surveys were conducted on six seedbed classes that reflected the combined effects of both burn intensity and soil disturbance in six two-year-old ARN coupes in southern Tasmania. The results showed that both factors had a significant influence on floristic composition. Higher burn intensities generally favoured colonising species such as eucalypts and Senecio minimus and resulted in lower species richness, while lower fire intensities favoured species regenerating from the seedbank and resulted in higher species richness. In contrast, mechanically disturbed seedbed generally had a high cover of the sedge Gahnia grandis but a low overall species richness due to reduced regeneration of eucalypts and understorey species. The prevalence of the six seedbed classes, and corresponding plant species composition, varied among four general harvesting-related disturbance categories; firebreaks, snigtracks, windrows of piled logging debris and the general harvested area. Maintaining a variety of burn intensities is likely to maximise plant biodiversity within ARN coupes, and soil disturbance should be minimised, with an emphasis on reducing the total area of firebreaks. (C) 2012 Elsevier B.V. All rights reserved.</t>
  </si>
  <si>
    <t>10.1016/j.foreco.2012.05.003</t>
  </si>
  <si>
    <t>WOS:000307092900007</t>
  </si>
  <si>
    <t>Testing the Effects of an Introduced Palm on a Riparian Invertebrate Community in Southern California</t>
  </si>
  <si>
    <t>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t>
  </si>
  <si>
    <t>10.1371/journal.pone.0042460</t>
  </si>
  <si>
    <t>WOS:000307284100099</t>
  </si>
  <si>
    <t>Responses of primary productivity to increased temperature and phytoplankton diversity</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</si>
  <si>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</si>
  <si>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10.1016/j.seares.2011.10.003</t>
  </si>
  <si>
    <t>WOS:000307687500011</t>
  </si>
  <si>
    <t>Genetic change for earlier migration timing in a pink salmon population</t>
  </si>
  <si>
    <t>To predict how climate change will influence populations, it is necessary to understand the mechanisms, particularly microevolution and phenotypic plasticity, that allow populations to persist in novel environmental conditions. Although evidence for climate-induced phenotypic change in populations is widespread, evidence documenting that these phenotypic changes are due to microevolution is exceedingly rare. In this study, we use 32 years of genetic data (17 complete generations) to determine whether there has been a genetic change towards earlier migration timing in a population of pink salmon that shows phenotypic change; average migration time occurs nearly two weeks earlier than it did 40 years ago. Experimental genetic data support the hypothesis that there has been directional selection for earlier migration timing, resulting in a substantial decrease in the late-migrating phenotype (from more than 30% to less than 10% of the total abundance). From 1983 to 2011, there was a significant decrease-over threefold-in the frequency of a genetic marker for late-migration timing, but there were minimal changes in allele frequencies at other neutral loci. These results demonstrate that there has been rapid microevolution for earlier migration timing in this population. Circadian rhythm genes, however, did not show any evidence for selective changes from 1993 to 2009.</t>
  </si>
  <si>
    <t>10.1098/rspb.2012.1158</t>
  </si>
  <si>
    <t>WOS:000307780400031</t>
  </si>
  <si>
    <t>Seasonal Exposure to Drought and Air Warming Affects Soil Collembola and Mites</t>
  </si>
  <si>
    <t>Global environmental changes affect not only the aboveground but also the belowground components of ecosystems. The effects of seasonal drought and air warming on the genus level richness of Collembola, and on the abundance and biomass of the community of Collembola and mites were studied in an acidic and a calcareous forest soil in a model oak-ecosystem experiment (the Querco experiment) at the Swiss Federal Research Institute WSL in Birmensdorf. The experiment included four climate treatments: control, drought with a 60% reduction in rainfall, air warming with a seasonal temperature increase of 1.4 degrees C, and air warming + drought. Soil water content was greatly reduced by drought. Soil surface temperature was slightly increased by both the air warming and the drought treatment. Soil mesofauna samples were taken at the end of the first experimental year. Drought was found to increase the abundance of the microarthropod fauna, but reduce the biomass of the community. The percentage of small mites (body length &lt;= 0.20 mm) increased, but the percentage of large mites (body length &gt;0.40 mm) decreased under drought. Air warming had only minor effects on the fauna. All climate treatments significantly reduced the richness of Collembola and the biomass of Collembola and mites in acidic soil, but not in calcareous soil. Drought appeared to have a negative impact on soil microarthropod fauna, but the effects of climate change on soil fauna may vary with the soil type.</t>
  </si>
  <si>
    <t>10.1371/journal.pone.0043102</t>
  </si>
  <si>
    <t>WOS:000307823600048</t>
  </si>
  <si>
    <t>Three Decades of Farmed Escapees in the Wild: A Spatio-Temporal Analysis of Atlantic Salmon Population Genetic Structure throughout Norway</t>
  </si>
  <si>
    <t>Each year, hundreds of thousands of domesticated farmed Atlantic salmon escape into the wild. In Norway, which is the world's largest commercial producer, many native Atlantic salmon populations have experienced large numbers of escapees on the spawning grounds for the past 15-30 years. In order to study the potential genetic impact, we conducted a spatio-temporal analysis of 3049 fish from 21 populations throughout Norway, sampled in the period 1970-2010. Based upon the analysis of 22 microsatellites, individual admixture, F-ST and increased allelic richness revealed temporal genetic changes in six of the populations. These changes were highly significant in four of them. For example, 76% and 100% of the fish comprising the contemporary samples for the rivers Vosso and Opo were excluded from their respective historical samples at P = 0.001. Based upon several genetic parameters, including simulations, genetic drift was excluded as the primary cause of the observed genetic changes. In the remaining 15 populations, some of which had also been exposed to high numbers of escapees, clear genetic changes were not detected. Significant population genetic structuring was observed among the 21 populations in the historical (global F-ST = 0.038) and contemporary data sets (global F-ST = 0.030), although significantly reduced with time (P = 0.008). This reduction was especially distinct when looking at the six populations displaying temporal changes (global F-ST dropped from 0.058 to 0.039, P = 0.006). We draw two main conclusions: 1. The majority of the historical population genetic structure throughout Norway still appears to be retained, suggesting a low to modest overall success of farmed escapees in the wild; 2. Genetic introgression of farmed escapees in native salmon populations has been strongly population-dependent, and it appears to be linked with the density of the native population.</t>
  </si>
  <si>
    <t>10.1371/journal.pone.0043129</t>
  </si>
  <si>
    <t>WOS:000307823600049</t>
  </si>
  <si>
    <t>Effects of Recreational Traffic on Alpine Plant Communities in the Northern Canadian Rockies</t>
  </si>
  <si>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</si>
  <si>
    <t>10.1657/1938-4246-44.3.277</t>
  </si>
  <si>
    <t>WOS:000307990800002</t>
  </si>
  <si>
    <t>The genetic structure of populations of the sea urchin Strongylocentrotus intermedius from the northwestern Sea of Japan in connection with a shift in spawning time</t>
  </si>
  <si>
    <t>Usin seven allozyme loci as gene markers, we studied the genetic structure of ten natural populations of the sea urchin Strongylocentrotus intermedius in the northwestern Sea of Japan that differ in the proportion of individuals with different spawning seasonality (early spawning at the end of May-June and late spawning in September-early October). This study revealed the spatial genetic heterogeneity of the sea-urchin populations (F (st) = 0.051); its degree was independent of the geographic distance between populations. Out of the seven loci that were surveyed, four loci (peptidase Pep-1, Pep-2, mannose phosphate isomerase Mpi, and inorganic pyrophosphatase Ipp) accounted for the differences between pairs of samples; different loci contributed to the variation in each sample pair. The genetic similarity between pairs of populations ranged from 0.905 to 0.988. The genetic heterogeneity of the sea-urchin populations seems to be a result of both genetic drift and natural selection. At the same time, no significant genetic differences were found between specimens of S. intermedius with different spawning times (the genetic similarity was 0.988-0.991). The shift in spawning season from autumn to early summer in the populations of S. intermedius inhabiting the areas of Peter the Great Bay adjacent to Vladivostok city can be explained by a phenotypic response of this species to environmental changes caused by chronic anthropogenic pollution of the bay.</t>
  </si>
  <si>
    <t>10.1134/S1063074012040104</t>
  </si>
  <si>
    <t>WOS:000308001000005</t>
  </si>
  <si>
    <t>Plant communities and the reproductive success of native plants after the invasion of an ornamental herb</t>
  </si>
  <si>
    <t>The effects of plant invasions on plant communities are often assessed at a few sites or in a particular type of habitat, while studies in different habitat types are scarce. We investigated plant communities in the presence and absence of the invasive ornamental herb, Lupinus polyphyllus, in four habitat types: meadow, forest, road verge and wasteland, in two geographic regions by comparing vascular plant species richness, vegetation structure based on species traits, community composition and the reproductive success of native plant species at invaded and non-invaded locations. The invader was associated with declines in the number of vascular plant species in all habitat types but was unassociated with differences in plant community composition in terms of species identity or species relative cover. However, sites with large lupin invasions (a parts per thousand yen1,000 m(2)) contained fewer vascular plant species, a larger proportion of clonal species and more lighter-seeded species than sites with small invasions. The reproductive output of native plants varied across habitats from declines to increases in the presence of L. polyphyllus, and depended on species status (meadow, non-meadow species) rather than species identity, with meadow species generally showing an increase in the reproductive output in the presence of the invader. Overall, our results demonstrate that lupin invasions are associated with declines in local plant species richness across habitats. Although we did not detect systematic differences in species composition between invaded and non-invaded locations, species with particular traits may still be more persistent in invaded plant communities than others.</t>
  </si>
  <si>
    <t>10.1007/s10530-012-0215-z</t>
  </si>
  <si>
    <t>WOS:000308037700010</t>
  </si>
  <si>
    <t>A range-wide genetic bottleneck overwhelms contemporary landscape factors and local abundance in shaping genetic patterns of an alpine butterfly (Lepidoptera: Pieridae: Colias behrii)</t>
  </si>
  <si>
    <t>Spatial and environmental heterogeneity are major factors in structuring species distributions in alpine landscapes. These landscapes have also been affected by glacial advances and retreats, causing alpine taxa to undergo range shifts and demographic changes. These nonequilibrium population dynamics have the potential to obscure the effects of environmental factors on the distribution of genetic variation. Here, we investigate how demographic change and environmental factors influence genetic variation in the alpine butterfly Colias behrii. Data from 14 microsatellite loci provide evidence of bottlenecks in all population samples. We test several alternative models of demography using approximate Bayesian computation (ABC), with the results favouring a model in which a recent bottleneck precedes rapid population growth. Applying independent calibrations to microsatellite loci and a nuclear gene, we estimate that this bottleneck affected both northern and southern populations 531281 years ago, coinciding with a period of global cooling. Using regression approaches, we attempt to separate the effects of population structure, geographical distance and landscape on patterns of population genetic differentiation. Only 40% of the variation in FST is explained by these models, with geographical distance and least-cost distance among meadow patches selected as the best predictors. Various measures of genetic diversity within populations are also decoupled from estimates of local abundance and habitat patch characteristics. Our results demonstrate that demographic change can have a disproportionate influence on genetic diversity in alpine species, contrasting with other studies that suggest landscape features control contemporary demographic processes in high-elevation environments.</t>
  </si>
  <si>
    <t>10.1111/j.1365-294X.2012.05696.x</t>
  </si>
  <si>
    <t>WOS:000308047100010</t>
  </si>
  <si>
    <t>Temporal patterns of genetic diversity in Kirtland's warblers (Dendroica kirtlandii), the rarest songbird in North America</t>
  </si>
  <si>
    <t>Background: Kirtland's warblers are the rarest songbird species in North America, rarity due in part to a reliance on early successional Jack Pine forests. Habitat loss due to fire suppression led to population declines to fewer than 200 males during the 1970s. Subsequent conservation management has allowed the species to recover to over 1700 males by 2010. In this study, we directly examine the impact that low population sizes have had on genetic variation in Kirtland's warblers. We compare the molecular variation of samples collected in Oscoda County, Michigan across three time periods: 1903-1912, 1929-1955 and 2008-2009. Results: In a hierarchical rarified sample of 20 genes and one time period, allelic richness was highest in 1903-1912 sample (A(R) = 5.96), followed by the 1929-1955 sample (A(R) = 5.74), and was lowest in the 2008-2009 sample (A(R) = 5.54). Heterozygosity measures were not different between the 1929-1955 and 2008-2009 samples, but were lower in the 1903-1912 sample. Under some models, a genetic bottleneck signature was present in the 1929-1955 and 2008-2009 samples but not in the 1903-1912 sample. Conclusions: We suggest that these temporal genetic patterns are the result of the declining Kirtland's warbler population compressing into available habitat and a consequence of existing at low numbers for several decades.</t>
  </si>
  <si>
    <t>10.1186/1472-6785-12-8</t>
  </si>
  <si>
    <t>WOS:000308076500001</t>
  </si>
  <si>
    <t>Direct versus indirect effects of habitat fragmentation on community patterns in experimental landscapes</t>
  </si>
  <si>
    <t>Habitat area and fragmentation are confounded in many ecological studies investigating fragmentation effects. We thus devised an innovative experiment founded on fractal neutral landscape models to disentangle the relative effects of habitat area and fragmentation on arthropod community patterns in red clover (Trifolium pratense). The conventional approach in experimental fragmentation studies is to adjust patch size and isolation to create different landscape patterns. We instead use fractal distributions to adjust the overall amount and fragmentation of habitat independently at the scale of the entire landscape, producing different patch properties. Although habitat area ultimately had a greater effect on arthropod abundance and diversity in this system, we found that fragmentation had a significant effect in clover landscapes with a parts per thousand currency sign40 % habitat. Landscapes at these lower habitat levels were dominated by edge cells, which had fewer arthropods and lower richness than interior cells. Fragmentation per se did not have a direct effect on local-scale diversity, however, as demonstrated by the lack of a broader landscape effect (in terms of total habitat area and fragmentation) on arthropods within habitat cells. Fragmentation-through the creation of edge habitat-thus had a strong indirect effect on morphospecies richness and abundance at the local scale. Although it has been suggested that fragmentation should be important at low habitat levels (a parts per thousand currency sign20-30 %), we show that fragmentation per se is significant only at intermediate (40 %) levels of habitat, where edge effects were neither too great (as at lower levels of habitat) nor too weak (as at higher levels of habitat).</t>
  </si>
  <si>
    <t>10.1007/s00442-012-2325-9</t>
  </si>
  <si>
    <t>WOS:000308662100022</t>
  </si>
  <si>
    <t>The effect of reduced-impact logging on fruit-feeding butterflies in Central Amazon, Brazil</t>
  </si>
  <si>
    <t>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t>
  </si>
  <si>
    <t>10.1007/s10841-012-9458-3</t>
  </si>
  <si>
    <t>WOS:000308725900007</t>
  </si>
  <si>
    <t>Invasive African big-headed ants, Pheidole megacephala, on coral cays of the southern Great Barrier Reef: distribution and impacts on other ants</t>
  </si>
  <si>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</si>
  <si>
    <t>10.1007/s10841-012-9463-6</t>
  </si>
  <si>
    <t>WOS:000308725900011</t>
  </si>
  <si>
    <t>Spatiotemporal population genetics of the endangered Perote ground squirrel (Xerospermophilus perotensis) in a fragmented landscape</t>
  </si>
  <si>
    <t>The Perote ground squirrel (Xerospermophilus perotensis) is endemic to Mexico and is currently at risk of extinction. Its original range comprised 5,250 km(2) in an area known as the Oriental Basin, between the states of Puebla and Veracruz. By the end of the 20th century, however, extensive agricultural practices, overgrazing, and urbanization had already restricted suitable habitat for this species to only 16 localities. Temporal changes in genetic diversity and structure in this species were assessed from 34 museum specimens from 5 historical populations (1990-1992) and 44 individuals from 3 current populations (2007) using the mitochondrial (mtDNA) control region and 5 nuclear microsatellites. We observed a general trend (significant in some cases and nonsignificant in others) suggesting a decrease in genetic diversity within populations and an increase in genetic structure between them in recent years for both sets of markers. A Bayesian skyline reconstruction for the mtDNA sequences was congruent with a recent demographic decline scenario. If genetic drift is the predominant evolutionary force in Perote ground squirrels, then the loss of genetic diversity could intensify in a few generations even if the effective population sizes remain constant. Urgent measures to increase the effective population sizes and maintain the genetic cohesion among populations are critical to the conservation of this species. Because no protected areas are planned in the Oriental Basin, we suggest translocating individuals between populations to avoid further loss of genetic diversity in the short run. In the long run, however, it will be necessary to devise a strategy to introduce individuals into suitable patches of habitat and to spatially link these populations so that genetic exchange can take place without the need for management assistance.</t>
  </si>
  <si>
    <t>10.1644/11-MAMM-A-371.1</t>
  </si>
  <si>
    <t>WOS:000309014200016</t>
  </si>
  <si>
    <t>Effective size of a wild salmonid population is greatly reduced by hatchery supplementation</t>
  </si>
  <si>
    <t>Many declining and commercially important populations are supplemented with captive-born individuals that are intentionally released into the wild. These supplementation programs often create large numbers of offspring from relatively few breeding adults, which can have substantial population-level effects. We examined the genetic effects of supplementation on a wild population of steelhead (Oncorhynchus mykiss) from the Hood River, Oregon, by matching 12 run-years of hatchery steelhead back to their broodstock parents. We show that the effective number of breeders producing the hatchery fish (broodstock parents; N-b) was quite small (harmonic mean N-b = 25 fish per brood-year vs 373 for wild fish), and was exacerbated by a high variance in broodstock reproductive success among individuals within years. The low N-b caused hatchery fish to have decreased allelic richness, increased average relatedness, more loci in linkage disequilibrium and substantial levels of genetic drift in comparison with their wild-born counterparts. We also documented a substantial Ryman-Laikre effect whereby the additional hatchery fish doubled the total number of adult fish on the spawning grounds each year, but cut the effective population size of the total population (wild and hatchery fish combined) by nearly two-thirds. We further demonstrate that the Ryman-Laikre effect is most severe in this population when (1) &gt; 10% of fish allowed onto spawning grounds are from hatcheries and (2) the hatchery fish have high reproductive success in the wild. These results emphasize the trade-offs that arise when supplementation programs attempt to balance disparate goals (increasing production while maintaining genetic diversity and fitness). Heredity (2012) 109, 254-260; doi:10.1038/hdy.2012.39; published online 18 July 2012</t>
  </si>
  <si>
    <t>10.1038/hdy.2012.39</t>
  </si>
  <si>
    <t>WOS:000309109700008</t>
  </si>
  <si>
    <t>History of expansion and anthropogenic collapse in a top marine predator of the Black Sea estimated from genetic data</t>
  </si>
  <si>
    <t>Two major ecological transitions marked the history of the Black Sea after the last Ice Age. The first was the postglacial transition from a brackish-water to a marine ecosystem dominated by porpoises and dolphins once this basin was reconnected back to the Mediterranean Sea (ca. 8,000 y B. P.). The second occurred during the past decades, when overfishing and hunting activities brought these predators close to extinction, having a deep impact on the structure and dynamics of the ecosystem. Estimating the extent of this decimation is essential for characterizing this ecosystem's dynamics and for formulating restoration plans. However, this extent is poorly documented in historical records. We addressed this issue for one of the main Black Sea predators, the harbor porpoise, using a population genetics approach. Analyzing its genetic diversity using an approximate Bayesian computation approach, we show that only a demographic expansion (at most 5,000 y ago) followed by a contemporaneous population collapse can explain the observed genetic data. We demonstrate that both the postglacial settlement of harbor porpoises in the Black Sea and the recent anthropogenic activities have left a clear footprint on their genetic diversity. Specifically, we infer a strong population reduction (similar to 90%) that occurred within the past 5 decades, which can therefore clearly be related to the recent massive killing of small cetaceans and to the continuing incidental catches in commercial fisheries. Our study thus provides a quantitative assessment of these demographically catastrophic events, also showing that two separate historical events can be inferred from contemporary genetic data.</t>
  </si>
  <si>
    <t>10.1073/pnas.1201258109</t>
  </si>
  <si>
    <t>WOS:000309211000010</t>
  </si>
  <si>
    <t>Comparing the ecological footprint with the biodiversity footprint of products</t>
  </si>
  <si>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</si>
  <si>
    <t>10.1016/j.jclepro.2012.06.016</t>
  </si>
  <si>
    <t>WOS:000309375200010</t>
  </si>
  <si>
    <t>Do terrestrial protected areas conserve freshwater fish diversity? Results from the Western Ghats of India</t>
  </si>
  <si>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</si>
  <si>
    <t>10.1017/S0030605311000937</t>
  </si>
  <si>
    <t>WOS:000309472600015</t>
  </si>
  <si>
    <t>Long-Term Nitrogen Addition Leads to Loss of Species Richness Due to Litter Accumulation and Soil Acidification in a Temperate Steppe</t>
  </si>
  <si>
    <t>Background: Although community structure and species richness are known to respond to nitrogen fertilization dramatically, little is known about the mechanisms underlying specific species replacement and richness loss. In an experiment in semiarid temperate steppe of China, manipulative N addition with five treatments was conducted to evaluate the effect of N addition on the community structure and species richness. Methodology/Principal Findings: Species richness and biomass of community in each plot were investigated in a randomly selected quadrat. Root element, available and total phosphorus (AP, TP) in rhizospheric soil, and soil moisture, pH, AP, TP and inorganic N in the soil were measured. The relationship between species richness and the measured factors was analyzed using bivariate correlations and stepwise multiple linear regressions. The two dominant species, a shrub Artemisia frigida and a grass Stipa krylovii, responded differently to N addition such that the former was gradually replaced by the latter. S. krylovii and A. frigida had highly-branched fibrous and un-branched tap root systems, respectively. S. krylovii had higher height than A. frigida in both control and N added plots. These differences may contribute to the observed species replacement. In addition, the analysis on root element and AP contents in rhizospheric soil suggests that different calcium acquisition strategies, and phosphorus and sodium responses of the two species may account for the replacement. Species richness was significantly reduced along the five N addition levels. Our results revealed a significant relationship between species richness and soil pH, litter amount, soil moisture, AP concentration and inorganic N concentration. Conclusions/Significance: Our results indicate that litter accumulation and soil acidification accounted for 52.3% and 43.3% of the variation in species richness, respectively. These findings would advance our knowledge on the changes in species richness in semiarid temperate steppe of northern China under N deposition scenario.</t>
  </si>
  <si>
    <t>10.1371/journal.pone.0047369</t>
  </si>
  <si>
    <t>WOS:000309809500045</t>
  </si>
  <si>
    <t>Knickpoint effects on macroinvertebrates, sediment, and discharge in urban and forested streams: urbanization outweighs microscale habitat heterogeneity</t>
  </si>
  <si>
    <t>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t>
  </si>
  <si>
    <t>10.1899/11-010.1</t>
  </si>
  <si>
    <t>WOS:000309904800002</t>
  </si>
  <si>
    <t>Temporal genetic variation as revealed by a microsatellite analysis of European sardine (Sardina pilchardus) archived samples</t>
  </si>
  <si>
    <t>The Adriatic stock of European sardine (Sardina pilchardus) has experienced large interannual demographic fluctuations over the last 30 years, with a severe decline beginning in 1991 and continuing until 1997. In the present study, six microsatellite loci were used on a time series collection of otoliths and scales from sampling locations of northern (Chioggia) and southern (Vieste) Adriatic Sea, with the aim to investigate the genetic effects of these stock biomass fluctuations. The northern samples showed significant reduction in observed heterozygosity (H-O) and mean number of alleles (N-a) that explain the genetic diversity variation, while the same parameters turned out to be more stable in the southern samples. In addition, we detected the presence of a genetic bottleneck and low effective population size (N-e) values in several northern samples. Even if the northern and southern Adriatic sardine samples belong to the same genetic stock, the more pronounced decrease in genetic variability recorded in the northern sample led us to speculate that a more intensive fishing pressure and a more pronounced oceanographic isolation of this area could have accentuated the effects of the genetic bottleneck.</t>
  </si>
  <si>
    <t>10.1139/F2012-092</t>
  </si>
  <si>
    <t>WOS:000309959900012</t>
  </si>
  <si>
    <t>FISH ASSEMBLAGES IN THREE ARID MANGROVE SYSTEMS OF THE GULF OF CALIFORNIA: COMPARING OBSERVATIONS FROM 1980 AND 2010</t>
  </si>
  <si>
    <t>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t>
  </si>
  <si>
    <t>10.5343/bms.2011.1111</t>
  </si>
  <si>
    <t>WOS:000310106200007</t>
  </si>
  <si>
    <t>Plant invasion impacts on arthropod abundance, diversity and feeding consistent across environmental and geographic gradients</t>
  </si>
  <si>
    <t>Exotic plant invasion not only changes native plant communities, it also alters associated arthropod community diversity and structure. These impacts often are contradictory and context-specific by study location. M. vimineum is an Asian grass currently invading the eastern United States that generally escapes herbivory. The invasion impacts on arthropod communities are mixed, and the effects on arthropod food webs are largely unknown. Because M. vimineum has a unique delta C-13 value, its carbon flow can be resolved from native plants in recipient food webs. We investigate arthropod communities at M. vimineum-invaded sites along a 100-km geographic and environmental gradient in the southeastern U.S. We investigate M. vimineum impacts on arthropod abundance and diversity, how M. vimineum-derived carbon contributes to arthropod biomass and how environmental variation modifies invasion effects on arthropod communities. We find that M. vimineum invasion corresponds with increased arthropod diversity and abundance, but reduced evenness. Herbivore damage to leaves is equivalent between native species and M. vimineum, but the type of herbivore damage is not the same between the native and invader plants. We also find that herbivores derive 37 % of their biomass-carbon from the exotic plant but predators almost none (4 %). Detritivores derive exotic carbon (9 %) proportional to M. vimineum in the litter layer. Whereas exotic plant impacts on arthropod communities often seem idiosyncratic by site, we find no context-dependent invasion effects of M. vimineum by study location. The consistency suggests that the impacts may be broadly generalizable, at least within well-established parts of the invasion range.</t>
  </si>
  <si>
    <t>10.1007/s10530-012-0258-1</t>
  </si>
  <si>
    <t>WOS:000310464500014</t>
  </si>
  <si>
    <t>Effective size and genetic composition of two exploited, migratory whitefish (Coregonus lavaretus lavaretus) populations</t>
  </si>
  <si>
    <t>Large scale harvesting and other anthropogenic activities have caused severe population declines in many commercially important fish populations, but accurate information about census and effective population size is often hard to come by. Available evidence suggests that in marine fishes, effective population size (N-e) is often several orders of magnitude smaller than census size, such that intensively harvested populations may be particularly vulnerable to loss of genetic diversity. The European whitefish (Coregonus lavaretus) has a long history of heavy exploitation in the Baltic Sea, and the Finnish commercial catch of the species has been substantially reduced, despite high fishing effort. We investigated the temporal genetic stability of migratory whitefish populations from two Finnish rivers (Tornionjoki and Kiiminkijoki), sampled at least twice between 1981 and 2006, by assaying variability in 21 microsatellite loci. Our results suggest a small, albeit significant (F-ST = 0.004; p = 0.008) and temporally stable, degree of differentiation between rivers. However, in contrast to earlier reports, heterochronous runs (ascending groups) from Tornionjoki did not exhibit significant genetic divergence. Bayesian estimates of N-e suggest substantial declines from historic levels dating to ca 250 years. Yet despite a probable decrease in census population size over the study period, we detected no significant change in contemporary N-e. Within group genetic diversity appeared largely unchanged over this time frame; however, we detected a trend towards decreased differentiation between spawning groups (rivers) since the 1980s. These results are discussed in light of stocking programs and conservation of genetic diversity of natural populations.</t>
  </si>
  <si>
    <t>10.1007/s10592-012-0394-2</t>
  </si>
  <si>
    <t>WOS:000310642300007</t>
  </si>
  <si>
    <t>Unraveling natural versus anthropogenic effects on genetic diversity within the southeastern beach mouse (Peromyscus polionotus niveiventris)</t>
  </si>
  <si>
    <t>Anthropogenic habitat loss is among the greatest threats to biodiversity. Populations undergoing fragmentation and loss of habitat are also threatened by erosion of genetic diversity. However, contemporary genetic diversity may be the legacy of natural processes acting prior to anthropogenic influences. Measurements of genetic diversity from contemporary and historical samples can evaluate the relative impact of natural and anthropogenic effects on its status. We investigated the genetic diversity of a threatened subspecies occupying Atlantic Coast barrier islands of Florida, Peromyscus polionotus niveiventris (southeastern beach mouse). To test for recent loss of genetic diversity, we compared cyt b data from museum samples (historical-prior to human impact) with contemporary samples throughout their range. Ten microsatellite loci were genotyped for samples from the contemporary range, to determine current population interconnectedness and structure. The results using cyt b data revealed no statistically significant loss of genetic diversity between historical and contemporary populations of P. p. niveiventris. Both nuclear and mitochondrial data support our conclusion that the observed capture and conservation of historical genetic diversity is explained by the large federally protected region of continuous habitat that remains with minimal human impact. Whereas, the two disjunct populations isolated by anthropogenic habitat destruction, exhibit significant losses of genetic diversity. Collectively, these findings offer a sound basis from which to formulate a conservation strategy to maintain the genetic diversity of P. p. niveiventris. Furthermore, our study underscores the importance of large expanses of continuous habitat within the geographic range of species to facilitate the maintenance of genetic integrity.</t>
  </si>
  <si>
    <t>10.1007/s10592-012-0417-z</t>
  </si>
  <si>
    <t>WOS:000310642300018</t>
  </si>
  <si>
    <t>Effects of Non-Indigenous Oysters on Microbial Diversity and Ecosystem Functioning</t>
  </si>
  <si>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</si>
  <si>
    <t>10.1371/journal.pone.0048410</t>
  </si>
  <si>
    <t>WOS:000310705300072</t>
  </si>
  <si>
    <t>Intertidal fish communities may make poor indicators of environmental quality: Lessons from a study of mangrove habitat modification</t>
  </si>
  <si>
    <t>Utilization of fish as indicators of environmental quality in estuarine systems has received much recent attention, although some results have raised questions about using these taxa for such a role. We attempted to identify a fish response to a horticultural practice which removes portions of mangrove forest canopy to create unobstructed vistas. Fish were sampled monthly from six pairs of sites within the mangrove-forested intertidal zone of Rookery Bay, FL over two years. Following a first year of baseline sampling, the mangroves in one site from each pair of sites were pruned in accordance to Florida State law (Mangrove Trimming and Preservation Act of 1996), resulting in a mean 46% and 50% reduction in canopy coverage and litter fall, respectively. However neither the abundance nor species composition of fish in trimmed versus control plots were significantly different (Two-Way Repeated Measures ANOVA's for paired plot differences in fish density and biomass: nonmetric multidimensional scaling, and ANOSIM) suggesting that fish did not respond to mangrove canopy damage. Our results show that due to rather high spatial and temporal variability in fish abundance, it would be difficult to detect any but extreme changes of these taxa in the mangrove intertidal zone, and this may be a common feature of the fish communities of mangrove intertidal zones and other coastal systems. We suggest that improved use of fish as indicators of intertidal habitat quality would benefit from improved information on environmental factors which determine fish distribution and abundance in these areas. Moreover, since a majority of the fish in the intertidal zone is habitat generalists, we propose that individual-level measures of fish response to habitat quality may be more effective than fish abundance. (C) 2012 Elsevier Ltd. All rights reserved.</t>
  </si>
  <si>
    <t>10.1016/j.ecolind.2012.07.008</t>
  </si>
  <si>
    <t>WOS:000311059900048</t>
  </si>
  <si>
    <t>Impacts of Different Land-use Patterns on the Carabid Beetle Diversity and Species Assemblages in South Korea</t>
  </si>
  <si>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</si>
  <si>
    <t>10.5053/ekoloji.2012.842</t>
  </si>
  <si>
    <t>WOS:000311128800002</t>
  </si>
  <si>
    <t>Effective Population Size Dynamics and the Demographic Collapse of Bornean Orang-Utans</t>
  </si>
  <si>
    <t>Bornean orang-utans experienced a major demographic decline and local extirpations during the Pleistocene and Holocene due to climate change, the arrival of modern humans, of farmers and recent commercially-driven habitat loss and fragmentation. The recent loss of habitat and its dramatic fragmentation has affected the patterns of genetic variability and differentiation among the remaining populations and increased the extinction risk of the most isolated ones. However, the contribution of recent demographic events to such genetic patterns is still not fully clear. Indeed, it can be difficult to separate the effects of recent anthropogenic fragmentation from the genetic signature of prehistoric demographic events. Here, we investigated the genetic structure and population size dynamics of orang-utans from different sites. Altogether 126 individuals were analyzed and a full-likelihood Bayesian approach was applied. All sites exhibited clear signals of population decline. Population structure is known to generate spurious bottleneck signals and we found that it does indeed contribute to the signals observed. However, population structure alone does not easily explain the observed patterns. The dating of the population decline varied across sites but was always within the 200-2000 years period. This suggests that in some sites at least, orang-utan populations were affected by demographic events that started before the recent anthropogenic effects that occurred in Borneo. These results do not mean that the recent forest exploitation did not leave its genetic mark on orang-utans but suggests that the genetic pool of orang-utans is also impacted by more ancient events. While we cannot identify the main cause for this decline, our results suggests that the decline may be related to the arrival of the first farmers or climatic events, and that more theoretical work is needed to understand how multiple demographic events impact the genome of species and how we can assess their relative contributions.</t>
  </si>
  <si>
    <t>10.1371/journal.pone.0049429</t>
  </si>
  <si>
    <t>WOS:000311272300042</t>
  </si>
  <si>
    <t>Comparative genetic structure within single-origin pairs of rice (Oryza sativa L.) landraces from in situ and ex situ conservation programs in Yunnan of China using microsatellite markers</t>
  </si>
  <si>
    <t>The genetic structure and diversity of eight pairs of rice landraces from in situ (collected in 2007) and ex situ (collected in 1980) conservation programs were studied using 20 pairs of microsatellite markers with high polymorphism. Each pair of rice landraces shares a name and origin and has similar seed and plant traits. The number of alleles detected in the populations from in situ conservation ranged from 43 to 88 with the mean number of alleles per locus ranging from 2.15 to 4.40, while the number of alleles detected in the populations from ex situ conservation ranged from 33 to 65, and the mean of alleles per locus ranged from 1.65 to 3.25. Compared to the ex situ populations, the number of alleles, the number of specific alleles and the genetic diversity index showed a significant increase in the in situ populations. Further, the numbers of specific alleles from in situ populations were 2.1-5.0 times greater than in ex situ populations except for rice landrace 'Qitougu'. An AMOVA showed that the within-landrace genetic structure differed significantly between in situ and ex situ conservation treatments with differences exceeding 20%. The analysis of genetic similarity reached similar conclusions to those of the AMOVA. Compared with ex situ conservation programs, the rice landraces under in situ conservation programs had more alleles and higher genetic diversity in Yunnan of China.</t>
  </si>
  <si>
    <t>10.1007/s10722-011-9786-2</t>
  </si>
  <si>
    <t>WOS:000311311700003</t>
  </si>
  <si>
    <t>Effect of nutrient enrichment on seagrass associated meiofauna in Tanzania</t>
  </si>
  <si>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</si>
  <si>
    <t>10.1016/j.marenvres.2012.09.005</t>
  </si>
  <si>
    <t>WOS:000311472900005</t>
  </si>
  <si>
    <t>Sediment Diatom Species and Community Response to Nitrogen Addition in Oregon (USA) Estuarine Tidal Wetlands</t>
  </si>
  <si>
    <t>Sediment microalgae play an important role in nutrient cycling and are important primary producers in the food web in Pacific Northwest estuaries. This study examines the effects of nitrogen addition to benthic microalgae in tidal wetlands of Yaquina Bay estuary on the Oregon coast, USA. Liquid nitrogen fertilizers (0, 0.2, 0.5, and 1.0 gN/m(2)/wk during the first year of the study, and increased to 0, 15.6, 62.5, and 156 gN/m(2)/wk during the second year of the study) were applied weekly to four salt marshes in Yaquina Bay for two summers (2009 and 2010). Diatom species and community parameters were analyzed in response to nitrogen addition in early and late summer 2010. Nitrogen addition (N) had a significant effect on species composition and community parameters. Amphora spp. and Nitzschia palea were more dominant with higher N, while Navicula gregaria and Navicula phyllepta were more dominant with lower N. Species diversity and richness were significantly higher (p &lt; 0.05) with lower N (3.1 +/- 0.1; 40.0 +/- 3.3) compared with higher N (2.4 +/- 0.5; 34.5 +/- 3.0). NMDS ordination displayed shifts in overall diatom assemblage with time and with N. Results suggest the microalgal communities are limited by nitrogen levels and therefore may be susceptible to changes in nitrogen loading to these systems.</t>
  </si>
  <si>
    <t>10.1007/s13157-012-0332-6</t>
  </si>
  <si>
    <t>WOS:000311540400004</t>
  </si>
  <si>
    <t>BIODIVERSITY, WATER CHEMISTRY, PHYSICAL CHARACTERISITCS AND ANTHROPOGENIC DISTURBANCE GRADIENTS OF SANDSTONE SPRINGS ON THE COLORADO PLATEAU</t>
  </si>
  <si>
    <t>Springs located on the Colorado Plateau are highly threatened and represent a small percentage of the landscape; yet they are disproportionately important to diverse native flora and fauna. The relationships between anthropogenic disturbance, aquatic macroinvertebrate species composition, and environmental variables at these springs have received little study. We selectively visited 40 sandstone springs in southeastern Utah and southwestern Colorado to span a range of impacts. We classified the springs into impact categories based on a spring impact score, we measured biodiversity (aquatic macroinvertebrates), water chemistry (nutrients, dissolved O-2, pH, specific conductivity, temperature, turbidity, coliform bacteria [Escherichia coli]), physical characters (solar radiation, substrate, vegetation cover, bank stability, discharge), and presence of anthropogenic disturbance. Escherichia coli abundance was higher in high impact categories, and turbidity increased with increasing disturbance. No differences in total N, total P, specific conductivity, flow, dissolved O-2, pH, or substrate were found among the impact categories. Vegetation cover was higher in low impact categories than in moderate and high impact categories, while potential annual and growing-season solar radiation was lower in low impact categories than in high impact categories. Global and subsequent multiple response permutation procedure (MRPP) comparisons suggested strong differences in aquatic macroinvertebrates between low and high impact springs and no difference at moderate impact springs. Mean taxa richness (alpha-diversity), total taxa richness (gamma-diversity), and percent of taxa richness composed of shredders peaked at moderate disturbance levels. The percentage of non-insect taxa richness was reduced in high impact categories, and Odonata (dragonflies and damselflies) were higher in low impact categories than in high impact categories. All high impact springs had both livestock use and vehicle use (roads or vehicles), and our data suggest that disturbances caused by one or both of these uses alter the aquatic macroinvertebratc assemblage. We suggest that disturbance may increase macroinvertehrate richness, where a mix of tolerant alld intolerant species co-occur until macroinvertebrate richness reaches a threshold; after surpassing this threshold, macroinvertebrate diversity decreases.</t>
  </si>
  <si>
    <t>10.3398/064.072.0313</t>
  </si>
  <si>
    <t>WOS:000311762700013</t>
  </si>
  <si>
    <t>Multiple Stressors in Agricultural Streams: A Mesocosm Study of Interactions among Raised Water Temperature, Sediment Addition and Nutrient Enrichment</t>
  </si>
  <si>
    <t>Changes to land use affect streams through nutrient enrichment, increased inputs of sediment and, where riparian vegetation has been removed, raised water temperature. We manipulated all three stressors in experimental streamside channels for 30 days and determined the individual and pair-wise combined effects on benthic invertebrate and algal communities and on leaf decay, a measure of ecosystem functioning. We added nutrients (phosphorus+nitrogen; high, intermediate, natural) and/or sediment (grain size 0.2 mm; high, intermediate, natural) to 18 channels supplied with water from a nearby stream. Temperature was increased by 1.4 degrees C in half the channels, simulating the loss of upstream and adjacent riparian shade. Sediment affected 93% of all biological response variables (either as an individual effect or via an interaction with another stressor) generally in a negative manner, while nutrient enrichment affected 59% (mostly positive) and raised temperature 59% (mostly positive). More of the algal components of the community responded to stressors acting individually than did invertebrate components, whereas pair-wise stressor interactions were more common in the invertebrate community. Stressors interacted often and in a complex manner, with interactions between sediment and temperature most common. Thus, the negative impact of high sediment on taxon richness of both algae and invertebrates was stronger at raised temperature, further reducing biodiversity. In addition, the decay rate of leaf material (strength loss) accelerated with nutrient enrichment at ambient but not at raised temperature. A key implication of our findings for resource managers is that the removal of riparian shading from streams already subjected to high sediment inputs, or land-use changes that increase erosion or nutrient runoff in a landscape without riparian buffers, may have unexpected effects on stream health. We highlight the likely importance of intact or restored buffer strips, both in reducing sediment input and in maintaining cooler water temperatures.</t>
  </si>
  <si>
    <t>10.1371/journal.pone.0049873</t>
  </si>
  <si>
    <t>WOS:000311821000133</t>
  </si>
  <si>
    <t>Changes in biodiversity and environmental stressors influence community structure of an experimental eelgrass Zostera marina system</t>
  </si>
  <si>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</si>
  <si>
    <t>10.3354/meps10006</t>
  </si>
  <si>
    <t>WOS:000311968200004</t>
  </si>
  <si>
    <t>The impact of conifer plantation forestry on the Chydoridae (Cladocera) communities of peatland lakes</t>
  </si>
  <si>
    <t>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t>
  </si>
  <si>
    <t>10.1007/s10750-012-1230-x</t>
  </si>
  <si>
    <t>WOS:000312073300017</t>
  </si>
  <si>
    <t>Effects of invasive Pacific red lionfish Pterois volitans versus a native predator on Bahamian coral-reef fish communities</t>
  </si>
  <si>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</si>
  <si>
    <t>10.1007/s10530-012-0266-1</t>
  </si>
  <si>
    <t>WOS:000312140800004</t>
  </si>
  <si>
    <t>Changes in the biomass of chambo in the southeast arm of Lake Malawi: A stock assessment of Oreochromis spp.</t>
  </si>
  <si>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</si>
  <si>
    <t>10.1016/j.jglr.2012.09.022</t>
  </si>
  <si>
    <t>WOS:000312183100013</t>
  </si>
  <si>
    <t>Compensatory dynamics and the stability of phytoplankton biomass during four decades of eutrophication and oligotrophication</t>
  </si>
  <si>
    <t>The link between compensatory dynamics and regime shifts is not well understood. We analyse a regime shift in phytoplankton in a large lake with respect to: (1) environmental forcing and (2) the type of dynamics (compensatory or synchronous) between phytoplankton groups. The regime shift in phytoplankton was related to gradual changes in nutrient levels, but unrelated to an almost concurrent shift in climatic conditions. The relationship between total phytoplankton biomass and phosphorus concentrations was sigmoid. Trajectories of phytoplankton biomass and community dynamics suggest that eutrophication effects can successfully be reversed when management efforts decrease nutrient loading to a level sufficiently low to overcome community resilience. The regime shift was associated with a loss of biomass compensation and compensatory dynamics among the phytoplankton groups. This suggests that the type of interactions is important for a better understanding of the existence and shape of nonlinear responses of phytoplankton biomass to environmental change.</t>
  </si>
  <si>
    <t>10.1111/ele.12018</t>
  </si>
  <si>
    <t>WOS:000312301300010</t>
  </si>
  <si>
    <t>Invasive Salix fragilis alters benthic invertebrate communities and litter decomposition in northern Patagonian streams</t>
  </si>
  <si>
    <t>Invasion by exotic trees into riparian areas has the potential to impact aquatic systems. We examined the effects of the exotic Salix fragilis (crack willow) on the structure and functioning of small streams in northern Patagonian Andes via a field survey of benthic invertebrates and leaf litter and an in situ experiment. We compared leaf decomposition of the native Ochetophila trinervis (chacay) and S. fragilis in reaches dominated by native vegetation versus reaches dominated by crack willow. We hypothesized that S. fragilis affects the quality of leaf litter entering the streams, changing the aquatic biota composition and litter decomposition. Our study showed that crack willow leaves decomposed slower than chacay, likely related to leaf properties (i.e., leaf toughness). Benthic leaf litter mass was similar between the two riparian vegetation types, though in stream reaches dominated by crack willow, leaves of this species represented 82% of the total leaf litter. Benthic invertebrate abundance and diversity were similar between reaches but species composition differed. Our study found little evidence for strong impacts of crack willow on those small streams. Further studies on other aspects of ecosystem functioning, such as primary production, would enhance our understanding of the impacts of crack willow on Patagonian streams.</t>
  </si>
  <si>
    <t>10.1007/s10750-012-1270-2</t>
  </si>
  <si>
    <t>WOS:000312339100014</t>
  </si>
  <si>
    <t>Rainwater harvesting and arthropod biodiversity within an arid agro-ecosystem</t>
  </si>
  <si>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</si>
  <si>
    <t>10.1016/j.agee.2012.08.007</t>
  </si>
  <si>
    <t>WOS:000312472300002</t>
  </si>
  <si>
    <t>Fragmentation alters stream fish community structure in dendritic ecological networks</t>
  </si>
  <si>
    <t>Effects of fragmentation on the ecology of organisms occupying dendritic ecological networks (DENs) have recently been described through both conceptual and mathematical models, but few hypotheses have been tested in complex, real-world ecosystems. Stream fishes provide a model system for assessing effects of fragmentation on the structure of communities occurring within DENs, including how fragmentation alters metacommunity dynamics and biodiversity. A recently developed habitat-availability measure, the dendritic connectivity index'' (DCI), allows for assigning quantitative measures of connectivity in DENs regardless of network extent or complexity, and might be used to predict fish community response to fragmentation. We characterized stream fish community structure in 12 DENs in the Great Plains, USA, during periods of dynamic (summer) and muted (fall) discharge regimes to test the DCI as a predictive model of fish community response to fragmentation imposed by road crossings. Results indicated that fish communities in stream segments isolated by road crossings had reduced species richness (alpha diversity) relative to communities that maintained connectivity with the surrounding DEN during summer and fall. Furthermore, isolated communities had greater dissimilarity (beta diversity) to downstream sites not isolated by road crossings during summer and fall. Finally, dissimilarity among communities within DENs decreased as a function of increased habitat connectivity (measured using the DCI) for summer and fall, suggesting that communities within highly connected DENs tend to be more homogeneous. Our results indicate that the DCI is sensitive to community effects of fragmentation in riverscapes and might be used by managers to predict ecological responses to changes in habitat connectivity. Moreover, our findings illustrate that relating structural connectivity of riverscapes to functional connectivity among communities might aid in maintaining metacommunity dynamics and biodiversity in complex dendritic ecosystems.</t>
  </si>
  <si>
    <t>10.1890/12-0318.1</t>
  </si>
  <si>
    <t>WOS:000312587300011</t>
  </si>
  <si>
    <t>The genetic rescue of two bottlenecked South Island robin populations using translocations of inbred donors</t>
  </si>
  <si>
    <t>Populations forced through bottlenecks typically lose genetic variation and exhibit inbreeding depression. 'Genetic rescue' techniques that introduce individuals from outbred populations can be highly effective in reversing the deleterious effects of inbreeding, but have limited application for the majority of endangered species, which survive only in a few bottlenecked populations. We tested the effectiveness of using highly inbred populations as donors to rescue two isolated and bottlenecked populations of the South Island robin (Petroica australis). Reciprocal translocations significantly increased heterozygosity and allelic diversity. Increased genetic diversity was accompanied by increased juvenile survival and recruitment, sperm quality, and immunocompetence of hybrid individuals (crosses between the two populations) compared with inbred control individuals (crosses within each population). Our results confirm that the implementation of 'genetic rescue' using bottlenecked populations as donors provides a way of preserving endangered species and restoring their viability when outbred donor populations no longer exist.</t>
  </si>
  <si>
    <t>10.1098/rspb.2012.2228</t>
  </si>
  <si>
    <t>WOS:000312591600002</t>
  </si>
  <si>
    <t>Benthic indicators of sediment quality associated with run-of-river reservoirs</t>
  </si>
  <si>
    <t>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t>
  </si>
  <si>
    <t>10.1007/s10750-012-1355-y</t>
  </si>
  <si>
    <t>WOS:000312782000011</t>
  </si>
  <si>
    <t>Effects of trout farms on stream macroinvertebrates: linking farm-scale disturbance to ecological impact</t>
  </si>
  <si>
    <t>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t>
  </si>
  <si>
    <t>10.3354/aei00048</t>
  </si>
  <si>
    <t>WOS:000312783800003</t>
  </si>
  <si>
    <t>Differences in the Effects of Selective Logging on Amphibian Assemblages in Three West African Forest Types</t>
  </si>
  <si>
    <t>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t>
  </si>
  <si>
    <t>10.1111/j.1744-7429.2012.00887.x</t>
  </si>
  <si>
    <t>WOS:000312993900012</t>
  </si>
  <si>
    <t>Ecological impacts of the invasive grass Sorghum halepense on native tallgrass prairie</t>
  </si>
  <si>
    <t>Invasive plants frequently have competitive advantages over native species. These advantages have been characterized in systems in which the invading species has already become well established. Surprisingly, invader impacts on native communities currently undergoing invasion are lacking from most ecological studies. In this work we document and quantify shifting patterns in plant community structure in a native ecosystem (remnant tallgrass prairie) undergoing invasion by the invasive exotic Sorghum halepense (Johnsongrass). Further, we use manipulative field and greenhouse studies to quantify impacts of potential allelochemicals contained in whole-plant S. halepense leachates on growth of the dominant native grass, Schizachyrium scoparium (Little Bluestem), and tested the inhibitory effects of the potential soil legacy of S. halepense on the native grass in the greenhouse. Plant diversity indices revealed three distinct plant communities within the remnant prairie: a native community, a densely S. halepense invaded area, and a transitional zone between the two. Dominance of the native grass, determined by relative percent cover, significantly declined with increased S. halepense invasion via rhizomatous growth. Annual global positioning system monitoring of the S. halepense invasion front was used to quantify advancement into native prairie, documented at an average rate of 0.45 m year(-1). In the manipulative field and greenhouse studies, native S. scoparium treated with invasive S. halepense leachate had significantly less biomass and fewer inflorescences than control plants. These findings indicate the prolific clonal growth in conjunction with the plant chemistry of S. halepense play a significant role in displacement of the native grass.</t>
  </si>
  <si>
    <t>10.1007/s10530-012-0289-7</t>
  </si>
  <si>
    <t>WOS:000313030500010</t>
  </si>
  <si>
    <t>Conservation of small and medium-sized mammals following native woodland regrowth: A case study in a long-term UNESCO Biosphere Reserve, Argentina</t>
  </si>
  <si>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</si>
  <si>
    <t>10.1016/j.jaridenv.2012.07.003</t>
  </si>
  <si>
    <t>WOS:000313392900032</t>
  </si>
  <si>
    <t>Effects of invasive insects and fire on forest energy exchange and evapotranspiration in the New Jersey pinelands</t>
  </si>
  <si>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</si>
  <si>
    <t>10.1016/j.agrformet.2012.07.007</t>
  </si>
  <si>
    <t>WOS:000313479100007</t>
  </si>
  <si>
    <t>Regional boreal biodiversity peaks at intermediate human disturbance</t>
  </si>
  <si>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</si>
  <si>
    <t>10.1038/ncomms2145</t>
  </si>
  <si>
    <t>WOS:000313514100052</t>
  </si>
  <si>
    <t>Conversion of the Amazon rainforest to agriculture results in biotic homogenization of soil bacterial communities</t>
  </si>
  <si>
    <t>The Amazon rainforest is the Earth's largest reservoir of plant and animal diversity, and it has been subjected to especially high rates of land use change, primarily to cattle pasture. This conversion has had a strongly negative effect on biological diversity, reducing the number of plant and animal species and homogenizing communities. We report here that microbial biodiversity also responds strongly to conversion of the Amazon rainforest, but in a manner different from plants and animals. Local taxonomic and phylogenetic diversity of soil bacteria increases after conversion, but communities become more similar across space. This homogenization is driven by the loss of forest soil bacteria with restricted ranges (endemics) and results in a net loss of diversity. This study shows homogenization of microbial communities in response to human activities. Given that soil microbes represent the majority of biodiversity in terrestrial ecosystems and are intimately involved in ecosystem functions, we argue that microbial biodiversity loss should be taken into account when assessing the impact of land use change in tropical forests.</t>
  </si>
  <si>
    <t>10.1073/pnas.1220608110</t>
  </si>
  <si>
    <t>WOS:000313909100047</t>
  </si>
  <si>
    <t>Effects of additional N on herbaceous species of desertified steppe in arid regions of China: a four-year field study</t>
  </si>
  <si>
    <t>Human-induced nitrogen (N) enrichment is impacting the structure and function of grassland ecosystems, although few studies have been conducted in arid and semi-arid ecosystems under field conditions. Here, a 4-year multi-level N addition experiment under ambient precipitation in a typical temperate desert steppe in arid regions of China was designed to evaluate the impact of N enrichment on the herbaceous vegetation community in desert ecosystems. The results showed that species richness declined in response to N addition during all 4 years, while aboveground biomass increased in the relatively wet year (2007) and decreased in the relatively dry years (2008-2010) according to N addition level, as compared to the control. Plant community composition differed among plant functional groups (PFGs) based on added N. Perennial grasses (PG) benefited more compared with annuals and perennial forbs (PF) from N enrichment in terms of biomass production under conditions of high precipitation in 2007. In relatively dry years, biomass production of all PFGs was strictly dependent on inter- and intra-annual precipitation, which led PG to dominate in 2008 (with a dry spring) and PF to dominate in 2009 and 2010. Our results demonstrate that the impact of N enrichment on the herbaceous vegetation community in desert steppes may be strongly dependent on natural precipitation patterns characterized by shifts in plant community composition, particularly in terms of biomass production.</t>
  </si>
  <si>
    <t>10.1007/s11284-012-0994-9</t>
  </si>
  <si>
    <t>WOS:000313951000003</t>
  </si>
  <si>
    <t>Arid vegetation in disequilibrium with livestock grazing: Evidence from long-term exclosures</t>
  </si>
  <si>
    <t>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t>
  </si>
  <si>
    <t>10.1111/j.1442-9993.2012.02374.x</t>
  </si>
  <si>
    <t>WOS:000313980500006</t>
  </si>
  <si>
    <t>Maintenance of genetic variation and panmixia in the commercially exploited western rock lobster (Panulirus cygnus)</t>
  </si>
  <si>
    <t>Marine species with high fecundities and mortalities in the early life stages can have low effective population sizes, making them vulnerable to declines in genetic diversity when they are commercially harvested. Here, we compare levels of microsatellite and mitochondrial sequence variation in the western rock lobster (Panulirus cygnus) over a 14-year period to test whether genetic variation is being maintained. Panulirus cygnus is a strong candidate for loss of genetic variation because it is a highly fecund species that is likely to experience high variance in reproductive success due to an extended larval planktonic stage. It also supports one of the largest and most economically important fisheries in Australia, with landings of between 8,000 and 14,500 tons (similar to 70 % of the total legal-sized biomass) being harvested in some years. We found remarkably high levels of genetic variation in all samples and no evidence of a decline in genetic diversity over the time interval we studied. Furthermore, there was no evidence of a recent genetic bottleneck, and effective population size estimates based on single sample and temporal methods were infinitely large. Analysis of molecular variance indicated no significant population structure along 960 km of coastline or genetic differentiation among temporal samples. Our results support the view that P. cygnus is a single, panmictic population, and suggest genetic drift is not strong enough to reduce neutral genetic diversity in this species if current management practices and breeding stock sizes are maintained.</t>
  </si>
  <si>
    <t>10.1007/s10592-012-0433-z</t>
  </si>
  <si>
    <t>WOS:000314065200011</t>
  </si>
  <si>
    <t>Effect of catchment urbanization on ant diversity in remnant riparian corridors</t>
  </si>
  <si>
    <t>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t>
  </si>
  <si>
    <t>10.1016/j.landurbplan.2012.11.005</t>
  </si>
  <si>
    <t>WOS:000314189600016</t>
  </si>
  <si>
    <t>Comparing stressor-specific indices and general measures of taxonomic composition for assessing the status of boreal lacustrine macrophyte communities</t>
  </si>
  <si>
    <t>Biotic communities are increasingly used to assess and monitor aquatic ecosystems with two fundamentally contrasting approaches: (i) responses sensitive to, and indicative of specific stressors; and (ii) general measures of community change. For assessment of lacustrine macrophyte communities, we compared three trophy-related and one water level fluctuation-related stressor-specific indices (SSIs) with three general measures of taxonomic composition (MTC), using data from 48 reference, 33 eutrophicated and 24 water level regulated boreal lakes. Our hypothesis was that MTCs would yield robust ecological quality estimates across these differing stress-gradients, while the SSIs would only react to the specific pressures they are calibrated against. Judged by the criteria of accuracy, precision and sensitivity, most trophy-specific SSIs performed well with respect to eutrophication and even showed some sensitivity to regulation, whereas the water-level fluctuation index reacted only to heavy regulation amplitude. Metric performance was not significantly affected by inclusion or exclusion of emergent taxa or by the use of abundance instead of occurrence alone. As expected, MTCs responded to both eutrophication and regulation and the best performing MTC - incorporating both taxa loss and gain - indicated impairment almost as often as any one (minimum) of the SSIs. We argue that non-stressor-specific MTCs - with the demonstrated unifying response of biotic community to different stressors - should primarily be used in the assessment of changes in the status of aquatic biota, whereas using SSIs a posteriori might help in identifying the likely causes of these changes. (C) 2012 Elsevier Ltd. All rights reserved.</t>
  </si>
  <si>
    <t>10.1016/j.ecolind.2012.11.012</t>
  </si>
  <si>
    <t>WOS:000314201700004</t>
  </si>
  <si>
    <t>The spatio-temporal responses of the carbon cycle to climate and land use/land cover changes between 1981-2000 in China</t>
  </si>
  <si>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</si>
  <si>
    <t>10.1007/s11707-012-0335-x</t>
  </si>
  <si>
    <t>WOS:000314279400009</t>
  </si>
  <si>
    <t>Dam Design can Impede Adaptive Management of Environmental Flows: A Case Study from the Opuha Dam, New Zealand</t>
  </si>
  <si>
    <t>The Opuha Dam was designed for water storage, hydropower, and to augment summer low flows. Following its commissioning in 1999, algal blooms (dominated first by Phormidium and later Didymosphenia geminata) downstream of the dam were attributed to the reduced frequency and magnitude of high-flow events. In this study, we used a 20-year monitoring dataset to quantify changes associated with the dam. We also studied the effectiveness of flushing flows to remove periphyton from the river bed. Following the completion of the dam, daily maximum flows downstream have exceeded 100 m(3) s(-1) only three times; two of these floods exceeded the pre-dam mean annual flood of 203 m(3) s(-1) (compared to 19 times &gt; 100 m(3) s(-1) and 6 times &gt; 203 m(3) s(-1) in the 8 years of record before the dam). Other changes downstream included increases in water temperature, bed armoring, frequency of algal blooms, and changes to the aquatic invertebrate community. Seven experimental flushing flows resulted in limited periphyton reductions. Flood wave attenuation, bed armoring, and a shortage of surface sand and gravel, likely limited the effectiveness of these moderate floods. Floods similar to pre-dam levels may be effective for control of periphyton downstream; however, flushing flows of that magnitude are not possible with the existing dam infrastructure. These results highlight the need for dams to be planned and built with the capacity to provide the natural range of flows for adaptive management, particularly high flows.</t>
  </si>
  <si>
    <t>10.1007/s00267-012-9971-x</t>
  </si>
  <si>
    <t>WOS:000314311300013</t>
  </si>
  <si>
    <t>Effect of environmental variations on sharks and other top predators in the deep Mediterranean Sea over the last 60 years</t>
  </si>
  <si>
    <t>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t>
  </si>
  <si>
    <t>10.3354/cr01137</t>
  </si>
  <si>
    <t>WOS:000314638700005</t>
  </si>
  <si>
    <t>Impacts of long-term snow climate change on a high-elevation cold desert shrubland, California, USA</t>
  </si>
  <si>
    <t>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t>
  </si>
  <si>
    <t>10.1007/s11258-012-0164-8</t>
  </si>
  <si>
    <t>WOS:000314781600008</t>
  </si>
  <si>
    <t>Geology and Topography Effects on Exotic Plant Distribution in a Semi-arid Mima Mound Prairie in Eastern Washington</t>
  </si>
  <si>
    <t>Native prairie plant communities are among the most endangered habitats due to extensive agricultural use and exotic species invasion. Understanding how species composition, particularly of exotic species, varies with environment is essential for management and preservation of these communities. In semi-arid prairies, plant establishment is often heterogeneous across the landscape and depends on the patchy availability of resources across environmental gradients. We studied how soil geologic substrate, topography, and grazing history relate to patterns of native and exotic plant distribution in a semi-arid Mima mound prairie in eastern Washington. We analyzed the relationship between native and exotic species richness and abundance on 61 Mima mounds in a prairie underlain by two types of soil geologic substrate (glacial alluvium and basalt) where half of each had been grazed recently. We found that exotic species richness and cover were lowest and native species cover was highest on mounds underlain by basalt bedrock that had experienced recent grazing; on sites underlain by glacial alluvium there was little difference between more and less recently grazed mounds. Moreover, we found that exotic abundance was greatest at the top of Mima mounds compared to the sides; the opposite was true for native species. Our findings indicate that geologic substrate and grazing history may interact to determine plant distribution in semi-arid prairie communities. This study demonstrates that land managers aiming to restore native plant communities need to consider the synergistic effects of multiple environmental factors in order to focus restoration funding and effort.</t>
  </si>
  <si>
    <t>10.3955/046.087.0102</t>
  </si>
  <si>
    <t>WOS:000314920600002</t>
  </si>
  <si>
    <t>Assessment of estuarine macrobenthic assemblages and ecological quality status at a dredging site in a southern Europe estuary</t>
  </si>
  <si>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</si>
  <si>
    <t>10.1016/j.ocecoaman.2011.07.009</t>
  </si>
  <si>
    <t>WOS:000315071300009</t>
  </si>
  <si>
    <t>Contrasting landscape effects on species diversity and invasion success within a predator community</t>
  </si>
  <si>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</si>
  <si>
    <t>10.1111/j.1472-4642.2012.00935.x</t>
  </si>
  <si>
    <t>WOS:000315404100004</t>
  </si>
  <si>
    <t>Landscape genetics of an early successional specialist in a disturbance-prone environment</t>
  </si>
  <si>
    <t>Species that specialize in disturbed habitats may have considerably different dispersal strategies than those adapted to more stable environments. However, little is known of the dispersal patterns and population structure of such species. This information is important for conservation because many postfire specialists are at risk from anthropogenic changes to natural disturbance regimes. We used microsatellite markers to assess the effect of landscape variation and recent disturbance history on dispersal by a small mammal species that occupies the early seral stage of vegetation regeneration in burnt environments. We predicted that a postfire specialist would be able to disperse over multiple habitat types (generalist) and not exhibit sex-biased dispersal, as such strategies should enable effective colonization of spatially and temporally variable habitat. We found significant differentiation between sites that fitted an isolation-by-distance pattern and spatial autocorrelation of multilocus genotypes to a distance of 23km. There was no consistent genetic evidence for sex-biased dispersal. We tested the influence of different habitat- and fire-specific landscape resistance scenarios on genetic distance between individuals and found a significant effect of fire. Our genetic data supported recently burned vegetation having greater conductance for gene flow than unburnt habitat, but variation in habitat quality between vegetation types and occupied patches had no effect on gene flow. Postfire specialists must evolve an effective dispersal ability to move over distances that would ensure access to early successional stage vegetation. Natural disturbance and natural heterogeneity may therefore not influence population genetic structure as negatively as expected.</t>
  </si>
  <si>
    <t>10.1111/mec.12172</t>
  </si>
  <si>
    <t>WOS:000315414700007</t>
  </si>
  <si>
    <t>Interannual variation in effective number of breeders and estimation of effective population size in long-lived iteroparous lake sturgeon (Acipenser fulvescens)</t>
  </si>
  <si>
    <t>Quantifying interannual variation in effective adult breeding number (Nb) and relationships between Nb, effective population size (Ne), adult census size (N) and population demographic characteristics are important to predict genetic changes in populations of conservation concern. Such relationships are rarely available for long-lived iteroparous species like lake sturgeon (Acipenser fulvescens). We estimated annual Nb and generational Ne using genotypes from 12 microsatellite loci for lake sturgeon adults (n=796) captured during ten spawning seasons and offspring (n=3925) collected during larval dispersal in a closed population over 8years. Inbreeding and variance Nb estimated using mean and variance in individual reproductive success derived from genetically identified parentage and using linkage disequilibrium (LD) were similar within and among years (interannual range of Nb across estimators: 41205). Variance in reproductive success and unequal sex ratios reduced Nb relative to N on average 36.8% and 16.3%, respectively. Interannual variation in Nb/N ratios (0.270.86) resulted from stable N and low standardized variance in reproductive success due to high proportions of adults breeding and the species' polygamous mating system, despite a 40-fold difference in annual larval production across years (43716417). Results indicated environmental conditions and features of the species' reproductive ecology interact to affect demographic parameters and Nb/N. Estimates of Ne based on three single-sample estimators, including LD, approximate Bayesian computation and sibship assignment, were similar to annual estimates of Nb. Findings have important implications concerning applications of genetic monitoring in conservation planning for lake sturgeon and other species with similar life histories and mating systems.</t>
  </si>
  <si>
    <t>10.1111/mec.12167</t>
  </si>
  <si>
    <t>WOS:000315414700008</t>
  </si>
  <si>
    <t>Effects of Logged and Unlogged Forest Patches on Avifaunal Diversity</t>
  </si>
  <si>
    <t>In the Hyrcanian forests of northern Iran, reduced-impact silviculture systems, (single-tree and group-tree selection) were applied over a large area, which generated different local habitat structures. The aim of this study was to assess the differences between treated and untreated areas of forest and their effect on avian richness, abundance and diversity (R.A.D). Birds were surveyed during the breeding season in 2009 by 100-point counts, equally distributed in the treated and untreated area. Avian R.A.D was significantly different and higher in the untreated area. Generally, forestry practices cause noticeable changes in canopy percentage, tree composition, snags and shrub number. Treated forest habitats in the area of study had a much more developed understory, fewer snags and fewer large diameter trees. The results highlighted the importance of forest maturity and showed that preventing silvicultural disturbances may not be the best solution for conserving and enhancing biodiversity. Rather, methods such as selective cutting seem an appropriate and sustainable way of forest management. It is suggested that forests should be managed to conserve structural elements which create favorable habitat for bird species, preventing future species losses due to logging practices.</t>
  </si>
  <si>
    <t>10.1007/s00267-012-9979-2</t>
  </si>
  <si>
    <t>WOS:000315416900018</t>
  </si>
  <si>
    <t>Using a no-take zone to assess the impacts of fishing: Sessile epifauna appear insensitive to environmental disturbances from commercial potting</t>
  </si>
  <si>
    <t>Aside from effects on target populations and/or by catch, there is widespread interest in the physical impacts of fishing activity on marine systems. Frequently, it is the effect of mobile gear such as dredges and trawls which are of principal concern. The ecological consequences of passive/static gear such as pots and traps on benthic communities are far less understood. The establishment of a Sanctuary Zone/No-Take Zone at Lundy Island in 2003 allowed us to test the idea that if potting for crustaceans has an impact on benthic assemblages, then on the cessation of potting, assemblages should become different from those where potting continues. A concurrent study using experimental potting within the No-Take Zone allowed a separate test of this idea, but with a controlled fishing effort. This is the first longer-term study into the effects of lobster potting on benthic assemblages in the northern Atlantic. Multivariate analyses on patterns of change in assemblages over the 4 years of the study indicated no differences in how assemblages changed over time between areas subject to potting and those not fished. From the results, we conclude that potting for lobsters and crabs in inshore waters seems to have no detectable effects over the timescale of the experiment. In addition to being management goals/tools in their own right, strongly protected areas such as Sanctuary/No-Take Zones provide an opportunity to test experimental hypotheses about the effects of fishing. Our study shows there were no conservation benefits, in terms of the investigated species, arising from exclusion of potting in this Marine Protected Area (MPA). For some MPAs it may be possible to permit limited potting to allow small-scale artisanal fisheries to persist. (C) 2012 Elsevier B.V. All rights reserved.</t>
  </si>
  <si>
    <t>10.1016/j.jembe.2012.12.005</t>
  </si>
  <si>
    <t>WOS:000316092500015</t>
  </si>
  <si>
    <t>Biodiversity and land-use change: understanding the complex responses of an endemic-rich bird assemblage</t>
  </si>
  <si>
    <t>Aim Anthropogenic land-use change is a major driver of the current extinction crisis, but the processes through which it acts on biodiversity are complex and still poorly understood. Here, we use several biodiversity metrics to make a comprehensive assessment of the response of an endemic-rich bird assemblage to land-use change. Location SAo Tome Island (SAo Tome and Principe, Africa). Methods We sampled bird assemblages in 220 point counts, stratified across three regions and four land-use types. Species richness was examined using accumulation curves and generalized linear mixed-effect models. Compositional and structural changes were analysed with ordination techniques. We used correlations and model selection to identify species traits and environmental variables associated with such changes. Results At the point level, there was a slight decrease of species richness in more intensive land uses. However, higher dissimilarities within these land uses led them to have higher overall species richness. Endemics dominated forest environments and, although most preferred less-disturbed land uses, many persisted across all land uses. Non-endemics were virtually absent from forests, but became very abundant in the more intensive land uses. Canopy cover was the best predictor of the shift between endemic and non-endemic species, and allowed identifying regional differences in the local responses of bird assemblages to land-use change. Main conclusions To better understand biodiversity, it is crucial to use several metrics simultaneously. In SAo Tome, simply using species richness, the single most used biodiversity metric, could have been misleading as it concealed major shifts in the bird assemblage structure towards an endemism impoverished avifauna. Despite scarce data on land-use cover, we demonstrate how landscape context can be vital to understand biodiversity patterns and that highly forested surroundings might overestimate the strict value of more intensive land uses. Our results raise concerns about the long-term persistence of endemic species restricted to islands where forested land uses are being lost.</t>
  </si>
  <si>
    <t>10.1111/ddi.12015</t>
  </si>
  <si>
    <t>WOS:000316324800005</t>
  </si>
  <si>
    <t>The northern Baltic Sea phytoplankton communities in 1903-1911 and 1993-2005: a comparison of historical and modern species data</t>
  </si>
  <si>
    <t>Despite over 100 years of phytoplankton research in the Baltic Sea, little is known about how the species composition has changed during this period, characterised by severe anthropogenic eutrophication. We investigated the phytoplankton communities in the northern Baltic Sea using data from 1903 to 1911 and 1993 to 2005; to minimise effects of methodological differences we focused on occurrence frequencies. We found that the historical and modern communities differed regarding both species composition and the relative importance of taxonomical groups. The most obvious differences were the increase of dinoflagellates and decrease in the diatom to dinoflagellate ratio in all seasons. Contrary to the widely held view that cyanophytes have gained significance, our results indicate that in terms of occurrence the group has not increased in summer, and has lost ground in both spring and autumn. Several shifts in the occurrence frequency and seasonality of individual taxa transpired. Examining our results in relation to environmental conditions we found that some changes may be symptomatic of climate change related pressures. However, statistical analyses revealed that an undefined 'period effect' was the most important factor separating the historical and modern phytoplankton communities. We interpret this 'period effect' as evidence for the direct and/or indirect influence of eutrophication.</t>
  </si>
  <si>
    <t>10.1007/s10750-012-1414-4</t>
  </si>
  <si>
    <t>WOS:000316332300009</t>
  </si>
  <si>
    <t>Effects of two decades of rising sea surface temperatures on sublittoral macrobenthos communities in Northern Ireland, UK</t>
  </si>
  <si>
    <t>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t>
  </si>
  <si>
    <t>10.1016/j.marenvres.2012.12.008</t>
  </si>
  <si>
    <t>WOS:000316504300005</t>
  </si>
  <si>
    <t>Species-diverse coral communities on an artificial substrate at a tuna farm in Amami, Japan</t>
  </si>
  <si>
    <t>Tuna-farming is expanding worldwide, necessitating the monitoring/managing of its effects on the natural environment. In Japan, tuna-farming is conducted on coral reefs that have been damaged by mass-bleaching events and crown-of-thorns starfish (COTS) outbreaks. This study focused on the coral community on an artificial substrate of tuna-farm to reveal the possible effects of tuna-farming on the natural environment. Corals flourished on ropes suspended in the farm in the Amami Islands, southern Japan. These were moored 3 m below the sea-surface in 50-m-deep water. The coral community on the rope was analyzed and compared with those on natural substrata on two adjacent COTS-damaged reefs and with that in a protected reef. Corals were monitored throughout a year. Sixty coral species grew on the ropes, that corresponds to 27.3% of the 220 species known from Amami. The coral community was unique, dominated by massive faviid corals. On the ropes, the water temperature rarely exceeded 30.0 degrees C and no corals on the rope were severely bleached or covered by sedimentation during the observations. The tuna-farm infrastructure provided corals with a suitable habitat, and species-rich coral communities were established. These coral communities are an important node connecting tuna-farms and the natural environment. (C) 2012 Elsevier Ltd. All rights reserved.</t>
  </si>
  <si>
    <t>10.1016/j.marenvres.2012.12.009</t>
  </si>
  <si>
    <t>WOS:000316504300006</t>
  </si>
  <si>
    <t>Fishers' knowledge identifies environmental changes and fish abundance trends in impounded tropical rivers</t>
  </si>
  <si>
    <t>The long-term impacts of large hydroelectric dams on small-scale fisheries in tropical rivers are poorly known. A promising way to investigate such impacts is to compare and integrate the local ecological knowledge (LEK) of resource users with biological data for the same region. We analyzed the accuracy of fishers' LEK to investigate fisheries dynamics and environmental changes in the Lower Tocantins River (Brazilian Amazon) downstream from a large dam. We estimated fishers' LEK through interviews with 300 fishers in nine villages and collected data on 601 fish landings in five of these villages, 22 years after the dam's establishment (2006-2008). We compared these two databases with each other and with data on fish landings from before the dam's establishment (1981) gathered from the literature. The data obtained based on the fishers' LEK (interviews) and from fisheries agreed regarding the primary fish species caught, the most commonly used type of fishing gear (gill nets) and even the most often used gill net mesh sizes but disagreed regarding seasonal fish abundance. According to the interviewed fishers, the primary environmental changes that occurred after the impoundment were an overall decrease in fish abundance, an increase in the abundance of some fish species and, possibly, the local extinction of a commercial fish species (Semaprochilodus brama). These changes were corroborated by comparing fish landings sampled before and 22 years after the impoundment, which indicated changes in the composition of fish landings and a decrease in the total annual fish production. Our results reinforce the hypothesis that large dams may adversely affect small-scale fisheries downstream and establish a feasible approach for applying fishers' LEK to fisheries management, especially in regions with a low research capacity.</t>
  </si>
  <si>
    <t>10.1890/12-0429.1</t>
  </si>
  <si>
    <t>WOS:000316559800011</t>
  </si>
  <si>
    <t>Population genetics of the American eel (Anguilla rostrata): FST=0 and North Atlantic Oscillation effects on demographic fluctuations of a panmictic species</t>
  </si>
  <si>
    <t>We performed population genetic analyses on the American eel (Anguilla rostrata) with three main objectives. First, we conducted the most comprehensive analysis of neutral genetic population structure to date to revisit the null hypothesis of panmixia in this species. Second, we used this data to provide the first estimates of contemporary effective population size (Ne) and to document temporal variation in effective number of breeders (Nb) in American eel. Third, we tested for statistical associations between temporal variation in the North Atlantic Oscillation (NAO), the effective number of breeders and two indices of recruit abundance. A total of 2142 eels from 32 sampling locations were genotyped with 18 microsatellite loci. All measures of differentiation were essentially zero, and no evidence for significant spatial or temporal genetic differentiation was found. The panmixia hypothesis should thus be accepted for this species. Nb estimates varied by a factor of 23 among 12 cohorts, from 473 to 10999. The effective population size Ne was estimated at 10532 (95% CI, 931211752). This study also showed that genetically based demographic indices, namely Nb and allelic richness (Ar), can be used as surrogates for the abundance of breeders and recruits, which were both shown to be positively influenced by variation during high (positive) NAO phases. Thus, long-term genetic monitoring of American glass eels at several sites along the North American Atlantic coast would represent a powerful and efficient complement to census monitoring to track demographic fluctuations and better understand their causes.</t>
  </si>
  <si>
    <t>10.1111/mec.12142</t>
  </si>
  <si>
    <t>WOS:000316575800002</t>
  </si>
  <si>
    <t>Post-fire regeneration in alpine heathland: Does fire severity matter?</t>
  </si>
  <si>
    <t>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t>
  </si>
  <si>
    <t>10.1111/j.1442-9993.2012.02392.x</t>
  </si>
  <si>
    <t>WOS:000316623400009</t>
  </si>
  <si>
    <t>Afforestation effects on vegetation structure and diversity of grasslands in southern Brazil: The first years</t>
  </si>
  <si>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</si>
  <si>
    <t>10.1016/j.jnc.2012.10.002</t>
  </si>
  <si>
    <t>WOS:000316729400007</t>
  </si>
  <si>
    <t>Recent Demographic History and Present Fine-Scale Structure in the Northwest Atlantic Leatherback (Dermochelys coriacea) Turtle Population</t>
  </si>
  <si>
    <t>The leatherback turtle Dermochelys coriacea is the most widely distributed sea turtle species in the world. It exhibits complex life traits: female homing and migration, migrations of juveniles and males that remain poorly known, and a strong climatic influence on resources, breeding success and sex-ratio. It is consequently challenging to understand population dynamics. Leatherbacks are critically endangered, yet the group from the Northwest Atlantic is currently considered to be under lower risk than other populations while hosting some of the largest rookeries. Here, we investigated the genetic diversity and the demographic history of contrasted rookeries from this group, namely two large nesting populations in French Guiana, and a smaller one in the French West Indies. We used 10 microsatellite loci, of which four are newly isolated, and mitochondrial DNA sequences of the control region and cytochrome b. Both mitochondrial and nuclear markers revealed that the Northwest Atlantic stock of leatherbacks derives from a single ancestral origin, but show current genetic structuration at the scale of nesting sites, with the maintenance of migrants amongst rookeries. Low nuclear genetic diversities are related to founder effects that followed consequent bottlenecks during the late Pleistocene/Holocene. Most probably in response to climatic oscillations, with a possible influence of early human hunting, female effective population sizes collapsed from 2 million to 200. Evidence of founder effects and high numbers of migrants make it possible to reconsider the population dynamics of the species, formerly considered as a metapopulation model: we propose a more relaxed island model, which we expect to be a key element in the currently observed recovering of populations. Although these Northwest Atlantic rookeries should be considered as a single evolutionary unit, we stress that local conservation efforts remain necessary since each nesting site hosts part of the genetic diversity and species history.</t>
  </si>
  <si>
    <t>10.1371/journal.pone.0058061</t>
  </si>
  <si>
    <t>WOS:000316849200029</t>
  </si>
  <si>
    <t>The importance of remnants of natural vegetation for maintaining ant diversity in Brazilian agricultural landscapes</t>
  </si>
  <si>
    <t>Brazil is one of the leading producers of soybeans and other annual crops, and in several regions landowners are required by law to maintain 20 % of their lands with natural vegetation (i.e. as legal reserves). However, there is a growing concern that some of these reserves will be subject to increased levels of disturbance or even be lost as a result of the ongoing legislation reforms. In this sense, studies that evaluate the conservation potential of retaining natural habitats within agricultural areas are of great importance. We assessed the efficiency with which remnants of natural vegetation conserve the native ant fauna in a context of intensive agriculture. We compared the structure of ground-dwelling ant assemblages between crop fields and reserves located in different farms. Ant species richness was much higher in the reserves than in the crops, and this pattern was consistent in spite of variations in the type of crop planted in each field, and in the size (39-149 ha) and vegetation (open or closed savanna) of the reserves. From 41.4 to 76.4 % of all species recorded within each farm were exclusively found in the reserves. Differences in species composition were strong not only because the reserves had much more species, but also because the species that were present in both habitats showed contrasting patterns of abundance in each habitat. Overall, our results highlight that even small remnants of natural vegetation can have a significant potential to maintain a higher diversity of ants within an agriculturally dominated landscape.</t>
  </si>
  <si>
    <t>10.1007/s10531-013-0463-y</t>
  </si>
  <si>
    <t>WOS:000317011700009</t>
  </si>
  <si>
    <t>Roadside habitats: effects on diversity and composition of plant, arthropod, and small mammal communities</t>
  </si>
  <si>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</si>
  <si>
    <t>10.1007/s10531-013-0465-9</t>
  </si>
  <si>
    <t>WOS:000317011700011</t>
  </si>
  <si>
    <t>Marine fungi may benefit from ocean acidification</t>
  </si>
  <si>
    <t>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t>
  </si>
  <si>
    <t>10.3354/ame01622</t>
  </si>
  <si>
    <t>WOS:000317867500005</t>
  </si>
  <si>
    <t>Benzo(a)pyrene inhibits the role of the bioturbator Tubifex tubifex in river sediment biogeochemistry</t>
  </si>
  <si>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</si>
  <si>
    <t>10.1016/j.scitotenv.2013.02.013</t>
  </si>
  <si>
    <t>WOS:000317879100026</t>
  </si>
  <si>
    <t>Density- and trait-mediated top-down effects modify bottom-up control of a highly endemic tropical aquatic food web</t>
  </si>
  <si>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</si>
  <si>
    <t>10.1111/j.1600-0706.2012.20696.x</t>
  </si>
  <si>
    <t>WOS:000317981400015</t>
  </si>
  <si>
    <t>Do pathogens reduce genetic diversity of their hosts? Variable effects of sylvatic plague in black-tailed prairie dogs</t>
  </si>
  <si>
    <t>Introduced diseases can cause dramatic declines inand even the loss ofnatural populations. Extirpations may be followed by low recolonization rates, leading to inbreeding and a loss of genetic variation, with consequences on population viability. Conversely, extirpations may create vacant habitat patches that individuals from multiple source populations can colonize, potentially leading to an influx of variation. We tested these alternative hypotheses by sampling 15 colonies in a prairie dog metapopulation during 7years that encompassed an outbreak of sylvatic plague, providing the opportunity to monitor genetic diversity before, during and after the outbreak. Analysis of nine microsatellite loci revealed that within the metapopulation, there was no change in diversity. However, within extirpated colonies, patterns varied: In half of the colonies, allelic richness after recovery was less than the preplague conditions, and in the other half, richness was greater than the preplague conditions. Finally, analysis of variation within individuals revealed that prairie dogs present in recolonized colonies had higher heterozygosity than those present before plague. We confirmed plague survivorship in six founders; these individuals had significantly higher heterozygosity than expected by chance. Collectively, our results suggest that high immigration rates can maintain genetic variation at a regional scale despite simultaneous extirpations in spatially proximate populations. Thus, virulent diseases may increase genetic diversity of host populations by creating vacant habitats that allow an influx of genetic diversity. Furthermore, even highly virulent diseases may not eliminate individuals randomly; rather, they may selectively remove the most inbred individuals.</t>
  </si>
  <si>
    <t>10.1111/mec.12270</t>
  </si>
  <si>
    <t>WOS:000318111100010</t>
  </si>
  <si>
    <t>Nematode biomass and allometric attributes as indicators of environmental quality in a Mediterranean harbour (Ligurian Sea, Italy)</t>
  </si>
  <si>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</si>
  <si>
    <t>10.1016/j.ecolind.2013.01.034</t>
  </si>
  <si>
    <t>WOS:000318191800011</t>
  </si>
  <si>
    <t>Sandy beach macrofaunal assemblages as indicators of anthropogenic impacts on coastal dunes</t>
  </si>
  <si>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</si>
  <si>
    <t>10.1016/j.ecolind.2013.02.022</t>
  </si>
  <si>
    <t>WOS:000318191800024</t>
  </si>
  <si>
    <t>Fish Ecology in Tropical Streams</t>
  </si>
  <si>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</si>
  <si>
    <t>10.1016/B978-012088449-0.50007-8</t>
  </si>
  <si>
    <t>WOS:000318618900006</t>
  </si>
  <si>
    <t>Long-Term Impacts of Forest Ditching on Non-Aquatic Biodiversity: Conservation Perspectives for a Novel Ecosystem</t>
  </si>
  <si>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</si>
  <si>
    <t>10.1371/journal.pone.0063086</t>
  </si>
  <si>
    <t>WOS:000319077300134</t>
  </si>
  <si>
    <t>Effects of the invasive polychaete Marenzelleria spp. on benthic processes and meiobenthos of a species-poor brackish system</t>
  </si>
  <si>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</si>
  <si>
    <t>10.1016/j.seares.2013.02.005</t>
  </si>
  <si>
    <t>WOS:000319179700003</t>
  </si>
  <si>
    <t>Predictable bacterial composition and hydrocarbon degradation in Arctic soils following diesel and nutrient disturbance</t>
  </si>
  <si>
    <t>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t>
  </si>
  <si>
    <t>10.1038/ismej.2013.1</t>
  </si>
  <si>
    <t>WOS:000319333600013</t>
  </si>
  <si>
    <t>Physical and biological effects of introduced oysters on biodiversity in an intertidal boulder field</t>
  </si>
  <si>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</si>
  <si>
    <t>10.3354/meps10241</t>
  </si>
  <si>
    <t>WOS:000319337100010</t>
  </si>
  <si>
    <t>Ocean acidification causes ecosystem shifts via altered competitive interactions</t>
  </si>
  <si>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</si>
  <si>
    <t>10.1038/NCLIMATE1680</t>
  </si>
  <si>
    <t>WOS:000319397500019</t>
  </si>
  <si>
    <t>Effects of Oil-Palm Plantations on Diversity of Tropical Anurans</t>
  </si>
  <si>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</si>
  <si>
    <t>10.1111/cobi.12062</t>
  </si>
  <si>
    <t>WOS:000319399600022</t>
  </si>
  <si>
    <t>Biotic and abiotic effects on cohort size distributions in fish</t>
  </si>
  <si>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</si>
  <si>
    <t>10.1111/j.1600-0706.2012.19858.x</t>
  </si>
  <si>
    <t>WOS:000319408300004</t>
  </si>
  <si>
    <t>Drove roads: Keystone structures that promote ant diversity in Mediterranean forest landscapes</t>
  </si>
  <si>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</si>
  <si>
    <t>10.1016/j.actao.2013.03.011</t>
  </si>
  <si>
    <t>WOS:000319538700015</t>
  </si>
  <si>
    <t>Conservation value of alternative land-use systems for dung beetles in Amazon: valuing traditional farming practices</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</si>
  <si>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</si>
  <si>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10.1007/s10531-013-0487-3</t>
  </si>
  <si>
    <t>WOS:000319767700012</t>
  </si>
  <si>
    <t>Using Temporal Sampling to Improve Attribution of Source Populations for Invasive Species</t>
  </si>
  <si>
    <t>Numerous studies have applied genetic tools to the identification of source populations and transport pathways for invasive species. However, there are many gaps in the knowledge obtained from such studies because comprehensive and meaningful spatial sampling to meet these goals is difficult to achieve. Sampling populations as they arrive at the border should fill the gaps in source population identification, but such an advance has not yet been achieved with genetic data. Here we use previously acquired genetic data to assign new incursions as they invade populations within New Zealand ports and marinas. We also investigated allelelic frequency change in these recently established populations over a two-year period, and assessed the effect of temporal genetic sampling on our ability to assign new incursions to their population of source. We observed shifts in the allele frequencies among populations, as well as the complete loss of some alleles and the addition of alleles novel to New Zealand, within these recently established populations. There was no significant level of genetic differentiation observed in our samples between years, and the use of these temporal data did alter the assignment probability of new incursions. Our study further suggests that new incursions can add genetic variation to the population in a single introduction event as the founders themselves are often more genetically diverse than theory initially predicted.</t>
  </si>
  <si>
    <t>10.1371/journal.pone.0065656</t>
  </si>
  <si>
    <t>WOS:000319872300089</t>
  </si>
  <si>
    <t>Introduction of exotic fish species and decline of native species in the lower Po basin, north-eastern Italy</t>
  </si>
  <si>
    <t>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t>
  </si>
  <si>
    <t>10.1002/aqc.2345</t>
  </si>
  <si>
    <t>WOS:000319873700007</t>
  </si>
  <si>
    <t>Drove roads as local biodiversity reservoirs: effects on landscape pattern and plant communities in a Mediterranean region</t>
  </si>
  <si>
    <t>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t>
  </si>
  <si>
    <t>10.1111/avsc.12003</t>
  </si>
  <si>
    <t>WOS:000319885000013</t>
  </si>
  <si>
    <t>Invasive Pine Tree Effects on Northern Coastal Scrub Structure and Composition</t>
  </si>
  <si>
    <t>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t>
  </si>
  <si>
    <t>10.1614/IPSM-D-12-00044.1</t>
  </si>
  <si>
    <t>WOS:000320144700004</t>
  </si>
  <si>
    <t>Patterns and drivers of regeneration of tree species in forests of peninsular Spain</t>
  </si>
  <si>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</si>
  <si>
    <t>10.1111/jbi.12105</t>
  </si>
  <si>
    <t>WOS:000320175400005</t>
  </si>
  <si>
    <t>Restitution of vimba (Vimba vimba, Cyprinidae) in Poland: genetic variability of existing and restored populations</t>
  </si>
  <si>
    <t>Until 1960s, vimba was found abundantly in Polish rivers and was an important species for the fishing industry. Overfishing, water pollution and dam constructions brought most of the vimba populations close to extinction. We analyzed the genetic variability of several remnant vimba populations in the Vistula and Oder river basins. The 305-bp fragment encompassing the 5'-end of the mtDNA control region was sequenced in a total of 202 wild specimens derived from six populations. Six different haplotypes were distinguished. The population of Barycz River was found to be the most polymorphic and was chosen as a source of breeding material for the vimba restitution program. In the years 2000-2008 fishes from this river were caught, spawned in captivity and released to the same river. The number of fishes returning to the Barycz River spawning grounds was monitored in the following years. In 2008, it was almost 70 times higher than the number of fishes recorded in 2003, when the lowest population size was observed. The haplotype and nucleotide diversities of the restored population were similar to those of the original population.</t>
  </si>
  <si>
    <t>10.1007/s10228-012-0326-7</t>
  </si>
  <si>
    <t>WOS:000320645100005</t>
  </si>
  <si>
    <t>Impact of salvage logging on stand structure and beetle diversity in boreal balsam fir forest, 20 years after a spruce budworm outbreak</t>
  </si>
  <si>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</si>
  <si>
    <t>10.1016/j.foreco.2013.03.018</t>
  </si>
  <si>
    <t>WOS:000320741300013</t>
  </si>
  <si>
    <t>The introduction of Littorina littorea to British Columbia, Canada: potential impacts and the importance of biotic resistance by native predators</t>
  </si>
  <si>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</si>
  <si>
    <t>10.1007/s00227-013-2206-8</t>
  </si>
  <si>
    <t>WOS:000320791000002</t>
  </si>
  <si>
    <t>The influence of a shrub-based intercropping system on the soil nematofauna when growing millet in Senegal</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</si>
  <si>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t>
  </si>
  <si>
    <t>10.1016/j.ejsobi.2013.04.003</t>
  </si>
  <si>
    <t>WOS:000320824400006</t>
  </si>
  <si>
    <t>Response of bacterioplankton community structure to an artificial gradient of pCO2 in the Arctic Ocean</t>
  </si>
  <si>
    <t>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</si>
  <si>
    <t>10.5194/bg-10-3679-2013</t>
  </si>
  <si>
    <t>WOS:000321122700016</t>
  </si>
  <si>
    <t>Long-Term Nitrogen Amendment Alters the Diversity and Assemblage of Soil Bacterial Communities in Tallgrass Prairie</t>
  </si>
  <si>
    <t>Anthropogenic changes are altering the environmental conditions and the biota of ecosystems worldwide. In many temperate grasslands, such as North American tallgrass prairie, these changes include alteration in historically important disturbance regimes (e.g., frequency of fires) and enhanced availability of potentially limiting nutrients, particularly nitrogen. Such anthropogenically-driven changes in the environment are known to elicit substantial changes in plant and consumer communities aboveground, but much less is known about their effects on soil microbial communities. Due to the high diversity of soil microbes and methodological challenges associated with assessing microbial community composition, relatively few studies have addressed specific taxonomic changes underlying microbial community-level responses to different fire regimes or nutrient amendments in tallgrass prairie. We used deep sequencing of the V3 region of the 16S rRNA gene to explore the effects of contrasting fire regimes and nutrient enrichment on soil bacterial communities in a long-term (20 yrs) experiment in native tallgrass prairie in the eastern Central Plains. We focused on responses to nutrient amendments coupled with two extreme fire regimes (annual prescribed spring burning and complete fire exclusion). The dominant bacterial phyla identified were Proteobacteria, Verrucomicrobia, Bacteriodetes, Acidobacteria, Firmicutes, and Actinobacteria and made up 80% of all taxa quantified. Chronic nitrogen enrichment significantly impacted bacterial community diversity and community structure varied according to nitrogen treatment, but not phosphorus enrichment or fire regime. We also found significant responses of individual bacterial groups including Nitrospira and Gammaproteobacteria to long-term nitrogen enrichment. Our results show that soil nitrogen enrichment can significantly alter bacterial community diversity, structure, and individual taxa abundance, which have important implications for both managed and natural grassland ecosystems.</t>
  </si>
  <si>
    <t>10.1371/journal.pone.0067884</t>
  </si>
  <si>
    <t>WOS:000321148400138</t>
  </si>
  <si>
    <t>MORE EXOTIC AND FEWER NATIVE PLANT SPECIES: RIVERINE VEGETATION PATTERNS ASSOCIATED WITH ALTERED SEASONAL FLOW PATTERNS</t>
  </si>
  <si>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</si>
  <si>
    <t>10.1002/rra.2571</t>
  </si>
  <si>
    <t>WOS:000321327000002</t>
  </si>
  <si>
    <t>Satellite-based primary forest degradation assessment in the Democratic Republic of the Congo, 2000-2010</t>
  </si>
  <si>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</si>
  <si>
    <t>10.1088/1748-9326/8/2/024034</t>
  </si>
  <si>
    <t>WOS:000321425100038</t>
  </si>
  <si>
    <t>Coffee agrosystems: an important refuge for amphibians in central Veracruz, Mexico</t>
  </si>
  <si>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</si>
  <si>
    <t>10.1007/s10457-013-9595-z</t>
  </si>
  <si>
    <t>WOS:000321519300004</t>
  </si>
  <si>
    <t>Genetic restoration in the eastern collared lizard under prescribed woodland burning</t>
  </si>
  <si>
    <t>Eastern collared lizards of the Ozarks live in gladesopen, rocky habitats embedded in a woodland matrix. Past fire suppression had made the woodlands a barrier to dispersal, leading to habitat destruction, fragmentation and local extinction. Reintroduced populations of lizards were subjected to 10years of habitat fragmentation under continued fire suppression followed by twelve years of landscape restoration with prescribed burns. Prior to prescribed burning, genetic diversity decreased within glades and differentiation increased among glades. With woodland burning, genetic diversity within glades first decreased during an expanding colonization phase, but then increased as a dynamically stable metapopulation was established. Population differentiation among glades also stabilized in the metapopulation under weak isolation-by-distance. This study is one of the first to examine the genetic changes in a species of conservation concern throughout all the stages of decline and recovery and shows the importance of landscape-level restoration for maintaining the genetic integrity of populations. This study also demonstrates how mark-recapture and genetic data together can yield detailed insight into metapopulation dynamics that would be impossible from just one type of data alone.</t>
  </si>
  <si>
    <t>10.1111/mec.12306</t>
  </si>
  <si>
    <t>WOS:000321552800004</t>
  </si>
  <si>
    <t>Desertification dynamic and the relative roles of climate change and human activities in desertification in the Heihe River Basin based on NPP</t>
  </si>
  <si>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</si>
  <si>
    <t>10.1007/s40333-013-0181-z</t>
  </si>
  <si>
    <t>WOS:000321558700006</t>
  </si>
  <si>
    <t>Effects of exotic fish farms on bird communities in lake and marine ecosystems</t>
  </si>
  <si>
    <t>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t>
  </si>
  <si>
    <t>10.1007/s00114-013-1076-8</t>
  </si>
  <si>
    <t>WOS:000321787200008</t>
  </si>
  <si>
    <t>Environmental and ecological changes associated with a marina</t>
  </si>
  <si>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</si>
  <si>
    <t>10.1080/08927014.2013.805751</t>
  </si>
  <si>
    <t>WOS:000321828200005</t>
  </si>
  <si>
    <t>Rove beetles respond heterogeneously to urbanization</t>
  </si>
  <si>
    <t>Effects of urbanization on rove beetles were studied along a rural-suburban-urban forested gradient characterized by increasing human disturbance in and around Debrecen city (Hungary). Three classical and six novel hypotheses regarding the response of species to urbanization were tested. We found that overall species richness increased significantly with decreasing urbanization (i) as it is predicted by the increasing disturbance hypothesis, and contradicting (ii) the intermediate disturbance hypothesis that predicts the highest species richness in the moderately disturbed suburban area. (iii) The number of forest-associated species was significantly lower in the urban area compared to suburban and rural areas, as predicted by the habitat specialist hypothesis. All of the proposed novel hypotheses are about habitat alteration caused by the urbanization were corroborated. The (iv) richness of hygrophilous species was the highest in the rural area (hygrophilous species hypothesis), while (v) the number of thermophilous species was higher in the urban area (thermophilous species hypothesis). The richness of species directly or indirectly feeding on decaying organic materials ((vi) saprophilous, (vii) phytodetriticol, (viii) myrmecophilous, (ix) mycetophilous species hypotheses) was also highest in the rural area compared to the urban one. We stress that overall species richness is not the most appropriate indicator of the impacts of urbanization and accompanying disturbance on these beetles. Instead, habitat affinity and ecological traits of the species give more information about what habitat properties and environmental variables change drastically during urbanization.</t>
  </si>
  <si>
    <t>10.1007/s10841-013-9555-y</t>
  </si>
  <si>
    <t>WOS:000321951500007</t>
  </si>
  <si>
    <t>Urban dry meadows provide valuable habitat for granivorous and xerophylic carabid beetles</t>
  </si>
  <si>
    <t>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t>
  </si>
  <si>
    <t>10.1007/s10841-013-9558-8</t>
  </si>
  <si>
    <t>WOS:000321951500010</t>
  </si>
  <si>
    <t>Temporal variability in soil microbial communities across land-use types</t>
  </si>
  <si>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</si>
  <si>
    <t>10.1038/ismej.2013.50</t>
  </si>
  <si>
    <t>WOS:000322119600016</t>
  </si>
  <si>
    <t>Ectomycorrhizal fungal community assembly on regenerating Douglas-fir after wildfire and clearcut harvesting</t>
  </si>
  <si>
    <t>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t>
  </si>
  <si>
    <t>10.1007/s00442-012-2562-y</t>
  </si>
  <si>
    <t>WOS:000322180000025</t>
  </si>
  <si>
    <t>GeoHab Atlas of Seafloor Geomorphic Features and Benthic Habitats: Synthesis and Lessons Learned</t>
  </si>
  <si>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</si>
  <si>
    <t>10.1016/B978-0-12-385140-6.00064-5</t>
  </si>
  <si>
    <t>WOS:000322237000066</t>
  </si>
  <si>
    <t>Community dynamics and ecosystem simplification in a high-CO2 ocean</t>
  </si>
  <si>
    <t>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t>
  </si>
  <si>
    <t>10.1073/pnas.1216464110</t>
  </si>
  <si>
    <t>WOS:000322441500055</t>
  </si>
  <si>
    <t>Leaf-litter herpetofaunal richness, abundance, and community assembly in mono-dominant plantations and primary forest of northeastern Costa Rica</t>
  </si>
  <si>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</si>
  <si>
    <t>10.1007/s10531-013-0526-0</t>
  </si>
  <si>
    <t>WOS:000322619300010</t>
  </si>
  <si>
    <t>Seasonal dynamics of sestonic protease inhibition: impact on Daphnia populations</t>
  </si>
  <si>
    <t>Daphnia populations often show rapid microevolutionary adaptation to environmental changes. Here, we investigated the possibility that microevolution of Daphnia populations could be driven by natural sestonic Protease Inhibition (PI). We hypothesized that PI changes seasonally, which might lead to concomitant changes in tolerance to PI in a co-occurring Daphnia magna population. In order to test this, seston from a eutrophic pond was sampled regularly over two successive years. Extracts of these freeze-dried samples were used to determine their Inhibitory Potential (IP) on D. magna gut proteases. In the summer seston the IP against chymotrypsins exceeded that of spring seston 200-fold. In order to test for possible impacts on the co-existing D. magna population, we isolated clones before (spring) and after (fall) the peak of the IP. Microsatellite analyses revealed that the two subpopulations were genetically distinct. Individual exposure of three clones from each population to varying concentrations of a cyanobacterium that contains chymotrypsin inhibitors revealed a decrease in population and somatic growth rate for each clone, but no seasonal effects on Daphnia's tolerance. In order to include maternal effects, we conducted a multi-clonal competition experiment on various cyanobacterial concentrations. However, no evidence for seasonally increased tolerance of D. magna to dietary protease inhibitors could be found.</t>
  </si>
  <si>
    <t>10.1007/s10750-012-1303-x</t>
  </si>
  <si>
    <t>WOS:000322901200005</t>
  </si>
  <si>
    <t>Impacts of informal trails on vegetation and soils in the highest protected area in the Southern Hemisphere</t>
  </si>
  <si>
    <t>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t>
  </si>
  <si>
    <t>10.1016/j.jenvman.2013.04.030</t>
  </si>
  <si>
    <t>WOS:000322940100007</t>
  </si>
  <si>
    <t>Triclosan Exposure Increases Triclosan Resistance and Influences Taxonomic Composition of Benthic Bacterial Communities</t>
  </si>
  <si>
    <t>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t>
  </si>
  <si>
    <t>10.1021/es401919k</t>
  </si>
  <si>
    <t>WOS:000323013400102</t>
  </si>
  <si>
    <t>Genetic Network and Breeding Patterns of a Sicklefin Lemon Shark (Negaprion acutidens) Population in the Society Islands, French Polynesia</t>
  </si>
  <si>
    <t>Human pressures have put many top predator populations at risk of extinction. Recent years have seen alarming declines in sharks worldwide, while their resilience remains poorly understood. Studying the ecology of small populations of marine predators is a priority to better understand their ability to withstand anthropogenic and environmental stressors. In the present study, we monitored a naturally small island population of 40 adult sicklefin lemon sharks in Moorea, French Polynesia over 5 years. We reconstructed the genetic relationships among individuals and determined the population's mating system. The genetic network illustrates that all individuals, except one, are interconnected at least through one first order genetic relationship. While this species developed a clear inbreeding avoidance strategy involving dispersal and migration, the small population size, low number of breeders, and the fragmented environment characterizing these tropical islands, limits its complete effectiveness.</t>
  </si>
  <si>
    <t>10.1371/journal.pone.0073899</t>
  </si>
  <si>
    <t>WOS:000323115800128</t>
  </si>
  <si>
    <t>Genetic Monitoring of Threatened Chinook Salmon Populations: Estimating Introgression of Nonnative Hatchery Stocks and Temporal Genetic Changes</t>
  </si>
  <si>
    <t>Conservation efforts aimed at Pacific salmon (Oncorhynchus spp.) populations have frequently utilized artificial propagation in an attempt to increase fish abundance. However, this approach carries the risk of unwanted changes in the genetic characteristics of the target population and perhaps others that might incidentally be affected. We used genetic monitoring techniques to estimate the amount of introgression that has occurred from nonnative hatchery stocks into native populations and to determine the extent of genetic changes that have occurred in association with supplementation efforts over the past 20-50years in Snake River Chinook Salmon O. tshawytscha populations from northeastern Oregon. A total of 4,178 fish from 13 populations were genotyped for 12 microsatellite DNA loci. Expected heterozygosity values for each sample ranged from 0.707 to 0.868. Estimates of the effective number of breeders per year in the naturally spawning populations ranged from 20.6 to 459.1, whereas in the hatchery populations they ranged from 33.8 to 1,118.8. We found that introgression from the Rapid River Hatchery stock was particularly noticeable in the early 1990s but that it appears to have had a substantial effect on only two of the native populations (Lookingglass Creek and the upper Grande Ronde River) despite the ample opportunities for introgression to occur. All seven of the native populations sampled have maintained their levels of within-population genetic diversity throughout the sampling period. Overall, this region's supplementation efforts appear to have had a minimal effect on the genetic diversity of its Chinook Salmon populations.</t>
  </si>
  <si>
    <t>10.1080/02755947.2013.790861</t>
  </si>
  <si>
    <t>WOS:000323145400003</t>
  </si>
  <si>
    <t>Combining genetic and demographic data for prioritizing conservation actions: insights from a threatened fish species</t>
  </si>
  <si>
    <t>Prioritizing and making efficient conservation plans for threatened populations requires information at both evolutionary and ecological timescales. Nevertheless, few studies integrate multidisciplinary approaches, mainly because of the difficulty for conservationists to assess simultaneously the evolutionary and ecological status of populations. Here, we sought to demonstrate how combining genetic and demographic analyses allows prioritizing and initiating conservation plans. To do so, we combined snapshot microsatellite data and a 30-year-long demographic survey on a threatened freshwater fish species (Parachondrostoma toxostoma) at the river basin scale. Our results revealed low levels of genetic diversity and weak effective population sizes (&lt;63 individuals) in all populations. We further detected severe bottlenecks dating back to the last centuries (200-800 years ago), which may explain the differentiation of certain populations. The demographic survey revealed a general decrease in the spatial distribution and abundance of P. toxostoma over the last three decades. We conclude that demo-genetic approaches are essential for (1) identifying populations for which both evolutionary and ecological extinction risks are high; and (2) proposing conservation plans targeted toward these at risk populations, and accounting for the evolutionary history of populations. We suggest that demo-genetic approaches should be the norm in conservation practices.</t>
  </si>
  <si>
    <t>10.1002/ece3.645</t>
  </si>
  <si>
    <t>WOS:000323200800024</t>
  </si>
  <si>
    <t>The impact of urbanisation on avian species: The inextricable link between people and birds</t>
  </si>
  <si>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</si>
  <si>
    <t>10.1007/s11252-012-0283-y</t>
  </si>
  <si>
    <t>WOS:000323220800006</t>
  </si>
  <si>
    <t>The Substantial First Impact of Bottom Fishing on Rare Biodiversity Hotspots: A Dilemma for Evidence-Based Conservation</t>
  </si>
  <si>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</si>
  <si>
    <t>10.1371/journal.pone.0069904</t>
  </si>
  <si>
    <t>WOS:000323221500009</t>
  </si>
  <si>
    <t>Assessing the impact of restoration-induced land conversion and management alternatives on net primary productivity in Inner Mongolian grassland, China</t>
  </si>
  <si>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</si>
  <si>
    <t>10.1016/j.gloplacha.2013.06.007</t>
  </si>
  <si>
    <t>WOS:000323470800003</t>
  </si>
  <si>
    <t>Genetic drift outweighs natural selection at toll-like receptor (TLR) immunity loci in a re-introduced population of a threatened species</t>
  </si>
  <si>
    <t>During population establishment, genetic drift can be the key driver of changes in genetic diversity, particularly while the population is small. However, natural selection can also play a role in shaping diversity at functionally important loci. We used a well-studied, re-introduced population of the threatened Stewart Island robin (N=722 pedigreed individuals) to determine whether selection shaped genetic diversity at innate immunity toll-like receptor (TLR) genes, over a 9-year period of population growth following establishment with 12 genetic founders. We found no evidence for selection operating with respect to TLR diversity on first-year overwinter survival for the majority of loci, genotypes and alleles studied. However, survival of individuals with TLR4(BE) genotype was significantly improved: these birds were less than half as likely to die prior to maturity compared with all other TLR4 genotypes. Furthermore, the population frequency of this genotype, at a two-fold excess over Hardy-Weinberg expectation, was increased by nonrandom mating. Near-complete sampling and full pedigree and reproductive data enabled us to eliminate other potential causes of these patterns including inbreeding, year effects, density dependence, selection on animals at earlier life history stages or genome-level association of the TLR4(E) allele with good genes'. However, comparison of observed levels of gene diversity to predictions under simulated genetic drift revealed results consistent with neutral expectations for all loci, including TLR4. Although selection favoured TLR4(BE) heterozygotes in this population, these effects were insufficient to outweigh genetic drift. This is the first empirical study to show that genetic drift can overwhelm natural selection in a wild population immediately following establishment.</t>
  </si>
  <si>
    <t>10.1111/mec.12404</t>
  </si>
  <si>
    <t>WOS:000323506400010</t>
  </si>
  <si>
    <t>Differences in ecological structure, function, and native species abundance between native and invaded Hawaiian streams</t>
  </si>
  <si>
    <t>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t>
  </si>
  <si>
    <t>10.1890/12-0529.1</t>
  </si>
  <si>
    <t>WOS:000323935700012</t>
  </si>
  <si>
    <t>Comparison of historical bottleneck effects and genetic consequences of re-introduction in a critically endangered island passerine</t>
  </si>
  <si>
    <t>Re-introduction is an important tool for recovering endangered species; however, the magnitude of genetic consequences for re-introduced populations remains largely unknown, in particular the relative impacts of historical population bottlenecks compared to those induced by conservation management. We characterize 14 microsatellite loci developed for the Seychelles paradise flycatcher and use them to quantify temporal and spatial measures of genetic variation across a 134-year time frame encompassing a historical bottleneck that reduced the species to similar to 28 individuals in the 1960s, through the initial stages of recovery and across a second contemporary conservation-introduction-induced bottleneck. We then evaluate the relative impacts of the two bottlenecks, and finally apply our findings to inform broader re-introduction strategy. We find a temporal trend of significant decrease in standard measures of genetic diversity across the historical bottleneck, but only a nonsignificant downward trend in number of alleles across the contemporary bottleneck. However, accounting for the different timescales of the two bottlenecks (similar to 40 historical generations versus &lt;1 contemporary generation), the loss of genetic diversity per generation is greater across the contemporary bottleneck. Historically, the flycatcher population was genetically structured; however, extinction on four of five islands has resulted in a homogeneous contemporary population. We conclude that severe historical bottlenecks can leave a large footprint in terms of sheer quantity of genetic diversity lost. However, severely depleted genetic diversity does not render a species immune to further genetic erosion upon re-introduction. In some cases, the loss of genetic diversity per generation can, initially at least, be greater across re-introduction-induced bottlenecks.</t>
  </si>
  <si>
    <t>10.1111/mec.12429</t>
  </si>
  <si>
    <t>WOS:000324022600005</t>
  </si>
  <si>
    <t>Extensive sampling of polar bears (Ursus maritimus) in the Northwest Passage (Canadian Arctic Archipelago) reveals population differentiation across multiple spatial and temporal scales</t>
  </si>
  <si>
    <t>As global warming accelerates the melting of Arctic sea ice, polar bears (Ursus maritimus) must adapt to a rapidly changing landscape. This process will necessarily alter the species distribution together with population dynamics and structure. Detailed knowledge of these changes is crucial to delineating conservation priorities. Here, we sampled 361 polar bears from across the center of the Canadian Arctic Archipelago spanning the Gulf of Boothia (GB) and M'Clintock Channel (MC). We use DNA microsatellites and mitochondrial control region sequences to quantify genetic differentiation, estimate gene flow, and infer population history. Two populations, roughly coincident with GB and MC, are significantly differentiated at both nuclear (F-ST = 0.01) and mitochondrial (F-ST = 0.47; F-ST = 0.29) loci, allowing Bayesian clustering analyses to assign individuals to either group. Our data imply that the causes of the mitochondrial and nuclear genetic patterns differ. Analysis of mtDNA reveals the matrilineal structure dates at least to the Holocene, and is common to individuals throughout the species' range. These mtDNA differences probably reflect both genetic drift and historical colonization dynamics. In contrast, the differentiation inferred from microsatellites is only on the scale of hundreds of years, possibly reflecting contemporary impediments to gene flow. Taken together, our data suggest that gene flow is insufficient to homogenize the GB and MC populations and support the designation of GB and MC as separate polar bear conservation units. Our study also provide a striking example of how nuclear DNA and mtDNA capture different aspects of a species demographic history.</t>
  </si>
  <si>
    <t>10.1002/ece3.662</t>
  </si>
  <si>
    <t>WOS:000324046400030</t>
  </si>
  <si>
    <t>Reliable, verifiable and efficient monitoring of biodiversity via metabarcoding</t>
  </si>
  <si>
    <t>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t>
  </si>
  <si>
    <t>10.1111/ele.12162</t>
  </si>
  <si>
    <t>WOS:000324313600003</t>
  </si>
  <si>
    <t>Shifts from native to non-indigenous mussels: Enhanced habitat complexity and its effects on faunal assemblages</t>
  </si>
  <si>
    <t>Ecosystem engineers such as mussels may affect strongly both the structure of benthic assemblages and the ecosystem functioning. The black-pygmy mussel Limnoperna securis is an invasive species that is spreading along the Galician coast (NW Spain). Its current distribution overlaps with the distribution of the commercial native mussel species Mytilus galloproyincialis, but only in the inner part of two southern Galician rias. Here, we analysed the assemblages associated with clumps of the two mussel species and evaluated if the invasive species increased complexity of habitat. To measure complexity of clumps we used a new method modified from the chain and tape method. Results showed that the identity of the mussel influenced macrofaunal assemblages, but not meiofauna. L. securis increased the complexity of clumps, and such complexity explained a high percentage of variability of macrofauna. The shift in dominance from M. galloprovincialis to L securis may alter habitat structure and complexity, affecting the macrofaunal assemblages with unpredictable consequences on trophic web relations. (C) 2013 Elsevier Ltd. All rights reserved.</t>
  </si>
  <si>
    <t>10.1016/j.marenvres.2013.05.015</t>
  </si>
  <si>
    <t>WOS:000324610200010</t>
  </si>
  <si>
    <t>Conservation of the Owens Pupfish: Genetic Effects of Multiple Translocations and Extirpations</t>
  </si>
  <si>
    <t>The Owens Pupfish Cyprinodon radiosus represents many of the challenges of managing threatened or endangered species in fragmented refuge populations. All six extant populations of the endangered Owens Pupfish were examined to assess how management practices, including serial translocations and founder events, have influenced the genetic diversity of the species and to make recommendations for future management. Four populations were sampled twice with 3-4years intervening; two additional populations were sampled once. Populations were genotyped at nine microsatellite loci; estimated effective population sizes ranged from 34.2 to 347.8 individuals based on the linkage disequilibrium method and from 10 to 48 using the sibship assignment method. All of the populations were estimated to have undergone severe bottlenecks, and statistically significant pairwise F-ST values increased during the period between sampling. From this data we infer that the individual refuge populations have differentiated and lost genetic diversity and that without intervention they will continue to do so. For the long-term persistence of this species, we recommend founding new populations composed of 30-50 founders from each of the extant populations, regularly translocating up to 10 migrants per generation among stable populations, and maximizing habitat area and quality. Received April 13, 2012; accepted May 21, 2013</t>
  </si>
  <si>
    <t>10.1080/00028487.2013.811097</t>
  </si>
  <si>
    <t>WOS:000324613800023</t>
  </si>
  <si>
    <t>Genetic data confirm critical status of the reintroduced Dinaric population of Eurasian lynx</t>
  </si>
  <si>
    <t>Eurasian lynx (Lynx lynx) reintroduction to the Dinaric Mountains is considered one of the most successful reintroductions of a large predator. Six reintroduced animals founded the population, which rapidly expanded from Slovenia, through Croatia, and all the way to Bosnia and Herzegovina. However, a decrease of the population size has been observed during the last 10-15 years. Considering that possible inbreeding depression would be additive to threats like poaching, traffic mortality and prey base depletion, another extinction of this species from the Dinaric Mountains is a real possibility. We analyzed 204 samples collected between 1979 and 2010 using twenty microsatellite loci and 900-bp mitochondrial DNA control region sequence to evaluate conservation genetics aspects of this endangered population. Both markers confirmed low genetic variability of the Dinaric lynx population, and considerable effective inbreeding (0.3) compared to the source Carpathian population. Our analysis of effective population size and microsatellite variability supported field observations of decreasing population number. As a natural recolonization is a very remote possibility, we recommend population augmentation from a large source population.</t>
  </si>
  <si>
    <t>10.1007/s10592-013-0491-x</t>
  </si>
  <si>
    <t>WOS:000325127100009</t>
  </si>
  <si>
    <t>Environmental effects on biofilm bacterial communities: a comparison of natural and anthropogenic factors in New Zealand streams</t>
  </si>
  <si>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</si>
  <si>
    <t>10.1111/fwb.12208</t>
  </si>
  <si>
    <t>WOS:000325156400006</t>
  </si>
  <si>
    <t>SEED-MEDIATED CONNECTIVITY AMONG FRAGMENTED POPULATIONS OF QUERCUS CASTANEA (FAGACEAE) IN A MEXICAN LANDSCAPE</t>
  </si>
  <si>
    <t>Premise of study: Anthropogenic fragmentation is an ongoing process in many forested areas that may create loss of connectivity among tree populations and constitutes a serious threat to ecological and genetic processes. We tested the central hypothesis that seed dispersal mitigates the impact of fragmentation by comparing connectivity and genetic diversity of adult vs. seedling populations in recently fragmented populations of the Mexican red oak Quercus castanea. Methods: Adult individuals, established before fragmentation, and seedlings, established after fragmentation, were sampled at 33 forest fragments of variable size (0.2 to 294 ha) within the Cuitzeo basin, Michoacan state, and genotyped using seven highly polymorphic chloroplast microsatellite markers (cpSSRs). To test whether seed dispersal retains connectivity among fragmented populations, we compared genetic diversity and connectivity networks between adults and progeny and determined the effect of fragment size on these values. Key results: Seventy haplotypes were identified, 63 in the adults and 60 in the seedlings, with average within-population diversity (h(S)) values of 0.624 in the adults and 0.630 in the seedlings. A positive correlation of genetic diversity values with fragment size was found in the seedling populations but not in the adult populations. The network connectivity analysis revealed lower connectivity among seedling populations than among adults. The number of connections (edges) as well as other network properties, such as betweenness centrality, node degree and closeness, were significantly lower in the seedlings network. Conclusions: Habitat fragmentation in this landscape is disrupting seed-dispersal-mediated genetic connectivity among extant populations.</t>
  </si>
  <si>
    <t>10.3732/ajb.1200396</t>
  </si>
  <si>
    <t>WOS:000325173800014</t>
  </si>
  <si>
    <t>A global assessment of freshwater fish introductions in mediterranean-climate regions</t>
  </si>
  <si>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</si>
  <si>
    <t>10.1007/s10750-013-1486-9</t>
  </si>
  <si>
    <t>WOS:000325182400014</t>
  </si>
  <si>
    <t>An introduced tree species alters the assemblage structure and functional composition of wood-decaying fungi in microcosms</t>
  </si>
  <si>
    <t>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t>
  </si>
  <si>
    <t>10.1016/j.foreco.2013.06.023</t>
  </si>
  <si>
    <t>WOS:000325190500002</t>
  </si>
  <si>
    <t>The genetic legacy of the 19th-century decline of the British polecat: evidence for extensive introgression from feral ferrets</t>
  </si>
  <si>
    <t>In the 19th century, the British polecat suffered a demographic contraction, as a consequence of direct persecution, reaching its lowest population in the years that preceded the First World War. The polecat is now recovering and expanding throughout Britain, but introgressive hybridization with feral ferrets has been reported, which could be masking the true range of the polecat and introducing domestic genes into the species. We used a fragment of the mitochondrial DNA control region and 11 microsatellite loci to characterize the frequency and extent of hybridization and introgression between the two species and assess whether the 19th-century decline corresponded to a genetic bottleneck in the polecat. The proportion of admixture detected in the wild was high (31%) and hybrids were more frequently found outside Wales, suggesting that hybridization is more likely to occur along the eastern edge of the polecat's range expansion. The patterns observed in the mitochondrial and nuclear DNA data show that introgression was mediated by crosses between male polecats and female ferrets, whose offspring backcrossed with polecats. No first-generation (F-1) hybrids were identified, and the broad range of observed admixture proportions agrees with a scenario of past extensive hybridization between the two species. Using several different methods to investigate demographic history, we did not find consistent evidence for a genetic bottleneck in the British polecat, a result that could be interpreted as a consequence of hybridization with ferrets. Our results highlight the importance of the Welsh polecat population for the conservation and restoration of the genetic identity of the British polecat.</t>
  </si>
  <si>
    <t>10.1111/mec.12456</t>
  </si>
  <si>
    <t>WOS:000325550000007</t>
  </si>
  <si>
    <t>Genetic consequences of historical anthropogenic and ecological events on giant pandas</t>
  </si>
  <si>
    <t>The giant panda (Ailuropoda melanoleuca) was taken to the brink of extinction in the 1980s through a combination of deforestation, large-scale loss of bamboo in the core of its range, poaching, and zoo collection, causing over 1000 deaths from the 1950s. It was thought that the drastic population decline was likely to impose a severe impact on population viability. Here, based on temporal genotyping of individuals, we show that this rapid decline did not significantly reduce the overall effective population size and genetic variation of this species, or of the two focal populations (Minshan and Qionglai) that declined the most. These results are contrary to previously assumptions, probably because the population decline has not produced the expected negative impact due to the short time scale involved (at most 10 generations), or because previous surveys underestimated the population size at the time of decline. However, if present-day habitat fragmentation and limited migration of giant pandas remains, we predict a loss of genetic diversity across the giant pandas' range in the near future. Thus, our findings highlight the substantial resilience of this species when facing demographic and environmental stochasticity, but key conservation strategies, such as enhancing habitat connectivity and habitat restoration should be immediately implemented to retain the extant genetic variation and maintain long-term evolutionary potential of this endangered species.</t>
  </si>
  <si>
    <t>10.1890/12-1451.1</t>
  </si>
  <si>
    <t>WOS:000325692900025</t>
  </si>
  <si>
    <t>Fish as indicators of diving and fishing pressure on high-latitude coral reefs</t>
  </si>
  <si>
    <t>Despite the proclamation of South Africa's coral reef marine protected areas (MPAs) more than 20 years ago, the effects of human activities on the fish communities have not been investigated. This study used a multi-species Fish-index to compare ecological indicators such as biomass, abundance, trophic structure and reproductive potential between multiple-use and no-take sanctuary zones. Seven study reefs were surveyed; six in South Africa and a non-MPA reef in southern Mozambique. Randomly stratified underwater visual censuses (UVC) using the point count technique were used to survey fish communities. Environmental variables and habitat characteristics were also recorded. Nonmetric multidimensional scaling ordinations were similar for abundance and biomass trends and revealed a high degree of overlap between all zones, except for the no-take Sanctuaries. The latter formed discrete clusters and were significantly different (Analysis of Similarity) to the other zones. Total abundance and biomass were highest in the Sanctuary zones and lowest in the Open zone. Differences in trophic composition between zones were largely due to predatory species. This was supported by similarity percentages analysis (SIMPER) which identified six discriminating species. Length-frequency analysis of these species revealed consistent trends with higher numbers of large individuals in the Sanctuary zones and reduced numbers of small individuals in zones open to human activity. These results along with those of the Generalised Linear Models (GLM) demonstrate that human activities are affecting the southern African coral reef fish communities. Marginal differences between the multiple-use MPA zones on the South African reefs and the non-MPA reef in southern Mozambique suggest that MPA management objectives require re-evaluation. (C) 2013 Elsevier Ltd. All rights reserved.</t>
  </si>
  <si>
    <t>10.1016/j.ocecoaman.2013.08.005</t>
  </si>
  <si>
    <t>WOS:000326364100013</t>
  </si>
  <si>
    <t>Effects of Urbanization on Tree Species Functional Diversity in Eastern North America</t>
  </si>
  <si>
    <t>Urban forests provide ecosystem services for millions of people. Numerous introductions have elevated tree species richness in cities, which may enhance functional diversity. However, few studies have examined changes in tree community composition or functional diversity with urbanization, even though functional diversity, and not species number per se, is directly linked with ecosystem function and associated services. We combined tree abundance data from both urban and extra-urban forest inventory plots for seven metropolitan areas in eastern North America to analyze changes in species composition, Shannon's diversity, and functional diversity with urbanization. As expected, urban tree diversity was reduced at local scales, and the effect varied with land use. Rarefaction analysis indicated that at large scales, urban tree species pools were equal with respect to species or functional diversity compared to extra-urban forests, but in urban areas at small scales this diversity is not realized because of low tree density. Ordination revealed that with urbanization, introduced species increased in importance, and regional variation in species composition became more homogenous. Increasing tree density and/or tree cover through changes in management practices and urban design could facilitate local scale urban tree diversity using existing species pools, which are functionally diverse. Monitoring of forests at large spatial scales that include urban areas, and the use of methods that account for abundance and functional trait variation can provide insights into the effects of urbanization on tree diversity at multiple scales.</t>
  </si>
  <si>
    <t>10.1007/s10021-013-9697-5</t>
  </si>
  <si>
    <t>WOS:000327096100008</t>
  </si>
  <si>
    <t>Consumers and establishment limitations contribute more than competitive interactions in sustaining dominance of the exotic herb garlic mustard in a Wisconsin, USA forest</t>
  </si>
  <si>
    <t>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t>
  </si>
  <si>
    <t>10.1007/s10530-013-0484-1</t>
  </si>
  <si>
    <t>WOS:000327239500009</t>
  </si>
  <si>
    <t>Disassembly of a dune-dwelling lizard community due to landscape fragmentation</t>
  </si>
  <si>
    <t>Landscape fragmentation alters patterns of landscape structure that affect quality and configuration of habitats, and disrupts population dynamics and persistence of species. Community disassembly, a process of community change due to nonrandom species losses and declines, is occurring worldwide as a result of landscape fragmentation, habitat loss, and habitat degradation. We carried out a comparative study at 27 trapping sites designed to characterize how fragmentation affects community structure in a dune-dwelling lizard community. Lizard communities in non-fragmented sites demonstrated nested community structure. Conversely, lizard communities at sites fragmented by roads and well pads from oil and gas development had consistently lower abundance of two species, and demonstrated random community structure. Species loss and lower abundance of species at fragmented sites suggested a pattern of community disassembly. The dunes sagebrush lizard (Sceloporus arenicolus), an ecological specialist, and the lesser earless lizard (Holbrookia maculata) were present on most non-fragmented sites. However, neither species was present on more than half of the fragmented sites, and their abundances were much lower than on non-fragmented sites. We attributed reduced species diversity on fragmented sites to quantitative differences in landscape configuration compared to non-fragmented sites. Specifically, both size and shape of sand dune blowouts differed between non-fragmented and fragmented sites. Fragmented sites possess more large patches of open sand and barren ground and fewer, smaller, and more dispersed shinnery dune blowouts. Patterns of occurrence and relative abundance suggest S. arenicolus and H. maculata were sensitive to these patch-scale attributes. In this ecosystem, landscape-scale fragmentation appears to influence landscape configuration and community disassembly at the patch-scale. Our findings allow us to disentangle drivers of species loss and enhance our understanding of the processes of community disassembly in fragmented landscapes.</t>
  </si>
  <si>
    <t>10.1890/ES13-00032.1</t>
  </si>
  <si>
    <t>WOS:000327379400006</t>
  </si>
  <si>
    <t>Determinants of moth diversity and community in a temperate mountain landscape: vegetation, topography, and seasonality</t>
  </si>
  <si>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</si>
  <si>
    <t>10.1890/ES12-00384.1</t>
  </si>
  <si>
    <t>WOS:000327380400012</t>
  </si>
  <si>
    <t>Disturbances due to increased salinity and the resilience of zooplankton communities: the potential role of the resting egg bank</t>
  </si>
  <si>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</si>
  <si>
    <t>10.1007/s10750-013-1683-6</t>
  </si>
  <si>
    <t>WOS:000327405400009</t>
  </si>
  <si>
    <t>Drivers of Wetland Conversion: a Global Meta-Analysis</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</si>
  <si>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</si>
  <si>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10.1371/journal.pone.0081292</t>
  </si>
  <si>
    <t>WOS:000327543500082</t>
  </si>
  <si>
    <t>Temporal Analysis of Genetic Structure to Assess Population Dynamics of Reintroduced Swift Foxes</t>
  </si>
  <si>
    <t>Reintroductions are increasingly used to reestablish species, but a paucity of long-term postrelease monitoring has limited understanding of whether and when viable populations subsequently persist. We conducted temporal genetic analyses of reintroduced populations of swift foxes (Vulpes velox) in Canada (Alberta and Saskatchewan) and the United States (Montana). We used samples collected 4 years apart, 17 years from the initiation of the reintroduction, and 3 years after the conclusion of releases. To assess program success, we genotyped 304 hair samples, subsampled from the known range in 2000 and 2001, and 2005 and 2006, at 7 microsatellite loci. We compared diversity, effective population size, and genetic connectivity over time in each population. Diversity remained stable over time and there was evidence of increasing effective population size. We determined population structure in both periods after correcting for differences in sample sizes. The geographic distribution of these populations roughly corresponded with the original release locations, which suggests the release sites had residual effects on the population structure. However, given that both reintroduction sites had similar source populations, habitat fragmentation, due to cropland, may be associated with the population structure we found. Although our results indicate growing, stable populations, future connectivity analyses are warranted to ensure both populations are not subject to negative small-population effects. Our results demonstrate the importance of multiple sampling years to fully capture population dynamics of reintroduced populations.</t>
  </si>
  <si>
    <t>10.1111/cobi.12122</t>
  </si>
  <si>
    <t>WOS:000327564300027</t>
  </si>
  <si>
    <t>Epigaeic beetle communities of the Green Triangle plantation landscape, southern Australia: effect of remnant size, vegetation quality and structural complexity</t>
  </si>
  <si>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</si>
  <si>
    <t>10.1080/00049158.2013.844090</t>
  </si>
  <si>
    <t>WOS:000327712900003</t>
  </si>
  <si>
    <t>Vegetation moderates impacts of tourism usage on bird communities along roads and hiking trails</t>
  </si>
  <si>
    <t>Bird communities inhabiting ecosystems adjacent to recreational tracks may be adversely affected by disturbance from passing tourism traffic, vehicle-related mortality, habitat alteration and modified biotic relationships such as the increase of strong competitors. This study investigated the effects of tourist usage of roads vs. hiking trails on bird communities in gorges of the Flinders Ranges, a popular South Australian tourist destination in the arid-lands. High tourist usage along roads decreased the individual abundance and species richness of birds relative to low usage trails. The decrease in species richness, though less pronounced, also occurred at high-usage sites along trails. Changes in the species response to recreational disturbance/impacts varied depending on the ecology of the species. Bigger, more competitive birds with a generalist diet were overrepresented at high-usage sites along roads and trails. Species using microhabitats in lower vegetation layers were more sensitive. However, structural and floristic complexity of vegetation was a more important factor influencing bird abundance than tourist usage. Sites with a better developed shrub and tree layer sustained higher species abundance and richer communities. Importantly, vegetation qualities moderated the negative effect of high usage on the individual abundance of birds along roads, to the extent that such an effect was absent at sites with the best developed shrub and tree layer. To protect avifauna along recreational tracks in arid-lands gorges, we recommend the closure of some gorges or sections for vehicle or any access. Further, open space particularly for camping needs to be minimized as it creates areas of high tourist usage with modified habitat that provides birds with little buffer from disturbance. (C) 2013 Elsevier Ltd. All rights reserved.</t>
  </si>
  <si>
    <t>10.1016/j.jenvman.2013.07.017</t>
  </si>
  <si>
    <t>WOS:000327904400027</t>
  </si>
  <si>
    <t>Multidisciplinary population monitoring when demographic data are sparse: a case study of remote trout populations</t>
  </si>
  <si>
    <t>The potential of genetic, genomic, and phenotypic metrics for monitoring population trends may be especially high in isolated regions, where traditional demographic monitoring is logistically difficult and only sporadic sampling is possible. This potential, however, is relatively underexplored empirically. Over eleven years, we assessed several such metrics along with traditional ecological knowledge and catch data in a socioeconomically important trout species occupying a large, remote lake. The data revealed largely stable characteristics in two populations over 2-3 generations, but possible contemporary changes in a third population. These potential shifts were suggested by reduced catch rates, reduced body size, and changes in selection implied at one gene-associated single nucleotide polymorphism. A demographic decline in this population, however, was ambiguously supported, based on the apparent lack of temporal change in effective population size, and corresponding traditional knowledge suggesting little change in catch. We illustrate how the pluralistic approach employed has practicality for setting future monitoring efforts of these populations, by guiding monitoring priorities according to the relative merits of different metrics and availability of resources. Our study also considers some advantages and disadvantages to adopting a pluralistic approach to population monitoring where demographic data are not easily obtained.</t>
  </si>
  <si>
    <t>10.1002/ece3.871</t>
  </si>
  <si>
    <t>WOS:000327961500009</t>
  </si>
  <si>
    <t>Effects of forest disturbance and habitat loss on avian communities in a Neotropical biodiversity hotspot</t>
  </si>
  <si>
    <t>Regenerating forests are increasingly ubiquitous in tropical landscapes. They hold great conservation potential and there is demand for assessments of their biodiversity value. Forest disturbance and forest loss often occur together, yet few studies attempt to disentangle their separate effects on biological communities. In the Ecuadorian Choco, a biodiversity hotspot, we sampled understory birds in patches with increasing levels of disturbance (old-growth, selectively-logged, and secondary forests) within contiguous forest and in fragments. Species richness increased with disturbance but decreased with habitat loss, with a 75% reduction in endemic and threatened species in fragments compared to contiguous forest. This reduction in richness was most pronounced in secondary forest fragments, suggesting that disturbance and habitat loss interact synergistically to maximally reduce avian biodiversity. Species composition was strongly affected by habitat loss and, to a lesser extent, disturbance, with forest fragments and secondary forests presenting distinct communities dominated by generalists with medium-to-low sensitivity to anthropogenic disturbance and reduced proportions of endemics and endangered species. Capture rates also decreased (non-significantly) with habitat loss, and the relative abundance of dietary guilds varied in response to both habitat loss and disturbance. Our study shows that regenerating patches surrounded by contiguous forest can sustain high biodiversity levels and, when past habitat disturbance is mild, present similar communities to old-growth forests. In contrast, forest loss caused reductions in richness (especially in more disturbed patches), profound changes in community composition, and loss of species of conservation concern. These results underscore the importance of considering landscape context when evaluating the conservation value of disturbed forests. (C) 2013 Elsevier Ltd. All rights reserved.</t>
  </si>
  <si>
    <t>10.1016/j.biocon.2013.07.007</t>
  </si>
  <si>
    <t>WOS:000328523900023</t>
  </si>
  <si>
    <t>Assessment Impacts of Weather and Land Use/Land Cover (LULC) Change on Urban Vegetation Net Primary Productivity (NPP): A Case Study in Guangzhou, China</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</si>
  <si>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</si>
  <si>
    <t>10.3390/rs5084125</t>
  </si>
  <si>
    <t>WOS:000328626100023</t>
  </si>
  <si>
    <t>Effect of Metal Oxide Nanoparticles on Microbial Community Structure and Function in Two Different Soil Types</t>
  </si>
  <si>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</si>
  <si>
    <t>10.1371/journal.pone.0084441</t>
  </si>
  <si>
    <t>WOS:000328734200116</t>
  </si>
  <si>
    <t>Dung beetle communities as biological indicators of riparian forest widths in southern Brazil</t>
  </si>
  <si>
    <t>Riparian forests provide important habitat for many wildlife species and are sensitive to landscape change. Among terrestrial invertebrates, dung beetles have been used to investigate the effects of environmental disturbances on forest structure and diversity. Since many studies demonstrated a negative response of dung beetle communities to increasing forest fragmentation, and that most dung beetle species had a more pronounced occurrence during warmest seasons, three hypotheses were tested: (1) Scarabaeinae richness, abundance, diversity and evenness are lower in thinner riparian zone widths than in wider widths during the warmest seasons; (2) Scarabaeinae richness and abundance are positively influenced by leaf litter coverage and height and canopy cover; and (3) Scarabaeinae composition varies with the reduction in riparian vegetation and among annual seasons. We selected four fragments with different riparian zone widths in three secondary streams in southern Brazil. In each fragment, four sampling periods were carried out seasonally between spring 2010 and winter 2011. We collected dung beetles using pitfall traps with two types of bait. We collected 1289 specimens distributed among 29 species. In spring and summer, dung beetle richness was higher in fragments with the widest riparian zone than in those with a thinner riparian zone, and it did not vary between fragments in fall and winter seasons. Dung beetle abundance did not differ among fragments with different riparian zone widths, but it was higher in spring and summer than fall and winter. Richness and abundance were positively influenced by leaf litter. While dung beetle diversity was higher in fragments with wider riparian zone widths than in those with thinner widths, the evenness was similar among fragments. Dung beetle composition differed between the fragments with the widest and thinnest riparian zones, and it also varied among the seasons. Our results suggest that decreased riparian zones affect negatively to dung beetle community structure in southern Brazil. Fragments with thinner riparian zones had lower beetle richness in warmest seasons and an altered community composition. In this sense, the dung beetles are potentially good indicators of riparian forest fragmentation since some species were indicators of a particular riparian zone width. From a conservation perspective, our results demonstrate that the new Brazilian Forest Code will greatly jeopardize not only the terrestrial and aquatic biodiversity of these ecosystems, but also countless other ecological functions. (C) 2013 Elsevier Ltd. All rights reserved.</t>
  </si>
  <si>
    <t>10.1016/j.ecolind.2013.09.036</t>
  </si>
  <si>
    <t>WOS:000329081100076</t>
  </si>
  <si>
    <t>Genetics at the verge of extinction: insights from the Iberian lynx</t>
  </si>
  <si>
    <t>Population viability might become compromised by the loss of genetic diversity and the accumulation of inbreeding resulting from population decline and fragmentation. The Iberian lynx (Lynx pardinus) provides a paradigmatic example of a species at the verge of extinction, and because of the well-documented and different demographic histories of the two remaining populations (Donana and Andujar), it provides the opportunity to evaluate the performance of analytical methods commonly applied to recently declined populations. We used mitochondrial sequences and 36 microsatellite markers to evaluate the current genetic status of the species and to assess the genetic signatures of its past history. Mitochondrial diversity was extremely low with only two haplotypes, alternatively fixed in each population. Both remnant populations have low levels of genetic diversity at microsatellite markers, particularly the population from Donana, and genetic differentiation between the two populations is high. Bayesian coalescent-based methods suggest an earlier decline starting hundreds of years ago, while heterozygosity excess and M-ratio tests did not provide conclusive and consistent evidence for recent bottlenecks. Also, a model of gene flow received overwhelming support over a model of pure drift. Results that are in conflict with the known recent demography of the species call for caution in the use of these methods, especially when no information on previous demographic history is available. Overall, our results suggest that current genetic patterns in the Iberian lynx are mainly the result of its recent decline and fragmentation and alerts on possible genetic risks for its persistence. Conservation strategies should explicitly consider this threat and incorporate an integrated genetic management of wild, captive and re-introduced populations, including genetic restoration through translocations.</t>
  </si>
  <si>
    <t>10.1111/mec.12498</t>
  </si>
  <si>
    <t>WOS:000329786700002</t>
  </si>
  <si>
    <t>Effects of repeated fires on native plant community development at Hawaii Volcanoes National Park</t>
  </si>
  <si>
    <t>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t>
  </si>
  <si>
    <t>10.1071/WF12135</t>
  </si>
  <si>
    <t>WOS:000329813500003</t>
  </si>
  <si>
    <t>Responses of typical grasslands in a semi-arid basin on the Qinghai-Tibetan Plateau to climate change and disturbances</t>
  </si>
  <si>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</si>
  <si>
    <t>10.1007/s12665-013-2547-0</t>
  </si>
  <si>
    <t>WOS:000330124100038</t>
  </si>
  <si>
    <t>Changes in Fish Assemblages following the Establishment of a Network of No-Take Marine Reserves and Partially-Protected Areas</t>
  </si>
  <si>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</si>
  <si>
    <t>10.1371/journal.pone.0085825</t>
  </si>
  <si>
    <t>WOS:000330235100135</t>
  </si>
  <si>
    <t>The Soil Bacterial Communities of South African Fynbos Riparian Ecosystems Invaded by Australian Acacia Species</t>
  </si>
  <si>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</si>
  <si>
    <t>10.1371/journal.pone.0086560</t>
  </si>
  <si>
    <t>WOS:000330339800053</t>
  </si>
  <si>
    <t>Changes in biological traits of macro-benthic communities subjected to different intensities of demersal trawling along the west coast of southern Africa</t>
  </si>
  <si>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</si>
  <si>
    <t>10.1017/S0025315413000647</t>
  </si>
  <si>
    <t>WOS:000330474000003</t>
  </si>
  <si>
    <t>Strong legacy of agricultural land use on soils and understory plant communities in longleaf pine woodlands</t>
  </si>
  <si>
    <t>Post-agricultural ecosystems are increasingly prevalent in contemporary landscapes. Understanding the ecological impacts of agricultural legacies, which may last for decades to millennia following agricultural abandonment, is critical for interpreting contemporary patterns of biodiversity and for informing strategies for the restoration of post-agricultural ecosystems. However, the study of agricultural legacies is complicated by non-random land-use decisions: areas selected for agriculture commonly differ from non-agricultural areas in ways that may confound interpretation of agricultural legacies (e.g., agricultural areas may have more productive soils). We evaluated legacies of tillage agriculture in longleaf pine (Pinus palustris) woodlands of the Southeastern United States, using a paired-plot study design (n = 29 paired remnant and post-agricultural woodlands) to minimize the confounding influence of non-random past land-use decisions. Agricultural legacies were prevalent, but not due to differences in the types of sites selected for agriculture. Nearly 60 years after agricultural abandonment and afforestation, numerous soil attributes (i.e., N, P, organic matter, soil water holding capacity) remain altered in post-agricultural woodlands, relative to adjacent remnants. Overstory tree abundance and understory plant species richness were similar in remnant and post-agricultural woodlands, but we found a pronounced agricultural legacy on over- and understory plant community composition. Understory compositional differences were striking, particularly given the proximity of post-agricultural woodlands to immediately adjacent remnant source populations and the time (&gt;50 years) for source populations to spread. This difference in understory community composition could be caused by the persistent environmental differences we observed or by dispersal limitation, as evidenced by greater species richness in post-agricultural sites with greater historical landscape connectivity. We suggest that future experimental work will further assist in a mechanistic understanding of how agricultural legacies impede understory plant recovery and that this understanding will benefit the formulation of strategies for the restoration of post-agricultural longleaf pine woodlands and other forested systems. (C) 2013 Elsevier B.V. All rights reserved.</t>
  </si>
  <si>
    <t>10.1016/j.foreco.2013.09.053</t>
  </si>
  <si>
    <t>WOS:000330601000098</t>
  </si>
  <si>
    <t>Using biofilm as a novel approach to assess stormwater treatment efficacy</t>
  </si>
  <si>
    <t>Contaminants associated with stormwater are among the leading causes of water quality impairment in urban streams. Multiple device treatment systems are commonly installed with the aim of reducing contaminant loads within stormwater discharge. However, the in situ performance of such systems remains poorly understood. We investigated the efficacy of an advanced stormwater treatment system by monitoring biofilm associated metals and biofilm bacterial community composition at multiple locations through the treatment system (which included rain gardens, grassy swales, a stormwater filter and a wetland) and in the receiving stream above and below the stormwater discharge. Changes in bacterial community composition were assessed by Automated Ribosomal Intergenic Spacer Analysis (ARISA) and concentrations of biofilm associated metals monitored by Inductively Coupled Plasma-Mass Spectrometry (ICP-MS). Significant differences in bacterial community composition were detected throughout the stormwater network. Bacterial communities gradually changed towards a community more similar to that within the receiving stream and the discharge of treated stormwater had little effect on the composition of bacterial communities in the receiving stream, suggesting the effective conditioning of water quality by the treatment system. Concentrations of some biofilm-associated metals declined following sequential treatment, for example copper (73% reduction), zinc (48% reduction) and lead (46% reduction). In contrast, levels of arsenic, cadmium, chromium and nickel were not reduced by the treatment system. We demonstrate that biofilm bacterial community composition is a sensitive indicator of environmental changes within freshwater ecosystems and an efficient indicator to monitor water quality in enclosed stormwater networks where traditional biological indicators are not available. (C) 2013 Elsevier Ltd. All rights reserved.</t>
  </si>
  <si>
    <t>10.1016/j.watres.2013.10.023</t>
  </si>
  <si>
    <t>WOS:000330601400036</t>
  </si>
  <si>
    <t>The invertebrate communities associated with a Chrysanthemum coronarium-invaded coastal sage scrub area in Southern California</t>
  </si>
  <si>
    <t>The escape of ornamental plants is a main pathway of invasion into many ecosystems. Non-native plants can alter basal resources and abiotic factors leading to effects that ripple throughout an ecosystem. Invertebrates mediate these effects-responding quickly to abiotic and primary producer changes and, in turn, influencing other species. Invasions are of particular concern in the coastal sage scrub ecosystems of Southern California, where habitat loss and urban encroachment increase invasive species propagule sources and decrease native community resistance. The introduced annual Chrysanthemum coronarium (crown daisy) is a common invader with largely undocumented community-level effects. Our study tested the relationships between the invasive Chrysanthemum and a coastal scrub invertebrate community using a field study at the Tijuana River Estuary. We found similar or lower abundances and diversity of canopy fauna in the presence of Chrysanthemum. Community composition dramatically differed, however, in the presence Chrysanthemum, which was associated with higher abundances of dipterans, wasps and flower beetles, and lower abundances of hemipterans and thysanopterans than native shrubs. Differences in communities were consistent at the species- and order-levels, and were associated with the generally greater plant biomass and shadier conditions afforded by the natives. This study reveals that even a proportionally small amount of Chrysanthemum may shift the invertebrate community through alterations of abiotic properties and plant biomass. We recommend that Chrysanthemum be removed at the first sign of invasion or that spread is prevented since effects on the invertebrate community are dramatic and occur quickly.</t>
  </si>
  <si>
    <t>10.1007/s10530-013-0526-8</t>
  </si>
  <si>
    <t>WOS:000330618700011</t>
  </si>
  <si>
    <t>Impact of human-induced environmental changes on genetic structure and variability in Atlantic salmon, Salmo salar</t>
  </si>
  <si>
    <t>The genetic effects on Atlantic salmon, Salmo salar L., populations from potential bottleneck situations caused by human activities in two Norwegian rivers, Laerdalselva and Batnfjordelva, were studied by analysing DNA from fish scales collected before and after the populations had been exposed to human-induced changes: river regulation, Gyrodactylus salaris infection and rotenone treatment. Using 15 microsatellites, no significant changes were found in the genetic structure and diversity of four population samples from Laerdalselva collected over 34years. However, salmon from Laerdalselva were significantly differentiated from nearby (angstrom rOyelva) and more distant (Batnfjordelva and Suldalslagen) populations, testifying to the power of the marker system to detect small genetic differences. Furthermore, two population samples from Batnfjordelva, collected 20years apart, showed low but significant differentiation. The lack of effects on neutral genetic composition in Laerdalselva, despite several potentially severe bottleneck events, indicates that stocking and sea cohorts maintain the status quo of this population.</t>
  </si>
  <si>
    <t>10.1111/fme.12049</t>
  </si>
  <si>
    <t>WOS:000330724400004</t>
  </si>
  <si>
    <t>Phosphorus availability modulates the toxic effect of silver on aquatic fungi and leaf litter decomposition</t>
  </si>
  <si>
    <t>The functioning of forested headwater streams is intimately linked to the decomposition of leaf litter by decomposers, mainly aquatic hyphomycetes, which enables the transfer of allochthonous carbon to higher trophic levels. Evaluation of this process is being increasingly used as an indicator of ecosystem health and ecological integrity. Yet, even though the individual impacts of contaminants and nutrient availability on decomposition have been well studied, the understanding of their combined effects remains limited. In the current study, we investigated whether the toxic effects of a reemerging contaminant, silver (Ag), on leaf litter decomposition could be partly overcome in situations where microorganisms were benefitting from high phosphorus (P) availability, the latter being a key chemical element that often limits detritus decomposition. We also investigated whether these interactive effects were mediated by changes in the structure of the aquatic hyphomycete community. To verify these hypotheses, leaf litter decomposition by a consortium of ten aquatic hyphomycete species was followed in a microcosm experiment combining five Ag contamination levels and three P concentrations. Indirect effects of Ag and P on the consumption of leaf litter by the detritivorous crustacean, Gammarus fossarum, were also evaluated. Ag significantly reduced decomposition but only at the highest concentration tested, independently of P level. By contrast, P and Ag interactively affected fungal biomass. Both P level and Ag concentrations shaped microbial communities without significantly affecting the overall species richness. Finally, the levels of P and Ag interacted significantly on G. fossarum feeding rates, high [Ag] reducing litter consumption and low P availability tending to intensify the feeding rate. Given the high level of contaminant needed to impair the decomposition process, it is unlikely that a direct effect of Ag on leaf litter decomposition could be observed in situ. However, subtle Ag effects in relation to nutrient levels in ecosystems could be expected. In particular, owing to higher consumption of low P leaf litter, shredding invertebrates could increase the ingestion of contaminated resources, which could, in turn, represent an important threat to headwater stream ecosystems. (C) 2013 Elsevier B.V. All rights reserved.</t>
  </si>
  <si>
    <t>10.1016/j.aquatox.2013.10.001</t>
  </si>
  <si>
    <t>WOS:000330817200021</t>
  </si>
  <si>
    <t>Landscape connectivity may explain anuran species distribution in an Atlantic forest fragmented area</t>
  </si>
  <si>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</si>
  <si>
    <t>10.1007/s10980-013-9898-5</t>
  </si>
  <si>
    <t>WOS:000330827600003</t>
  </si>
  <si>
    <t>Effects of sewage pollution on the structure of rocky shore macroinvertebrate assemblages</t>
  </si>
  <si>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</si>
  <si>
    <t>10.1007/s10750-013-1773-5</t>
  </si>
  <si>
    <t>WOS:000330836300019</t>
  </si>
  <si>
    <t>River of the dammed: longitudinal changes in fish assemblages in response to dams</t>
  </si>
  <si>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</si>
  <si>
    <t>10.1007/s10750-013-1780-6</t>
  </si>
  <si>
    <t>WOS:000330967900002</t>
  </si>
  <si>
    <t>Alteration of benthic communities associated with copper contamination linked to boat moorings</t>
  </si>
  <si>
    <t>Although copper (Cu) is an essential element for life, leaching from boat paint can cause excess environmental loading in enclosed marinas. The effects of copper contamination on benthic macrofaunal communities were examined in three San Diego Bay marinas (America's Cup, Harbor Island West and East) in Southern California, USA. The distribution of Cu concentration in sediments exhibited a clear spatial gradient, with hotspots created by the presence of boats, which in two marinas exceeded the effect range medium (ERM). Elevated sediment Cu was associated with differences in benthic assemblages, reduced species richness and enhanced dominance in America's Cup and Harbor Island West, whereas Harbor Island East did not appear to be affected. At sites without boats there were greater abundances of some amphipods such as the species Desdimelita sp., Harpinia sp., Aoroides sp., Corophium sp., Podocerus sp., bivalves such as Lyonsia californica, Musculista senhousia, Macoma sp., and polychaetes such as Diplocirrus sp. In contrast, at sites with boats, densities of Pseudopolydora paucibranchiata, Polydora nuchalis, Euchone limnicola, Exogone lourei, Tubificoides spp. were enhanced. The limited impact on Harbor Island East suggests not only lower Cu input rates and increased water flushing and mixing, but also the presence of adequate defense mechanisms that regulate availability and mitigate toxic impacts. At all three marinas, Cu in tissues of several macrobenthic species exhibited Cu bioaccumulation above levels found in the surrounding environment. The annelids Lumbrineris sp. and Tubificoides spp., and the amphipod Desdimelita sp. contained high levels of Cu, suggesting they function as Cu bioaccumulators. The spionid polychaetes Polydora nuchalis and Pseudopolydora paucibranchiata had much lower Cu concentrations than surrounding sediments, suggesting they function as Cu bioregulators. The macrobenthic invertebrates in San Diego Bay marinas that tolerate Cu pollution (e.g. P.nuchalis, P.paucibranchiata, Euchone limnicola, Typosyllis sp., Tubificoides sp.) may function as indicators of high-Cu conditions, whereas the presence of Cu-sensitive species (e.g. Podocerus sp., Aoroides sp., Harpinia sp., Macoma sp., Lyonsia californica) may indicate healthier conditions (less Cu-stressed). Parallel responses by faunas of Shelter Island Yacht Basin, also in San Diego Bay, suggest potential for development of regional Cu contamination assessment criteria, and call for functional comparisons with other marinas and coastal water bodies.</t>
  </si>
  <si>
    <t>10.1111/maec.12054</t>
  </si>
  <si>
    <t>WOS:000331127400004</t>
  </si>
  <si>
    <t>Changes in plant community of Seasonally Semideciduous Forest after invasion by Schizolobium parahyba at southeastern Brazil</t>
  </si>
  <si>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</si>
  <si>
    <t>10.1016/j.actao.2013.03.013</t>
  </si>
  <si>
    <t>WOS:000331430000009</t>
  </si>
  <si>
    <t>Invasion of Ligustrum lucidum (Oleaceae) in the southern Yungas: Changes in habitat properties and decline in bird diversity</t>
  </si>
  <si>
    <t>Ligustrum lucidum is the major exotic tree in NW Argentina montane forests (Yungas). To assess the effects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Ligustrum-dominated and native-dominated secondary forests and (3) analyzed seasonal patterns and changes in these variables between forest types. The study was conducted during 2010-2011 wet and dry seasons, at two altitudinal zones: 500-800 and 1100-1450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homogeneous and simpler forests that represent a less suitable habitat for a diverse avifauna. This illustrates the wide ecological changes (from habitat properties and ecosystem functioning to vertebrate community composition) that the subtropical mountain forests of Argentina are experiencing with this invasion. (C) 2013 Elsevier Masson SAS. All rights reserved.</t>
  </si>
  <si>
    <t>10.1016/j.actao.2013.03.006</t>
  </si>
  <si>
    <t>WOS:000331430000011</t>
  </si>
  <si>
    <t>Forest recovery patterns in response to divergent disturbance regimes in the Border Lakes region of Minnesota (USA) and Ontario (Canada)</t>
  </si>
  <si>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</si>
  <si>
    <t>10.1016/j.foreco.2013.10.039</t>
  </si>
  <si>
    <t>WOS:000331665600023</t>
  </si>
  <si>
    <t>Was overfishing of predatory fish responsible for a lobster-induced regime shift in the Benguela?</t>
  </si>
  <si>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</si>
  <si>
    <t>10.1016/j.ecolmodel.2013.11.004</t>
  </si>
  <si>
    <t>WOS:000331673800014</t>
  </si>
  <si>
    <t>Wood decay rates and macroinvertebrate community structure along contrasting human pressure gradients ( Waikato, New Zealand)</t>
  </si>
  <si>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</si>
  <si>
    <t>10.1080/00288330.2013.847470</t>
  </si>
  <si>
    <t>WOS:000331690600009</t>
  </si>
  <si>
    <t>Dynamic of grassland vegetation degradation and its quantitative assessment in the northwest China</t>
  </si>
  <si>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</si>
  <si>
    <t>10.1016/j.actao.2013.12.006</t>
  </si>
  <si>
    <t>WOS:000331773100012</t>
  </si>
  <si>
    <t>Determining the contributions of urbanisation and climate change to NPP variations over the last decade in the Yangtze River Delta, China</t>
  </si>
  <si>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</si>
  <si>
    <t>10.1016/j.scitotenv.2013.10.128</t>
  </si>
  <si>
    <t>WOS:000331916100047</t>
  </si>
  <si>
    <t>Can Management Improve the Value of Shade Plantations for the Endemic Species of Sao Tome Island?</t>
  </si>
  <si>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</si>
  <si>
    <t>10.1111/btp.12092</t>
  </si>
  <si>
    <t>WOS:000332089400014</t>
  </si>
  <si>
    <t>Changes in California Chinook salmon diet over the past 50 years: relevance to the recent population crash</t>
  </si>
  <si>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</si>
  <si>
    <t>10.3354/meps10608</t>
  </si>
  <si>
    <t>WOS:000332225300019</t>
  </si>
  <si>
    <t>Historical DNA reveals the demographic history of Atlantic cod (Gadus morhua) in medieval and early modern Iceland</t>
  </si>
  <si>
    <t>Atlantic cod (Gadus morhua) vertebrae from archaeological sites were used to study the history of the Icelandic Atlantic cod population in the time period of 1500-1990. Specifically, we used coalescence modelling to estimate population size and fluctuations from the sequence diversity at the cytochrome b (cytb) and Pantophysin I (PanI) loci. The models are consistent with an expanding population during the warm medieval period, large historical effective population size (NE), a marked bottleneck event at 1400-1500 and a decrease in NE in early modern times. The model results are corroborated by the reduction of haplotype and nucleotide variation over time and pairwise population distance as a significant portion of nucleotide variation partitioned across the 1550 time mark. The mean age of the historical fished stock is high in medieval times with a truncation in age in early modern times. The population size crash coincides with a period of known cooling in the North Atlantic, and we conclude that the collapse may be related to climate or climate-induced ecosystem change.</t>
  </si>
  <si>
    <t>10.1098/rspb.2013.2976</t>
  </si>
  <si>
    <t>WOS:000332382000025</t>
  </si>
  <si>
    <t>Loss of Genetic Diversity among Ocelots in the United States during the 20th Century Linked to Human Induced Population Reductions</t>
  </si>
  <si>
    <t>Ocelots (Leopardus pardalis) in the United States currently exhibit low levels of genetic diversity. One hypothesis for this observation is that habitat fragmentation, resulting from human induced changes in the landscape during the 20th century, created island populations with highly reduced gene flow and increased genetic drift and inbreeding. In an effort to investigate this, we used a portion of the mitochondrial control region and 11 autosomal microsatellite loci to examine historical levels of genetic diversity and infer temporal changes in ocelot populations between 1853 and 2005. Levels of genetic diversity were higher in historical ocelot populations than in extant populations from Texas. The earliest documented loss of mitochondrial haplotype diversity occurred at Laguna Atascosa National Wildlife Refuge. The second extant population inhabiting private lands in Willacy County retained higher levels of genetic diversity through the 1990s, but subsequently lost diversity over the next decade. A similar pattern was observed for autosomal microsatellite loci. This supports the argument that low levels of genetic diversity in Texas are related to human induced population reductions and fragmentation, both of which threaten the remaining ocelots in the United States. At this time, the best means of mitigating the continued erosion of genetic variation are translocation of individuals either from larger populations in Mexico to Texas, or between the Texas populations.</t>
  </si>
  <si>
    <t>10.1371/journal.pone.0089384</t>
  </si>
  <si>
    <t>WOS:000332389000043</t>
  </si>
  <si>
    <t>Road Salts as Environmental Constraints in Urban Pond Food Webs</t>
  </si>
  <si>
    <t>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t>
  </si>
  <si>
    <t>10.1371/journal.pone.0090168</t>
  </si>
  <si>
    <t>WOS:000332389000139</t>
  </si>
  <si>
    <t>Assessing the Impact of Deforestation of the Atlantic Rainforest on Ant-Fruit Interactions: A Field Experiment Using Synthetic Fruits</t>
  </si>
  <si>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</si>
  <si>
    <t>10.1371/journal.pone.0090369</t>
  </si>
  <si>
    <t>WOS:000332389000150</t>
  </si>
  <si>
    <t>Influence of tuna penning activities on soft bottom macrobenthic assemblages</t>
  </si>
  <si>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</si>
  <si>
    <t>10.1016/j.marpolbul.2013.12.021</t>
  </si>
  <si>
    <t>WOS:000332436300033</t>
  </si>
  <si>
    <t>Effects of small-scale trawling on benthic communities of estuarine vegetated and non-vegetated habitats</t>
  </si>
  <si>
    <t>The pink prawn Farfantepenaeus paulensis is one of the most valuable fishery resources in the southwest Atlantic. It is exploited along the inner shelf and inside estuarine nursery grounds. Inside the nursery grounds, mainly artisanal fisheries are responsible for the capture of pink prawn juveniles. In this study, we experimentally assessed the impact of a light mini trawl, a gear extensively used for the capture of estuarine prawn along the southeast and south coast of Brazil. We simulated a single impact (represented by three consecutive trawling runs) on vegetated and non-vegetated bottom. Then we monitored changes in sediment properties and the response of the benthic fauna at the trawling and control sites at a logarithmic temporal scale in order to determine the initial impact and the recovery rates. Meiofauna and macrofauna, both numerically dominated by the ostracod Cyprideis multidentata, were significantly more diverse and abundant inside the submerged algal beds than in non-vegetated areas. In the vegetated areas, the only change caused by the mini trawl was a significant decrease in the percentages of fine sediments (silt+clay). By contrast, in the non-vegetated areas, the mini trawl caused a significant decrease of the total meiofauna, mainly due to lower nematode and C. multidentata abundances. Our results show that the mini trawl does not produce a loss of benthic diversity and causes minimal damage to the estuarine benthos. The absence of a general faunal response, as well as the absence of significant changes in sediment properties of the non-vegetated areas suggests that meiofauna may be resuspended rather than killed during trawling. The present study highlights the need for basic studies on gear impact and environmental health of nursery grounds. Otherwise, management of small-scale fisheries will continue to be based on evidence from large-scale fisheries.</t>
  </si>
  <si>
    <t>10.1007/s10531-014-0652-3</t>
  </si>
  <si>
    <t>WOS:000332739300014</t>
  </si>
  <si>
    <t>Downstream fish assemblage response to river impoundment varies with degree of hydrologic alteration</t>
  </si>
  <si>
    <t>River impoundments can fundamentally restructure downstream fish assemblages by altering flow regimes. However, the degree of alteration and associated ecological change may depend on pre-existing hydrologic regimes. We used long-term datasets to compare downstream hydrological and fish assemblage responses to impoundment in two catchments classified as having intermittent and perennial-flashy natural hydrologic regimes. We observed significant shifts in fish assemblage structure at both sites after stream impoundment. The historically intermittent stream shifted to a stable perennial flow regime. Changes in fish assemblage structure covaried with changes in five different components of the flow regime; most species that increased in abundance require fluvial habitats and likely benefited from increased flows during historically low flow seasons. Shifts in fish assemblage structure were also observed in the perennial stream, despite minimal flow alteration after impoundment; however, most species shifts were associated with lentic environments, and were more likely related to proximity of reservoirs in the drainage system rather than changes in stream flow. Findings from this study confirm that downstream fish assemblage response to river impoundment can be associated with high levels of hydrologic alteration, but other factors including expansion of lentic species into lotic environments also influence shifts in assemblage structure.</t>
  </si>
  <si>
    <t>10.1007/s10750-013-1797-x</t>
  </si>
  <si>
    <t>WOS:000332745800002</t>
  </si>
  <si>
    <t>Population structure and conservation genetic assessment of the endangered Pugnose Shiner, Notropis anogenus</t>
  </si>
  <si>
    <t>The Pugnose Shiner is a small minnow with a fragmented distribution across the Great Lakes and Upper Mississippi River in North America. The species is listed federally as endangered in Canada, and in the United States its status varies by state, from Special Concern to Endangered (as well as Extirpated). We conducted a thorough genetic assessment of the Pugnose Shiner using both microsatellite loci and mitochondrial DNA collected for samples across the species range. Our results indicate high levels of population differentiation suggesting restricted dispersal, in some cases at very small geographical scales. We also found strong evidence of small effective population sizes and one case of a genetic bottleneck. Although significant range-wide genetic variation was observed in both microsatellite loci and mitochondrial DNA, the species is best characterized as a single evolutionarily significant unit for conservation purposes.</t>
  </si>
  <si>
    <t>10.1007/s10592-013-0542-3</t>
  </si>
  <si>
    <t>WOS:000332758900009</t>
  </si>
  <si>
    <t>Archival genetic analysis suggests recent immigration has altered a population of Chinook salmon in an unsupplemented wilderness area</t>
  </si>
  <si>
    <t>Detecting genetic population shifts (i.e. allele frequency differences) through time is a primary function of effective conservation monitoring, but it is equally vital to understand the underlying causative factors of change which may be revealed through analyses of long-term, temporal trends. We compared archival and contemporary Chinook salmon (Oncorhynchus tshawytscha) collections from the John Day River in Oregon, USA, to evaluate the temporal relationships among four primary spawning areas over a span of 28 years (1978-2006). Although it lies amid many hatchery-supplemented salmon populations of the Columbia River, the John Day River has itself experienced no directed supplementation. Using a combined panel of 13 microsatellite and 92 single nucleotide polymorphism loci, we observed significant temporal heterogeneity across sample sites and tested for two likely evolutionary influences: stochastic processes (i.e. genetic drift) and gene flow via immigration. Based on abundance and effective population size estimates, we found no evidence indicating a recent bottleneck. We observed a sharp temporal decline in probability of self-assignment of John Day River fish, particularly for the North Fork tributary. There was a corresponding increase in assignment to distant Snake River populations, attributed to accumulating introgression from out-of-basin sources over time. Our study demonstrates that low level immigration sustained over multiple generations can alter the genetic composition of natural populations, and while immigration may help maintain genetic population diversity, it risks reducing adaptive advantages in local ecosystems.</t>
  </si>
  <si>
    <t>10.1007/s10592-013-0546-z</t>
  </si>
  <si>
    <t>WOS:000332758900013</t>
  </si>
  <si>
    <t>Community variability in aphid parasitoids versus predators in response to agricultural intensification</t>
  </si>
  <si>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</si>
  <si>
    <t>10.1111/icad.12037</t>
  </si>
  <si>
    <t>WOS:000332761900001</t>
  </si>
  <si>
    <t>Hydrocarbon contamination and plant species determine the phylogenetic and functional diversity of endophytic degrading bacteria</t>
  </si>
  <si>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</si>
  <si>
    <t>10.1111/mec.12559</t>
  </si>
  <si>
    <t>WOS:000332773700012</t>
  </si>
  <si>
    <t>Ecology of Native vs. Introduced Phragmites australis (Common Reed) in Chicago-Area Wetlands</t>
  </si>
  <si>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</si>
  <si>
    <t>10.1007/s13157-013-0504-z</t>
  </si>
  <si>
    <t>WOS:000332825400016</t>
  </si>
  <si>
    <t>Effects of bushfire on macroinvertebrate communities in south-east Australian streams affected by a megadrought</t>
  </si>
  <si>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</si>
  <si>
    <t>10.1071/MF13039</t>
  </si>
  <si>
    <t>WOS:000333180800008</t>
  </si>
  <si>
    <t>Herbarium specimens reveal a historical shift in phylogeographic structure of common ragweed during native range disturbance</t>
  </si>
  <si>
    <t>Invasive plants provide ample opportunity to study evolutionary shifts that occur after introduction to novel environments. However, although genetic characters pre-dating introduction can be important determinants of later success, large-scale investigations of historical genetic structure have not been feasible. Common ragweed (Ambrosia artemisiifolia L.) is an invasive weed native to North America that is known for its allergenic pollen. Palynological records from sediment cores indicate that this species was uncommon before European colonization of North America, and ragweed populations expanded rapidly as settlers deforested the landscape on a massive scale, later becoming an aggressive invasive with populations established globally. Towards a direct comparison of genetic structure now and during intense anthropogenic disturbance of the late 19th century, we sampled 45 natural populations of common ragweed across its native range as well as historical herbarium specimens collected up to 140years ago. Bayesian clustering analyses of 453 modern and 473 historical samples genotyped at three chloroplast spacer regions and six nuclear microsatellite loci reveal that historical ragweed's spatial genetic structure mirrors both the palaeo-record of Ambrosia pollen deposition and the historical pattern of agricultural density across the landscape. Furthermore, for unknown reasons, this spatial genetic pattern has changed substantially in the intervening years. Following on previous work relating morphology and genetic expression between plants collected from eastern North America and Western Europe, we speculate that the cluster associated with humans' rapid transformation of the landscape is a likely source of these aggressive invasive populations.</t>
  </si>
  <si>
    <t>10.1111/mec.12675</t>
  </si>
  <si>
    <t>WOS:000333333500008</t>
  </si>
  <si>
    <t>Dung beetles as indicators of tropical forest restoration success: Is it possible to recover species and functional diversity?</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</si>
  <si>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</si>
  <si>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10.1016/j.biocon.2013.11.023</t>
  </si>
  <si>
    <t>WOS:000333574400028</t>
  </si>
  <si>
    <t>Changes of community composition at multiple trophic levels due to hunting in Nigerian tropical forests</t>
  </si>
  <si>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</si>
  <si>
    <t>10.1111/j.1600-0587.2013.00359.x</t>
  </si>
  <si>
    <t>WOS:000333608400007</t>
  </si>
  <si>
    <t>Does logging and forest conversion to oil palm agriculture alter functional diversity in a biodiversity hotspot?</t>
  </si>
  <si>
    <t>Forests in Southeast Asia are rapidly being logged and converted to oil palm. These changes in land-use are known to affect species diversity but consequences for the functional diversity of species assemblages are poorly understood. Environmental filtering of species with similar traits could lead to disproportionate reductions in trait diversity in degraded habitats. Here, we focus on dung beetles, which play a key role in ecosystem processes such as nutrient recycling and seed dispersal. We use morphological and behavioural traits to calculate a variety of functional diversity measures across a gradient of disturbance from primary forest through intensively logged forest to oil palm. Logging caused significant shifts in community composition but had very little effect on functional diversity, even after a repeated timber harvest. These data provide evidence for functional redundancy of dung beetles within primary forest and emphasize the high value of logged forests as refugia for biodiversity. In contrast, conversion of forest to oil palm greatly reduced taxonomic and functional diversity, with a marked decrease in the abundance of nocturnal foragers, a higher proportion of species with small body sizes and the complete loss of telecoprid species (dung-rollers), all indicating a decrease in the functional capacity of dung beetles within plantations. These changes also highlight the vulnerability of community functioning within logged forests in the event of further environmental degradation.</t>
  </si>
  <si>
    <t>10.1111/acv.12074</t>
  </si>
  <si>
    <t>WOS:000333762300011</t>
  </si>
  <si>
    <t>The impact of climate change and anthropogenic activities on alpine grassland over the Qinghai-Tibet Plateau</t>
  </si>
  <si>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</si>
  <si>
    <t>10.1016/j.agrformet.2014.01.002</t>
  </si>
  <si>
    <t>WOS:000333852900003</t>
  </si>
  <si>
    <t>Temporal changes in allelic variation among Cape Dwarf Chameleons, Bradypodion pumilum, inhabiting a transformed, semi-urban wetland</t>
  </si>
  <si>
    <t>The Cape Dwarf Chameleon, Bradypodion pumilum, is threatened by extensive habitat loss and transformation in the Western Cape Province of South Africa. As a result, the species exists as a collection of populations inhabiting an increasingly fragmented landscape within a critically endangered ecosystem. In this study we monitored microsatellite genetic variation in one of these populations of B. pumilum across a three-year period. From the results of a temporary site-vacancy of adult chameleons during the study, we anticipated a significant shift in microsatellite allele frequencies. Using data from eight highly polymorphic loci we detected differences in the allelic composition of chameleons inhabiting the study site between pre- and post-site-vacancy periods (AMOVA R-ST = 0.017; P = 0.019). Results suggest that recolonisation by immigrant chameleons, from an adjacent vegetation fragment connected to the study site by corridors, caused the recorded shifts in allelic frequencies. Pairwise tests of year by year comparisons revealed significant shifts in allelic frequencies between years one and two and between one and three, but not between years two and three. Our findings highlight the susceptibility of small vertebrates to stochastic changes in the allelic composition of populations in a fragmented landscape, and can be useful for the development of biodiversity management in an increasingly fragmented habitat mosaic.</t>
  </si>
  <si>
    <t>10.1080/21564574.2013.834852</t>
  </si>
  <si>
    <t>WOS:000333875300001</t>
  </si>
  <si>
    <t>Water hyacinth, Eichhornia crassipes (Pontederiaceae), reduces benthic macroinvertebrate diversity in a protected subtropical lake in South Africa</t>
  </si>
  <si>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</si>
  <si>
    <t>10.1007/s10531-014-0667-9</t>
  </si>
  <si>
    <t>WOS:000333898600014</t>
  </si>
  <si>
    <t>Local increases in diversity accompany community homogenization in floodplain forest understories</t>
  </si>
  <si>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</si>
  <si>
    <t>10.1111/jvs.12147</t>
  </si>
  <si>
    <t>WOS:000334184300026</t>
  </si>
  <si>
    <t>A Century of Change in Kenya's Mammal Communities: Increased Richness and Decreased Uniqueness in Six Protected Areas</t>
  </si>
  <si>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</si>
  <si>
    <t>10.1371/journal.pone.0093092</t>
  </si>
  <si>
    <t>WOS:000334339000027</t>
  </si>
  <si>
    <t>Countryside biogeography of Neotropical reptiles and amphibians</t>
  </si>
  <si>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</si>
  <si>
    <t>10.1890/12-2017.1</t>
  </si>
  <si>
    <t>WOS:000334573600007</t>
  </si>
  <si>
    <t>Modeling Carbon Stocks in a Secondary Tropical Dry Forest in the Yucatan Peninsula, Mexico</t>
  </si>
  <si>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</si>
  <si>
    <t>10.1007/s11270-014-1925-x</t>
  </si>
  <si>
    <t>WOS:000334578300016</t>
  </si>
  <si>
    <t>How do hydromorphological constraints and regulated flows govern macroinvertebrate communities along an entire lowland river?</t>
  </si>
  <si>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</si>
  <si>
    <t>10.1002/eco.1354</t>
  </si>
  <si>
    <t>WOS:000334671600015</t>
  </si>
  <si>
    <t>Temporal changes in macrofauna as response indicator to potential human pressures on sandy beaches</t>
  </si>
  <si>
    <t>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t>
  </si>
  <si>
    <t>10.1016/j.ecolind.2014.01.023</t>
  </si>
  <si>
    <t>WOS:000334822200006</t>
  </si>
  <si>
    <t>Transcriptome population genomics reveals severe bottleneck and domestication cost in the African rice (Oryza glaberrima)</t>
  </si>
  <si>
    <t>The African cultivated rice (Oryza glaberrima) was domesticated in West Africa 3000years ago. Although less cultivated than the Asian rice (O.sativa), O.glaberrima landraces often display interesting adaptation to rustic environment (e.g. drought). Here, using RNA-seq technology, we were able to compare more than 12000 transcripts between 9 O.glaberrima, 10 wild O.barthii and one O.meridionalis individuals. With a synonymous nucleotide diversity (s)=0.0006 per site, O.glaberrima appears as the least genetically diverse crop grass ever documented. Using approximate Bayesian computation, we estimated that O.glaberrima experienced a severe bottleneck during domestication. This demographic scenario almost fully accounts for the pattern of genetic diversity across O.glaberrima genome as we detected very few outliers regions where positive selection may have further impacted genetic diversity. Moreover, the large excess of derived nonsynonymous substitution that we detected suggests that the O.glaberrima population suffered from the cost of domestication'. In addition, we used this genome-scale data set to demonstrate that (i) O.barthii genetic diversity is positively correlated with recombination rate and negatively with gene density, (ii) expression level is negatively correlated with evolutionary constraint, and (iii) one region on chromosome 5 (position 4-6Mb) exhibits a clear signature of introgression with a yet unidentified Oryza species. This work represents the first genome-wide survey of the African rice genetic diversity and paves the way for further comparison between the African and the Asian rice, notably regarding the genetics underlying domestication traits.</t>
  </si>
  <si>
    <t>10.1111/mec.12738</t>
  </si>
  <si>
    <t>WOS:000334908100009</t>
  </si>
  <si>
    <t>Using soil seed banks to assess temporal patterns of genetic variation in invasive plant populations</t>
  </si>
  <si>
    <t>Most research on the genetics of invasive plant species has focused on analyzing spatial differences among existing populations. Using a long-established Gunnera tinctoria population from Ireland, we evaluated the potential of using plants derived from seeds associated with different soil layers to track genetic variation through time. This species and site were chosen because (1) G.tinctoria produces a large and persistent seed bank; (2) it has been present in this locality, Sraheens, for similar to 90years; (3) the soil is largely undisturbed; and (4) the soil's age can be reliably determined radiometrically at different depths. Amplified fragment length polymorphic markers (AFLPs) were used to assess differences in the genetic structure of 75 individuals sampled from both the standing population and from four soil layers, which spanned 18cm (estimated at similar to 90years based on Pb-210 and Cs-137 dating). While there are difficulties in interpreting such data, including accounting for the effects of selection, seed loss, and seed migration, a clear pattern of lower total allele counts, percentage polymorphic loci, and genetic diversity was observed in deeper soils. The greatest percentage increase in the measured genetic variables occurred prior to the shift from the lag to the exponential range expansion phases and may be of adaptive significance. These findings highlight that seed banks in areas with long-established invasive populations can contain valuable genetic information relating to invasion processes and as such, should not be overlooked.</t>
  </si>
  <si>
    <t>10.1002/ece3.1043</t>
  </si>
  <si>
    <t>WOS:000335267000012</t>
  </si>
  <si>
    <t>Changes in benthic sediment conditions under an Atlantic salmon farm at a deep, well-flushed coastal site</t>
  </si>
  <si>
    <t>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t>
  </si>
  <si>
    <t>10.3354/aei00092</t>
  </si>
  <si>
    <t>WOS:000335583000003</t>
  </si>
  <si>
    <t>Noninvasive genetic analyses for estimating population size and genetic diversity of the remaining Far Eastern leopard (Panthera pardus orientalis) population</t>
  </si>
  <si>
    <t>Understanding and monitoring the population status of endangered species is vital for developing appropriate management interventions. We used noninvasive genetic analyses to obtain ecological and genetic data on the last remaining Far Eastern leopard population in the world. During seven winters from 2000-2001 to 2007-2008, we collected feces, hair, and saliva from most of the leopard habitat. Of the 239 leopard samples collected during the study period, 155 were successfully genotyped at 13 microsatellite loci and 37 individuals (18 males and 19 females) were identified. Population size estimates based on the Capwire model were 28 (95 % CI 19-38) in 2002-03 and 26 (95 % CI 13-33) in 2007-2008. The leopard population had a low level of genetic diversity (expected and observed heterozygosity = 0.43; average number of alleles per locus = 2.62), and effective population size was estimated to be low (N (e) = 7-16) by two genetic-based methods. We observed little improvement in the genetic diversity during the study period and did find an indication of allele loss compared with individuals from the mid-1990s, suggesting that the remaining population will continue to suffer loss of genetic diversity. Given the small population size and the low genetic diversity, with little expectation of replenishment of the genetic variation by natural immigration, successful expansion of available habitat and development of a second population based on captive individuals may be crucial for persistence of this leopard subspecies in the wild.</t>
  </si>
  <si>
    <t>10.1007/s10592-013-0558-8</t>
  </si>
  <si>
    <t>WOS:000335671500003</t>
  </si>
  <si>
    <t>Characterising genetic diversity and effective population size in one reservoir and two riverine populations of the threatened Macquarie perch</t>
  </si>
  <si>
    <t>Nine polymorphic microsatellite loci have been used to infer population genetic diversity and structure of the threatened Australian freshwater fish, Macquarie perch, across three tributaries of the Murrumbidgee River in south-eastern Australia. This investigation has revealed a high level of divergence among all three populations, along with contrasting patterns of genetic diversity. The Cotter Reservoir, which is a stronghold population for the species, has typically higher diversity and effective population size than nearby riverine populations. This suggests that the reservoir population is unlikely to have undergone a genetic bottleneck during and following dam construction. Genetic diversity estimates were comparable with one riverine site but were significantly higher than a population sampled from the Queanbeyan River. This comparison revealed significantly less heterozygotes in the Queanbeyan River and lower estimates of effective population size. Options and considerations for stock replenishment of this population are discussed.</t>
  </si>
  <si>
    <t>10.1007/s10592-014-0572-5</t>
  </si>
  <si>
    <t>WOS:000335671500016</t>
  </si>
  <si>
    <t>Tree Species Distribution along Environmental Gradients in an Area Affected by a Hydroelectric Dam in Southern Amazonia</t>
  </si>
  <si>
    <t>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t>
  </si>
  <si>
    <t>10.1111/btp.12111</t>
  </si>
  <si>
    <t>WOS:000335784700015</t>
  </si>
  <si>
    <t>Effects of hydraulic dredging on the benthic ecology and sediment chemistry on a cultivated bed of the Northern quahog, Mercenaria mercenaria</t>
  </si>
  <si>
    <t>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t>
  </si>
  <si>
    <t>10.1016/j.aquaculture.2014.03.012</t>
  </si>
  <si>
    <t>WOS:000335816400020</t>
  </si>
  <si>
    <t>Effects of the Discharge of Iron Ore Tailings on Subtidal Rocky-Bottom Communities in Northern Chile</t>
  </si>
  <si>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</si>
  <si>
    <t>10.2112/JCOASTRES-D-12-00086.1</t>
  </si>
  <si>
    <t>WOS:000336005100008</t>
  </si>
  <si>
    <t>Genetic evaluation of reintroduced amago salmon Oncorhynchus masou ishikawae</t>
  </si>
  <si>
    <t>Population revival of amago salmon Oncorhynchus masou ishikawae was attempted by reintroducing wild individuals to an isolated tributary, in which this species had once become extinct, from a neighboring tributary in the same drainage basin, and its effects were evaluated by genetic analyses with nine microsatellite markers. The number of transplants steadily increased, approximately reaching a plateau of population size two years after reintroduction. Although the revived population kept almost the same level of heterozygosity and relatedness as its founding population, the richness of alleles, especially rare alleles, has declined slightly. These results show that, in stream-dwelling fish such as amago salmon, exchange of individuals among neighboring populations in the same drainage basin is important for the long-term preservation of genetic characteristics including genetic diversity, although population revival within a short period is possible by transplanting a small number of parental fish.</t>
  </si>
  <si>
    <t>10.2331/suisan.80.233</t>
  </si>
  <si>
    <t>WOS:000336019100007</t>
  </si>
  <si>
    <t>Impact of ecotourism on the fish fauna of Bonito region (Mato Grosso do Sul State, Brazil): ecological, behavioural and physiological measures</t>
  </si>
  <si>
    <t>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t>
  </si>
  <si>
    <t>10.1590/S1679-62252014000100014</t>
  </si>
  <si>
    <t>WOS:000336157100014</t>
  </si>
  <si>
    <t>Clonal Expansion of Verticillium dahliae in Lettuce</t>
  </si>
  <si>
    <t>Few studies in population biology have documented how structure and diversity of pathogens evolve over time at local scales. With the historical samples of Verticillium dahliae available from lettuce, we investigated the structure and diversity of this pathogen in time and space. Three hundred twenty-nine V dahliae isolates from lettuce fields collected over 18 years were characterized with polymorphic microsatellite markers and polymerase chain reaction tests for race and mating type. Genetic variation within and among commercial lettuce fields in a single season was also investigated using an additional 146 isolates. Sixty-two haplotypes (HTs) were observed among the 329 isolates. A single HT was frequently observed over multiple years and locations (61.40%). Genetic diversity, allelic richness, and private allelic richness suggested a relatively recent clonal expansion. Race 1 (93.63%) and MAT1-2-1 (99.69%) were overwhelmingly represented among the isolates. Linkage disequilibrium was significant (P &lt; 0.001) for all populations, suggesting limited sexual recombination in the sampled populations from lettuce. Populations from 2006, 2009, and 2010 had higher numbers of unique HTs, implying a recent introduction of novel HTs. We conclude that V dahliae population from lettuce evaluated in this study is expanding clonally, consistent with an asexually reproducing pathogen, and the movement of clonal genotypes locally occurs over time.</t>
  </si>
  <si>
    <t>10.1094/PHYTO-10-13-0282-R</t>
  </si>
  <si>
    <t>WOS:000336239900009</t>
  </si>
  <si>
    <t>Genetic population structure of the bigeye tuna Thunnus obesus in the central Pacific Ocean based on mtDNA Cytb sequences</t>
  </si>
  <si>
    <t>Bigeye tuna Thunnus obesus is considered an important fishery species around the world. There is no adequate genetic data available for the T. obesus population. Polymorphism of sequence variations in mitochondrial Cytb genes were assessed to explore the level of genetic variability and differentiation among eight populations of T. obesus sampled from the central Pacific Ocean. Overall, a total of 44 mtDNA haplotypes and 26 variable sites were detected in the 686 bp segment of mtDNA Cytb gene. Nucleotide diversity ranged from 0.17 to 0.27 % and the haplotype diversity ranged from 0.604 to 0.793. An analysis of molecular variance (AMOVA) test of bigeye tuna revealed that 99.38 % of the genetic variation occurred within populations. Both the maximum likelihood tree and the haplotype network indicated that two lineages of bigeye tuna coexisted in the central Pacific Ocean. Hierarchical AMOVA tests and pairwise analysis revealed no geographical isolation among haplotypes within the two lineages. High Nm values from this investigation indicated high rates of gene flow between the two sampling regions. Furthermore, tests of neutrality and mismatch distribution suggested that T. obesus might have experienced a population expansion, one that possibly occurred 110,000 years ago. Our study firstly unraveled the population genetic structure of the T. obesus in the central Pacific Ocean, and addressed the related fishery management issues including fishery stock identification, management, and conservation.</t>
  </si>
  <si>
    <t>10.1007/s12562-014-0712-3</t>
  </si>
  <si>
    <t>WOS:000336367100003</t>
  </si>
  <si>
    <t>Loss of genetic variation in declining populations of Aricia artaxerxes in Northern Hungary</t>
  </si>
  <si>
    <t>Rapid decline of population size often gives rise to loss of genetic variation and may result in a reduction in fitness. It is, therefore, essential to detect past demographic changes in populations of endangered species. Aricia artaxerxes occurs in two regions of Northern Hungary: Bukk Mts. and the Aggtelek Karst region. The species prefers short-grass habitats, which are subject to succession. Due to climatic differences between the two regions succession is more rapid in the Bukk plateau resulting in the decline and isolation of A. artaxerxes populations there. In contrast, most populations have remained rather large and stable in the Karst region. This situation provides an excellent possibility to compare the genetic composition of stable and declining populations. A. artaxerxes was collected in four populations of the Bukk Mountains and in ten in the Aggtelek Karst region in 2002 and 2005. We analysed 19 polymorphic allozyme loci in all samples. The results revealed an extremely high level of enzyme polymorphism in A. artaxerxes. Most parameters of polymorphism proved to be significantly higher in the Karst region compared to the Bukk. The shape of the distribution of alleles among the frequency classes indicated the effect of bottleneck in three Bukk and one Karst population. Though heterozygote excess was only significant in one Bukk population a tendency was observed for higher values of standardised heterozygote excess in those populations that had a typical bottleneck distribution of alleles. Our results clearly demonstrated that those populations/subpopulations that compose a network with intense migration are able to maintain their genetic diversity in a long run, while the isolated small populations of the Bukk plateau have lost a sizeable part of their variation.</t>
  </si>
  <si>
    <t>10.1007/s10841-014-9634-8</t>
  </si>
  <si>
    <t>WOS:000336400000010</t>
  </si>
  <si>
    <t>Riparian vegetation assemblages and associated landscape factors across an urbanizing metropolitan area</t>
  </si>
  <si>
    <t>While diverse, native riparian vegetation provides important functions, it remains unclear to what extent these assemblages can persist in urban areas, and under what conditions. We characterized forested riparian vegetation communities across an urbanizing metropolitan area and examined their relationships with surrounding land cover. We hypothesized that native and hydrophilic species assemblages would correlate with forest cover in the landscape. For each of 30 sites in the Portland-Vancouver metro area, we recorded vegetation at 1-cm intervals along 3 transects using the line-intercept method. Land cover was characterized at 2 scales: within 500 m of each site and across the entire watershed. Multivariate analyses were used to evaluate relationships between species composition and land cover patterns. A classification tree was created to determine landscape predictors of riparian community type. Results indicated a strong relationship between watershed land cover and vegetation diversity and structural complexity. Our hypothesis of native species association with landscape forest cover in urban riparian areas was supported, but we found no clear relationship between land cover and wetland indicator status. Our results suggest that high watershed forest cover (at least 15%) may enable the persistence of functionally diverse, native riparian vegetation communities in urban landscapes.</t>
  </si>
  <si>
    <t>10.2980/20-4-3635</t>
  </si>
  <si>
    <t>WOS:000336786100007</t>
  </si>
  <si>
    <t>Dung beetles as indicators for rapid impact assessments: Evaluating best practice forestry in the neotropics</t>
  </si>
  <si>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</si>
  <si>
    <t>10.1016/j.ecolind.2014.02.030</t>
  </si>
  <si>
    <t>WOS:000336952300015</t>
  </si>
  <si>
    <t>Understory plant assemblages present distinct short-term responses to the clear-cutting of an old-growth spruce forest near an alpine timberline</t>
  </si>
  <si>
    <t>Forest clear-cutting is a prominent disturbance influencing understory plant communities. We implemented a before-after, control-impact (BACI) designed experiment in a high-elevation, old-growth spruce forest in the eastern Tibetan Plateau to understand the response in cover and species richness of the understory plant community and its assemblages, as well as the driving roles of environmental alteration (e. g., radiation, temperature, humidity, and nutrients), physical disturbance (e.g., direct damage by trampling and tree-felling), and interplay effects (e. g., shading or burial from logging residue) during a 2-year period. The decrease in cover for the understory vegetation was predominantly due to a decrease in bryophytes; the grass cover, however, increased. While bryophyte species richness decreased, the total number of understory and vascular plants changed minimally. Furthermore, the environmental alteration drove the increase in grass cover, as well as the cover and species richness decline for bryophytes and its two species groups. It was also found that physical disturbances and interplay effects caused the decrease in cover for bryophytes. The total effects influenced the understory community and bryophytes in terms of cover, but not in terms of species richness. We conclude that the short-term responses of understory vegetation to clear-cutting are distinct across different assemblages due to various mechanisms. Bryophytes are more sensitive than vascular plants, and cover percentage responded more swiftly than species richness to clear-cutting.</t>
  </si>
  <si>
    <t>10.1139/cjfr-2013-0377</t>
  </si>
  <si>
    <t>WOS:000337105600003</t>
  </si>
  <si>
    <t>Aquatic faunal responses to an induced regime shift in the phosphorus-impacted Everglades</t>
  </si>
  <si>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</si>
  <si>
    <t>10.1111/fwb.12353</t>
  </si>
  <si>
    <t>WOS:000337528600004</t>
  </si>
  <si>
    <t>Genetic diversity of upper Lake Constance whitefish Coregonus spp. under the influence of fisheries: a DNA study based on archived scale samples from 1932, 1975 and 2006</t>
  </si>
  <si>
    <t>This investigation examined changes in the genetic diversity of pelagic upper Lake Constance (ULC) whitefish Coregonus wartmanni population before and after the alteration of fishery methods and management from 1932 to 2006. The study spans a period of pronounced changes in trophic status of the lake and transitions from traditional relatively unselective pelagic seine (Klusgarn) fishing to highly size-selective nylon gillnet techniques. In addition, supportive breeding and stocking became most popular during the phase of eutrophication in the 1970s. The main hypothesis is that size-selective fisheries and breeding lead to an overall decrease in genetic variability over time. A total of 215 archived C. wartmanni scale samples from 1932, 1975 and 2006 were analysed by genotyping 11 microsatellite loci. A comparison of population genetic parameters, including allelic richness, observed and expected heterozygosities, and estimates of effective population sizes, suggests that the genetic diversity of C. wartmanni population has not decreased. The appearance of new alleles in the gene pool in 1975 and 2006 may be indicative of admixture with other forms in the lake or with stocked allochthonous forms. Overall, the fisheries management practice in ULC, including the effects of size-selective fisheries, supportive breeding and stocking, have not significantly altered the genetic diversity of Coregonus spp. over an 80 year period. (C) 2014 The Fisheries Society of the British Isles</t>
  </si>
  <si>
    <t>10.1111/jfb.12393</t>
  </si>
  <si>
    <t>WOS:000337596000006</t>
  </si>
  <si>
    <t>Land use change alters functional gene diversity, composition and abundance in Amazon forest soil microbial communities</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</si>
  <si>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</si>
  <si>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10.1111/mec.12786</t>
  </si>
  <si>
    <t>WOS:000337610600009</t>
  </si>
  <si>
    <t>Effects of urbanization on stream habitats and associated adult dragonfly and damselfly communities in central Brazilian Amazonia</t>
  </si>
  <si>
    <t>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t>
  </si>
  <si>
    <t>10.1016/j.landurbplan.2014.03.006</t>
  </si>
  <si>
    <t>WOS:000337878700004</t>
  </si>
  <si>
    <t>Relationship of habitat variability to population size in a stream fish</t>
  </si>
  <si>
    <t>The relationship between habitat variability and population size in fragmented habitats is poorly understood, yet might have important evolutionary consequences. For instance, fragmentation could (1) shift habitat characteristics, and by extension, selective regimes, in a consistent direction as populations and the fragments they occupy are reduced in size (directional hypothesis); or (2) increase variability in habitats among similarly sized populations as fragment size decreases (variable hypothesis). We investigated these alternatives based on multiyear habitat, demographic, and genetic data from 19 fragmented populations of a stream fish varying in census size (N) and effective number of breeders (N-b). Mean habitat parameters were significantly related to N and N-b, but the forms of the relationships varied, and there was no evidence of consistent directional differences in habitat parameters from small to large population size. Small populations exhibited a wider range of variances in habitat parameters than large populations, and to a lesser extent, small populations also had greater variability in mean habitat parameters, possibly signaling more diverse selective regimes. These results suggest that many different environments are associated with small population size in nature, counter to the frequently cited assumption that small populations tend to occur only in marginal environments. In addition to well-documented demographic and genetic stochasticity operating within small populations, our work raises the possibility that small populations exhibit more variable and potentially less predictable evolutionary responses to future environmental change.</t>
  </si>
  <si>
    <t>10.1890/13-1647.1</t>
  </si>
  <si>
    <t>WOS:000338109700014</t>
  </si>
  <si>
    <t>Phytoplankton patterns along a series of small man-made reservoirs in Kenya</t>
  </si>
  <si>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</si>
  <si>
    <t>10.1007/s10661-014-3766-x</t>
  </si>
  <si>
    <t>WOS:000338275500040</t>
  </si>
  <si>
    <t>First Evidence of Inbreeding, Relatedness and Chaotic Genetic Patchiness in the Holoplanktonic Jellyfish Pelagia noctiluca (Scyphozoa, Cnidaria)</t>
  </si>
  <si>
    <t>Genetic drift and non-random mating seldom influence species with large breeding populations and high dispersal potential, characterized by unstructured gene pool and panmixia at a scale lower than the minimum dispersal range of individuals. In the present study, a set of nine microsatellite markers was developed and used to investigate the spatio-temporal genetic patterns of the holoplanktonic jellyfish Pelagia noctiluca (Scyphozoa) in the Southern Tyrrhenian Sea. Homozygote excess was detected at eight loci, and individuals exhibited intra-population relatedness higher than expected by chance in at least three samples. This result was supported by the presence of siblings in at least 5 out 8 samples, 4 of which contained full-sib in addition to half-sib dyads. Having tested and ruled out alternative explanations as null alleles, our results suggest the influence of reproductive and behavioural features in shaping the genetic structure of P. noctiluca, as outcomes of population genetics analyses pointed out. Indeed, the genetic differentiation among populations was globally small but highlighted: a) a spatial genetic patchiness uncorrelated with distance between sampling locations, and b) a significant genetic heterogeneity between samples collected in the same locations in different years. Therefore, despite its extreme dispersal potential, P. noctiluca does not maintain a single homogenous population, but rather these jellyfish appear to have intra-bloom localized recruitment and/or individual cohesiveness, whereby siblings more likely swarm together as a single group and remain close after spawning events. These findings provide the first evidence of family structures and consequent genetic patchiness in a species with highly dispersive potential throughout its whole life cycle, contributing to understanding the patterns of dispersal and connectivity in marine environments.</t>
  </si>
  <si>
    <t>10.1371/journal.pone.0099647</t>
  </si>
  <si>
    <t>WOS:000338506400006</t>
  </si>
  <si>
    <t>Effects of subtle pollution at different levels of biological organisation on species-rich assemblages</t>
  </si>
  <si>
    <t>We investigated effects of subtle nutrient enrichment and metal pollution on different levels of biological organization (i.e. whole assemblage, population and individual) of species-rich assemblages. We used rockpools as model system, applying a multi-factorial sampling design to test hypotheses on differences between disturbed and reference locations. Results indicated that disturbed and reference locations supported similar assemblages, as well as individual fitness-related life-traits were ineffective to discriminate between the two conditions. In contrast, assemblages responded to pollution through a reduction of the abundance of sensitive species and a proliferation of tolerant species, although these alterations were detectable only once the influence of dominant taxa was down-weighed by data transformation. Present findings suggest that, contrarily to individual level variables, assemblage structure after data transformation and patterns of distribution and abundance of differently sensitive taxa would be a powerful tool to detect effects of subtle pollution on species-rich assemblages. (C) 2014 Elsevier Ltd. All rights reserved.</t>
  </si>
  <si>
    <t>10.1016/j.envpol.2014.04.019</t>
  </si>
  <si>
    <t>WOS:000338605200013</t>
  </si>
  <si>
    <t>Eutrophication and Dreissena Invasion as Drivers of Biodiversity: A Century of Change in the Mollusc Community of Oneida Lake</t>
  </si>
  <si>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</si>
  <si>
    <t>10.1371/journal.pone.0101388</t>
  </si>
  <si>
    <t>WOS:000338763800023</t>
  </si>
  <si>
    <t>Impacts of tourism hotspots on vegetation communities show a higher potential for self-propagation along roads than hiking trails</t>
  </si>
  <si>
    <t>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t>
  </si>
  <si>
    <t>10.1016/j.jenvman.2014.04.006</t>
  </si>
  <si>
    <t>WOS:000338810200020</t>
  </si>
  <si>
    <t>Anthropogenic Litter in Urban Freshwater Ecosystems: Distribution and Microbial Interactions</t>
  </si>
  <si>
    <t>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t>
  </si>
  <si>
    <t>10.1371/journal.pone.0098485</t>
  </si>
  <si>
    <t>WOS:000338917900002</t>
  </si>
  <si>
    <t>Changes in forest biomass and linkage to climate and forest disturbances over Northeastern China</t>
  </si>
  <si>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</si>
  <si>
    <t>10.1111/gcb.12588</t>
  </si>
  <si>
    <t>WOS:000339100200021</t>
  </si>
  <si>
    <t>Is taxonomic homogenization linked to functional homogenization in temperate forests?</t>
  </si>
  <si>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</si>
  <si>
    <t>10.1111/geb.12164</t>
  </si>
  <si>
    <t>WOS:000339110400007</t>
  </si>
  <si>
    <t>Are changes in the structure of nematode assemblages reliable indicators of moderate petroleum contamination?</t>
  </si>
  <si>
    <t>This study assesses through a multiple before-after-control-impact (MBACI) design the effects of diesel oil on the structure of nematode assemblages in unvegetated tidal flats of a subtropical estuary. Oil-exposed treatments were contrasted with controls for a duration of four successive days before and after an experimental spill in three distinct areas of the Paranagua Estuarine Complex (Southern Brazil). No significant differences were observed in nematode total density, number of taxa and the overall assemblage structure between the control and impact treatments from before to after the experimental spill. This reinforces the idea that, despite being good indicators of environmental stress, free-living marine nematodes are able to tolerate low concentrations of hydrocarbons and to survive in moderately contaminated areas. We also show that robust experimental designs are useful to avoid confounding expected natural variability with the effects of a mild impact. (C) 2014 Elsevier Ltd. All rights reserved.</t>
  </si>
  <si>
    <t>10.1016/j.marpolbul.2014.04.035</t>
  </si>
  <si>
    <t>WOS:000339130000019</t>
  </si>
  <si>
    <t>Clonal diversity and turnover in an overwintering Daphnia pulex population, and the effect of fish predation</t>
  </si>
  <si>
    <t>1. Daphnia are key species in lake ecosystems and are a model system in ecology. Their ecological success is very much due to their dual reproductive mode: females reproduce parthenogenetically when environmental conditions are favourable but switch to sexual reproduction and resting egg production in unfavourable conditions such as winter. Phases of clonal reproduction lower the overall genotypic diversity of Daphnia populations due to the random loss of genotypes. During phases of sexual reproduction, new genotypes enhance the genotypic variability of the population and compensate for the loss of clonal lineages. 2. We hypothesised that clonal diversity should be low during the winter months due to high mortality rates (clonal erosion) but will be restored in the spring most likely from the resting egg bank. To test this hypothesis, we investigated the clonal composition of a Daphnia pulex population in a small mesotrophic lake in Norway. Daphnia were sampled every month from September 2007 to September 2010, and c. 60 individuals per month were genotyped using 11 microsatellite markers. Marker resolution was high, and 582 different genotypes could be detected in the 936 individuals analysed. 3. An unexpected complication for the study was the illegal introduction of planktivorous fish into the lake between autumn 2006 and spring 2007. This led to significant predation pressure on the D. pulex population and shifted the cladoceran community to smaller species. However, while the D. pulex population density declined severely over the study years, the overall genotypic variability increased. We observed very high turnover rates, with many clones being present for only a single month. Nevertheless, and as expected, genotypic diversity was higher during summer and lower during winter, and some parthenogenetic individuals seemed to be able to survive the winter. The large majority of new genotypes came from the resting egg bank. 4. We conclude that, due to the new predation pressure, the resting egg bank has become much more important in restocking genotypic diversity as well as for D. pulex abundance. However, despite the buffering capacities of the resting egg bank, the predation pressure will most likely lead to the extinction of D. pulex in Lake Myravatn.</t>
  </si>
  <si>
    <t>10.1111/fwb.12378</t>
  </si>
  <si>
    <t>WOS:000339385100014</t>
  </si>
  <si>
    <t>Sensitivity and responses of diatoms to climate warming in lakes heavily influenced by humans</t>
  </si>
  <si>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</si>
  <si>
    <t>10.1111/fwb.12380</t>
  </si>
  <si>
    <t>WOS:000339385100016</t>
  </si>
  <si>
    <t>Influence of a tributary stream on benthic communities in a Didymosphenia geminata impacted stream in the Sierra Nevada, USA</t>
  </si>
  <si>
    <t>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t>
  </si>
  <si>
    <t>10.1080/0269249X.2014.929029</t>
  </si>
  <si>
    <t>WOS:000339399400004</t>
  </si>
  <si>
    <t>Responses of high-altitude graminoids and soil fungi to 20 years of experimental warming</t>
  </si>
  <si>
    <t>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t>
  </si>
  <si>
    <t>10.1890/13-1454.1</t>
  </si>
  <si>
    <t>WOS:000339470500020</t>
  </si>
  <si>
    <t>Ecological consequences of amphibian larvae and their native and alien predators on the community structure of temporary ponds</t>
  </si>
  <si>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</si>
  <si>
    <t>10.1111/fwb.12402</t>
  </si>
  <si>
    <t>WOS:000339480500018</t>
  </si>
  <si>
    <t>Ecological Shifts in Mediterranean Coralligenous Assemblages Related to Gorgonian Forest Loss</t>
  </si>
  <si>
    <t>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t>
  </si>
  <si>
    <t>10.1371/journal.pone.0102782</t>
  </si>
  <si>
    <t>WOS:000339614100055</t>
  </si>
  <si>
    <t>Decreasing genetic diversity in wild and captive populations of endangered Itasenpara bittering (Acheilognathus longipinnis) in the Himi region, central Japan, and recommendations for conservation</t>
  </si>
  <si>
    <t>Biodiversity is increasingly declining as a result of direct human impact and structural alteration of ecosystems resulting from changes in human life styles. Itasenpara bittering (Acheilognathus longipinnis), which has been maintained in floodplain and paddy fields, is a threatened cyprinid fish endemic to central Japan. To aid in the preservation of this species, information on genetic diversity and demographic variables in wild and captive populations was obtained using microsatellite DNA analysis. Temporal changes in genetic diversity and effective population size (N (e)) tended to be relatively stable in the wild Moo River population, although lower values were detected in the wild Busshouji River population, suggesting an extremely high risk of extinction in the latter. Captive populations derived from the Busshouji River population demonstrated significant genetic divergence even among intrapopulational cohorts, suggesting the influence of genetic drift caused by geographic isolation and small population size. Active maintenance of genetic diversity in captive population is a necessary part of conservation programs, as are continuous addition of wild individuals and replacement of individuals among captive populations. In addition, increasing or maintaining suitable floodplain areas and artificial habitats such as paddy fields might contribute to the conservation of genetic diversity in the Itasenpara bittering.</t>
  </si>
  <si>
    <t>10.1007/s10592-014-0589-9</t>
  </si>
  <si>
    <t>WOS:000339732800014</t>
  </si>
  <si>
    <t>Loss of Genetic Integrity in Hatchery Steelhead Produced by Juvenile-Based Broodstock and Wild Integration: Conflicts in Production and Conservation Goals</t>
  </si>
  <si>
    <t>We examined whether a supplementation program for steelhead Oncorhynchus mykiss in southwestern Washington could produce hatchery fish that contained genetic characteristics of the endemic population from which it was derived and simultaneously meet a production goal. Hatchery fish were produced for three consecutive years by using broodstock comprised of endemic juveniles that were caught in the wild and raised to maturity, and then the program transitioned to an integrated broodstock comprised of wild and hatchery adults that returned to spawn. Importantly, some auxiliary conservation-based husbandry protocols were attempted (i.e., pairwise mating between males and females) but not always completed due to insufficient broodstock and conflict between production and conservation goals. The hatchery met production goals in 6 of 9 years, but wild-type genetic integrity of hatchery fish was degraded every year. Specifically, we analyzed 10 microsatellites and observed a 60% reduction in the effective number of breeders in the hatchery (harmonic mean of hatchery, N-b = 45, compared with the wild, N-b = 111). Hatchery fish consequently displayed reduced genetic diversity and large temporal genetic divergence compared with wild counterparts. To ensure the benefit of conservation-based husbandry, spawning protocols should be based on scientific theory and be practical within the physical and biological constraints of the system. Finally, if conservation issues are considered to be the most important issue for hatchery propagation, then production goals may need to be forfeited.</t>
  </si>
  <si>
    <t>10.1080/02755947.2014.901257</t>
  </si>
  <si>
    <t>WOS:000340113000009</t>
  </si>
  <si>
    <t>Genetic Structure of Striped Bass in the Southeastern United States and Effects from Stock Enhancement</t>
  </si>
  <si>
    <t>Understanding the genetic relationships of Striped Bass Morone saxatilis populations within and between watersheds is necessary to identify appropriate management units. Determining temporal changes in genetic relationships as well as the genetic diversity of the populations is important in understanding how stock enhancement influences population units. A suite of 12 microsatellites was used to evaluate patterns of Striped Bass gene flow both spatially and temporally across watersheds in the southeastern United States. Populations from the study watersheds were genetically diverse with the exception of the Savannah River, South Carolina-Georgia, which is recovering from a major population decline. Striped Bass in the Roanoke and Cape Fear rivers, North Carolina, represented a single population, most likely due to historical transfer stocking across the state from Roanoke River stock. Watersheds in South Carolina contained genetically distinct Striped Bass populations, although the difference between Striped Bass populations in the Ashepoo-Combahee-Edisto (ACE) and Santee-Cooper watersheds has decreased over the past 15 years, likely due to the stocking of Santee-Cooper system fish into the ACE Basin. Conversely, supportive breeding of fish from the Santee-Cooper system has helped to maintain genetic diversity of the population. Striped Bass populations in the southeastern United States are good examples of the positive and negative effects of stock enhancement that must be considered and monitored when implementing or assessing a stock enhancement program.</t>
  </si>
  <si>
    <t>10.1080/02755947.2014.902409</t>
  </si>
  <si>
    <t>WOS:000340113000012</t>
  </si>
  <si>
    <t>Effects of agricultural land use on stream assemblages: Taxon-specific responses of alpha and beta diversity</t>
  </si>
  <si>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</si>
  <si>
    <t>10.1016/j.ecolind.2014.04.028</t>
  </si>
  <si>
    <t>WOS:000340312100042</t>
  </si>
  <si>
    <t>Cryptic changes in the genetic structure of a highly clonal coral population and the relationship with ecological performance</t>
  </si>
  <si>
    <t>Elkhorn coral, Acropora palmata, relies heavily on clonal propagation and often displays low genotypic (clonal) diversity. Populations in the Florida Keys experienced rapid declines in tissue cover between 2004 and 2006, largely due to hurricanes and disease, but remained stable from 2006 to 2010. All elkhorn colonies in 150 m(2) permanent study plots were genotyped in 2006 (n = 15 plots) and 2010 (n = 24 plots), and plots sampled in both years were examined for changes in allelic and genotypic diversity during this period of stable ecological abundance. Overall, genetic diversity of Florida plots was low and declined further over the 4-yr period; seven of the 36 original genets and two of 67 alleles (among five microsatellite loci) were lost completely from the sampled population, and an additional 15 alleles were lost from individual reefs. In 2010, Florida plots (similar to 19 colonies) contained an average of 2.2 +/- A 1.38 (mean +/- A SD) genets with a significant negative correlation between colony abundance and genotypic diversity. When scaled to total tissue abundance, genotypic diversity is even lower, with 43 % of genets below the size of sexual maturity. We examined the hypothesized positive relationship of local genotypic diversity with ecological performance measures. In Florida plots (n = 15), genotypic diversity was not significantly correlated with tissue loss associated with chronic predation, nor with acute disease and storm-fragmentation events, though this relationship may be obscured by the low range of observed diversity and potential confounding with abundance. When more diverse plots in Cura double dagger ao (n = 9) were examined, genotypic diversity was not significantly correlated with resistance during an acute storm disturbance or rate of recovery following disturbance. Cryptic loss of genetic diversity occurred in the apparently stable Florida population and confirms that stable or even increasing abundance does not necessarily indicate genetic stability.</t>
  </si>
  <si>
    <t>10.1007/s00338-014-1157-y</t>
  </si>
  <si>
    <t>WOS:000340395300005</t>
  </si>
  <si>
    <t>Temporal changes in taxonomic and functional diversity of fish assemblages downstream from mountaintop mining</t>
  </si>
  <si>
    <t>Mountaintop mining (MTM) affects chemical, physical, and hydrological properties of receiving streams, but the long-term consequences for fish-assemblage structure and function are poorly understood. We sampled stream fish assemblages using electrofishing techniques in MTM exposure sites and reference sites within the Guyandotte River basin, USA, during 2010-2011. We calculated indices of taxonomic diversity (species richness, abundance, Shannon diversity) and functional diversity (functional richness, functional evenness, functional divergence) to compare exposure and reference assemblages between seasons (spring and autumn) and across years (1999-2011). We based temporal comparisons on 2 sites that were sampled during 1999-2001 by Stauffer and Ferreri (2002). Exposure assemblages had lower taxonomic and functional diversity than reference assemblages or simulated assemblages that accounted for random variation. Differences in taxonomic composition between reference and exposure assemblages were associated with conductivity and aqueous Se concentrations. Exposure assemblages had fewer species, lower abundances, and less biomass than reference assemblages across years and seasons. Green Sunfish (Lepomis cyanellus) and Creek Chub (Semotilus atromaculatus) became numerically dominant in exposure assemblages over time because of their persistence and losses of other taxa. In contrast, species richness increased over time in reference assemblages, a result that may indicate recovery from drought. Mean individual biomass increased as fish density decreased and most obligate invertivores were apparently extirpated at MTM exposure sites. Effects of MTM were not related to physical-habitat conditions but were associated with water-quality variables, which may limit quality and availability of benthic macroinvertebrate prey. Simulations revealed effects of MTM that could not be attributed to random variation in fish assemblage structure.</t>
  </si>
  <si>
    <t>10.1086/676997</t>
  </si>
  <si>
    <t>WOS:000340580700021</t>
  </si>
  <si>
    <t>Assessment of temporal genetic variability of two epibenthic amphipod species in an eastern Australian estuarine environment and their suitability as biological monitors</t>
  </si>
  <si>
    <t>Population studies often assume temporally stable and consistent patterns of genetic variability. Violations of this assumption can lead to misrepresentation of the amount and patterns of genetic variability in natural populations, which can be problematic in basic research and environmental monitoring studies that are designed to detect environmental perturbation. We collected two endemic species of amphipods, Melita plumulosa and Melita matilda, in a major eastern Australian waterway between November 2009 and October 2011, and assessed genetic variation at the mitochondrial cytochrome c oxidase subunit I locus. Overall, M. plumulosa was found to be more genetically variable than M. matilda. No distinct temporal trends in levels and patterns of genetic variation were identified in either species. These findings, combined with the published results demonstrating that M. plumulosa has greater sensitivity to a range of sediment-bound metals and organic contaminants, suggests it to be an informative species for environmental monitoring purposes.</t>
  </si>
  <si>
    <t>10.1071/ZO13104</t>
  </si>
  <si>
    <t>WOS:000340845400003</t>
  </si>
  <si>
    <t>Estimates of Effective Number of Breeding Adults and Reproductive Success for White Sturgeon</t>
  </si>
  <si>
    <t>Accurate estimates of the number of adults contributing to offspring (N-s), effective breeding number (N-b), and individual adult contributions to recruitment are required for recovery planning for endangered White Sturgeon Acipenser transmontanus populations, many of which are suffering from prolonged periods of recruitment failure. We show that genetic techniques can be used to characterize important features of White Sturgeon reproductive ecology in large rivers where census data are extremely difficult to obtain. We used 12 microsatellite loci and likelihood-based pedigree analysis to estimate N-s, N-b, number of kin groups (N-k), and individual reproductive success of White Sturgeon contributing to viable eggs and larvae collected in the upper Columbia River in each of 2 years. Estimated mean +/- SD annual N-s was 121.5 +/- 34.7, N-b was 86.5 +/- 10.6, and N-k was 73.5 +/- 17.3. Large variations in estimates of N-s, N-b, and N-k were observed between three spawning areas, in which one spawning site representing 61% of total adult spawning population. Variation in adult reproductive success was observed within and among sites. Estimated mean +/- SD individual spawning duration was 1.9 +/- 1.1 d, and number of mates per adult was 2.9 +/- 2.5, which also varied spatially and temporally. Based on age of collected eggs and larvae, number of spawning days ranged from 5 to 19 d between years and among sites. Genetically derived estimates of N-s were lower but generally concordant with empirical estimates of available spawners (N-c), based on sex ratios and maturation staging of adults captured independently (N-s/N-c ratio = 0.683). Results increase our understanding of White Sturgeon reproductive ecology and recruitment and allow projections of cohort levels of genetic diversity. Similar data can be applied to recovery planning and aquaculture programs for this and other species of conservation concern.</t>
  </si>
  <si>
    <t>10.1080/00028487.2014.931301</t>
  </si>
  <si>
    <t>WOS:000340887300008</t>
  </si>
  <si>
    <t>Impact on demersal fish of a large-scale and deep sand extraction site with ecosystem-based landscaped sandbars</t>
  </si>
  <si>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</si>
  <si>
    <t>10.1016/j.ecss.2014.05.029</t>
  </si>
  <si>
    <t>WOS:000340983900010</t>
  </si>
  <si>
    <t>Native plants are the bee's knees: local and landscape predictors of bee richness and abundance in backyard gardens</t>
  </si>
  <si>
    <t>Urban gardens may support bees by providing resources in otherwise resource-poor environments. However, it is unclear whether urban, backyard gardens with native plants will support more bees than gardens without native plants. We examined backyard gardens in northwestern Ohio to ask: 1) Does bee diversity, abundance, and community composition differ in backyard gardens with and without native plants? 2) What characteristics of backyard gardens and land cover in the surrounding landscape correlate with changes in the bee community? 3) Do bees in backyard gardens respond more strongly to local or landscape factors? We sampled bees with pan trapping, netting, and direct observation. We examined vegetation characteristics and land cover in 500 m, 1 km, and 2 km buffers surrounding each garden. Abundance of all bees, native bees, and cavity-nesting bees (but not ground-nesting bees) was greater in native plant gardens but only richness of cavity-nesting bees differed in gardens with and without native plants. Bee community composition differed in gardens with and without native plants. Overall, bee richness and abundance were positively correlated with local characteristics of backyard gardens, such as increased floral abundance, taller vegetation, more cover by woody plants, less cover by grass, and larger vegetable gardens. Differences in the amount of forest, open space, and wetlands surrounding gardens influenced abundance of cavity- and ground-nesting bees, but at different spatial scales. Thus, presence of native plants, and local and landscape characteristics might play important roles in maintaining bee diversity within urban areas.</t>
  </si>
  <si>
    <t>10.1007/s11252-014-0349-0</t>
  </si>
  <si>
    <t>WOS:000341090700001</t>
  </si>
  <si>
    <t>Carabid beetles in green infrastructures: the importance of management practices for improving the biodiversity in a metropolitan city</t>
  </si>
  <si>
    <t>Green infrastructure in urbanized areas has a dual purpose that achieves both sociological and ecological goals. To benefit society and the urban ecosystem, green infrastructure should be effectively managed. We investigated carabid diversity and assemblage structure as indicators of biodiversity in green infrastructures in a rapidly developing urban area to identify the habitat's values. In addition, we attempted to reveal the effect of environmental variables (e.g., vegetation structure, soil, and disturbance) that strongly contribute to carabid diversity and assemblage structure. Of the collected organisms, 6,154 individuals representing 20 carabid species were identified in the green infrastructure. Those species with flight ability and that were found in dry habitats were widely distributed and dominated green infrastructures. Carabid assemblages changed significantly in response to management practices. These changes were both positive and negative, with the negative changes increasing the instability of the carabid assemblages through the destruction of their habitat. Other factors, such as the presence of original habitat, habitat age, and habitat succession, also had a considerable effect on carabid diversity. We revealed that management practices prevented habitat succession, and these interactive effects determined carabid diversity and structure in green infrastructures.</t>
  </si>
  <si>
    <t>10.1007/s11252-014-0348-1</t>
  </si>
  <si>
    <t>WOS:000341090700002</t>
  </si>
  <si>
    <t>Responses of the ichthyofauna to urbanization in two urban areas in Southeast Brazil</t>
  </si>
  <si>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</si>
  <si>
    <t>10.1007/s11252-014-0352-5</t>
  </si>
  <si>
    <t>WOS:000341090700003</t>
  </si>
  <si>
    <t>Hotspots of human-induced biomass productivity decline and their social-ecological types toward supporting national policy and local studies on combating land degradation</t>
  </si>
  <si>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</si>
  <si>
    <t>10.1016/j.gloplacha.2014.07.007</t>
  </si>
  <si>
    <t>WOS:000341558700007</t>
  </si>
  <si>
    <t>Relative sensitivity of soft-bottom intertidal macrofauna to increased CO2 and experimental stress</t>
  </si>
  <si>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</si>
  <si>
    <t>10.3354/meps10861</t>
  </si>
  <si>
    <t>WOS:000341570100012</t>
  </si>
  <si>
    <t>Sustained impacts of a hiking trail on changing Windswept Feldmark vegetation in the Australian Alps</t>
  </si>
  <si>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</si>
  <si>
    <t>10.1071/BT14114</t>
  </si>
  <si>
    <t>WOS:000341588000001</t>
  </si>
  <si>
    <t>Effects of Ocean Acidification on Population Dynamics and Community Structure of Crustose Coralline Algae</t>
  </si>
  <si>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</si>
  <si>
    <t>10.1086/BBLv226n3p255</t>
  </si>
  <si>
    <t>WOS:000341727200008</t>
  </si>
  <si>
    <t>Changes in Lake Erie benthos over the last 50 years: Historical perspectives, current status, and main drivers</t>
  </si>
  <si>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</si>
  <si>
    <t>10.1016/j.jglr.2014.02.008</t>
  </si>
  <si>
    <t>WOS:000342034500011</t>
  </si>
  <si>
    <t>CHALLENGES IN ASSESSING ECOLOGICAL IMPACTS OF CONSTRUCTION AND DEMOLITION WASTE ON WETLANDS: A CASE STUDY</t>
  </si>
  <si>
    <t>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t>
  </si>
  <si>
    <t>10.15666/aeer/1202_457479</t>
  </si>
  <si>
    <t>WOS:000342047000007</t>
  </si>
  <si>
    <t>Analyses of historical and current populations of black grouse in Central Europe reveal strong effects of genetic drift and loss of genetic diversity</t>
  </si>
  <si>
    <t>Black grouse (Tetrao tetrix) in Central Europe have undergone a severe contraction of their range in recent decades with only a few small isolated remaining populations. Here we compare genetic diversity of two contemporary isolated populations (Sallandse Heuvelrug, Netherlands and Luneburger Heide, Germany) with historical samples from the same region collected within the last one hundred years. We use markers with both putatively neutral and functional variation to test whether the present small and highly fragmented populations hold lower genetic diversity compared to the former larger population. For this we applied three different types of genetic markers: nine microsatellites and 21 single nucleotide polymorphisms (SNPs), both sets which have been found to be neutral, and two functional major histocompatibility complex (MHC) genes for which there is evidence they are under selection. The contemporary small isolated populations displayed lower neutral genetic diversity compared to the corresponding historical samples. Furthermore, samples from Denmark showed that this now extinct population displayed lower genetic variation in the period immediately prior to the local extinction. Population structure was more pronounced among contemporary populations compared to historical populations for microsatellites and SNPs. This effect was not as distinct for MHC which is consistent with the possibility that MHC has been subjected to balancing selection in the past, a process which maintains genetic variation and may minimize population structure for such markers. Genetic differentiation among the present populations highlights the strong effects of population decline on the genetic structure of natural populations, which can be ultimately attributed to habitat loss following anthropogenic land use changes.</t>
  </si>
  <si>
    <t>10.1007/s10592-014-0610-3</t>
  </si>
  <si>
    <t>WOS:000342174700016</t>
  </si>
  <si>
    <t>Museum collections reveal that Buff-breasted Sandpipers (Calidris subruficollis) maintained mtDNA variability despite large population declines during the past 135 years</t>
  </si>
  <si>
    <t>A principal goal of conservation efforts for threatened and endangered taxa is maintenance of genetic diversity. Modern and historic processes that limit population size can contribute to a loss of genetic variation that can reduce future adaptability of a species. Buff-breasted Sandpipers (Calidris subruficollis) are a Neotropical migratory shorebird that experienced rapid, large-scale declines in population numbers (population bottleneck) due to intensive market hunting at the turn of the 20th century. Market hunting ended shortly after the passage of the Migratory Bird Treaty Act in 1918, but subsequent population losses have occurred due to continued anthropogenic disturbances throughout the species' migratory range. To assess the impact of population declines on the genetic variation of Buff-breasted Sandpipers, we surveyed two mitochondrial DNA (mtDNA) markers, the control region and cytochrome b, from 209 museum specimens collected between 1874 and 1983 and 460 modern samples collected between 1993 and 2009. Measures of mtDNA variation did not change significantly among individuals sampled before and after the ban on market hunting, nor among four temporal groups (Pre-Act, Early Post-Act, Late Post-Act, and Modern; trend analysis: chi (2) = 0.171, P = 0.679). Similarly, we did not observe loss of common haplotypes, implying that there was no substantial reduction in unique matrilineal units during our 135-year study period. Using Bayesian Skyline reconstruction of temporal changes in effective population size of females (N (ef)), we concluded that N (ef) has been stable for the past century. Results of resampling suggest that diversity estimators can be imprecise and we emphasize the importance of a well-rounded analytical approach to addressing conservation genetic hypotheses. Considering all of the evidence it appears that genetic variation and N (ef) were stable despite the pressures of market hunting early in the 20th century and habitat loss and degradation in the latter half of the 20th century. Conservation efforts should continue to focus on maintaining the population size of Buff-breasted Sandpipers to avoid reaching a threshold where genetic variability is lost.</t>
  </si>
  <si>
    <t>10.1007/s10592-014-0611-2</t>
  </si>
  <si>
    <t>WOS:000342174700017</t>
  </si>
  <si>
    <t>Community composition of the intertidal in relation to the shellfish aquaculture industry in coastal British Columbia, Canada</t>
  </si>
  <si>
    <t>The intertidal region of the Pacific Northwest is under ever increasing pressure to be used exclusively for the industrial sized operations of shellfish aquaculture. In British Columbia (BC), aquaculture practices include seeding the intertidal with the non-indigenous Venerupis philippinarum followed by the application of anti-predator netting. Ecological consequences of such practices applied at large scales are unknown. To assess for possible impacts 28 farm and reference sites from 3 geographically distinct regions of BC were surveyed in each of two years and their epibenthic, endobenthic and macroflora communities compared. The three regions differed in their intensity of industry from low (Barkley), medium (Desolation) to high (Baynes). Marked regional differences in intertidal community composition were observed. Of the three regions Baynes Sound, which has 101 tenures, was the most altered with the greatest numbers of the invasive species, Batillaria sp. and Hemigrapsus oregonensis. Barkley Sound, the region with the lowest industrial intensity, was characterized by Mytilus trossulus and the absence of H. oregonensis. The mid-intensity region, Desolation Sound, was characterized by Littorina scutulata and Tectura persona. Within Baynes Sound, seeding appears to be acting as an attractant for crab predators with farm sites having on average 3-fold greater numbers as compared to reference sites. Farming practices were also found to encourage growth and biofouling of the intertidal with Ulva sp. Consequences of changes in community composition in this case, an increase in the abundance of a major intertidal predator, H. oregonensis, on ecosystem functioning within these sensitive coastal areas are not known. (C) 2014 Elsevier B.V. All rights reserved.</t>
  </si>
  <si>
    <t>10.1016/j.aquaculture.2014.06.027</t>
  </si>
  <si>
    <t>WOS:000342529400053</t>
  </si>
  <si>
    <t>Litter processing and shredder distribution as indicators of riparian and catchment influences on ecological health of tropical streams</t>
  </si>
  <si>
    <t>Terrestrial plant litter is the main source of energy for food webs in forest headwater streams. Leaf litter quality often changes when native tree species are replaced by exotic ones and land use change in the watershed can alter physico-chemistry and functional composition of invertebrate communities, ultimately impairing associated ecosystem processes. We used the composition of invertebrate functional feeding groups (FFGs) and the ecosystem process of leaf breakdown as structural and functional indicators, respectively, of ecosystem health in upland Kenyan streams. During dry and wet conditions, invertebrates were sampled in 24 streams within forest (10), mixed (7) and agriculture (7) catchments. Five forest and five agriculture streams were subsequently used for leaf litter breakdown experiments using two native (Croton macrostachyus and Syzygium cordatum) and one exotic (Eucalyptus globulus) species differing in quality. Coarse- and fine-mesh litterbags were used to compare microbial (fine-mesh). with shredder + microbial (coarse-mesh) breakdown rates, and by extension, determine the role of shredders in litter processing in these streams. Seasonal influences on water quality were observed across catchment land uses. Total suspended sediments, turbidity and total dissolved nitrogen were consistently higher during the wet than dry season. However, seasonal influences on FFGs were inconsistent. Catchment land use influenced invertebrate functional composition: 21 taxa, including eight shredders, were restricted to forest streams, but abundance was a poor discriminator of disturbance. Breakdown rates were generally higher in coarse- compared with fine-mesh litterbags for the native leaf species and the relative differences in breakdown rates among leaf species remained unaltered in both agriculture and forest streams. Shredder and microbial breakdown of leaf litter displayed contrasting responses with shredders relatively more important at forest compared with agriculture streams. However, these patterns were inconsistent across leaf species over the dry and wet seasons. Overall, shredder mediated leaf litter breakdown was dependent on leaf species, and was highest for C macrostachyus and lowest for E. globulus. This suggests that replacement of indigenous riparian vegetation with poorer quality Eucalyptus species has the potential to reduce nutrient cycling in streams, with foodwebs becoming more reliant on microbial processing of leaf litter, which cannot support diverse consumers and complex food webs. (C) 2014 Elsevier Ltd. All rights reserved.</t>
  </si>
  <si>
    <t>10.1016/j.ecolind.2014.05.032</t>
  </si>
  <si>
    <t>WOS:000342656100003</t>
  </si>
  <si>
    <t>Mobile epifaunal assemblages associated with Cystoseira beds: comparison between areas invaded and not invaded by Lophocladia lallemandii</t>
  </si>
  <si>
    <t>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t>
  </si>
  <si>
    <t>10.3989/scimar.03995.28B</t>
  </si>
  <si>
    <t>WOS:000342742100012</t>
  </si>
  <si>
    <t>Biological soil crusts across disturbance-recovery scenarios: effect of grazing regime on community dynamics</t>
  </si>
  <si>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</si>
  <si>
    <t>10.1890/13-1416.1</t>
  </si>
  <si>
    <t>WOS:000342859800023</t>
  </si>
  <si>
    <t>Capacity for recovery of rocky subtidal assemblages following pollution abatement in a scenario of global change</t>
  </si>
  <si>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</si>
  <si>
    <t>10.1016/j.marpolbul.2014.07.018</t>
  </si>
  <si>
    <t>WOS:000342860100034</t>
  </si>
  <si>
    <t>Landscape mosaic attributes for maintaining ground-living spider diversity in a biodiversity hotspot</t>
  </si>
  <si>
    <t>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t>
  </si>
  <si>
    <t>10.1111/icad.12070</t>
  </si>
  <si>
    <t>WOS:000342990300008</t>
  </si>
  <si>
    <t>The role of fisheries and the environment in driving the decline of elasmobranchs in the northern Adriatic Sea</t>
  </si>
  <si>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</si>
  <si>
    <t>10.1093/icesjms/fst222</t>
  </si>
  <si>
    <t>WOS:000343315900008</t>
  </si>
  <si>
    <t>Landscape structure and the genetic effects of a population collapse</t>
  </si>
  <si>
    <t>Both landscape structure and population size fluctuations influence population genetics. While independent effects of these factors on genetic patterns and processes are well studied, a key challenge is to understand their interaction, as populations are simultaneously exposed to habitat fragmentation and climatic changes that increase variability in population size. In a population network of an alpine butterfly, abundance declined 60-100% in 2003 because of low over-winter survival. Across the network, mean microsatellite genetic diversity did not change. However, patch connectivity and local severity of the collapse interacted to determine allelic richness change within populations, indicating that patch connectivity can mediate genetic response to a demographic collapse. The collapse strongly affected spatial genetic structure, leading to a breakdown of isolation-by-distance and loss of landscape genetic pattern. Our study reveals important interactions between landscape structure and temporal demographic variability on the genetic diversity and genetic differentiation of populations. Projected future changes to both landscape and climate may lead to loss of genetic variability from the studied populations, and selection acting on adaptive variation will likely occur within the context of an increasing influence of genetic drift.</t>
  </si>
  <si>
    <t>10.1098/rspb.2014.1798</t>
  </si>
  <si>
    <t>WOS:000343674500020</t>
  </si>
  <si>
    <t>Effects of Coastal Urbanization on Salt-Marsh Faunal Assemblages in the Northern Gulf of Mexico</t>
  </si>
  <si>
    <t>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t>
  </si>
  <si>
    <t>10.1080/19425120.2014.893467</t>
  </si>
  <si>
    <t>WOS:000343697600008</t>
  </si>
  <si>
    <t>Genetic Evaluation of Supplementation-Assisted American Shad Restoration in the James River, Virginia</t>
  </si>
  <si>
    <t>Hatchery supplementation programs have been implemented for several populations of American Shad Alosa sapidissima, which are declining across the species' native range due to disrupted access to spawning grounds, habitat degradation, and overfishing. The genetic impacts of stocking Pamunkey River-origin larvae into the James River American Shad population since 1994 were investigated, and the effects were considered within a regional context by including American Shad populations from other Chesapeake Bay tributaries that also received interbasin stockings from various rivers over the same period. Levels of genetic diversity for microsatellite markers were high in all populations except the Susquehanna River population, which showed a significant decline in diversity between the 1990s and 2007. Before supplementation of James River American Shad, the James and Pamunkey River populations exhibited subtle standardized differentiation among groups (F-CT' = 0.012), whereas differentiation was reduced after supplementation (F-CT' = 0.007), indicating that supplementation contributed to homogenization of population structure within the two rivers. Chesapeake Bay tributaries also displayed higher levels of differentiation in the 1990s (F-CT' = 0.063) than in contemporary, supplemented samples (F-CT' = 0.004). Bayesian analyses of population structure among 1990s Chesapeake Bay samples only identified the Susquehanna River as having a distinguishable population, and no population structure was detected among samples collected in the late 2000s. In light of the fact that Chesapeake Bay American Shad populations are not rebounding in response to supplementation, our observation of reduced genetic differentiation among populations is a likely signal of substitution by hatchery-origin fish rather than increasing natural recruitment. As such, spawning habitat improvement in conjunction with continued baywide fishing regulation may be a more beneficial strategy for restoring viable American Shad populations than continued reliance on supplementation.</t>
  </si>
  <si>
    <t>10.1080/19425120.2014.893465</t>
  </si>
  <si>
    <t>WOS:000343697600011</t>
  </si>
  <si>
    <t>Effects of ecological restoration-induced land-use change and improved management on grassland net primary productivity in the Shiyanghe River Basin, north-west China</t>
  </si>
  <si>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</si>
  <si>
    <t>10.1111/gfs.12073</t>
  </si>
  <si>
    <t>WOS:000343754300004</t>
  </si>
  <si>
    <t>Identifying conservation units after large-scale land clearing: a spatio-temporal molecular survey of endangered white-tailed black cockatoos (Calyptorhynchus spp.)</t>
  </si>
  <si>
    <t>Aim We examined how the threatened and endemic white-tailed black cockatoos of Western Australia have responded genetically to recent and comprehensive habitat loss with the ultimate aim of identifying units for conservation. We assessed the population structure, connectivity and genetic diversity at spatial and temporal scales for Calyptorhynchus baudinii and C. latirostris, which have undergone dramatic population declines. Genetic comparisons of pre- and post-population decline were carried out by including historical samples dating back to 1920. We examined samples collected from across 700 km of their distribution and sampled approximately 1% of the current population census size to produce significant insights into the population genetics of white-tailed black cockatoos and generate genetic information crucial for conservation management. Location Southwest corner of Western Australia. Methods Six hundred and eighty-four cockatoo samples were collected from 1920 to 2010 and profiled with 19 microsatellites to identify spatial population structure and loss of genetic diversity. Results The temporal and spatial microsatellite data illustrated that the geographically defined genetic structuring in white-tailed black cockatoos is likely to represent a recent phenomenon. We identified: (1) spatial population substructure east and west of extensively cleared habitat (&gt;95,800 km(2)), but the historical samples clustered with the current western population, regardless of origin, (2) a regional loss of allelic diversity over 3-4 generations for the current eastern population, (3) a lack of a genetic signal of the recent population decline, but perhaps a mid-Holocene population collapse and lastly, (4) limited genetic differentiation between the two currently recognized white-tailed black-cockatoo species suggests a review of taxonomy and/or management units should be undertaken. Main conclusion Based on extensive spatio-temporal sampling, we have demonstrated that recent anthropogenic habitat modifications have affected the genetic structure of a long-lived and highly mobile species. Our results have identified areas of high conservation value and the importance of maintaining native vegetation migration corridors.</t>
  </si>
  <si>
    <t>10.1111/ddi.12202</t>
  </si>
  <si>
    <t>WOS:000343865300009</t>
  </si>
  <si>
    <t>Divergent Responses of Soil Fungi Functional Groups to Short-term Warming</t>
  </si>
  <si>
    <t>Soil fungi fill pivotal ecological roles in biogeochemical processes, particularly dominating decomposition of lignin. Little is known, however, about the responses of different fungal groups to climate warming with respect to bacteria. In this study, using barcode pyrosequencing, we showed that short-term (15 months) of field exposure of an alpine meadow to warming (elevated 1 and 2 A degrees C) did not markedly alter the overall soil fungal community structures and alpha-diversity on Tibetan Plateau, but the average beta-diversity dramatically decreased in response to warming. However, soil respiration rates were stimulated in the growing season, which significantly (P &lt; 0.001) correlated with soil temperature. Particularly, warming triggered dramatic shifts in the community structure of dominate Ascomycota and rare taxa (relative abundance &lt; 0.1 %). In addition, the abundances of specific Basidiomycota-affiliated members significantly increased, while Ascomycota showed a range of responses to warming. Collectively, we conclude that the fungal communities are resistant to short-term warming, though variations are observed in certain species and rare taxa. This report indicates that changes in a relatively small subset of the soil fungal community are sufficient to produce substantial changes in function, such as CO2 efflux rates.</t>
  </si>
  <si>
    <t>10.1007/s00248-014-0385-6</t>
  </si>
  <si>
    <t>WOS:000344075300006</t>
  </si>
  <si>
    <t>Impact of sewage pollution on the structure and functioning of a rocky shore benthic community</t>
  </si>
  <si>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</si>
  <si>
    <t>10.1071/MF13190</t>
  </si>
  <si>
    <t>WOS:000344380200009</t>
  </si>
  <si>
    <t>Agricultural ewetland restorations on the USA Atlantic Coastal Plain achieve diverse native wetland plant communities but differ from natural wetlands</t>
  </si>
  <si>
    <t>Wetland restoration is globally important for offsetting effects of wetland loss and degradation but is not consistently successful. Vegetation studies provide insight into the effectiveness of restoring wetland ecosystem functions. We compared plant community composition in 47 non-tidal wetlands under different management (natural, restored, and former wetlands that had been converted to cropland) in the Atlantic Coastal Plain of the USA. As expected, drained cropland sites were dominated by conventional upland row crops, had low species richness and evenness, and were highly disturbed. Plant communities in restored sites were more like natural sites based on the percentage of species that were native and hydrophytic, plant community evenness, and floristic quality. However, natural sites were forested, while restored and drained cropland sites were primarily herbaceous. Restored sites continued to be impacted by anthropogenic disturbance compared to natural sites. Our findings demonstrate that restored wetlands in agricultural settings can develop diverse native wetland plant communities within a decade but they remain very different from natural wetlands, raising questions about restoration goals, ecosystem service tradeoffs, and our ability to restore wetlands to ecological conditions found in reference sites. (C) 2014 Elsevier B.V. All rights reserved.</t>
  </si>
  <si>
    <t>10.1016/j.agee.2014.07.007</t>
  </si>
  <si>
    <t>WOS:000344423000002</t>
  </si>
  <si>
    <t>Land use influences arbuscular mycorrhizal fungal communities in the farming-pastoral ecotone of northern China</t>
  </si>
  <si>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</si>
  <si>
    <t>10.1111/nph.12961</t>
  </si>
  <si>
    <t>WOS:000344627200027</t>
  </si>
  <si>
    <t>Are eulittoral assemblages suitable for detecting the effects of sewage discharges in Atlantic and Mediterranean coastal areas?</t>
  </si>
  <si>
    <t>The search for cost-effective indicators able to detect anthropogenic impacts is an essential prerequisite to plan mitigation interventions, which can prevent further deterioration of coastal areas. Eulittoral assemblages are accessible for sampling, and their dominant species are easy to identify and widely distributed. This study assessed the potential of eulittoral assemblages to reflect environmental perturbations related to sewage discharge across different environmental and geographical locations. Sampling occurred in impacted (near sewage discharge) and control areas, on both Atlantic and Mediterranean shores. Multivariate analyses showed that the structure of eulittoral invertebrate assemblages differed significantly between control and impacted areas for the Mediterranean, but not for the Atlantic case study. Macroalgae responses to sewage discharge were found on the Mediterranean shore with a significantly higher abundance of Chlorophyta near the outfall. Limpet populations of the genus Patella appear to be affected by sewage discharge. The response of limpet populations differed between Atlantic and Mediterranean shores, probably due to among-species differences of ecological traits. Our results suggest that the response of eulittoral assemblages and limpets to sewage discharge might be strictly context-dependent, thus limiting their potential to serve as general indicators in monitoring the effects of this source of human impact over large spatial scales.</t>
  </si>
  <si>
    <t>10.1080/11250003.2014.947336</t>
  </si>
  <si>
    <t>WOS:000344781500012</t>
  </si>
  <si>
    <t>Fine-scale dynamics and community stability in boreal peatlands: revisiting a fen and a bog in Sweden after 50 years</t>
  </si>
  <si>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</si>
  <si>
    <t>10.1890/ES14-00202.1</t>
  </si>
  <si>
    <t>WOS:000345097200011</t>
  </si>
  <si>
    <t>Islands and Stepping-Stones: Comparative Population Structure of Anopheles gambiae sensu stricto and Anopheles arabiensis in Tanzania and Implications for the Spread of Insecticide Resistance</t>
  </si>
  <si>
    <t>Population genetic structures of the two major malaria vectors Anopheles gambiae s.s. and An. arabiensis, differ markedly across Sub-Saharan Africa, which could reflect differences in historical demographies or in contemporary gene flow. Elucidation of the degree and cause of population structure is important for predicting the spread of genetic traits such as insecticide resistance genes or artificially engineered genes. Here the population genetics of An. gambiae s.s. and An. arabiensis in the central, eastern and island regions of Tanzania were compared. Microsatellite markers were screened in 33 collections of female An. gambiae s.l., originating from 22 geographical locations, four of which were sampled in two or three years between 2008 and 2010. An. gambiae were sampled from six sites, An. arabiensis from 14 sites, and both species from two sites, with an additional colonised insectary sample of each species. Frequencies of the knock-down resistance (kdr) alleles 1014S and 1014F were also determined. An. gambiae exhibited relatively high genetic differentiation (average pairwise F-ST = 0.131), significant even between nearby samples, but without clear geographical patterning. In contrast, An. arabiensis exhibited limited differentiation (average F-ST = 0.015), but strong isolation-by-distance (Mantel test r = 0.46, p = 0.0008). Most time-series samples of An. arabiensis were homogeneous, suggesting general temporal stability of the genetic structure. An. gambiae populations from Dar es Salaam and Bagamoyo were found to have high frequencies of kdr 1014S (around 70%), with almost 50% homozygote but was at much lower frequency on Unguja Island, with no. An. gambiae population genetic differentiation was consistent with an island model of genetic structuring with highly restricted gene flow, contrary to An. arabiensis which was consistent with a stepping-stone model of extensive, but geographically-restricted gene flow.</t>
  </si>
  <si>
    <t>10.1371/journal.pone.0110910</t>
  </si>
  <si>
    <t>WOS:000345204200046</t>
  </si>
  <si>
    <t>Structure of intertidal sessile communities before and after the invasion of Isognomon bicolor (CB Adams, 1845) (Bivalvia, Isognomonidae) in southeastern Brazil</t>
  </si>
  <si>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</si>
  <si>
    <t>10.3391/ai.2014.9.4.04</t>
  </si>
  <si>
    <t>WOS:000345597500004</t>
  </si>
  <si>
    <t>Genetic depletion at adaptive but not neutral loci in an endangered bird species</t>
  </si>
  <si>
    <t>Many endangered species suffer from the loss of genetic diversity, but some populations may be able to thrive even if genetically depleted. To investigate the underlying genetic processes of population bottlenecks, we apply an innovative approach for assessing genetic diversity in the last known population of the endangered Pale-headed Brushfinch (Atlapetes pallidiceps) in Ecuador. First, we measure genetic diversity at eleven neutral microsatellite loci and adaptive SNP variation in five Toll-like receptor (TLR) immune system genes. Bottleneck tests confirm genetic drift as the main force shaping genetic diversity in this species and indicate a 99% reduction in population size dating back several hundred years. Second, we compare contemporary microsatellite diversity with historic museum samples of A.pallidiceps, finding no change in genetic diversity. Third, we compare genetic diversity in the Pale-headed Brushfinch with two co-occurring-related brushfinch species (Atlapetes latinuchus, Buarremon torquatus), finding a reduction of up to 91% diversity in the immune system genes but not in microsatellites. High TLR diversity is linked to decreased survival probabilities in A.pallidiceps. Low TLR diversity is thus probably an adaptation to the specific selection regime within its currently very restricted distribution (approximately 200ha), but could severely restrict the adaptive potential of the species in the long run. Our study illustrates the importance of investigating both neutral and adaptive markers to assess the effect of population bottlenecks and for recommending specific management plans in endangered species.</t>
  </si>
  <si>
    <t>10.1111/mec.12975</t>
  </si>
  <si>
    <t>WOS:000345630700005</t>
  </si>
  <si>
    <t>Tropical forest fires and biodiversity: dung beetle community and biomass responses in a northern Brazilian Amazon forest</t>
  </si>
  <si>
    <t>The Brazilian Amazon is under threat from more frequent and intense forest fires, with a few studies showing negative consequences for forest integrity and the biodiversity. However, the impacts of this disturbance on tropical forests remain mostly unknown. We investigate the impacts of forest fires on community parameters and biomass of dung beetles, a cost-effective indicator of disturbance and overall biodiversity, in the northern Brazilian Amazon. Our results indicate that burned forests harbor a modified dung beetle community, with altered abundance, community composition, and structure. Burned forest samples had lower total biomass and were dominated by small-bodied dung beetles. Large-bodied tunneler species were negatively impacted, responding to changes in environmental characteristics such as soil compaction. Lower biomass and higher predominance of smaller species in burned forest is likely to impact dung beetle-mediated ecological functions, such as nutrient cycling and seed dispersal. Our results support that forest fires in the Brazilian Amazon pose a serious threat to local biodiversity and habitat integrity.</t>
  </si>
  <si>
    <t>10.1007/s10841-014-9719-4</t>
  </si>
  <si>
    <t>WOS:000345769600008</t>
  </si>
  <si>
    <t>Habitat- and rainfall-dependent biodiversity responses to cattle removal in an arid woodland-grassland environment</t>
  </si>
  <si>
    <t>Biodiversity conservation in rangeland environments is often addressed by removing livestock, but inconsistent responses by biota mean that the efficacy of this form of management is hotly debated. Reasons for this inconsistency include the usually short duration and small spatial scale of manipulations compared to the area of grazing properties, as well as divergent responses amongst biota. In low-productivity arid environments, the pulse-reserve dynamic also complicates the outcome of manipulations. Here, we tested and extended these ideas in a heterogeneous desert environment in central Australia that consists of small patches of open woodland (gidgee) in a grassland (spinifex) matrix. Taking advantage of a controlled property-scale removal of cattle, and a rain event that stimulated productivity, we first quantified differences in the vegetation and small vertebrates of these two habitats, and then tracked the diversity, composition, and abundance of these biota for 6-19 months post-rain. We predicted that the two habitats would differ in the structure, composition, and reproductive output of their constituent plant species. We predicted also that the effects of cattle removal would interact with these habitat differences, with the abundance, richness, and diversity of small mammals and reptiles differing across habitats and grazing treatments. As anticipated, plant species composition in woodland was distinct from that in grassland and varied over time. The effects of cattle removal were habitat specific: Plant composition responded to de-stocking in woodland, but not in grassland; flowers were more abundant, and palatable plant cover also was greater following cessation of grazing pressure. The responses of small mammals but not reptiles showed some accord with our predictions, varying over time but inconsistently with treatment, and perhaps reflected high variability in capture success. We conclude that the timing and length of sampling are important when evaluating the responses of biota to livestock removal, as is the inclusion of all key habitats in the sampling regime.</t>
  </si>
  <si>
    <t>10.1890/13-2244.1</t>
  </si>
  <si>
    <t>WOS:000346005400011</t>
  </si>
  <si>
    <t>Limited functional redundancy in vertebrate scavenger guilds fails to compensate for the loss of raptors from urbanized sandy beaches</t>
  </si>
  <si>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</si>
  <si>
    <t>10.1111/ddi.12282</t>
  </si>
  <si>
    <t>WOS:000346182200006</t>
  </si>
  <si>
    <t>Cumulative impacts and feedbacks of a gravel road on shrub tundra ecosystems in the Peel Plateau, Northwest Territories, Canada</t>
  </si>
  <si>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</si>
  <si>
    <t>10.1657/1938-4246-46.4.947</t>
  </si>
  <si>
    <t>WOS:000346219500021</t>
  </si>
  <si>
    <t>Non-native rainbow trout change the structure of benthic communities in headwater streams of the Cape Floristic Region, South Africa</t>
  </si>
  <si>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</si>
  <si>
    <t>10.1007/s10750-014-2067-2</t>
  </si>
  <si>
    <t>WOS:000346636900001</t>
  </si>
  <si>
    <t>FISH RESPONSE TO ANTHROPOGENIC PRESSURES IN TEMPORARY STREAMS: THE IMPORTANCE OF ENVIRONMENTAL DRIVERS</t>
  </si>
  <si>
    <t>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t>
  </si>
  <si>
    <t>10.1002/rra.2780</t>
  </si>
  <si>
    <t>WOS:000346657000008</t>
  </si>
  <si>
    <t>Indirect effects may buffer negative responses of seagrass invertebrate communities to ocean acidification</t>
  </si>
  <si>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</si>
  <si>
    <t>10.1016/j.jembe.2014.07.011</t>
  </si>
  <si>
    <t>WOS:000346894900004</t>
  </si>
  <si>
    <t>The impacts of an invasive herbivore (Camelus dromedaries) on arid zone freshwater pools: An experimental investigation of the effects of dung on macroinvertebrate colonisation</t>
  </si>
  <si>
    <t>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t>
  </si>
  <si>
    <t>10.1016/j.jaridenv.2014.09.011</t>
  </si>
  <si>
    <t>WOS:000347137300009</t>
  </si>
  <si>
    <t>Diatom floristic change and lake paleoproduction as evidence of recent eutrophication in shallow lakes of the midwestern USA</t>
  </si>
  <si>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</si>
  <si>
    <t>10.1007/s10933-014-9804-4</t>
  </si>
  <si>
    <t>WOS:000347293900002</t>
  </si>
  <si>
    <t>Effect of land use on mayfly assemblages structure in Neotropical headwater streams</t>
  </si>
  <si>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</si>
  <si>
    <t>10.1590/0001-3765201420130516</t>
  </si>
  <si>
    <t>WOS:000347526200016</t>
  </si>
  <si>
    <t>Effects of chemical disturbances on intertidal benthic assemblages</t>
  </si>
  <si>
    <t>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t>
  </si>
  <si>
    <t>10.1016/j.scitotenv.2014.10.095</t>
  </si>
  <si>
    <t>WOS:000347576800002</t>
  </si>
  <si>
    <t>What does impacted look like? High diversity and abundance of epibiota in modified estuaries</t>
  </si>
  <si>
    <t>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t>
  </si>
  <si>
    <t>10.1016/j.envpol.2014.09.017</t>
  </si>
  <si>
    <t>WOS:000347583900002</t>
  </si>
  <si>
    <t>Diversity of Bacterial Communities Along a Petroleum Contamination Gradient in Desert Soils</t>
  </si>
  <si>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</si>
  <si>
    <t>10.1007/s00248-014-0475-5</t>
  </si>
  <si>
    <t>WOS:000347704500010</t>
  </si>
  <si>
    <t>Short-Term Variation of the Macrobenthic Fauna Structure on Rocky Shores after the Hebei Spirit Oil Spill, West Coast of Korea</t>
  </si>
  <si>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</si>
  <si>
    <t>10.2112/JCOASTRES-D-13-00161.1</t>
  </si>
  <si>
    <t>WOS:000347868900017</t>
  </si>
  <si>
    <t>Distribution and dynamics of mangrove forests of South Asia</t>
  </si>
  <si>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</si>
  <si>
    <t>10.1016/j.jenvman.2014.01.020</t>
  </si>
  <si>
    <t>WOS:000348016400011</t>
  </si>
  <si>
    <t>MHC variation reflects the bottleneck histories of New Zealand passerines</t>
  </si>
  <si>
    <t>Most empirical evidence suggests that balancing selection does not counter the effects of genetic drift in shaping postbottleneck major histocompatibility complex (MHC) genetic diversity when population declines are severe or prolonged. However, few studies have been able to include data from historical specimens, or to compare populations/species with different bottleneck histories. In this study, we examined MHC class II B and microsatellite diversity in four New Zealand passerine (songbird) species that experienced moderate to very severe declines. We compared diversity from historical samples (collected c.1884-1938) to present-day populations. Using a Bayesian framework, we found that the change in genetic diversity from historical to contemporary samples was affected by three main factors: (i) whether the data were based on MHC or microsatellite markers, (ii) species (as a surrogate for bottleneck severity) and (iii) whether the comparison between historical and contemporary samples was made using historical samples originating from the mainland, or using historical samples originating from islands. The greatest losses in genetic diversity occurred for the most severely bottlenecked species, particularly between historical mainland and contemporary samples. Additionally, where loss of diversity occurred, the change was greater for MHC genes compared to microsatellite loci.</t>
  </si>
  <si>
    <t>10.1111/mec.13039</t>
  </si>
  <si>
    <t>WOS:000348061600008</t>
  </si>
  <si>
    <t>Assessing baseline levels of coral health in a newly established marine protected area in a global scuba diving hotspot</t>
  </si>
  <si>
    <t>While coral reefs are increasingly threatened worldwide, they are also increasingly used for recreational activities. Given the environmental and socio-economic significance of coral reefs, understanding the links between human activities and coral health and evaluating the efficacy of marine protected areas (MPAs) as a management regime to prevent further deterioration are critically important. The aim of this study was to quantify indicators of coral health at sites inside and outside a newly rezoned MPA framework in the dive tourism hotspot of Koh Tao, Thailand. We found that patterns in the health and diversity of coral communities one year on did not reflect the protected status conferred by newly zoned MPAs, but instead reflected past history of recreational use around the island. Sites characterised as past high-use sites had lower mean percent cover of hard corals overall and of corals in the typically disease- and disturbance-susceptible family Acroporidae, but higher mean cover of species in the more weedy family Agariciidae. Past high use sites also had higher mean prevalence of infectious diseases and other indicators of compromised health. Sites within the newly established MPAs are currently subjected to higher levels of environmental and anthropogenic pressures, with sedimentation, algal overgrowth, feeding scars from Drupella snails, and breakage particularly prevalent compared to sites in non-MPA areas. Given the greater prevalence of these factors within protected sites, the capacity of the MPA framework to effectively prevent further deterioration of Koh Tao's reefs is unclear. Nevertheless, our study constitutes a strong baseline for future long-term evaluations of the potential of MPAs to maintain coral health and diversity on highly threatened reefs. (C) 2014 Elsevier Ltd. All rights reserved.</t>
  </si>
  <si>
    <t>10.1016/j.marenvres.2014.11.008</t>
  </si>
  <si>
    <t>WOS:000348258300007</t>
  </si>
  <si>
    <t>Consequences of iceplant (Carpobrotus) invasion on the vegetation and seed bank structure on a Mediterranean island: response elements for their local eradication</t>
  </si>
  <si>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</si>
  <si>
    <t>10.1080/12538078.2014.910473</t>
  </si>
  <si>
    <t>WOS:000348288100008</t>
  </si>
  <si>
    <t>Assessment of Arctic Community Wastewater Impacts on Marine Benthic Invertebrates.</t>
  </si>
  <si>
    <t>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t>
  </si>
  <si>
    <t>10.1021/es503330n</t>
  </si>
  <si>
    <t>WOS:000348332400009</t>
  </si>
  <si>
    <t>Local adaptation despite high gene flow in the waterfall-climbing Hawaiian goby, Sicyopterus stimpsoni</t>
  </si>
  <si>
    <t>Environmental heterogeneity can promote the emergence of locally adapted phenotypes among subpopulations of a species, whereas gene flow can result in phenotypic and genotypic homogenization. For organisms like amphidromous fishes that change habitats during their life history, the balance between selection and migration can shift through ontogeny, making the likelihood of local adaptation difficult to predict. In Hawaiian waterfall-climbing gobies, it has been hypothesized that larval mixing during oceanic dispersal counters local adaptation to contrasting topographic features of streams, like slope gradient, that can select for predator avoidance or climbing ability in juvenile recruits. To test this hypothesis, we used morphological traits and neutral genetic markers to compare phenotypic and genotypic distributions in recruiting juveniles and adult subpopulations of the waterfall-climbing amphidromous goby, Sicyopterus stimpsoni, from the islands of Hawai'i and Kaua'i. We found that body shape is significantly different between adult subpopulations from streams with contrasting slopes and that trait divergence in recruiting juveniles tracked stream topography more so than morphological measures of adult subpopulation differentiation. Although no evidence of population genetic differentiation was observed among adult subpopulations, we observed low but significant levels of spatially and temporally variable genetic differentiation among juvenile cohorts, which correlated with morphological divergence. Such a pattern of genetic differentiation is consistent with chaotic genetic patchiness arising from variable sources of recruits to different streams. Thus, at least in S.stimpsoni, the combination of variation in settlement cohorts in space and time coupled with strong postsettlement selection on juveniles as they migrate upstream to adult habitats provides the opportunity for morphological adaptation to local stream environments despite high gene flow.</t>
  </si>
  <si>
    <t>10.1111/mec.13016</t>
  </si>
  <si>
    <t>WOS:000348516900003</t>
  </si>
  <si>
    <t>Ten years of vegetation assembly after a North American mega fire</t>
  </si>
  <si>
    <t>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t>
  </si>
  <si>
    <t>10.1111/gcb.12722</t>
  </si>
  <si>
    <t>WOS:000348652400024</t>
  </si>
  <si>
    <t>Ecological recovery in an Arctic delta following widespread saline incursion</t>
  </si>
  <si>
    <t>Arctic ecosystems are vulnerable to the combined effects of climate change and a range of other anthropogenic perturbations. Predicting the cumulative impact of these stressors requires an improved understanding of the factors affecting ecological resilience. In September of 1999, a severe storm surge in the Mackenzie Delta flooded alluvial surfaces up to 30 km inland from the coast with saline waters, driving environmental impacts unprecedented in the last millennium. In this study we combined field monitoring of permanent sampling plots with an analysis of the Landsat archive (1986-2011) to explore the factors affecting the recovery of ecosystems to this disturbance. Soil salinization following the 1999 storm caused the abrupt dieback of more than 30 000 ha of tundra vegetation. Vegetation cover and soil chemistry show that recovery is occurring, but the rate and spatial extent are strongly dependent on vegetation type, with graminoid- and upright shrub-dominated areas showing recovery after a decade, but dwarf shrub tundra exhibiting little to no recovery over this period. Our analyses suggest that recovery from salinization has been strongly influenced by vegetation type and the frequency of freshwater flooding following the storm. With increased ocean storm activity, rising sea levels, and reduced sea ice cover, Arctic coastal ecosystems will be more likely to experience similar disturbances in the future, highlighting the importance of combining field sampling with regional-scale remote sensing in efforts to detect, understand, and anticipate environmental change.</t>
  </si>
  <si>
    <t>10.1890/14-0239.1</t>
  </si>
  <si>
    <t>WOS:000348667900015</t>
  </si>
  <si>
    <t>Experimental evidence that even minor livestock trampling has severe effects on land snail communities in forest remnants</t>
  </si>
  <si>
    <t>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t>
  </si>
  <si>
    <t>10.1111/1365-2664.12370</t>
  </si>
  <si>
    <t>WOS:000348740800018</t>
  </si>
  <si>
    <t>Mating system and genetic diversity of progenies before and after logging: a case study of Bagassa guianensis (Moraceae), a low-density dioecious tree of the Amazonian forest</t>
  </si>
  <si>
    <t>The logging of large trees in tropical forests causes a decrease in the density of reproductive individuals, which likely affects the pattern of pollen dispersal and the mating system of the remaining trees in the population. Here, we investigate the impact of logging on mating system and genetic diversity of the low-density, thrip-pollinated, dioecious tree Bagassa guianensis within a 500-ha plot at Tapajos National Forest, Para State, Brazil. Mating system parameters of the logged population were estimated using mixed-mating model. Six microsatellite loci were used to genotype 232 seeds from ten remnant female trees over three seasons (2006, 2007, and 2008). The data were compared with the mating system of the unlogged population of B. guianensis (18 female trees, 488 seeds) in the same plot. The overall number of alleles found in the open-pollinated progenies decreased after logging (K-71 before logging and K-57 after logging, considering the three after logging seasons pooled), as well as the average number of alleles per locus (A - 11.8 and 9.5, respectively). Similarly, the number of private alleles, which is defined in the context of this study as the number of alleles observed in the population exclusively before or after logging, also decreased after logging (15 and 1, respectively). However, the average number of alleles per locus and the observed and expected heterozygosities were not significantly higher before logging than after logging. Logging also did not affect the inbreeding of progenies in the population. Somewhat unexpectedly, the effective number of pollen donors was consistently higher after (N-ep = 14.5 in 2006, 8.1 in 2007, and 6.3 in 2008) than before logging (N-ep = 3.4), suggesting that the loss of alleles in the population was compensated by the higher heterogeneity in the pollen pool after the removal of the largest trees by logging. Potential causes explaining the patterns found here include the maintenance of large patches of forest around the logged plot and the species' ability to perform long-distance pollination by airborne thrips. Maintenance of landscape integrity as logged and unlogged forests around the exploited areas is recommended to enhance pollen migration and to avoid long-term losses in genetic diversity.</t>
  </si>
  <si>
    <t>10.1007/s11295-015-0837-2</t>
  </si>
  <si>
    <t>WOS:000349553500002</t>
  </si>
  <si>
    <t>Temporal Population Genetic Structure of Yellow Perch Spawning Groups in the Lower Great Lakes</t>
  </si>
  <si>
    <t>This study tested the hypothesis that the genetic composition of Yellow Perch Perca flavescens spawning groups at specific sites remained consistent among years or age-cohorts; this likely would influence spatial population structure and be important for delineating management units. Previous studies identified that spawning groups genetically differed among locations across fine geographic scales, but it was unknown whether these patterns persisted from year to year. We analyzed 15 nuclear DNA microsatellite loci from Yellow Perch spawning at six Lake Erie locations in 2009 in reference to two out-groups spawning in Lakes St. Clair and Ontario. Results were compared with a prior study of samples from the same locations that had been collected in various years, ranging from 2001 to 2005. We evaluated consistency for two of the spawning groups across multiple birth-year-cohorts. Results indicated that the levels of genetic diversity were similar across all spawning groups and years. All eight spawning groups genetically differed from one other, with their allelic compositions varying between the two sampling periods. Some variation occurred among individual sampling years and birth-cohorts, with the 2003 cohort being the most distinctive. Sampling groups contained relatively high proportions of full siblings (mean = 18.5%, ranging to 75% for the 2001 birth-cohort spawning at the eastern Lake Erie site), yet inbreeding appeared relatively low. Differences at sampling sites over time did not appear to reflect genetic drift but may instead suggest that spawning groups reproduce in slightly different locations from year to year or perhaps within a given season; this merits examination. Spatial and temporal patterns may reflect kin-group structuring and differential reproductive success, in which strong year-classes dominate spawning groups and impact genetic structure.</t>
  </si>
  <si>
    <t>10.1080/00028487.2014.982260</t>
  </si>
  <si>
    <t>WOS:000350025600019</t>
  </si>
  <si>
    <t>Ancient and Contemporary DNA Reveal a Pre-Human Decline but No Population Bottleneck Associated with Recent Human Persecution in the Kea (Nestor notabilis)</t>
  </si>
  <si>
    <t>The impact of population bottlenecks is an important factor to consider when assessing species survival. Population declines can considerably limit the evolutionary potential of species and make them more susceptible to stochastic events. New Zealand has a well documented history of decline of endemic avifauna related to human colonization. Here, we investigate the genetic effects of a recent population decline in the endangered kea (Nestor notabilis). Kea have undergone a long-lasting persecution between the late 1800s to 1970s where an estimated 150,000 kea were culled under a governmental bounty scheme. Kea now number 1,000-5,000 individuals in the wild and it is likely that the recent population decline may have reduced the genetic diversity of the species. Comparison of contemporary (n = 410), historical (n = 15) and fossil samples (n = 4) showed a loss of mitochondrial diversity since the end of the last glaciation (Otiran Glacial) but no loss of overall genetic diversity associated with the cull. Microsatellite data indicated a recent bottleneck for only one population and a range-wide decline in N-e dating back some 300 - 6,000 years ago, a period predating European arrival in NZ. These results suggest that despite a recent human persecution, kea might have experienced a large population decline before stabilizing in numbers prior to human settlement of New Zealand in response to Holocene changes in habitat distribution. Our study therefore highlights the need to understand the respective effects of climate change and human activities on endangered species dynamics when proposing conservation guidelines.</t>
  </si>
  <si>
    <t>10.1371/journal.pone.0118522</t>
  </si>
  <si>
    <t>WOS:000350213200057</t>
  </si>
  <si>
    <t>Heterozygosity-fitness correlations in a declining seabird population</t>
  </si>
  <si>
    <t>Loss of genetic diversity is thought to lead to increased risk of extinction in endangered populations due to decreasing fitness of homozygous individuals. Here, we evaluated the presence of inbreeding depression in a long-lived seabird, the European shag (Phalacrocorax aristotelis), after a severe decline in population size by nearly 70%. During three reproductive seasons, 85 breeders were captured and genotyped at seven microsatellite loci. Nest sites were monitored during the breeding season to estimate reproductive success as the number of chicks surviving to full-size-grown per nest. Captured birds were tagged with a ring with an individual code, and resighting data were collected during 7-year period. We found a strong effect of multilocus heterozygosity on female reproductive performance, and a significant, although weaker, effect on breeder survival. However, our matrix population model suggests that this relatively small effect of genetic diversity on breeder survival may have a profound effect on fitness. This highlights the importance of integrating life history consequences in HFC studies. Importantly, heterozygosity was correlated across loci, suggesting that genomewide effects, rather than single loci, are responsible for the observed HFCs. Overall, the HFCs are a worrying symptom of genetic erosion in this declining population. Many long-lived species are prone to extinction, and future studies should evaluate the magnitude of fitness impact of genetic deterioration on key population parameters, such as survival of breeders.</t>
  </si>
  <si>
    <t>10.1111/mec.13092</t>
  </si>
  <si>
    <t>WOS:000350246500005</t>
  </si>
  <si>
    <t>Recovery of ground-dwelling assemblages during reforestation with native oak depends on the mobility and feeding habits of the species</t>
  </si>
  <si>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</si>
  <si>
    <t>10.1016/j.foreco.2014.12.015</t>
  </si>
  <si>
    <t>WOS:000350517300012</t>
  </si>
  <si>
    <t>Context-dependent effects of large-wildlife declines on small-mammal communities in central Kenya</t>
  </si>
  <si>
    <t>Many species of large wildlife have declined drastically worldwide. These reductions often lead to profound shifts in the ecology of entire communities and ecosystems. However, the effects of these large-wildlife declines on other taxa likely hinge upon both underlying abiotic properties of these systems and on the types of secondary anthropogenic changes associated with wildlife loss, making impacts difficult to predict. To better understand how these important contextual factors determine the consequences of large-wildlife declines on other animals in a community, we examined the effects of three common forms of large-wildlife loss (removal without replacement [using fences], removal followed by replacement with domestic stock, and removal accompanied by crop agricultural use) on small-mammal abundance, diversity, and community composition, in landscapes that varied in several abiotic attributes (rainfall, soil fertility, land-use intensity) in central Kenya. We found that small-mammal communities were indeed heavily impacted by all forms of large-wildlife decline, showing, on average: (1) higher densities, (2) lower species richness per site, and (3) different species assemblages in sites from which large wildlife were removed. However, the nature and magnitude of these effects were strongly context dependent. Rainfall, type of land-use change, and the interaction of these two factors were key predictors of both the magnitude and type of responses of small mammals. The strongest effects, particularly abundance responses, tended to be observed in low-rainfall areas. Whereas isolated wildlife removal primarily led to increased small-mammal abundance, wildlife removal associated with secondary uses (agriculture, domestic stock) had much more variable effects on abundance and stronger impacts on diversity and composition. Collectively, these results (1) highlight the importance of context in determining the impacts of large-wildlife decline on small-mammal communities, (2) emphasize the challenges in extrapolating results from controlled experimental studies to predict the effects of wildlife declines that are accompanied by secondary land-uses, and (3) suggest that, because of the context-dependent nature of the responses to large-wildlife decline, large-wildlife status alone cannot be reliably used to predict small-mammal community changes.</t>
  </si>
  <si>
    <t>10.1890/14-0995.1</t>
  </si>
  <si>
    <t>WOS:000350556400004</t>
  </si>
  <si>
    <t>Facilitation in the low intertidal: effects of an invasive species on the structure of an estuarine macrozoobenthic assemblage</t>
  </si>
  <si>
    <t>The Asian clam Corbicula fluminea (Muller, 1774) has been recognized as one of the most important invasive alien species in aquatic ecosystems and may have significant ecological and economic impacts. Recently, the presence of C. fluminea was associated with changes in benthic and epibenthic fauna. In this study, we aimed to understand the mechanisms underlying the effects of C. fluminea on an estuarine macrozoobenthic assemblage using a manipulative experiment. We used 5 different treatments (control, rock, closed, live, open), which were placed in a low sandy intertidal soft bottom area in the Minho estuary (NW Iberian Peninsula) for 2 months. We found that the presence of live and open empty shells of C. fluminea had positive effects on the density, biomass and species richness of macrozoobenthos, specifically on species belonging to Annelida, Mollusca and Crustacea. Our results may be explained by 2 main mechanisms: (1) the production of feces and pseudofeces by C. fluminea, which increases organic matter content and food resources for some macrozoobenthic species; and (2) ecosystem engineering activities by C. fluminea, which can create conditions for the establishment of other species via shell production and bioturbation in the sediments.</t>
  </si>
  <si>
    <t>10.3354/meps11168</t>
  </si>
  <si>
    <t>WOS:000350667800011</t>
  </si>
  <si>
    <t>Top-down vs. bottom-up regulation of herbaceous primary production and composition in an arid, urbanizing ecosystem</t>
  </si>
  <si>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t>
  </si>
  <si>
    <t>10.1016/j.jaridenv.2015.01.018</t>
  </si>
  <si>
    <t>WOS:000350840100016</t>
  </si>
  <si>
    <t>Effects of proximity to offshore fish farms over soft-bottom macrofauna</t>
  </si>
  <si>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</si>
  <si>
    <t>10.1017/S0025315414001386</t>
  </si>
  <si>
    <t>WOS:000351016900004</t>
  </si>
  <si>
    <t>Diversity of anuran communities facing bullfrog invasion in Atlantic Forest ponds</t>
  </si>
  <si>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</si>
  <si>
    <t>10.1007/s10530-014-0783-1</t>
  </si>
  <si>
    <t>WOS:000351197300013</t>
  </si>
  <si>
    <t>Detection and attribution of vegetation greening trend in China over the last 30 years</t>
  </si>
  <si>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</si>
  <si>
    <t>10.1111/gcb.12795</t>
  </si>
  <si>
    <t>WOS:000351214100022</t>
  </si>
  <si>
    <t>Multi-stressor impacts on fungal diversity and ecosystem functions in streams: natural vs. anthropogenic stress</t>
  </si>
  <si>
    <t>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t>
  </si>
  <si>
    <t>10.1890/14-0743.1</t>
  </si>
  <si>
    <t>WOS:000351275800008</t>
  </si>
  <si>
    <t>Population structure and recent temporal changes in genetic variation in Eurasian otters from Sweden</t>
  </si>
  <si>
    <t>The Eurasian otter (Lutra lutra) population in Sweden went through a drastic decline in population size between the 1950s and 1980s, caused mostly by anthropogenic factors such as high hunting pressure and the introduction of environmental toxic chemicals into the otter's habitats. However, after the bans of PCBs and DDT in the 1970s, the population began to recover in the 1990s. This study compares microsatellite data across twelve loci from historical and contemporary otter samples to investigate whether there has been a change in population structure and genetic diversity across time in various locations throughout Sweden. The results suggest that otters in the south were more severely affected by the bottleneck, demonstrated by a decline in genetic diversity and a shift in genetic composition. In contrast, the genetic composition in otters from northern Sweden remained mostly unchanged, both in terms of population structure and diversity. This suggests that the decline was not uniform across the country. Moreover, our analyses of historical samples provide an overview of the level of genetic variation and population structure that existed prior to the bottleneck, which may be helpful for the future management and conservation of the species.</t>
  </si>
  <si>
    <t>10.1007/s10592-014-0664-2</t>
  </si>
  <si>
    <t>WOS:000351287400010</t>
  </si>
  <si>
    <t>Siliceous microfossil changes in impact and reference lakes in the uranium mining region of the Athabasca basin in northern Saskatchewan</t>
  </si>
  <si>
    <t>Uranium mining activities can lead to the release and accumulation of highly toxic elements into adjacent aquatic ecosystems resulting in potential impacts on the biota of the lakes. Lakes adjacent to uranium mines in the eastern margin of the Athabasca basin in northern Saskatchewan were assessed for any detectable change in siliceous microfossils contemporaneous with documented metal enrichment. Analysis of similarities (ANOSIM) was used to determine if pre- and post-mining assemblages of five dated sediment cores within 5 km of the mines were significantly different. These records were then compared to five sediment records from lakes 20 km west and northwest of the mining activities to assess any regional trends in variation in siliceous microfossils in the absence of mining activities in their watersheds. Significant changes in diatom species assemblages between pre- and post-mining samples were evident in three of the five lakes adjacent to mining, however, significant differences were also evident between pre- and post-mining time periods in all but one of the five reference lakes. Variability in the pre-mining diatom assemblages of both the reference and adjacent lakes indicates that any analyses of change must be lake specific. Benthic Fragilariaceae were a common component of most lakes and were often identified through analysis of similarity percentages (SIMPER) as being amongst the highest contributors to the changes in the diatom composition, however, each lake also had other unique taxa changes contributing to the differences. The significant changes in specific diatom taxa from pre-mining to post-mining assemblages were not consistent across the impact lakes, nor were they consistent in the reference lakes. Teratological counts in the lakes adjacent to mining did not indicate any increases of deformed diatoms in the post-mining samples. The assessment of siliceous microfossil changes in the five lakes adjacent to mining operations with documented uranium enrichment, often accompanied by other elemental enrichments, suggests little influence on diatom assemblages can be linked to the uranium mining activities. This is supported by the significant changes also recorded in the siliceous component of the sediment record in the five reference sites.</t>
  </si>
  <si>
    <t>10.1007/s10933-015-9828-4</t>
  </si>
  <si>
    <t>WOS:000351294300002</t>
  </si>
  <si>
    <t>Genetic analysis of the populations of Japanese anchovy Engraulis japonicus from the Yellow Sea and East China Sea based on mitochondrial cytochrome b sequence</t>
  </si>
  <si>
    <t>Japanese anchovy Engraulis japonicus was not only a commercial species but also a key link in the marine food chain in the Yellow Sea and East China Sea. However, in recent years, E. japonicus experienced a deep recession caused by over fishing. Therefore, determination of population genetic structure is essential to underpin resource recovery and to aid delineating and monitoring populations for fishery management. In this study, sequence variation of a 402-bp fragment of mitochondrial cytochrome b (cyt b) gene from ten populations of E. japonicus in the Yellow Sea and East China Sea was determined, detecting 73 haplotypes. Haplotype diversities and nucleotide diversities for the ten populations ranged from 0.4706 +/- 0.1177 (D) to 0.9935 +/- 0.210 (WH), and from 0.0014 +/- 0.0013 (D) to 0.0090 +/- 0.0053 (WH), respectively. Analysis of molecular variance (AMOVA) showed no significant differences at all hierarchical levels, and almost all FsT values were nonsignificant, indicating no significant population genetic structure in the Yellow Sea and East China Sea. Two indistinct clades with low support values were detected and the analysis of haplotype frequency distribution showed no significant geographic differences among populations. These results supported the null hypothesis that E. japonicus within the Yellow Sea and East China Sea constituted a panmictic mtDNA gene pool. Based on the present study, the existence of separate genetic stocks in the Yellow Sea and East China Sea were not detected. Strong dispersal capacity of planktonic larvae, and ocean current could be the reasons for genetic homogeneity in this species in the Yellow Sea and East China Sea. (C) 2014 Elsevier Ltd. All rights reserved.</t>
  </si>
  <si>
    <t>10.1016/j.bse.2014.12.007</t>
  </si>
  <si>
    <t>WOS:000351320000026</t>
  </si>
  <si>
    <t>Dead Shrimp Blues: A Global Assessment of Extinction Risk in Freshwater Shrimps (Crustacea: Decapoda: Caridea)</t>
  </si>
  <si>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</si>
  <si>
    <t>10.1371/journal.pone.0120198</t>
  </si>
  <si>
    <t>WOS:000351880000071</t>
  </si>
  <si>
    <t>Land-use history and an invasive grass affect tallgrass prairie sedge community composition</t>
  </si>
  <si>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</si>
  <si>
    <t>10.1111/avsc.12136</t>
  </si>
  <si>
    <t>WOS:000352131500006</t>
  </si>
  <si>
    <t>Recovery of Tundra Vegetation Three Decades after Hydrocarbon Drilling with and without Seeding of Non-Native Grasses</t>
  </si>
  <si>
    <t>Oil and gas exploration conducted in the 1970s left a legacy of abandoned test wells with sumps, containing drilling waste, in the Mackenzie Delta region of Canada's Northwest Territories. One to two years after the test wells were decommissioned, a set of sites were seeded with non-native grasses and fertilized to test whether these treatments could accelerate vegetation recovery and prevent erosion. We sampled seeded and unseeded sumps and adjacent tundra vegetation in the Mackenzie Delta region three decades later to examine the impact of post-disturbance seeding treatments on site recovery. Plant species composition and environmental data were collected at 12 sump sites (6 seeded and fertilized and 6 unseeded and unfertilized) in lowland and upland tundra. Multivariate analyses using NMDS and perMANOVA indicated that in the lowlands, seeding and fertilization treatments had small but significant effects on plant species composition that differentiated seeded from unseeded sump caps. Plant communities on sump caps for all treatment types were significantly different from surrounding undisturbed tundra, even after more than 30 years of recovery. Seeded non-native grasses were found on both seeded and unseeded sumps, but not in the surrounding undisturbed tundra. Undisturbed tundra appears resistant to the spread of introduced agronomic grasses, but disturbed areas, such as sumps, provide areas of suitable habitat where non-native plants can persist.</t>
  </si>
  <si>
    <t>10.14430/arctic4445</t>
  </si>
  <si>
    <t>WOS:000352333000002</t>
  </si>
  <si>
    <t>European Flint Landraces Grown In Situ Reveal Adaptive Introgression from Modern Maize</t>
  </si>
  <si>
    <t>We have investigated the role of selection in the determination of the detected levels of introgression from modern maize hybrid varieties into maize landraces still cultivated in situ in Italy. We exploited the availability of a historical collection of landraces undertaken before the introduction and widespread use of modern maize, to analyse genomic changes that have occurred in these maize landraces over 50 years of co-existence with hybrid varieties. We have combined a previously published SSR dataset (n=21) with an AFLP loci dataset (n=168) to provide higher resolution power and to obtain a more detailed picture. We show that selection pressures for adaptation have favoured new alleles introduced by migration from hybrids. This shows the potential for analysis of historical introgression even over this short period of 50 years, for an understanding of the evolution of the genome and for the identification of its functionally important regions. Moreover, this demonstrates that landraces grown in situ represent almost unique populations for use for such studies when the focus is on the domesticated plant. This is due to their adaptation, which has arisen from their dynamic evolution under a continuously changing agro-ecological environment, and their capture of new alleles from hybridisation. We have also identified loci for which selection has inhibited introgression from modern germplasm and has enhanced the distinction between landraces and modern maize. These loci indicate that selection acted in the past, during the formation of the flint and dent gene pools. In particular, the locus showing the strongest signals of selection is a Misfit transposable element. Finally, molecular characterisation of the same samples with two different molecular markers has allowed us to compare their performances. Although the genetic-diversity and population-structure analyses provide the same global qualitative pattern, which thus provides the same inferences, there are differences related to their natures and characteristics.</t>
  </si>
  <si>
    <t>10.1371/journal.pone.0121381</t>
  </si>
  <si>
    <t>WOS:000352478400037</t>
  </si>
  <si>
    <t>Temporal Stability of Genetic Variability and Differentiation in the Three-Spined Stickleback (Gasterosteus aculeatus)</t>
  </si>
  <si>
    <t>Temporal variation in allele frequencies, whether caused by deterministic or stochastic forces, can inform us about interesting demographic and evolutionary phenomena occurring in wild populations. In spite of the continued surge of interest in the genetics of three-spined stickleback (Gasterosteus aculeatus) populations, little attention has been paid towards the temporal stability of allele frequency distributions, and whether there are consistent differences in effective size (Ne) of local populations. We investigated temporal stability of genetic variability and differentiation in 15 microsatellite loci within and among eight collection sites of varying habitat type, surveyed twice over a six-year time period. In addition, Nes were estimated with the expectation that they would be lowest in isolated ponds, intermediate in larger lakes and largest in open marine sites. In spite of the marked differences in genetic variability and differentiation among the study sites, the temporal differences in allele frequencies, as well as measures of genetic diversity and differentiation, were negligible. Accordingly, the Ne estimates were temporally stable, but tended to be lower in ponds than in lake or marine habitats. Hence, we conclude that allele frequencies in putatively neutral markers in three-spined sticklebacks seem to be temporally stable -at least over periods of few generations - across a wide range of habitat types differing markedly in levels of genetic variability, effective population size and gene flow.</t>
  </si>
  <si>
    <t>10.1371/journal.pone.0123891</t>
  </si>
  <si>
    <t>WOS:000352478400126</t>
  </si>
  <si>
    <t>Consequences of size-selective harvesting and changing climate on the pikeperch Sander lucioperca in two large shallow north temperate lakes</t>
  </si>
  <si>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</si>
  <si>
    <t>10.1016/j.fishres.2014.12.016</t>
  </si>
  <si>
    <t>WOS:000352748800007</t>
  </si>
  <si>
    <t>Arbuscular mycorrhizal fungal community response to warming and nitrogen addition in a semiarid steppe ecosystem</t>
  </si>
  <si>
    <t>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t>
  </si>
  <si>
    <t>10.1007/s00572-014-0608-1</t>
  </si>
  <si>
    <t>WOS:000353234500003</t>
  </si>
  <si>
    <t>Contemporary evolution of plant reproductive strategies under global change is revealed by stored seeds</t>
  </si>
  <si>
    <t>Global change is expected to impose new selection pressures on natural populations. Phenotypic responses, such as earlier phenology in response to climate warming, have been repeatedly observed in the field. The recent pollinator decline is also expected to change selection on reproductive traits in flowering plants. However, it remains unclear whether short-term adaptation of plant reproductive strategies occurs in response to global change. In this study, we report the evolution of some important reproductive traits of the annual self-incompatible weed Centaurea cyanus. In a common garden experiment, we germinated stored seeds, sampled 18years apart from the same location, in a region where warmer springs and indices of pollinator decline have been reported. Compared to the ancestral population (1992), our results showed that plants of the descendant population (2010) flowered earlier and also produced larger capitula with longer receptivity and a larger floral display. Q(ST)-F-ST comparisons indicated that natural selection has likely contributed to the evolution of some of the traits investigated. Lower F-ST within temporal samples than among spatial samples further suggests a limited role of gene flow from neighbouring populations. We therefore propose that trait shifts could partly be due to adaptation to global change.</t>
  </si>
  <si>
    <t>10.1111/jeb.12603</t>
  </si>
  <si>
    <t>WOS:000353295200003</t>
  </si>
  <si>
    <t>Effects of Forest Management Practices in Temperate Beech Forests on Bacterial and Fungal Communities Involved in Leaf Litter Degradation</t>
  </si>
  <si>
    <t>Forest management practices (FMPs) significantly influence important ecological processes and services in Central European forests, such as leaf litter decomposition and nutrient cycling. Changes in leaf litter diversity, and thus, its quality as well as microbial community structure and function induced by different FMPs were hypothesized to be the main drivers causing shifts in decomposition rates and nutrient release in managed forests. In a litterbag experiment lasting 473 days, we aimed to investigate the effects of FMPs (even-aged timber management, selective logging and unmanaged) on bacterial and fungal communities involved in leaf litter degradation over time. Our results showed that microbial communities in leaf litter were strongly influenced by both FMPs and sampling date. The results from nonmetric multidimensional scaling (NMDS) ordination revealed distinct patterns of bacterial and fungal successions over time in leaf litter. We demonstrated that FMPs and sampling dates can influence a range of factors, including leaf litter quality, microbial macronutrients, and pH, which significantly correlate with microbial community successions.</t>
  </si>
  <si>
    <t>10.1007/s00248-015-0585-8</t>
  </si>
  <si>
    <t>WOS:000353295800017</t>
  </si>
  <si>
    <t>Understanding recruitment patterns of historically strong juvenile year classes in redfish (Sebastes spp.): the importance of species identity, population structure, and juvenile migration</t>
  </si>
  <si>
    <t>Genetic analyses were undertaken on archived otoliths from juveniles representing historically strong year classes of northwest Atlantic redfish (Sebastes spp.) and on tissue samples from adults of known species and population of origin. The results indicated that the species composition of a year class is key information for understanding recruitment dynamics, with redfish species having distinct population-associated patterns of spatial dispersion. In the Gulf of St. Lawrence - Laurentian Channel area (GSL-LCH), the last strong year class (which supported the fishery for more than 30 years) belonged to Sebastes mentella and originated from the area. In contrast, four year classes that appeared abundant at young ages in research surveys in GSL-LCH but contributed only marginally to the adult population and the fishery of the region belonged to Sebastes fasciatus and carried the genetic signature of the adult population from the slope of the Newfoundland Grand Banks. Ocean currents and spatiotemporal trends in abundance-at-length suggest that the latter population uses the Gulf of St. Lawrence as a nursery area, with larvae and early juveniles drifting toward the Gulf of St. Lawrence and older juveniles migrating back to the slope of the Grand Banks after about 5-6 years. It is suggested that juvenile migration behaviour is a postsettlement process that plays an important role in redfish recruitment dynamics and carries both demographic and evolutionary implications.</t>
  </si>
  <si>
    <t>10.1139/cjfas-2014-0149</t>
  </si>
  <si>
    <t>WOS:000353626800014</t>
  </si>
  <si>
    <t>Harvesting effects on tropical invertebrate assemblages in New Caledonia</t>
  </si>
  <si>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</si>
  <si>
    <t>10.1016/j.fishres.2015.02.001</t>
  </si>
  <si>
    <t>WOS:000353740700009</t>
  </si>
  <si>
    <t>Epiphyte homogenization and de-diversification on alien Eucalyptus versus native Quercus forest in the Colombian Andes: a case study using lirellate Graphidaceae lichens</t>
  </si>
  <si>
    <t>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t>
  </si>
  <si>
    <t>10.1007/s10531-014-0855-7</t>
  </si>
  <si>
    <t>WOS:000353888600013</t>
  </si>
  <si>
    <t>Changes in population size and genetic diversity of a raptor species occurring in the boreal forest of Saskatchewan</t>
  </si>
  <si>
    <t>The American Kestrel (Falco sparverius) is one of North America's most common raptors. However, recent data reveals a decrease in the number of individuals at both migration and nesting sites, sparking concern that the North American subspecies (F. s. sparverius) may be in decline. In this study we used long-term monitoring data to examine whether a decrease observed in a study population of breeding F. s. sparverius in the boreal forests of Saskatchewan over the past two decades coincided with a loss in genetic diversity. While count data collected showed a significant decline in occupancy of nest boxes, genetic summary statistics and Bayesian modeling methods revealed evidence for a population expansion occurring in the decades directly before the start of the nest box program. The initial contradictory nature of the count and genetic data was resolved when the results examined together revealed that the detected changes in population size coincided with changes in land-use around the study site, suggesting that the shifts in numbers of F. s. sparverius may represent the subspecies' ability to respond rapidly to changes in suitable habitat. This study highlights the importance of integrating both genetic and population data into studies that examine changes in population size, especially for a migratory species where the connections between breeding sites and landscape changes may be fluid and rapid.</t>
  </si>
  <si>
    <t>10.1007/s10592-014-0677-x</t>
  </si>
  <si>
    <t>WOS:000354375500004</t>
  </si>
  <si>
    <t>Fine-scale heterogeneity across Manhattan's urban habitat mosaic is associated with variation in ant composition and richness</t>
  </si>
  <si>
    <t>Global urbanisation is rapidly expanding and most of the world's humans now live in cities. Most ecological studies have, however, focused on protected areas. To address this issue, we tested predictions from studies of protected areas in urban ecosystems. Because most cities are heterogeneous habitat mosaics which include habitats with varying levels of chronic environmental stress, we focused on predictions from studies of less modified ecosystems about community-wide responses to variation in chronic stress. We sampled ants across Manhattan's urban habitat mosaic, at sites with varying levels of chronic environmental stress. Many predictions derived from less modified ecosystems were supported by our findings: despite being the most intensively sampled habitat, high stress urban medians had less variability in ant composition -both within and among sites - than either urban parks or urban forests, the lowest stress habitat - urban forests-had significantly more accumulated species and a higher number of unique species than higher stress habitats, and urban parks, which have intermediate levels of chronic environmental stress, also had intermediate levels of variation in among-site species composition, accumulated species richness, and the incidence of unique species. The most common species also differed across Manhattan's urban habitat mosaic. Nevertheless, the prediction that exotic species would occur more frequently in higher stress habitats was not supported; exotic species were equally common across all habitats. These findings suggest that fine-scale heterogeneity in the chronic stress of urban habitats may be an underappreciated, but important structuring force for urban animal communities.</t>
  </si>
  <si>
    <t>10.1111/icad.12098</t>
  </si>
  <si>
    <t>WOS:000354569100003</t>
  </si>
  <si>
    <t>Converting land into golf courses - effects on ground beetles (Coleoptera, Carabidae)</t>
  </si>
  <si>
    <t>Some golf courses start off as half-size, 9-hole courses and, if successful, expand in area to full-size courses, thus converting more land to highly managed greenspace. We investigated carabid beetle assemblages in three established and newly created suburban golf courses in Helsinki, southern Finland. Beetles were collected from similar habitat types on established courses, newly created courses and nearby reference areas. Seventy-one carabid beetle species were collected and the beetle assemblages were dominated by open habitat and generalist species. Assemblages differed considerably between the three golf courses studied and between the habitat types sampled, but not between course development stages (established vs. newly created) or reference areas. We argue that some carabid beetle species in the urban landscape in Helsinki are resilient and capable of rapidly colonising these modified environments. Under current management regimes, these golf courses in Helsinki, Finland, do not host carabid beetles of conservation concern, yet are rich in generalist and open habitat species.</t>
  </si>
  <si>
    <t>10.1111/icad.12103</t>
  </si>
  <si>
    <t>WOS:000354569100006</t>
  </si>
  <si>
    <t>Beta diversity as a tool for determining priority streams for management actions</t>
  </si>
  <si>
    <t>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t>
  </si>
  <si>
    <t>10.2166/wst.2015.112</t>
  </si>
  <si>
    <t>WOS:000354728000001</t>
  </si>
  <si>
    <t>Influence of the natural growth environment on the sensitivity of phototrophic biofilm to herbicide</t>
  </si>
  <si>
    <t>Ecotoxicological experiments were performed in laboratory-scale microcosms to investigate community-level structural responses of river phototrophic biofilms from different environments to herbicide exposure. Biofilms were initially cultivated on artificial supports placed in situ for 4 weeks at two sites, site M, located in an agricultural watershed basin and site S, located in a forested watershed basin. The biofilms were subsequently transferred to microcosms and, after an acclimatisation phase of 7 days were exposed to alachlor at 10 and 30 mu g L-1 for 23 days. Alachlor effects were assessed by a combination of structural parameters, including biomass (ash-free dry mass and chlorophyll a), molecular fingerprinting of the bacterial community (polymerase chain reaction (PCR)-denaturing gradient gel electrophoresis (DGGE)) and diatom species composition. Alachlor impacted the chlorophyll a and ash-free dry mass levels of phototrophic biofilms previously cultivated at site S. The structural responses of bacterial and diatom communities were difficult to distinguish from changes linked to the microcosm incubation period. Phototrophic biofilms from site S exposed at 30 mu g L-1 alachlor were characterised by an increase of Achnanthidium minutissimum (K-z.) Czarnecki abundance, as well as a higher proportion of abnormal frustules. Thus, phototrophic biofilms with different histories, exhibited different responses to alachlor exposure demonstrating the importance of growth environment. These observations also confirm the problem of distinguishing changes induced by the stress of pesticide toxicity from temporal evolution of the community in the microcosm.</t>
  </si>
  <si>
    <t>10.1007/s11356-014-3429-z</t>
  </si>
  <si>
    <t>WOS:000354960300006</t>
  </si>
  <si>
    <t>Community variability and ecological functioning: 40 years of change in the North Sea benthos</t>
  </si>
  <si>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</si>
  <si>
    <t>10.1016/j.marenvres.2015.03.012</t>
  </si>
  <si>
    <t>WOS:000355046300003</t>
  </si>
  <si>
    <t>Effects of Phragmites invasion on soil microbial activity and structure in a brackish marsh</t>
  </si>
  <si>
    <t>The spread of invasive plants in wetlands associated with human activity has become a serious environmental problem because of the negative effects of these species on biodiversity and biogeochemistry in ecosystems. Unlike their impacts on aboveground biodiversity, the responses of soil microbial communities and related soil characteristics to invasive plants are largely unknown. In this study, we assessed the structural and functional responses of soil microorganisms and belowground biogeochemistry to the invasion of Phragemites australis, which has heavily invaded in wetland areas globally, in brackish marsh areas in Korea. We measured soil biogeochemical characteristics including extracellular enzyme activities and microbial community structure (t-RFLP) in the marsh, both undisturbed and invaded areas over a year period. We found higher extracellular enzyme activity in invaded areas compared to the undisturbed region dominated by the native species Scirpus planiculmis, and this response was profound during the growing season. Fungal and bacterial community structure, analyzed by terminal-restriction fragment length polymorphism, indicated that invasion by Phragmites had little effect on these communities. However, significantly higher microbial diversity was found in intermediately invaded areas in which Scirpus and Phragmites were co-dominant. This result suggests that microbial diversity was affected by plant diversity, rather than invasion by or presence of a particular species. Our results suggest that physicochemical conditions related to dominant plant species alter microbial activity, while plant diversity is a more important regulator of microbial community structure and diversity.</t>
  </si>
  <si>
    <t>10.1007/s11104-014-2339-7</t>
  </si>
  <si>
    <t>WOS:000355152300005</t>
  </si>
  <si>
    <t>A genetic demographic analysis of Lake Malawi rock-dwelling cichlids using spatio-temporal sampling</t>
  </si>
  <si>
    <t>We estimated the effective population sizes (N-e) and tested for short-term temporal demographic stability of populations of two Lake Malawi cichlids: Maylandia benetos, a micro-endemic, and Maylandia zebra, a widespread species found across the lake. We sampled a total of 351 individuals, genotyped them at 13 microsatellite loci and sequenced their mitochondrial D-loop to estimate genetic diversity, population structure, demographic history and effective population sizes. At the microsatellite loci, genetic diversity was high in all populations. Yet, genetic diversity was relatively low for the sequence data. Microsatellites yielded mean N-e estimates of 481 individuals (+/- 99 SD) for M.benetos and between 597 (+/- 106.3 SD) and 1524 (+/- 483.9 SD) individuals for local populations of M.zebra. The microsatellite data indicated no deviations from mutation-drift equilibrium. Maylandia zebra was further found to be in migration-drift equilibrium. Temporal fluctuations in allele frequencies were limited across the sampling period for both species. Bayesian Skyline analyses suggested a recent expansion of M.zebra populations in line with lake-level fluctuations, whereas the demographic history of M.benetos could only be estimated for the very recent past. Divergence time estimates placed the origin of M.benetos within the last 100ka after the refilling of the lake and suggested that it split off the sympatric M.zebra population. Overall, our data indicate that micro-endemics and populations in less favourable habitats have smaller N-e, indicating that drift may play an important role driving their divergence. Yet, despite small population sizes, high genetic variation can be maintained.</t>
  </si>
  <si>
    <t>10.1111/mec.13205</t>
  </si>
  <si>
    <t>WOS:000355228800009</t>
  </si>
  <si>
    <t>Soil disturbance and early vegetation response to varying intensity of energy wood harvest</t>
  </si>
  <si>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</si>
  <si>
    <t>10.1016/j.foreco.2015.04.001</t>
  </si>
  <si>
    <t>WOS:000355353300015</t>
  </si>
  <si>
    <t>Altered beta diversity in post-agricultural woodlands: two hypotheses and the role of scale</t>
  </si>
  <si>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</si>
  <si>
    <t>10.1111/ecog.01159</t>
  </si>
  <si>
    <t>WOS:000355684500007</t>
  </si>
  <si>
    <t>Extreme heat changes post-heat wave community reassembly</t>
  </si>
  <si>
    <t>Climate forecasts project further increases in extremely high-temperature events. These present threats to biodiversity, as they promote population declines and local species extinctions. This implies that ecological communities will need to rely more strongly on recovery processes, such as recolonization from a meta-community context. It is poorly understood how differences in extreme event intensity change the outcome of subsequent community reassembly and if such extremes modify the biotic environment in ways that would prevent the successful re-establishment of lost species. We studied replicated aquatic communities consisting of algae and herbivorous rotifers in a design that involved a control and two different heat wave intensity treatments (29 degrees C and 39 degrees C). Animal species that suffered heat-induced extinction were subsequently re-introduced at the same time and density, in each of the two treatments. The 39 degrees C treatment led to community closure in all replicates, meaning that a previously successful herbivore species could not re-establish itself in the postheat wave community. In contrast, such closure never occurred after a 29 degrees C event. Heat wave intensity determined the number of herbivore extinctions and strongly affected algal relative abundances. Re-introduced herbivore species were thus confronted with significantly different food environments. This ecological legacy generated by heat wave intensity led to differences in the failure or success of herbivore species re-introductions. Reassembly was significantly more variable, and hence less predictable, after an extreme heat wave, and was more canalized after a moderate one. Our results pertain to relatively simple communities, but they suggest that ecological legacies introduced by extremely high-temperature events may change subsequent ecological recovery and even prevent the successful re-establishment of lost species. Knowing the processes promoting and preventing ecological recovery is crucial to the success of species re-introduction programs and to our ability to restore ecosystems damaged by environmental extremes.</t>
  </si>
  <si>
    <t>10.1002/ece3.1490</t>
  </si>
  <si>
    <t>WOS:000355731300002</t>
  </si>
  <si>
    <t>The effects of fragmentation on Araucaria forest: analysis of the fern and lycophyte communities at sites subject to different edge conditions</t>
  </si>
  <si>
    <t>Edge effects impact species richness and composition as a result of environmental changes caused by fragmentation. This study analyzed edge effects on a community of terrestrial ferns and lycophytes in an Araucaria forest in Brazil at sites subjected to differing edge conditions: (1) a site bordering a road running through the interior of a conservation unit, and (2) a site bordering an agricultural property. Twelve 10 x 10 m plots were selected at the edge and in the interior of each site, and accounted for a total of 48 plots. The edges had lost their characteristic floristic identity, suggesting that many species are sensitive to variations in environmental conditions. The edge effect had a negative impact on species richness as shown by the greater average numbers of fern and lycophyte species in forest interiors at both sites. The results showed that the forest fragments in contact with agricultural areas were subjected to more intense edge effects than the fragments bordering a road within a conservation unit.</t>
  </si>
  <si>
    <t>10.1590/0102-33062014abb3760</t>
  </si>
  <si>
    <t>WOS:000356078800007</t>
  </si>
  <si>
    <t>Conversion of savannah habitats to small-scale agriculture affects grasshopper communities at Mt. Kilimanjaro, Tanzania</t>
  </si>
  <si>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</si>
  <si>
    <t>10.1007/s10841-015-9772-7</t>
  </si>
  <si>
    <t>WOS:000356161600008</t>
  </si>
  <si>
    <t>Dung beetle persistence in human-modified landscapes: Combining indicator species with anthropogenic land use and fragmentation-related effects</t>
  </si>
  <si>
    <t>Identifying and making use of ecological indicators becomes an essential task in the conservation of tropical systems, mainly in fragmented landscapes where land use intensification and habitat loss are confounding factors in the detection of species' responses to human-caused disturbance. We aimed to analyze the importance of anthropogenic land use and fragmentation-related effects on dung beetle (Coleoptera: Scarabaeinae) persistence according to the interior-exterior non-linear gradient (forest + matrix) in a fragmented Atlantic Forest landscape used to sugar cane production and cattle ranching/farming. We offer scores for a comprehensive set of community-level attributes, from beetle abundance to taxonomic and ecological composition (i.e. species body size), including a list of indicator species of different forest habitats and adjacent matrix. Dung beetles were surveyed by traps across forest interiors (i.e. core forest areas) and edges of a primary forest, small fragments, sugar cane fields and pastures in a total of 60 sites. Indicator analyses were conducted across the landscape, using two well-established methods (IndVal and SIMPER). Our results suggest that (1) cross-habitat taxonomic distinctness is associated with the presence of indicator species, (2) some species benefit or are dependent of open habitats created by human-disturbances, such as forest edges (e.g. Canthon nigripennis) and matrices (e.g. Canthon aff. piluliformis, Dichotomius nisus and Trichilum externepunctatum), (3) although landscape habitats exhibit reduced beta diversity, dung beetle assemblages are spatially organized in response to the presence of both forest habitats and matrix and fragment area, (4) forest interior supports beetle assemblages biased toward large-bodied species, (5) accordingly forest interior, forest edges and matrix support taxonomically distinct assemblages, both contributing to the bulk of species richness at landscape level, (6) the response of dung beetles to the interior-exterior non-linear gradient (i.e. forest edge+matrix) reveals a similar pattern regardless of the nature of the matrix, and (7) there is no within-habitat variation in beetle abundance and species richness associated with distance from forest edge. Given that there is a high number of forest-dependent or forest-interior specialist species (e.g. Aphengium aff. sordidum, Ateuchus aff. alipioi, Dichotomius mormon, Ontherus aff. erosus and Onthophagus aff. clypeatus) dung beetle persistence in human-modified landscape is highly dependent on the presence of core areas, although edge-affected and matrix habitats may be complementary. This information is essential to permit a better prospect for dung beetle persistence in human-modified landscapes as they continue to move toward edge-dominated landscapes with intensively managed matrices. (C) 2015 Elsevier Ltd. All rights reserved.</t>
  </si>
  <si>
    <t>10.1016/j.ecolind.2015.02.032</t>
  </si>
  <si>
    <t>WOS:000356184800008</t>
  </si>
  <si>
    <t>Effects of elevated CO2 and temperature on an intertidal meiobenthic community</t>
  </si>
  <si>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</si>
  <si>
    <t>10.1016/j.jembe.2015.04.001</t>
  </si>
  <si>
    <t>WOS:000356545200006</t>
  </si>
  <si>
    <t>Prokaryotic Diversity in the Rhizosphere of Organic, Intensive, and Transitional Coffee Farms in Brazil</t>
  </si>
  <si>
    <t>Despite a continuous rise in consumption of coffee over the past 60 years and recent studies showing positive benefits linked to human health, intensive coffee farming practices have been associated with environmental damage, risks to human health, and reductions in biodiversity. In contrast, organic farming has become an increasingly popular alternative, with both environmental and health benefits. This study aimed to characterize and determine the differences in the prokaryotic soil microbiology of three Brazilian coffee farms: one practicing intensive farming, one practicing organic farming, and one undergoing a transition from intensive to organic practices. Soil samples were collected from 20 coffee plant rhizospheres (soil directly influenced by the plant root exudates) and 10 control sites (soil 5 m away from the coffee plantation) at each of the three farms for a total of 90 samples. Profiling of 16S rRNA gene V4 regions revealed high levels of prokaryotic diversity in all three farms, with thousands of species level operational taxonomic units identified in each farm. Additionally, a statistically significant difference was found between each farm's coffee rhizosphere microbiome, as well as between coffee rhizosphere soils and control soils. Two groups of prokaryotes associated with the nitrogen cycle, the archaeal genus Candidatus Nitrososphaera and the bacterial order Rhizobiales were found to be abundant and statistically different in composition between the three farms and in inverse relationship to each other. Many of the nitrogen-fixing genera known to enhance plant growth were found in low numbers (e.g. Rhizobium, Agrobacter, Acetobacter, Rhodospirillum, Azospirillum), but the families in which they belong had some of the highest relative abundance in the dataset, suggesting many new groups may exist in these samples that can be further studied as potential plant growth-promoting bacteria to improve coffee production while diminishing negative environmental impacts.</t>
  </si>
  <si>
    <t>10.1371/journal.pone.0106355</t>
  </si>
  <si>
    <t>WOS:000356567400001</t>
  </si>
  <si>
    <t>LACK OF EARLY INBREEDING DEPRESSION AND DISTRIBUTION OF SELFING RATES IN THE NEOTROPICAL EMERGENT TREE CEIBA PENTANDRA: ASSESSMENT FROM SEVERAL REPRODUCTIVE EVENTS</t>
  </si>
  <si>
    <t>Premise of the study: Selfing and mixed mating systems are prevalent in many flowering plants. Purging of genetic load can occur in these species, reducing negative effects of selfing. Long-term studies of the temporal and spatial variation of selfing rates and inbreeding depression at the individual level are necessary to understand the forces that maintain selfing as a mating strategy in these species. Methodology: We used microsatellites to estimate selfing rates in seeds and seedlings over 6 years in a population of Ceiba pentandra in southwestern Costa Rica. We studied the correlation of selfing with early seedling vigor variables to test for inbreeding depression. Key results: Selfing rates varied widely among maternal trees. However, we found high consistency of selfing rates for individuals among years. Selfing rate did not influence early fitness traits, suggesting a lack of inbreeding depression at this stage. Maternal effects were a predominant source of variation for early vigor variables. Conclusions: Variability in selfing rates among trees may be partly explained by genetic variation in a late-acting self-incompatibility system or low, early-acting genetic load in some individuals. This population did not show evidence of early inbreeding depression in traits related to seed vigor probably from complete or partial purging as a result of repeated selfing of a fraction of the population or from strong maternal effects. Expression of genetic load at later developmental stages or in more stressful natural conditions may explain differences in inbreeding levels between seeds and adults.</t>
  </si>
  <si>
    <t>10.3732/ajb.1400520</t>
  </si>
  <si>
    <t>WOS:000356600800015</t>
  </si>
  <si>
    <t>Consequences of a demographic bottleneck on geneticstructure and variation in the Scandinavian brown bear</t>
  </si>
  <si>
    <t>The Scandinavian brown bear went through a major decline in population size approximately 100years ago, due to intense hunting. After being protected, the population subsequently recovered and today numbers in the thousands. The genetic diversity in the contemporary population has been investigated in considerable detail, and it has been shown that the population consists of several subpopulations that display relatively high levels of genetic variation. However, previous studies have been unable to resolve the degree to which the demographic bottleneck impacted the contemporary genetic structure and diversity. In this study, we used mitochondrial and microsatellite DNA markers from pre- and postbottleneck Scandinavian brown bear samples to investigate the effect of the bottleneck. Simulation and multivariate analysis suggested the same genetic structure for the historical and modern samples, which are clustered into three subpopulations in southern, central and northern Scandinavia. However, the southern subpopulation appears to have gone through a marked change in allele frequencies. When comparing the mitochondrial DNA diversity in the whole population, we found a major decline in haplotype numbers across the bottleneck. However, the loss of autosomal genetic diversity was less pronounced, although a significant decline in allelic richness was observed in the southern subpopulation. Approximate Bayesian computations provided clear support for a decline in effective population size during the bottleneck, in both the southern and northern subpopulations. These results have implications for the future management of the Scandinavian brown bear because they indicate a recent loss in genetic diversity and also that the current genetic structure may have been caused by historical ecological processes rather than recent anthropogenic persecution.</t>
  </si>
  <si>
    <t>10.1111/mec.13239</t>
  </si>
  <si>
    <t>WOS:000356973100018</t>
  </si>
  <si>
    <t>An analysis of weed floras in nurseries: Do polytunnels serve as ports of entry for alien plant species?</t>
  </si>
  <si>
    <t>The introduction of alien species into new regions has become a defining feature of global environmental change. It has been argued that greenhouses and polytunnels may serve as invasion foci for emerging plant invaders of agricultural ecosystems under future warmer climates. To test this hypothesis we selected 15 organically producing plant nurseries in lowland eastern Austria. There species coverage was recorded in 73 plots inside and in 60 plots outside polytunnels. In total, 109 species were identified (including plant seedlings which could only be determined to the genus level), consisting of 27 neophytes, 6 archaeophytes and 76 native plant species. Although average weed species numbers were significantly higher inside polytunnels compared to reference plots outdoor, nonmetric multidimensional scaling revealed no significant differences in species composition. Similarly, we found no differences in the weed community indices, i.e., the proportion of species preferring low or high temperatures, low or high precipitation, and low or high soil fertility, between plots located in polytunnels and outdoor. This holds true for total species number as well as for subsets of species of different residence time. The recorded neophytes are native to Asia, Europe, North and South America at almost equal proportions, most neophytes (22 species) are introduced intentionally, while unintentionally introduced species were more abundant on average. In polytunnels, neophyte species number was dependent on the crop category only, and archaeophyte species numbers were influenced by size of the polytunnels, whereas native and total species numbers were again influenced by the crop species. In outdoor plots, archaeophyte numbers were influenced by mean annual temperature. Overall, weed vegetation in polytunnels and outdoors differs only little in terms of species composition and abundance. We thus conclude that sheltered environments (as polytunnels), which mimic warmer climates, do not serve as entry points for emerging neophytes of agricultural ecosystems. (C) 2015 Elsevier GmbH. All rights reserved.</t>
  </si>
  <si>
    <t>10.1016/j.flora.2015.03.004</t>
  </si>
  <si>
    <t>WOS:000357232300002</t>
  </si>
  <si>
    <t>Comparative conservation genetics of protected endemic fishes in an arid-land riverscape</t>
  </si>
  <si>
    <t>Conservation genetic studies are challenged by the fact that populations of many imperiled species have experienced declines and fragmentation to the degree they no longer exhibit natural, self-sustaining metapopulation processes; characteristics of great importance to managers charged with their protection. Genetic patterns of species from minimally impacted systems can inform management practices for populations in more modified and fragmented systems. We assessed spatial and temporal patterns of intraspecific genetic diversity and differentiation using microsatellites for three imperiled fishes of the unfragmented upper Gila River, New Mexico, USA. Estimates of contemporary effective size were low for these species, but we observed little genetic evidence of inbreeding. Overall genetic structure was low (all species F-ST &lt; 0.025) suggesting moderate to high gene flow for all species, but each exhibited different patterns of spatial structuring. Gila nigra (a candidate for listing under the Endangered Species Act) appears most at risk of short-term loss of genetic variation and local extinction relative to Meda fulgida or Rhinichthys (Tiaroga) cobitis (both federally endangered) because G. nigra exhibited the lowest diversity, smallest effective size (N-e similar to 100) and temporally unstable population structure. Meda fulgida and R. cobitis exhibited temporally stable spatial structure related to riverscape features but connectivity among occupied habitats is threatened by a proposed diversion structure. Data from this comparatively pristine system can inform management of these species in fragmented portions of their ranges.</t>
  </si>
  <si>
    <t>10.1007/s10592-015-0707-3</t>
  </si>
  <si>
    <t>WOS:000357285500010</t>
  </si>
  <si>
    <t>Conspicuous genetic structure belies recent dispersal in an endangered beach mouse (Peromyscus polionotus trissyllepsis)</t>
  </si>
  <si>
    <t>Habitat fragmentation can exacerbate the impacts on population persistence in species with rapid life histories and specialized habitat requirements. We investigated genetic structuring across the range of the federally endangered (USA) Perdido Key beach mouse (PKBM), Peromyscus polionotus trissyllepsis, using 16 microsatellite loci. Between 2010 and 2012 we sampled the three core habitat areas that are separated by 3-5 km of developed area. One location GSP was re-established in 2010 with a release of 48 captive bred mice. The other two parks had a reticulate recent history, including extirpations, translocations and, a recent (2009) natural re-colonization. Our objectives were to document the level of genetic drift associated with the post-release phase at GSP over a 2-year period, and to test the hypothesis that PKBM dispersal connectivity is restricted between the three parks. The three populations were significantly genetically differentiated in 2010 and 2012 (pairwise F (ST) ranged from 0.135 to 0.276). However, Bayesian clustering, assignment tests and hybridization analyses revealed inter-park dispersal and reproduction in 2012 that was absent in 2010. The detection of dispersal was an important step in understanding the regulation of connectivity in this fragmented system. We propose that a combination of recent apparent population increases across the island combined with the concurrent re-establishment of beachfront vegetated sand berms encouraged inter-park dispersal detected in 2012. These results provide important information for the future conservation of beach mice inhabiting northern Gulf of Mexico and Atlantic barrier islands in light of continued development pressure.</t>
  </si>
  <si>
    <t>10.1007/s10592-015-0710-8</t>
  </si>
  <si>
    <t>WOS:000357285500013</t>
  </si>
  <si>
    <t>Alterations in the macrobenthic fauna from Guadarranque River (Southern Spain) associated with sediment-seawater acidification deriving from CO2 leakage</t>
  </si>
  <si>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</si>
  <si>
    <t>10.1016/j.marpolbul.2015.05.044</t>
  </si>
  <si>
    <t>WOS:000357348900021</t>
  </si>
  <si>
    <t>Bioenergy vs biodiversity: effects of intensive forest biomass removal on stream and riparian communities</t>
  </si>
  <si>
    <t>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t>
  </si>
  <si>
    <t>10.1093/forestry/cpv008</t>
  </si>
  <si>
    <t>WOS:000357521700009</t>
  </si>
  <si>
    <t>Centipede assemblages along an urbanization gradient in the city of Heraklion, Crete (Greece)</t>
  </si>
  <si>
    <t>Global urbanization is a major force that causes alteration and loss of natural habitats. Urban ecosystems are strongly affected by humans and there is a gradient of decreasing human influence from city centers to natural habitats. To study ecological changes along this continuum, researchers introduced the urban-rural gradient approach. The responses of centipedes to an urbanization gradient (urban-suburban-rural areas) were studied using pitfall traps in and near the city of Heraklion, in the island of Crete, Greece, from November 2010 to November 2011. Our results do not support the intermediate disturbance hypothesis, in which suburban areas located in the transitional zone between urban and rural habitats failed to indicate significant increase in terms of species richness and diversity.</t>
  </si>
  <si>
    <t>10.3897/zookeys.510.8414</t>
  </si>
  <si>
    <t>WOS:000357601500012</t>
  </si>
  <si>
    <t>Temporal fine-scale genetic variation in the zoonosis-carrying long-tailed pygmy rice rat in Patagonia, Argentina</t>
  </si>
  <si>
    <t>Factors modeling the population genetic structure are of major importance when species involved in the transmission of zoonoses are considered. The long-tailed pygmy rice rat or colilargo' Oligoryzomys longicaudatus is a highly vagile rodent species which acts as the reservoir of the Andes hantavirus in southern Argentina and Chile. To contribute to the knowledge of the processes determining the microgeographical genetic structure of populations of this species, we used 10 microsatellite loci to estimate the levels of polymorphism, individual relatedness and the population effective sizes through time and to explore if the effective size correlated with density. Individuals were sampled seasonally during a 25-month period in a population from the Argentinean Patagonia located in the endemic area of Hantavirus Pulmonary Syndrome. We detected three genetic clusters. An important temporal change in cluster prevalence was detected after a population bottleneck. Individuals of the same period presented higher mean relatedness values than between consecutive periods. Density and effective population size estimations were correlated. All analyses performed in this study are in line with the conclusion that high levels of gene flow encompassing different habitats would be a major process producing fine-scale temporal changes in the genetic composition of the studied population.</t>
  </si>
  <si>
    <t>10.1111/jzo.12238</t>
  </si>
  <si>
    <t>WOS:000357817000008</t>
  </si>
  <si>
    <t>The role of human disturbance in island biogeography of arthropods and plants: an information theoretic approach</t>
  </si>
  <si>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</si>
  <si>
    <t>10.1111/jbi.12520</t>
  </si>
  <si>
    <t>WOS:000357899700005</t>
  </si>
  <si>
    <t>Long-term change in the copepod community in the southern German Bight</t>
  </si>
  <si>
    <t>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t>
  </si>
  <si>
    <t>10.1016/j.seares.2014.12.004</t>
  </si>
  <si>
    <t>WOS:000357908600005</t>
  </si>
  <si>
    <t>How Does Landscape Modification Induce Biological Homogenization in Tropical Stream Metacommunities?</t>
  </si>
  <si>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</si>
  <si>
    <t>10.1111/btp.12224</t>
  </si>
  <si>
    <t>WOS:000357970700015</t>
  </si>
  <si>
    <t>Mating patterns and pollinator mobility are critical traits in forest fragmentation genetics</t>
  </si>
  <si>
    <t>Most woody plants are animal-pollinated, but the global problem of habitat fragmentation is changing the pollination dynamics. Consequently, the genetic diversity and fitness of the progeny of animal-pollinated woody plants sired in fragmented landscapes tend to decline due to shifts in plant-mating patterns (for example, reduced outcrossing rate, pollen diversity). However, the magnitude of this mating-pattern shift should theoretically be a function of pollinator mobility. We first test this hypothesis by exploring the mating patterns of three ecologically divergent eucalypts sampled across a habitat fragmentation gradient in southern Australia. We demonstrate increased selfing and decreased pollen diversity with increased fragmentation for two small-insect-pollinated eucalypts, but no such relationship for the mobile-bird-pollinated eucalypt. In a meta-analysis, we then show that fragmentation generally does increase selfing rates and decrease pollen diversity, and that more mobile pollinators tended to dampen these mating-pattern shifts. Together, our findings support the premise that variation in pollinator form contributes to the diversity of mating-pattern responses to habitat fragmentation.</t>
  </si>
  <si>
    <t>10.1038/hdy.2013.48</t>
  </si>
  <si>
    <t>WOS:000358007200003</t>
  </si>
  <si>
    <t>Changes in epiphyte diversity in declining forests: implications for conservation and restoration</t>
  </si>
  <si>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</si>
  <si>
    <t>10.1007/s11355-015-0273-3</t>
  </si>
  <si>
    <t>WOS:000358062500005</t>
  </si>
  <si>
    <t>Effects of salinity gradients on benthic invertebrate and diatom communities in a German lowland river</t>
  </si>
  <si>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</si>
  <si>
    <t>10.1016/j.ecolind.2015.04.038</t>
  </si>
  <si>
    <t>WOS:000358091800029</t>
  </si>
  <si>
    <t>Genetic effects of habitat restoration in the Laurentian Great Lakes: an assessment of lake sturgeon origin and genetic diversity</t>
  </si>
  <si>
    <t>Lake sturgeon (Acipenser fulvescens) have experienced significant habitat loss, resulting in reduced population sizes. Three artificial reefs were built in the Huron-Erie corridor in the Great Lakes to replace lost spawning habitat. Genetic data were collected to determine the source and numbers of adult lake sturgeon spawning on the reefs and to determine if the founder effect resulted in reduced genetic diversity. DNA was extracted from larval tail clips and 12 microsatellite loci were amplified. Larval genotypes were then compared to 22 previously studied spawning lake sturgeon populations in the Great Lakes to determine the source of the parental population. The effective number of breeders (N-b) was calculated for each reef cohort. The larval genotypes were then compared to the source population to determine if there were any losses in genetic diversity that are indicative of the founder effect. The St. Clair and Detroit River adult populations were found to be the source parental population for the larvae collected on all three artificial reefs. There were large numbers of contributing adults relative to the number of sampled larvae. There was no significant difference between levels of genetic diversity in the source population and larval samples from the artificial reefs; however, there is some evidence for a genetic bottleneck in the reef populations likely due to the founder effect. Habitat restoration in the Huron-Erie corridor is likely resulting in increased habitat for the large lake sturgeon population in the system and in maintenance of the population's genetic diversity.</t>
  </si>
  <si>
    <t>10.1111/rec.12200</t>
  </si>
  <si>
    <t>WOS:000358127300017</t>
  </si>
  <si>
    <t>Re-forestation restores native dominance in an island beetle fauna</t>
  </si>
  <si>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</si>
  <si>
    <t>10.1111/rec.12176</t>
  </si>
  <si>
    <t>WOS:000358129000009</t>
  </si>
  <si>
    <t>Habitat Heterogeneity Affects Plant and Arthropod Species Diversity and Turnover in Traditional Cornfields</t>
  </si>
  <si>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</si>
  <si>
    <t>10.1371/journal.pone.0128950</t>
  </si>
  <si>
    <t>WOS:000358547600004</t>
  </si>
  <si>
    <t>Community-level effects of rapid experimental warming and consumer loss outweigh effects of rapid ocean acidification</t>
  </si>
  <si>
    <t>Climate change and consumer loss simultaneously affect marine ecosystems, but we have limited understanding of the relative importance of these factors and the interactions between them. Moreover, effects of environmental change are mediated by organism traits or life histories, which determine their sensitivity. Yet, trait-based analyses have rarely been used to understand the effects of climate change, especially in the marine environment. Here we used a five-week mesocosm experiment to assess the single and interactive effects of 1) rapid ocean warming, 2) rapid ocean acidification, and 3) simulated consumer loss, on the diversity and composition of macrofauna communities in eelgrass Zostera marina beds. Experimental warming (ambient versus + 3.2 degrees C) and loss of a key consumer (the omnivorous crustacean, Gammarus locusta) both increased macrofauna richness and abundance, and altered overall species trait distributions and life history composition. Warming and consumer-loss favored poorly defended epifaunal crustaceans (tube-building amphipods), and species that brood their off spring. We suggest these organisms were favored because warming and consumer-loss caused increased metabolism, food supply and, potentially, settling substrate, and lowered predation pressure from the omnivorous G. locusta. Importantly, we found no single, or interactive, effects of the rapid ocean acidification (ambient versus -0.35 pH units). We suggest this result reflects natural variability in the native habitat and, potentially, the short duration of the experiment: organisms in these communities routinely experience rapid diurnal pH fluctuations that exceed the mean ocean acidification predicted for the coming century (and used in our experiments). In summary, our study indicates that macrofauna in shallow vegetated ecosystems will be significantly more affected by rapid warming and consumer diversity loss than by rapid ocean acidification.</t>
  </si>
  <si>
    <t>10.1111/oik.01544</t>
  </si>
  <si>
    <t>WOS:000359058600008</t>
  </si>
  <si>
    <t>Green Plants in the Red: A Baseline Global Assessment for the IUCN Sampled Red List Index for Plants</t>
  </si>
  <si>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</si>
  <si>
    <t>10.1371/journal.pone.0135152</t>
  </si>
  <si>
    <t>WOS:000359121100125</t>
  </si>
  <si>
    <t>Decadal-scale effects of benthic habitat and marine reserve protection on Philippine goatfish (F: Mullidae)</t>
  </si>
  <si>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</si>
  <si>
    <t>10.1007/s00338-015-1296-9</t>
  </si>
  <si>
    <t>WOS:000359161500008</t>
  </si>
  <si>
    <t>Impact of reservoirs on zooplankton diversity and implications for the conservation of natural aquatic environments</t>
  </si>
  <si>
    <t>Reservoirs are intermediate ecosystems between rivers and lakes. These ecosystems break up the landscape by forming artificial lakes connected by rivers and change important ecological processes of lotic ecosystems (e.g. organic matter production and nutrient cycling) and thus have direct effects on aquatic biodiversity. We test the hypothesis that damming water courses exerts a negative effect on the zooplankton community by decreasing the alpha diversity. Samplings were conducted in 30 reservoirs and 29 natural lakes in the Neotropics, during two hydrological periods (dry and rainy) in 2001. The study analysed differences in alpha diversity, the number of rare, accessory and constant species, and species composition between the types of lakes. Alpha diversity was significantly higher in natural lakes and species composition differed between natural lakes and reservoirs. Zooplankton alpha diversity was positively related to total phosphorus (best model), indicating that productive environments (natural lakes) gather more species. Our results suggest that reservoirs have negative effect on community structure, whereas natural lakes have an important ecological function for biodiversity conservation because they are refuges for biodiversity.</t>
  </si>
  <si>
    <t>10.1007/s10750-015-2260-y</t>
  </si>
  <si>
    <t>WOS:000359400700002</t>
  </si>
  <si>
    <t>Genetic variation of Central European oaks: shaped by evolutionary factors and human intervention?</t>
  </si>
  <si>
    <t>Oak species (Quercus spp.) in Central Europe grow on a relatively wide range of sites. Due to the economic importance of oak for its wood and other products, oak forests have long been managed by humans. This raises the question whether adaptation and/or human activities-especially the moving of propagules-have left their footprints on the genetic variation of oak populations. To address this question, we focused on the Upper Rhine Valley, a densely populated area today that was settled by humans early on. Here, the three most common native Central European oak species can be found. We studied their genetic variation across a large number of oak stands, growing on different sites and having different silvicultural histories, using neutral and EST-derived microsatellite markers. At the interspecific level, we showed that Quercus robur is relatively well delimited, while Quercus petraea and Quercus pubescens are more closely related. Natural hybridization might explain the increased genetic introgression between these two species. Within species, we found a low differentiation among populations of Q. robur and Q. petraea. In spite of forest fragmentation, we detected no spatial genetic barriers. However, we found that populations of Q. pubescens, a species with a marginal distribution in the study area were spatially structured. Genetic drift but also unidirectional introgressive hybridization with Q. petraea may account for this. Regarding the question of adaptation, we considered soil flooding, texture, drainage, and calcium carbonate in the upper horizons as physiologically important site condition variables. But with multivariate statistics, we could not find any significant effects of these parameters on genetic differentiation. Although there was no evidence for natural selection due to adaptation in stands of Q. robur, we demonstrated that age had a significant effect on their genetic variation and that stands established after the end of the Second World War had higher genetic diversity. We interpret these findings as being the result of an increase in large-scale transfers of reproductive materials during this time period and discuss arguments supporting this hypothesis. Finally, we consider the implications of these results for forest management.</t>
  </si>
  <si>
    <t>10.1007/s11295-015-0905-7</t>
  </si>
  <si>
    <t>WOS:000359417100016</t>
  </si>
  <si>
    <t>Invader-invader mutualism influences land snail community composition and alters invasion success of alien species in tropical rainforest</t>
  </si>
  <si>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</si>
  <si>
    <t>10.1007/s10530-015-0903-6</t>
  </si>
  <si>
    <t>WOS:000359427400013</t>
  </si>
  <si>
    <t>Single-sample estimation of effective population size in several populations of the endangered Hine's emerald dragonfly</t>
  </si>
  <si>
    <t>Hine's emerald dragonfly (Somatochlora hineana) is the only odonate on the US Endangered Species list. It prefers discrete fen-and-wet-meadow habitat from Ontario, Canada, to Missouri, USA. This habitat has been destroyed across much of S. hineana's range. Its conservation genetics were assessed by microsatellite analysis in a previous study. We applied 2 common single-sample estimators to the same data set to estimate effective population size (N-e), or effective number of breeders, in 5 populations (separated into adult and naiad stage classes) across the species' range in 2008 and 2010-2011. Populations of the species in the Upper Peninsula of Michigan, the Door Peninsula of Wisconsin, and along the Des Plaines River Valley in Illinois are made up of individuals collected from multiple sites, but the other 2 populations, at Cedarburg Bog, Wisconsin, and along the Lower Wisconsin River, consist of samples from single habitats disjunct from other known sites. N-e for S. hineana were similar to those for other endangered insects and ranged from 22 adults in the Des Plaines River Valley population in 2010 to 200 adults in the Door Peninsula population in 2010 based on approximate Bayesian estimation in ONeSAMP and from 8 naiads in the Door Peninsula population to 419 adults in the Des Plaines River Valley population based on the linkage disequilibrium method in NeEstimator. These N-e values confirm the endangered status of this species and indicate that efforts to maintain current habitats and connectivity to suitable habitat are essential to maintaining genetic diversity.</t>
  </si>
  <si>
    <t>10.1086/682073</t>
  </si>
  <si>
    <t>WOS:000359667700022</t>
  </si>
  <si>
    <t>An Analysis of Factors Affecting Genotyping Success from Museum Specimens Reveals an Increase of Genetic and Morphological Variation during a Historical Range Expansion of a European Spider</t>
  </si>
  <si>
    <t>Natural history collections house an enormous amount of plant and animal specimens, which constitute a promising source for molecular analyses. Storage conditions differ among taxa and can have a dramatic effect on the success of DNA work. Here, we analyze the feasibility of DNA extraction from ethanol preserved spiders (Araneae). We tested genotyping success using several hundred specimens of the wasp spider, Argiope bruennichi, deposited in two large German natural history collections. We tested the influence of different factors on the utility of specimens for genotyping. Our results show that not the specimen's age, but the museum collection is a major predictor of genotyping success. These results indicate that long term storage conditions should be optimized in natural history museums to assure the utility of collections for DNA work. Using historical material, we also traced historical genetic and morphological variation in the course of a poleward range expansion of A. bruennichi by comparing contemporary and historical specimens from a native and an invasive population in Germany. We show that the invasion of A. bruennichi is tightly correlated with an historical increase of genetic and phenotypic variation in the invasive population.</t>
  </si>
  <si>
    <t>10.1371/journal.pone.0136337</t>
  </si>
  <si>
    <t>WOS:000360069400109</t>
  </si>
  <si>
    <t>Ten years of life in compost: temporal and spatial variation of North German Caenorhabditis elegans populations</t>
  </si>
  <si>
    <t>The nematode Caenorhabditis elegans is a central laboratory model system in almost all biological disciplines, yet its natural life history and population biology are largely unexplored. Such information is essential for in-depth understanding of the nematode's biology because its natural ecology provides the context, in which its traits and the underlying molecular mechanisms evolved. We characterized natural phenotypic and genetic variation among North German C.elegans isolates. We used the unique opportunity to compare samples collected 10years apart from the same compost heap and additionally included recent samples for this and a second site, collected across a 1.5-year period. Our analysis revealed significant population genetic differentiation between locations, across the 10-year time period, but for only one location a trend across the shorter time frame. Significant variation was similarly found for phenotypic traits of likely importance in nature, such as choice behavior and population growth in the presence of pathogens or naturally associated bacteria. Phenotypic variation was significantly influenced by C.elegans genotype, time of isolation, and sampling site. The here studied C.elegans isolates may provide a valuable, genetically variable resource for future dissection of naturally relevant gene functions.</t>
  </si>
  <si>
    <t>10.1002/ece3.1605</t>
  </si>
  <si>
    <t>WOS:000360177400003</t>
  </si>
  <si>
    <t>Response of a salt marsh microbial community to antibiotic contamination</t>
  </si>
  <si>
    <t>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t>
  </si>
  <si>
    <t>10.1016/j.scitotenv.2015.06.029</t>
  </si>
  <si>
    <t>WOS:000360286500029</t>
  </si>
  <si>
    <t>EXPERIMENTAL RELEASE OF JUVENILE SEA URCHINS (PARACENTROTUS LIVIDUS) IN EXPLOITED SITES ALONG THE FRENCH MEDITERRANEAN COAST</t>
  </si>
  <si>
    <t>During the past 40 y, natural stocks of the edible sea urchin Paracentrotus lividus have declined sharply in many sites along the French Mediterranean coast. Despite current management measures, this resource remains at low densities, raising concerns among commercial fishermen and managers. The reseeding of depleted sea urchin populations is currently under consideration. In this study, a pilot-scale experiment was conducted to assess the feasibility of such an operation and to evaluate the impact on both the population structure and genetic diversity of wild communities. The genetic diversity and population differentiation of wild populations was assessed before reseeding five depleted populations with 250,000 hatchery-produced juveniles. A year after release, parentage assignment tests were performed on small recaptured sea urchins to address their origin. Sea urchins from the hatchery were found at two of five sites, representing 3% and 12% of the total recaptured urchins in the concerned sites. The genetic analysis performed with six microsatellite loci revealed genetically homogeneous populations in the area studied. Within and among populations, genetic diversity seems not to be affected by introducing juveniles from the hatchery into wild populations. Therefore, following strict recommendations, reseeding could be considered a potential and efficient management tool to restock or sustain overexploited populations in areas where natural recruitment appears insufficient.</t>
  </si>
  <si>
    <t>10.2983/035.034.0240</t>
  </si>
  <si>
    <t>WOS:000360410500040</t>
  </si>
  <si>
    <t>The Impact of Trampling on Reef Macrobenthos in Northeastern Brazil: How Effective are Current Conservation Strategies?</t>
  </si>
  <si>
    <t>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t>
  </si>
  <si>
    <t>10.1007/s00267-015-0552-7</t>
  </si>
  <si>
    <t>WOS:000360703100006</t>
  </si>
  <si>
    <t>Ecological effects of Irgarol 1051 and Diuron on a coastal meiobenthic community: A laboratory microcosm experiment</t>
  </si>
  <si>
    <t>After the Tributyltin world ban, Irgarol 1051 and Diuron have been the most commonly used biocides in antifouling paints. When adsorbed to suspended particulate matter or introduced as paint particles, these compounds accumulate in marine sediments and potentially cause ecological damage to benthic organisms. Therefore, a microcosm experiment was designed to evaluate the effects of Irgarol 1051 and Diuron, individually, on a meiofaunal community with emphasis on the dominant nematode assemblages. The experiment tested two factors: Treatment (two types of controls and three environmentally relevant concentrations of each contaminant) and Exposure time (5, 15 and 30 days). Significant declines in meiofauna density, nematode species richness and diversity, and changes in multivariate community structure were observed for both biocides at all exposure levels when compared to controls. Decreases occurred early on, within five days of exposure, which suggests that mortality, and not sub-lethal effects, has befallen upon the organisms. Sediment chlorophyll a and pheopigment concentrations, and redox potential were monitored to verify any indirect effects to the fauna through changes in the environment and results gave no indications of such mediated effects pointing to a direct toxic effect of both Irgarol and Diuron on the meiofauna. Although contaminated treatments showed a significant decline in the relative abundances of a particular functional group represented by the larger, longer-lived species, we did not observe the typical expected switch to smaller, more opportunistic taxa. Indeed, differences between controls and contaminated treatments were mainly due to an overall reduction in densities of the most abundant species in contaminated treatments. The high mortality (ca. 50% decline in total abundances), changes in community structure and species loss observed at biocide levels frequently encountered in the field suggest Irgarol and Diuron as a threat to benthic communities. Such severe effects contrast to other studies that have detected lower impacts, suggesting the free-living nematodes as potential indicators of marine pollution and the microcosm approach using natural communities as an impending tool for ecotoxicological studies. (C) 2015 Elsevier Ltd. All rights reserved.</t>
  </si>
  <si>
    <t>10.1016/j.ecolind.2015.05.030</t>
  </si>
  <si>
    <t>WOS:000360776100003</t>
  </si>
  <si>
    <t>Community structure and nutrient level control the tolerance of autotrophic biofilm to silver contamination</t>
  </si>
  <si>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</si>
  <si>
    <t>10.1007/s11356-014-3860-1</t>
  </si>
  <si>
    <t>WOS:000360844200014</t>
  </si>
  <si>
    <t>Land management impacts on tree hole invertebrate communities in a Neotropical rainforest</t>
  </si>
  <si>
    <t>The Los Tuxtlas Biosphere Reserve in Southeastern Veracruz, Mexico represents the northernmost Neotropical lowland rainforest and has lost 84 % of its forests in the last forty years. Rich terrestrial and aquatic species communities are found throughout Neotropical forests, habitats increasingly threatened by land management practices. Plant-held waters, phytotelmata, are ecologically important discrete microhabitats harboring many specialist invertebrates and are abundant in tropical forests. In this study, using artificial tree holes, we examined invertebrate tree hole communities in a mature forest of Los Tuxtlas and in a managed habitat adjacent to the Los Tuxtlas Biological Station. Based on the proximity of human and livestock communities to managed habitats and the dispersal limitations of some phytotelmata specialists, we expected to find community composition differences between the two habitats. We found distinct differences in chironomid colonization; Tanypodinae, a predaceous subfamily, was present in the managed habitat and its omnivorous counterpart, Chironominae, was present in the forest. We found differences in mosquito colonization with more predaceous Toxorhychites in the managed habitat. Haemagogus mosquitoes were only present in the managed habitat. These results indicate different colonization ability across phytotelmata specialists and warn of larger community shifts and potential public health hazards with continued and intensified forest fragmentation and degradation.</t>
  </si>
  <si>
    <t>10.1007/s10841-015-9791-4</t>
  </si>
  <si>
    <t>WOS:000360850000008</t>
  </si>
  <si>
    <t>Fauna crime: elucidating the potential source and introduction history of European smelt (Osmerus eperlanus L.) into Lake Storsjoen, Norway</t>
  </si>
  <si>
    <t>The ability to accurately determine the original source of invading species offers several powerful applications in invasive species ecology and management and may enable important information on the invading species in its native habitat. Lake Storsjoen in South-Central Norway was recently found to have been subjected to an illegal translocation of the European smelt (Osmerus eperlanus). The main aim of this study was to infer the most likely source (s) of the invading smelt by using microsatellite markers, and subsequently to infer its introduction history. The results indicated that the smelt is most likely a result of introduction from the large Lake Mjosa, and that the translocated smelt comprise a large number of individuals. The smelt in Lake Storsjoen showed no significant genetic bottleneck effect. However, a corresponding significant test for a recent population expansion indicates that the smelt has had a high reproductive success and population growth in its new environment. The results from this study illustrate the usefulness of applying multilocus genetic markers for inferring origin of translocated populations, demographic events and introduction histories comprising an effective tool for assessment of invasive species.</t>
  </si>
  <si>
    <t>10.1007/s10592-015-0724-2</t>
  </si>
  <si>
    <t>WOS:000360940400006</t>
  </si>
  <si>
    <t>Drivers of temporal changes in temperate forest plant diversity vary across spatial scales</t>
  </si>
  <si>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</si>
  <si>
    <t>10.1111/gcb.12993</t>
  </si>
  <si>
    <t>WOS:000360994500014</t>
  </si>
  <si>
    <t>Upstream and downstream responses of fish assemblages to an eastern Amazonian hydroelectric dam</t>
  </si>
  <si>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</si>
  <si>
    <t>10.1111/fwb.12628</t>
  </si>
  <si>
    <t>WOS:000361037900005</t>
  </si>
  <si>
    <t>Native recolonization following control of invasive Ruellia simplex in a cypress floodplain forest</t>
  </si>
  <si>
    <t>QuestionWhat factors constrain establishment of native plant species after removal of a dominant invasive plant species? Specifically, we tested whether missing soil seed banks, elevated soil nutrients and invasion by other non-native species explained the lack of recovery of native species. LocationBald-cypress-dominated (Taxodium distichum) floodplain forest. Paynes Prairie Preserve State Park, Alachua County, FL, US. MethodsWe assayed the plant composition of the soil seed bank to a depth of 5cm and analysed soil nutrient levels in a floodplain forest invaded by Ruellia simplex. We measured percentage cover of vegetation 1yr after herbicide application to control R.simplex. ResultsMany native species (largely perennials) and very few R.simplex emerged from the seed bank assay. Herbicide application reduced cover of R.simplex, but 1yr post-herbicide vegetation cover lacked native perennials, and instead was largely comprised of novel invaders and early successional (annual) natives. Across locations, levels of some soil nutrients (P, Mg) and pH were higher in R.simplex-invaded plots than in uninvaded plots. Similarly, R.simplex-invaded plots were significantly correlated with soil K and Ca levels at some locations but not others. ConclusionIt seems most probable that watershed-level factors, including soil nutrients and pH, as well as changes in hydrology are interacting with site-level factors, such as remnant invasive non- Ruellia simplex plant propagules and vegetative propagules of R.simplex to constrain long-term native plant community establishment. Propagule limitation from the soil seed bank is not likely a barrier to native plant recolonization in floodplain forests after removal of invasive R.simplex, as diversity and density of native species emerged from the soil seed bank was high and density of R.simplex in the soil seed bank was extremely low. It does seem likely that soil properties are influencing the plant community. A critical next step will be identification of native species tolerant of altered soil and water conditions if restoration efforts are to succeed. However, further research on all spatial levels is needed to effectively restore degraded floodplain forests, especially at the broader watershed level.</t>
  </si>
  <si>
    <t>10.1111/avsc.12187</t>
  </si>
  <si>
    <t>WOS:000361181500015</t>
  </si>
  <si>
    <t>Nutrient uptake and macroinvertebrate community structure in a highly regulated Mediterranean stream receiving treated wastewater</t>
  </si>
  <si>
    <t>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t>
  </si>
  <si>
    <t>10.1007/s00027-015-0407-6</t>
  </si>
  <si>
    <t>WOS:000361396800008</t>
  </si>
  <si>
    <t>Subsidence from an Underground Coal Mine and Mine Wastewater Discharge Causing Water Pollution and Degradation of Aquatic Ecosystems</t>
  </si>
  <si>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</si>
  <si>
    <t>10.1007/s11270-015-2598-9</t>
  </si>
  <si>
    <t>WOS:000361764400027</t>
  </si>
  <si>
    <t>Terrestrial net primary productivity in India during 1901-2010: contributions from multiple environmental changes</t>
  </si>
  <si>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</si>
  <si>
    <t>10.1007/s10584-015-1448-5</t>
  </si>
  <si>
    <t>WOS:000361799100009</t>
  </si>
  <si>
    <t>Spatial and temporal variation at major histocompatibility complex class IIB genes in the endangered Blakiston's fish owl</t>
  </si>
  <si>
    <t>Introduction: Quantifying intraspecific genetic variation in functionally important genes, such as those of the major histocompatibility complex (MHC), is important in the establishment of conservation plans for endangered species. The MHC genes play a crucial role in the vertebrate immune system and generally show high levels of diversity, which is likely due to pathogen-driven balancing selection. The endangered Blakiston's fish owl (Bubo blakistoni) has suffered marked population declines on Hokkaido Island, Japan, during the past several decades due to human-induced habitat loss and fragmentation. We investigated the spatial and temporal patterns of genetic diversity in MHC class II beta genes in Blakiston's fish owl, using massively parallel pyrosequencing. Results: We found that the Blakiston's fish owl genome contains at least eight MHC class II beta loci, indicating recent gene duplications. An analysis of sequence polymorphism provided evidence that balancing selection acted in the past. The level of MHC variation, however, was low in the current fish owl populations in Hokkaido: only 19 alleles were identified from 174 individuals. We detected considerable spatial differences in MHC diversity among the geographically isolated populations. We also detected a decline of MHC diversity in some local populations during the past decades. Conclusions: Our study demonstrated that the current spatial patterns of MHC variation in Blakiston's fish owl populations have been shaped by loss of variation due to the decline and fragmentation of populations, and that the short-term effects of genetic drift have counteracted the long-term effects of balancing selection.</t>
  </si>
  <si>
    <t>10.1186/s40851-015-0013-4</t>
  </si>
  <si>
    <t>WOS:000362102000001</t>
  </si>
  <si>
    <t>Time-scales of hydrological forcing on the geochemistry and bacterial community structure of temperate peat soils</t>
  </si>
  <si>
    <t>Peatlands are an important global carbon reservoir. The continued accumulation of carbon in peatlands depends on the persistence of anoxic conditions, in part induced by water saturation, which prevents oxidation of organic matter, and slows down decomposition. Here we investigate how and over what time scales the hydrological regime impacts the geochemistry and the bacterial community structure of temperate peat soils. Peat cores from two sites having contrasting groundwater budgets were subjected to four controlled drought-rewetting cycles. Pore water geochemistry and metagenomic profiling of bacterial communities showed that frequent water table drawdown induced lower concentrations of dissolved carbon, higher concentrations of sulfate and iron and reduced bacterial richness and diversity in the peat soil and water. Short-term drought cycles (3-9 day frequency) resulted in different communities from continuously saturated environments. Furthermore, the site that has more frequently experienced water table drawdown during the last two decades presented the most striking shifts in bacterial community structure, altering biogeochemical functioning of peat soils. Our results suggest that the increase in frequency and duration of drought conditions under changing climatic conditions or water resource use can induce profound changes in bacterial communities, with potentially severe consequences for carbon storage in temperate peatlands.</t>
  </si>
  <si>
    <t>10.1038/srep14612</t>
  </si>
  <si>
    <t>WOS:000362254700001</t>
  </si>
  <si>
    <t>Phylogeography and population genetics of black alder (Alnus glutinosa (L.) Gaertn.) in Ireland: putting it in a European context</t>
  </si>
  <si>
    <t>Black alder (Alnus glutinosa (L.) Gaertn.) is a widespread tree of European forests with a high potential for wood and biomass production. This study investigated the genetic origin and diversity in remnants of putative native alder forest stands in Ireland and compared it with other European populations to determine phylogeographic patterns. The efficiency of capture of the genetic diversity in a breeding population was also assessed. Data were obtained from chloroplast DNA (cpDNA) polymorphisms and from nuclear microsatellites. In silico PCR-RFLP was used to locate cpDNA sequence polymorphisms in order to develop flanking primers for high-resolution melting (HRM) analysis. The cpDNA polymorphism analysis detected two main haplotypes in Ireland. The same two are also found in Wales and England while only one is found in Scotland. The results suggest that Irish populations of alder have originated from at least two European glacial refugia. Black alder in Ireland exhibited no or very weak population differentiation using nuclear microsatellite markers, which is consistent for a wind-dispersed, outcrossing species. Based on the nuclear microsatellite data, a decline in population sizes is estimated to have occurred around a timeframe that coincides with a period of large-scale deforestation. The breeding population contained two haplotypes and showed a high level of genetic capture (86 % of microsatellite alleles) when compared with all samples combined. This study fills a gap in previous knowledge, provides an additional marker and an additional method for future studies. The characterisation of a breeding population provides valuable baseline data for a national alder tree improvement programme.</t>
  </si>
  <si>
    <t>10.1007/s11295-015-0924-4</t>
  </si>
  <si>
    <t>WOS:000362431600013</t>
  </si>
  <si>
    <t>Genetic diversity, historic population size, and population structure in 2 North American tree bats</t>
  </si>
  <si>
    <t>Migratory tree bats comprise the majority of casualties at wind energy facilities across North America and some species, like Lasiurus borealis, are suspected to be in decline. We took advantage of the large numbers of L. borealis and L. cinereus salvaged during fall migration at 1 wind farm in Texas and 3 wind farms in Minnesota to evaluate the ability of current genetic methods to estimate population size and detect genetic bottlenecks in these species. Using DNA extracted from wing membrane tissue samples, we genotyped 439 L. borealis and 246 L. cinereus at 6 microsatellite loci and a 550 bp segment of the mitochondrial COI gene. Both microsatellite loci and mitochondrial haplotypes showed high levels of genetic diversity in each species. Historical estimates of N-e were large for both species. Estimates of N-ef from the COI gene were almost 2 times higher for L. borealis than L. cinereus, whereas estimates utilizing microsatellite heterozygosity were higher for L. cinereus. We found a strong signal of rapid historical population growth and range expansion in L. borealis, but not in L. cinereus. The majority of our estimates of current N-e had upper 95% confidence intervals that encompassed infinity. There is some indication from contemporary estimates of N-e that L. borealis may have a lower current N-e than historical estimates and that L. cinereus may currently have a very large N-e. We found no genetic evidence of recent population declines and no evidence of population structure in either species. Genetic monitoring of migratory tree bats, specifically for the purpose of detecting population declines caused by wind turbine mortality, may be impractical due to the large effective population sizes and high levels of gene flow in these species. Future efforts should focus on developing genomic resources for these species, obtaining better estimates of mutation rates, and conducting range-wide population genetic studies in order to better estimate historical and current population sizes. (C) 2015 American Society of Mammalogists, www.mammalogy.org</t>
  </si>
  <si>
    <t>10.1093/jmammal/gyv101</t>
  </si>
  <si>
    <t>WOS:000362497700009</t>
  </si>
  <si>
    <t>Testing the effects of ant invasions on non-ant arthropods with high-resolution taxonomic data</t>
  </si>
  <si>
    <t>Invasions give rise to a wide range of ecological effects. Many invasions proceed without noticeable impacts on the resident biota, whereas others shift species composition and even alter ecosystem function. Ant invasions generate a broad spectrum of ecological effects, but controversy surrounds the extent of these impacts, especially with regard to how other arthropods are affected. This uncertainty in part results from the widespread use of low-resolution taxonomic data, which can mask the presence of other introduced species and make it difficult to isolate the effects of ant invasions on native species. Here, we use high-resolution taxonomic data to examine the effects of Argentine ant invasions on arthropods on Santa Cruz Island, California. We sampled arthropods in eight pairs of invaded and uninvaded plots and then collaborated with taxonomic experts to identify taxa in four focal groups: spiders, bark lice, beetles, and ants. Spiders, bark lice, and beetles made up; 40% of the 9868 non-ant arthropod individuals sampled; the majority of focal group arthropods were putatively native taxa. Although our results indicate strong negative effects of the Argentine ant on native ants, as is well documented, invaded and uninvaded plots did not differ with respect to the richness, abundance, or species composition of spiders, bark lice, and beetles. One common, introduced species of bark louse was more common in uninvaded plots than in invaded plots, and including this species into our analyses changed the relationship between bark louse richness vs. L. humile abundance from no relationship to a significant negative relationship. This case illustrates how failure to differentiate native and introduced taxa can lead to erroneous conclusions about the effects of ant invasions. Our results caution against unqualified assertions about the effects of ant invasions on non-ant arthropods, and more generally demonstrate that accurate assessments of invasion impacts depend on adequate information about species identity.</t>
  </si>
  <si>
    <t>10.1890/14-0952.1</t>
  </si>
  <si>
    <t>WOS:000362532600008</t>
  </si>
  <si>
    <t>Short-term genetic consequences of habitat loss and fragmentation for the neotropical palm Oenocarpus bataua</t>
  </si>
  <si>
    <t>Habitat loss and fragmentation may impact animal-mediated dispersal of seed and pollen, and a key question is how the genetic attributes of plant populations respond to these changes. Theory predicts that genetic diversity may be less sensitive to such disruptions in the short term, whereas inbreeding and genetic structure may respond more strongly. However, results from studies to date vary in relation to species, context and the parameter being assessed, triggering calls for more empirical studies, especially from the tropics, where plant-animal dispersal mutualisms are both disproportionately common and at risk. We compared the genetic characteristics of adults and recruits in a long-lived palm Oenocarpus bataua in a recently fragmented landscape (&lt;2 generations) in northwest Ecuador using a suite of 10 polymorphic microsatellite markers. We sampled individuals from six forest fragments and one nearby continuous forest. Our goal was to assess short-term consequences of fragmentation, with a focus on how well empirical data from this system follow theoretical expectations. Mostly congruent with predictions, we found stronger genetic differentiation and fine-scale spatial genetic structure among recruits in fragments compared with recruits in continuous forest, but we did not record differences in genetic diversity or inbreeding, nor did we record any differences between adults in fragments and adults in continuous forest. Our findings suggest that genetic characteristics of populations vary in their sensitivity to change in response to habitat loss and fragmentation, and that fine-scale spatial genetic structure may be a particularly useful indicator of genetic change in recently fragmented landscapes.</t>
  </si>
  <si>
    <t>10.1038/hdy.2015.35</t>
  </si>
  <si>
    <t>WOS:000362824300001</t>
  </si>
  <si>
    <t>Pleistocene climatic oscillations rather than recent human disturbance influence genetic diversity in one of the world's highest treeline species</t>
  </si>
  <si>
    <t>PREMISE OF THE STUDY: Biological responses to climatic change usually leave imprints on the genetic diversity and structure of plants. Information on the current genetic diversity and structure of dominant tree species has facilitated our general understanding of phylogeographical patterns. METHODS: Using amplified fragment length polymorphism (AFLPs), we compared genetic diversity and structure of 384 adults of P. tarapacana with those of 384 seedlings across 32 forest sites spanning a latitudinal gradient of 600 km occurring between 4100 m and 5000 m a.s.l. in Polylepis tarapacana (Rosaceae), one of the world's highest treeline species endemic to the central Andes. KEY RESULTS: Moderate to high levels of genetic diversity and low genetic differentiation were detected in both adults and seedlings, with levels of genetic diversity and differentiation being almost identical. Four slightly genetically divergent clusters were identified that accorded to differing geographical regions. Genetic diversity decreased from south to north and with increasing precipitation for adults and seedlings, but there was no relationship to elevation. CONCLUSIONS: Our study shows that, unlike the case for other Andean treeline species, recent human activities have not affected the genetic structure of P. tarapacana, possibly because its inhospitable habitat is unsuitable for agriculture. The current genetic pattern of P. tarapacana points to a historically more widespread distribution at lower altitudes, which allowed considerable gene flow possibly during the glacial periods of the Pleistocene epoch, and also suggests that the northern Argentinean Andes may have served as a refugium for historical populations.</t>
  </si>
  <si>
    <t>10.3732/ajb.1500131</t>
  </si>
  <si>
    <t>WOS:000362855900012</t>
  </si>
  <si>
    <t>Variability in ecosystem structure and functioning in a low order stream: Implications of land use and season</t>
  </si>
  <si>
    <t>Human activity can degrade the habitat quality for aquatic communities, which ultimately impacts the functions these communities provide. Disentangling the complex interaction between environmental and anthropogenic parameters as well as their alteration both along the stream channel, over the seasons, and finally their impact in the aquatic ecosystem represents a fundamental challenge for environmental scientists. Therefore, the present study investigates the implications of successive land uses (i.e., vineyard, urban area, highway and wastewater treatment plant (WWTP)) on structural and functional endpoints related to the ecosystem process of leaf litter breakdown during a winter and summer season in a five km stretch of a second-order stream in southern Germany. This sequence of the different land uses caused, among others, a downstream decline of the ecological status from high to bad judged based on the SPEARpesadaes index together with significant shifts in the macroinvertebrate community composition, which coincided with substantial impairments (up to 100%) in the macroinvertebrate-mediated leaf decomposition. These effects, seem to be mainly driven by alterations in water quality rather than morphological modifications of the stream's habitat since the key shredder Gammarus was not in direct contact with the local habitat during in situ bioassays but showed similar response patterns than the other endpoints. While the relative effect size for most endpoints deviated considerably (sometimes above 2-fold) among seasons, the general response pattern pointed to reductions in energy supply for local and downstream communities. Although the present study focused on a single low-order stream with the main purpose of describing the impact of different land uses on various levels of biological organization, which limits the direct transferability and thus applicability of results to other stream ecosystems, the findings point to the need to develop adequate management strategies mitigating land use specific exposures during all seasons to protect ecosystem integrity. (C) 2015 Elsevier B.V. All rights reserved.</t>
  </si>
  <si>
    <t>10.1016/j.scitotenv.2015.08.058</t>
  </si>
  <si>
    <t>WOS:000363348900034</t>
  </si>
  <si>
    <t>Moss invasion in a dune ecosystem influences ground-dwelling arthropod community structure and reduces soil biological activity</t>
  </si>
  <si>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</si>
  <si>
    <t>10.1007/s10530-015-0971-7</t>
  </si>
  <si>
    <t>WOS:000363482600010</t>
  </si>
  <si>
    <t>Elucidating the spatio-temporal dynamics of an emerging wildlife pathogen using approximate Bayesian computation</t>
  </si>
  <si>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</si>
  <si>
    <t>10.1111/mec.13401</t>
  </si>
  <si>
    <t>WOS:000363564200005</t>
  </si>
  <si>
    <t>Mitigating the impact of oil-palm monoculture on freshwater fishes in Southeast Asia</t>
  </si>
  <si>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</si>
  <si>
    <t>10.1111/cobi.12483</t>
  </si>
  <si>
    <t>WOS:000363729100011</t>
  </si>
  <si>
    <t>Revealing the consequences of male-biased trophy hunting on the maintenance of genetic variation</t>
  </si>
  <si>
    <t>Demographic models accounting for operational sex ratio (OSR) show that male numbers can have a substantial influence on the dynamics of wild populations. We used the Cantabrian capercaillie, a forest bird, as a model to assess the effects of the reduction in the number of breeding males (increased OSR) associated to male-biased hunting, on the genetics of the population. We based our assessment in the comparison of the dynamics of neutral markers transmitted by both parents (microsatellites) versus markers transmitted only by females (mitochondrial DNA-mtDNA). Parallel to the analysis of field data, we ran computer simulations to explore how different levels of OSR and two other important demographic factors, population size and connectivity, might influence the dynamics of genetic variation of microsatellites and mtDNA. We found evidence of a genetic bottleneck and low genetic variability affecting microsatellites but not mtDNA early in our study period, when male-biased hunting was more intense. This was followed by a decline in mtDNA variation around 10-20 years later. Simulations suggested that changes in genetic variation associated with high OSR had the closest similarity to those observed at the beginning of our study, whereas a combination of reduced size and migration rate better resembled the patterns found later on. Our findings indicate that male-biased hunting might have triggered the ongoing decline of the Cantabrian capercaillie, on its own or in combination with habitat configuration, and support the need to incorporate OSR into decision making for the management and conservation of exploited populations.</t>
  </si>
  <si>
    <t>10.1007/s10592-015-0747-8</t>
  </si>
  <si>
    <t>WOS:000363957700009</t>
  </si>
  <si>
    <t>Microspatial sampling reveals cryptic influences on gene flow in a threatened mammal</t>
  </si>
  <si>
    <t>We studied the population structure and historical demography of the last remaining core population of the threatened southeastern beach mouse (SEBM; Peromyscus polionotus niveiventris) located on a federally protected barrier island complex at the Kennedy Space Center (KSC), Merritt Island National Wildlife Refuge (MINWR) and Cape Canaveral Air Force Station (CCAFS) in Florida, USA. Beach mice (N = 171) were collected from 33 trapping locations along 30 km of coastline on KSC/MINWR/CCAFS and were genotyped using 10 microsatellite loci. We found four genetic clusters of mice that likely form a metapopulation. Gene flow among clusters, assessed using assignment tests, was limited suggesting that human development can serve to inhibit dispersal of beach mice. However, when the presence of roads were examined as possible barriers to movement, gene flow appeared to be facilitated suggesting that removal of thick vegetation along roadsides increases movement. We used approximate Bayesian computation (ABC) to estimate divergence time among clusters and effective population sizes for each cluster and for the pre-divergence population. Results of ABC analyses suggest that barriers to movement likely formed following the construction of the John F. Kennedy Space Center beginning in the 1960s but that this has not heavily impacted the effective size of populations. Pre-divergence and contemporary effective sizes are similar, thus, population sizes likely remained relatively large over the last 50-100 years. The population of SEBM on KSC/MINWR/CCAFS appears to be a genetically diverse core population and individuals from this population will most likely be good candidates for any future reintroduction and translocation programs.</t>
  </si>
  <si>
    <t>10.1007/s10592-015-0749-6</t>
  </si>
  <si>
    <t>WOS:000363957700011</t>
  </si>
  <si>
    <t>Ecological impacts of the austral-most population of Crassostrea gigas in South America: a matter of time?</t>
  </si>
  <si>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</si>
  <si>
    <t>10.1007/s11284-015-1298-7</t>
  </si>
  <si>
    <t>WOS:000363959700002</t>
  </si>
  <si>
    <t>Consequences of fire and cattle browsing on ground beetles (Coleoptera) in NW Patagonia</t>
  </si>
  <si>
    <t>Understanding the responses of natural communities to disturbances remains a challenging task in ecology. In northwestern Patagonia, the most important disturbances are fire and introduced ungulates. Although these disturbances have been present in this region since late eighteen century, their effects on arthropods diversity have been poorly studied. Here, we examined the short-term response of ground beetles (Coleoptera) to fire (burnt and unburnt) in browsed forests and to cattle browsing (cattle and no cattle) in post-fire forests. We collected ground beetles with pitfall traps and estimated beetle abundance, species richness, assemblage composition, abundance of trophic guilds and beetle characteristic species, and measured some habitat parameters. We found that burnt browsed forest had lower diversity and different assemblage composition than unburnt forest. Beetle abundance, assemblage composition and abundance of trophic guilds were similar in post-fire forests with and without cattle browsing. Conversely, beetle species richness was higher in cattle than in no cattle forests. Fire had a strong negative effect on beetle diversity probably by its effect changing habitat structure. Whereas fire had a homogenizing influence on beetle diversity with and without cattle, at small-spatial scales, browsing of cattle probably generate habitat heterogeneity enhancing beetle richness. The implementation of policies aimed to reduce the risk of fire and to maintain low-moderate cattle pressure appears to be vital to conserve the beetle assemblage in the Patagonian region.</t>
  </si>
  <si>
    <t>10.1007/s11284-015-1302-2</t>
  </si>
  <si>
    <t>WOS:000363959700005</t>
  </si>
  <si>
    <t>Diptera species and functional diversity across tropical Australian countryside landscapes</t>
  </si>
  <si>
    <t>Countryside landscapes are composed of a range of human-dominated ecosystems that now dominate the earth's terrestrial regions. In the tropics, the creation of these landscapes has shadowed the destruction of rainforests. Most studies of diversity across tropical countryside landscapes have focused on the taxonomic diversity of easily measured groups. Thus there are major gaps in our understanding of many ecologically important organisms in these landscapes. Here we examine the taxonomic and functional diversity of Diptera in countryside landscapes of Australia's wet tropics, focusing on some of the most common landscape elements in this region: forest remnants, forest edges, and open cattle pastures. We demonstrate that different landscape elements possess contrasting levels of dipteran diversity. Importantly, small forest fragments act as reservoirs of fly taxonomic diversity, but for some fly functional groups (pollinators and predators), small forest fragments and their edges have lower functional redundancy than larger forest patches and their edges. We also show that dipteran diversity is more positively associated with local forest cover than patch size alone. Our results complement the growing literature on ecologically important insect taxa in countryside landscapes around the world, and contribute to a greater understanding of how landscape modification likely impacts ecosystem functions and services at landscape scales. (C) 2015 Published by Elsevier Ltd.</t>
  </si>
  <si>
    <t>10.1016/j.biocon.2015.07.035</t>
  </si>
  <si>
    <t>WOS:000364257100050</t>
  </si>
  <si>
    <t>Altered herb assemblages in fragments of the Brazilian Atlantic forest</t>
  </si>
  <si>
    <t>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t>
  </si>
  <si>
    <t>10.1016/j.biocon.2015.08.014</t>
  </si>
  <si>
    <t>WOS:000364257100066</t>
  </si>
  <si>
    <t>The effects of marine sand and gravel extraction on the sediment composition and macrofaunal community of a commercial dredging site (15 years post-dredging)</t>
  </si>
  <si>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</si>
  <si>
    <t>10.1016/j.marpolbul.2015.07.024</t>
  </si>
  <si>
    <t>WOS:000364258000034</t>
  </si>
  <si>
    <t>Temporal Genetic Variance and Propagule-Driven Genetic Structure Characterize Naturalized Rainbow Trout (Oncorhynchus mykiss) from a Patagonian Lake Impacted by Trout Farming</t>
  </si>
  <si>
    <t>Knowledge about the genetic underpinnings of invasions-a theme addressed by invasion genetics as a discipline-is still scarce amid well documented ecological impacts of non-native species on ecosystems of Patagonia in South America. One of the most invasive species in Patagonia's freshwater systems and elsewhere is rainbow trout (Oncorhynchus mykiss). This species was introduced to Chile during the early twentieth century for stocking and promoting recreational fishing; during the late twentieth century was reintroduced for farming purposes and is now naturalized. We used population-and individual-based inference from single nucleotide polymorphisms (SNPs) to illuminate three objectives related to the establishment and naturalization of Rainbow Trout in Lake Llanquihue. This lake has been intensively used for trout farming during the last three decades. Our results emanate from samples collected from five inlet streams over two seasons, winter and spring. First, we found that significant intra- population (temporal) genetic variance was greater than inter-population (spatial) genetic variance, downplaying the importance of spatial divergence during the process of naturalization. Allele frequency differences between cohorts, consistent with variation in fish length between spring and winter collections, might explain temporal genetic differences. Second, individual-based Bayesian clustering suggested that genetic structure within Lake Llanquihue was largely driven by putative farm propagules found at one single stream during spring, but not in winter. This suggests that farm brood-stock might migrate upstream to breed during spring at that particular stream. It is unclear whether interbreeding has occurred between pure naturalized and farm trout in this and other streams. Third, estimates of the annual number of breeders (N-b) were below 73 in half of the collections, suggestive of genetically small and recently founded populations that might experience substantial genetic drift. Our results reinforce the notion that naturalized trout originated recently from a small yet genetically diverse source and that farm propagules might have played a significant role in the invasion of Rainbow Trout within a single lake with intensive trout farming. Our results also argue for proficient mitigation measures that include management of escapes and strategies to minimize unintentional releases from farm facilities.</t>
  </si>
  <si>
    <t>10.1371/journal.pone.0142040</t>
  </si>
  <si>
    <t>WOS:000364398700074</t>
  </si>
  <si>
    <t>The Impact of Global Change on the Dynamics of Marine Living Resources</t>
  </si>
  <si>
    <t>Based on the capture of wild animals–mostly for human consumption–fishing is a truly original food production system, carried out since the Paleolithic era. The aquatic animal food production is a considerable asset. Together, fisheries and aquaculture provided more than 4.3 billion people with at least 15% of their intake of animal protein in 2010. In order to understand how marine animal species respond to fishing, it is also essential to precisely understand the degree of concordance between their actual organization and their management units. The increasing interest in the variety of governance mechanisms for the fishing industry, the role of stakeholders and the reinforcement of regulations over access to resources. The Ecosystem Approach to Fisheries (EAF) is based on this high-level conceptual representation. For Diadromous fish, climate change is one element among the factors in the modification of their ecosystems.</t>
  </si>
  <si>
    <t>WOS:000364520200005</t>
  </si>
  <si>
    <t>Intensification of tropical fallow-based agriculture: Trading-off ecosystem services for economic gain in shifting cultivation landscapes?</t>
  </si>
  <si>
    <t>Farmers are under ever growing pressure to increase productivity to meet both food and fibre needs, as well as rising household economic demands. In many shifting cultivation systems, farmers are taking advantage of restorative forest fallow periods to plant commercially-oriented orchards to increase output. While there is an economic benefit to this intensification pathway, we ask: what are the trade-offs in ecosystem services with planting low diversity orchards? We compare the capacity of native forest fallows vs. planted umart orchards (Poraquieba sericea) to provide critical regulating services (soil fertility regeneration, woody biomass accumulation), provisioning services (commercial fruit production, timber, charcoal, wild fruits and handicraft materials production), and tree biodiversity in lowland forests of Peru. In addition, we estimate their potential contribution to farmer livelihoods to better understand the economic incentives behind orchard planting. Orchards were found to provide similar or higher levels of both regulating and provisioning services than forest fallows, apart from harvestable timber. Although biodiversity was lower under orchards, tree diversity and composition recovered fully in subsequent fallow rotations. Potential revenues from orchard planting were greater than from fallows, however they were small compared to median incomes suggesting that the motivation to plant orchards is income diversification. Together these results highlight that orchard fallows may be an ecologically and economically viable pathway for intensification. (C) 2015 Elsevier B.V. All rights reserved.</t>
  </si>
  <si>
    <t>10.1016/j.agee.2015.09.005</t>
  </si>
  <si>
    <t>WOS:000364611300005</t>
  </si>
  <si>
    <t>Benthic community response to sediment organic enrichment by Mediterranean fish farms: Case studies</t>
  </si>
  <si>
    <t>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t>
  </si>
  <si>
    <t>10.1016/j.aquaculture.2015.07.019</t>
  </si>
  <si>
    <t>WOS:000364854000036</t>
  </si>
  <si>
    <t>Macrozoobenthic assemblages around a marine terminal for re-gasifying liquefied natural gas (LNG) in the north Adriatic Sea (Italy)</t>
  </si>
  <si>
    <t>The first offshore liquefied natural gas (LNG) terminal in Italy and the first gravity based structure (GBS) in the world for unloading, storing and re-gasifying liquefied natural gas, was authorized and realized. The Institute for Environmental Protection and Research (ISPRA, formerly ICRAM) formulated and implemented a multidisciplinary monitoring plan at verifying possible impacts of the project on marine environment. Data from June 2006 to July 2012 on the soft-bottom macro-zoobenthic assemblages around the LNG terminal are presented, with the aim of verifying possible disturbances on these assemblages associated with the LNG terminal, by comparing the structure of the benthic communities before and after installation of the terminal, and during its operation. Well-structured assemblages were observed for the entire period investigated, with all taxa normally represented both quantitatively and qualitatively. A temporary disturbance due to the construction of the LNG terminal was detected in the surrounding sediments, while the presence of the concrete structure did not show significant effects at the investigated distances.</t>
  </si>
  <si>
    <t>10.1017/S0025315415000338</t>
  </si>
  <si>
    <t>WOS:000364937700004</t>
  </si>
  <si>
    <t>Impacts of oil palm agriculture on phyllostomid bat assemblages</t>
  </si>
  <si>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</si>
  <si>
    <t>10.1007/s10531-015-1021-6</t>
  </si>
  <si>
    <t>WOS:000365094300009</t>
  </si>
  <si>
    <t>Comparison of animal biodiversity in three livestock systems of open environments of the semi-arid Chaco of Argentina</t>
  </si>
  <si>
    <t>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t>
  </si>
  <si>
    <t>10.1071/RJ15052</t>
  </si>
  <si>
    <t>WOS:000365187600007</t>
  </si>
  <si>
    <t>Direct and indirect effects of an invasive omnivore crayfish on leaf litter decomposition</t>
  </si>
  <si>
    <t>Invasive alien species (IAS) can disrupt important ecological functions in aquatic ecosystems; however, many of these effects are not quantified and remain speculative. In this study, we assessed the effects of the invasive crayfish Procambanis clarkii (Girard, 1852) on leaf litter decomposition (a key ecosystem process) and associated invertebrates using laboratory and field manipulative experiments. The crayfish had significant impacts on leaf decomposition due to direct consumption of leaf litter and production of fine particulate organic matter, and indirectly due to consumption of invertebrate shredders. The invertebrate community did not appear to recognize P. clarkii as a predator, at least in the first stages after its introduction in the system; but this situation might change with time. Overall, results suggested that the omnivore invader P. clarkii has the potential to affect detritus-based food webs through consumption of basal resources (leaf litter) and, or consumers. Recognizing that this IAS is widespread in Europe, Asia and Africa, and may attain high density and biomass in aquatic ecosystems, our results are important to develop strategies for improving stream ecosystem functioning and to support management actions aiming to control the invasive omnivore P. clarkii. (C) 2015 Elsevier B.V. All rights reserved.</t>
  </si>
  <si>
    <t>10.1016/j.scitotenv.2015.09.125</t>
  </si>
  <si>
    <t>WOS:000365289300076</t>
  </si>
  <si>
    <t>Genetic diversity loss in a biodiversity hotspot: ancient DNA quantifies genetic decline and former connectivity in a critically endangered marsupial</t>
  </si>
  <si>
    <t>The extent of genetic diversity loss and former connectivity between fragmented populations are often unknown factors when studying endangered species. While genetic techniques are commonly applied in extant populations to assess temporal and spatial demographic changes, it is no substitute for directly measuring past diversity using ancient DNA (aDNA). We analysed both mitochondrial DNA (mtDNA) and nuclear microsatellite loci from 64 historical fossil and skin samples of the critically endangered Western Australian woylie (Bettongia penicillata ogilbyi), and compared them with 231 (n=152 for mtDNA) modern samples. In modern woylie populations 15 mitochondrial control region (CR) haplotypes were identified. Interestingly, mtDNA CR data from only 29 historical samples demonstrated 15 previously unknown haplotypes and detected an extinct divergent clade. Through modelling, we estimated the loss of CR mtDNA diversity to be between 46% and 91% and estimated this to have occurred in the past 2000-4000years in association with a dramatic population decline. In addition, we obtained near-complete 11-loci microsatellite profiles from 21 historical samples. In agreement with the mtDNA data, a number of new' microsatellite alleles was only detected in the historical populations despite extensive modern sampling, indicating a nuclear genetic diversity loss &gt;20%. Calculations of genetic diversity (heterozygosity and allelic rarefaction) showed that these were significantly higher in the past and that there was a high degree of gene flow across the woylie's historical range. These findings have an immediate impact on how the extant populations are managed and we recommend the implementation of an assisted migration programme to prevent further loss of genetic diversity. Our study demonstrates the value of integrating aDNA data into current-day conservation strategies.</t>
  </si>
  <si>
    <t>10.1111/mec.13430</t>
  </si>
  <si>
    <t>WOS:000365756900007</t>
  </si>
  <si>
    <t>Genetic models reveal historical patterns of sea lamprey population fluctuations within Lake Champlain</t>
  </si>
  <si>
    <t>The origin of sea lamprey (Petromyzon marinus) in Lake Champlain has been heavily debated over the past decade. Given the lack of historical documentation, two competing hypotheses have emerged in the literature. First, it has been argued that the relatively recent population size increase and concomitant rise in wounding rates on prey populations are indicative of an invasive population that entered the lake through the Champlain Canal. Second, recent genetic evidence suggests a post-glacial colonization at the end of the Pleistocene, approximately 11,000 years ago. One limitation to resolving the origin of sea lamprey in Lake Champlain is a lack of historical and current measures of population size. In this study, the issue of population size was explicitly addressed using nuclear (nDNA) and mitochondrial DNA (mtDNA) markers to estimate historical demography with genetic models. Haplotype network analysis, mismatch analysis, and summary statistics based on mtDNA noncoding sequences for NCI (479 bp) and NCII (173 bp) all indicate a recent population expansion. Coalescent models based on mtDNA and nDNA identified two potential demographic events: a population decline followed by a very recent population expansion. The decline in effective population size may correlate with land-use and fishing pressure changes post-European settlement, while the recent expansion may be associated with the implementation of the salmonid stocking program in the 1970s. These results are most consistent with the hypothesis that sea lamprey are native to Lake Champlain; however, the credibility intervals around parameter estimates demonstrate that there is uncertainty regarding the magnitude and timing of past demographic events.</t>
  </si>
  <si>
    <t>10.7717/peerj.1369</t>
  </si>
  <si>
    <t>WOS:000365801900006</t>
  </si>
  <si>
    <t>Amphibian diversity increases in an heterogeneous agricultural landscape</t>
  </si>
  <si>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</si>
  <si>
    <t>10.1016/j.actao.2015.09.003</t>
  </si>
  <si>
    <t>WOS:000366079700010</t>
  </si>
  <si>
    <t>Impact of oil spills on coral reefs can be reduced by bioremediation using probiotic microbiota</t>
  </si>
  <si>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</si>
  <si>
    <t>10.1038/srep18268</t>
  </si>
  <si>
    <t>WOS:000366292700001</t>
  </si>
  <si>
    <t>The effects of grazing and watering on ecosystem CO2 fluxes vary by community phenology</t>
  </si>
  <si>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</si>
  <si>
    <t>10.1016/j.envres.2015.09.002</t>
  </si>
  <si>
    <t>WOS:000366443200007</t>
  </si>
  <si>
    <t>Role of fish farm fouling in recolonisation of nearby soft-bottom habitats affected by coastal aquaculture</t>
  </si>
  <si>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</si>
  <si>
    <t>10.1016/j.jembe.2015.10.019</t>
  </si>
  <si>
    <t>WOS:000366768300028</t>
  </si>
  <si>
    <t>Very Low Population Structure in a Highly Mobile and Wide-Ranging Endangered Bird Species</t>
  </si>
  <si>
    <t>The loss of biodiversity following fragmentation and degradation of habitat is a major issue in conservation biology. As competition for resources increases following habitat loss and fragmentation, severe population declines may occur even in common, highly mobile species; such demographic decline may cause changes within the population structure of the species. The regent honeyeater, Anthochaera phrygia, is a highly nomadic woodland bird once common in its native southeast Australia. It has experienced a sharp decline in abundance since the late 1970s, following clearing of large areas of its preferred habitat, boxironbark woodland, within the last 200 years. A captive breeding program has been established as part of efforts to restore this species. This study used genetic data to examine the range-wide population structure of regent honeyeaters, including spatial structure, its change through time, sex differences in philopatry and mobility, and genetic differences between the captive and wild populations. There was low genetic differentiation between birds captured in different geographic areas. Despite the recent demographic decline, low spatial structure appears to have some temporal consistency. Both sexes appear to be highly mobile, and there does not seem to be significant genetic differentiation between the captive and wild populations. We conclude that management efforts for survival of this species, including habitat protection, restoration, and release of captive-bred birds into the wild, can treat the species as effectively a single genetic population.</t>
  </si>
  <si>
    <t>10.1371/journal.pone.0143746</t>
  </si>
  <si>
    <t>WOS:000366903300026</t>
  </si>
  <si>
    <t>The temporal dynamics of a regional flora-The effects of global and local impacts</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</si>
  <si>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</si>
  <si>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10.1016/j.flora.2015.09.013</t>
  </si>
  <si>
    <t>WOS:000367110300012</t>
  </si>
  <si>
    <t>Beyond a minimum substrate supply: Sustaining saproxylic beetles in semi-natural forest management</t>
  </si>
  <si>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</si>
  <si>
    <t>10.1016/j.foreco.2015.10.016</t>
  </si>
  <si>
    <t>WOS:000367117400002</t>
  </si>
  <si>
    <t>Effects of nutrient enrichment on epipelic diatom assemblages in a nutrient-rich lowland stream, Pampa Region, Argentina</t>
  </si>
  <si>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</si>
  <si>
    <t>10.1007/s10750-015-2450-7</t>
  </si>
  <si>
    <t>WOS:000367196900010</t>
  </si>
  <si>
    <t>Landscape properties mediate the homogenization of bird assemblages during climatic extremes</t>
  </si>
  <si>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</si>
  <si>
    <t>10.1890/14-2447.1</t>
  </si>
  <si>
    <t>WOS:000367287900005</t>
  </si>
  <si>
    <t>Historical data reveal fish assemblage shifts in an unregulated prairie river</t>
  </si>
  <si>
    <t>Wyoming's Powder River is considered an example of a pristine prairie river system. While the river hosts a largely native fish assemblage and remains unimpounded over its 1,146-km course to the Yellowstone River confluence, the hydrologic regime has been altered through water diversion for agriculture and natural gas extraction and there has been limited study of fish assemblage structure. We analyzed fish data collected from the mainstem Powder River in Wyoming between 1896 and 2008. Shifts in presence/absence and relative abundance of fish species, as well as fish assemblage composition, were assessed among historical and recent samples. The recent Powder River fish assemblage was characterized by increased relative abundances of sand shiner Notropis stramineus and plains killifish Fundulus zebrinus, and decreases in sturgeon chub Macrhybopsis gelida. Shifts in fish species relative abundance are linked to their reproductive ecology with species with adhesive eggs generally increasing in relative abundance while those with buoyant drifting eggs are decreasing. Assemblage shifts could be the result of landscape level changes, such as the loss of extreme high and low flow events and changing land use practices.</t>
  </si>
  <si>
    <t>10.1890/ES14-00361.1</t>
  </si>
  <si>
    <t>WOS:000367311800040</t>
  </si>
  <si>
    <t>Effects of oil palm plantations on anuran diversity in the eastern Amazon</t>
  </si>
  <si>
    <t>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t>
  </si>
  <si>
    <t>10.1163/15707563-00002481</t>
  </si>
  <si>
    <t>WOS:000367519100011</t>
  </si>
  <si>
    <t>Combined effects of climatic gradient and domestic livestock grazing on reptile community structure in a heterogeneous agroecosystem</t>
  </si>
  <si>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</si>
  <si>
    <t>10.1007/s00442-015-3435-y</t>
  </si>
  <si>
    <t>WOS:000367613800021</t>
  </si>
  <si>
    <t>SYNOPTIC POST FISHERY STRUCTURE OF INVERTEBRATE BYCATCH ASSOCIATED TO ZYGOCHLAMYS PATAGONICA FISHING GROUNDS AT THE SOUTHWEST ATLANTIC SHELF-BREAK FRONT (39° S, ARGENTINA)</t>
  </si>
  <si>
    <t>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t>
  </si>
  <si>
    <t>10.2983/035.034.0301</t>
  </si>
  <si>
    <t>WOS:000367745300001</t>
  </si>
  <si>
    <t>Connectivity and management enables fast recovery of plant diversity in new linear grassland elements</t>
  </si>
  <si>
    <t>QuestionsHow does small linear grassland elements (paddy levees and road verges) contribute to plant diversity patterns in sites with modern or traditional management? Which factors determine small-scale plant species richness of small linear grassland elements in a Japanese agricultural landscape? LocationShiga Prefecture, Japan. MethodsAerial photos from 1963, 1985, 1995 and 2008 were used to investigate landscape changes and to measure landscape structures within a typical agricultural landscape (25km(2)). Plant diversity was investigated in ten paddy levees and ten road verges in each of four traditional (barely any land cover alterations after 1963) and five modern (almost completely changed after 1985) sites. -diversity (mean number of species per plot) and -diversity (total number of species) for all species, specialist and invasive species, respectively, were analysed in relation to site history types and landscape structures. Plot species richness was analysed in relation to site history type, patch age and width, proximity to forest and litter removal. ResultsIn total, 204 plant species were found, 55 species unique to traditional sites and 13 unique to modern sites. - and -diversity of paddy levees and road verges was significantly higher in traditional sites. Number of specialist species on paddy levees and number of invasive species in road verges was also higher in traditional sites. Age was the strongest predictor of plot species richness on levees; older levees supported higher species richness than younger ones. Litter removal was the strongest predictor (positive effect) of plot species richness in road verges. ConclusionsThese results suggest that the colonization credit of new levees in modern sites is decreasing quite rapidly as species quickly establish, approaching almost the same richness values as in traditional sites. However, long continuity of traditional management is still one of the most important contributors to plant diversity and crucial for many species. But small grassland elements can still be of great significance for preserving and enhancing plant diversity in otherwise depleted landscapes, as long as they are managed and connected throughout the landscape.</t>
  </si>
  <si>
    <t>10.1111/jvs.12344</t>
  </si>
  <si>
    <t>WOS:000367816400005</t>
  </si>
  <si>
    <t>Biotic homogenization of three insect groups due to urbanization</t>
  </si>
  <si>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</si>
  <si>
    <t>10.1111/gcb.13091</t>
  </si>
  <si>
    <t>WOS:000367982900018</t>
  </si>
  <si>
    <t>Diachronic analysis of genetic diversity in rice landraces under on-farm conservation in Yunnan, China</t>
  </si>
  <si>
    <t>Rice (Oryza sativa L.) is one of the earliest domesticated crop species. Its genetic diversity has been declining as a result of natural and artificial selection. In this study, we performed the first analysis of the levels and patterns of nucleotide variation in rice genomes under on-farm conservation in Yunnan during a 27-year period of domestication. We performed large-scale sequencing of 600 rice accessions with high diversity, which were collected in 1980 and 2007, using ten unlinked nuclear loci. Diachronic analysis showed no significant changes in the level of genetic diversity occurring over the past 27 years' domestication, which indicated genetic diversity was successfully maintained under on-farm conservation. Population structure revealed that the rice landraces could be grouped into two subpopulations, namely the indica and japonica groups. Interestingly, the alternate distribution of indica and japonica rice landraces could be found in each ecological zone. The results of AMOVA showed that on-farm conservation provides opportunities for continued differentiation and variation of landraces. Therefore, dynamic conservation measures such as on-farm conservation (which is a backup, complementary strategy to ex situ conservation) should be encouraged and enhanced, especially in crop genetic diversity centers. The results of this study offered accurate insights into short-term evolutionary processes and provided a scientific basis for on-farm management practices.</t>
  </si>
  <si>
    <t>10.1007/s00122-015-2617-7</t>
  </si>
  <si>
    <t>WOS:000368116200014</t>
  </si>
  <si>
    <t>Temperature modulates phototrophic periphyton response to chronic copper exposure</t>
  </si>
  <si>
    <t>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t>
  </si>
  <si>
    <t>10.1016/j.envpol.2015.11.004</t>
  </si>
  <si>
    <t>WOS:000368306500060</t>
  </si>
  <si>
    <t>Changes in the diversity of evergreen and deciduous species during natural recovery following clear-cutting in a subtropical evergreen-deciduous broadleaved mixed forest of central China</t>
  </si>
  <si>
    <t>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t>
  </si>
  <si>
    <t>10.1177/194008291500800413</t>
  </si>
  <si>
    <t>WOS:000368472400013</t>
  </si>
  <si>
    <t>Elevated nutrients change bacterial community composition and connectivity: high throughput sequencing of young marine biofilms</t>
  </si>
  <si>
    <t>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t>
  </si>
  <si>
    <t>10.1080/08927014.2015.1126581</t>
  </si>
  <si>
    <t>WOS:000368561300007</t>
  </si>
  <si>
    <t>Effects of reduced water quality on coral reefs in and out of no-take marine reserves</t>
  </si>
  <si>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</si>
  <si>
    <t>10.1111/cobi.12576</t>
  </si>
  <si>
    <t>WOS:000368938000016</t>
  </si>
  <si>
    <t>Effect of the conversion of conventional pasture to intensive silvopastoral systems on edaphic bacterial and ammonia oxidizer communities in Colombia</t>
  </si>
  <si>
    <t>Colombia, as well as many tropical countries, has experienced severe deforestation in the last decades, and millions of acres of native forest areas (F) have been replaced by conventional monoculture pastures (CP), contributing to ecological and soil degradation. In response, multi-canopy intensive silvopastoral systems (ISS), which includes herbs, shrubs and trees, have been developed to provide local fodder sources for livestock while reducing the need for external inputs with a goal to conserve landscapes and improve soil quality. However, there is limited information on the temporal responsiveness of ISS to deliver ecosystem services as reflected in soil microbial properties. Therefore, the objective of this study was to examine the shifts of total and ammonia-oxidizing bacteria (AOB) communities along an ISS chronosequence (ranging from 3 to 15 years since establishment), in comparison to CP and native F and investigate P. juliflora trees as a resource island relative to soil microbial properties. Denaturing gradient gel electrophoresis (DGGE) fingerprints of 16S rRNA gene (total bacteria) as well as amoA gene (ammonia-oxidizing bacteria) (AOB) indicated that soil bacterial communities varied between the land uses, with higher similarities between F and ISS communities, in comparison to CP. The abundance and nitrification potential of ammonia oxidizers were significantly higher in CP and lower in F. In addition, the bacterial communities across ISS chronosequence were more similar between older (ISS-12) and intermediate (ISS-8) systems in comparison with youngest systems (ISS-3). Finally, the canopy of P. juliflora tree did not have an impact on structure of total bacterial community; though, it did have an effect on the structure of AOB communities. Our study suggests that ISS might restore some of the ecosystem services offered by soil microbial communities. (C) 2015 Published by Elsevier Masson SAS.</t>
  </si>
  <si>
    <t>10.1016/j.ejsobi.2015.12.003</t>
  </si>
  <si>
    <t>WOS:000368951200007</t>
  </si>
  <si>
    <t>Composition of fungal soil communities varies with plant abundance and geographic origin</t>
  </si>
  <si>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</si>
  <si>
    <t>10.1093/aobpla/plv110</t>
  </si>
  <si>
    <t>WOS:000369027200001</t>
  </si>
  <si>
    <t>Constraints on coastal dune invasion for a notorious plant invader</t>
  </si>
  <si>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</si>
  <si>
    <t>10.1093/aobpla/plv126</t>
  </si>
  <si>
    <t>WOS:000369028300006</t>
  </si>
  <si>
    <t>One-Time Addition of Nano-TiO2 Triggers Short-Term Responses in Benthic Bacterial Communities in Artificial Streams</t>
  </si>
  <si>
    <t>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t>
  </si>
  <si>
    <t>10.1007/s00248-015-0646-z</t>
  </si>
  <si>
    <t>WOS:000369061400002</t>
  </si>
  <si>
    <t>A genomewide catalogue of single nucleotide polymorphisms in white-beaked and Atlantic white-sided dolphins</t>
  </si>
  <si>
    <t>The field of population genetics is rapidly moving into population genomics as the quantity of data generated by high-throughput sequencing platforms increases. In this study, we used restriction-site-associated DNA sequencing (RADSeq) to recover genomewide genotypes from 70 white-beaked (Lagenorhynchus albirostris) and 43 Atlantic white-sided dolphins (L. acutus) gathered throughout their north-east Atlantic distribution range. Both species are at a high risk of being negatively affected by climate change. Here, we provide a resource of 38 240 RAD-tags and 52 981 nuclear SNPs shared between both species. We have estimated overall higher levels of nucleotide diversity in white-sided (pi = 0.0492 +/- 0.0006%) than in white-beaked dolphins (pi = 0.0300 +/- 0.0004%). White-sided dolphins sampled in the Faroe Islands, belonging to two pods (N = 7 and N = 11), showed similar levels of diversity (pi = 0.0317 +/- 0.0007% and 0.0267 +/- 0.0006%, respectively) compared to unrelated individuals of the same species sampled elsewhere (e. g. pi = 0.0285 +/- 0.0007% for 11 Scottish individuals). No evidence of higher levels of kinship within pods can be derived from our analyses. When identifying the most likely number of genetic clusters among our sample set, we obtained an estimate of two to four clusters, corresponding to both species and possibly, two further clusters within each species. A higher diversity and lower population structuring was encountered in white-sided dolphins from the north-east Atlantic, in line with their preference for pelagic waters, as opposed to white-beaked dolphins that have a more patchy distribution, mainly across continental shelves.</t>
  </si>
  <si>
    <t>10.1111/1755-0998.12427</t>
  </si>
  <si>
    <t>WOS:000369141000026</t>
  </si>
  <si>
    <t>Genetic landscape with sharp discontinuities shaped by complex demographic history in moose (Alces alces)</t>
  </si>
  <si>
    <t>The moose (Alces alces) is the most intensely managed game species in Fennoscandia; approximately one-third of the population, ca. 160,000 animals, is harvested annually. Despite the species' biological and socioeconomic importance, there are knowledge gaps with respect to its intraspecific diversity and genetic structure. Recent studies of moose in neighboring countries report 2 genetic groups in Finland, 3 in Norway with one of them suggested to be of ancient origin, and no indications of bottlenecks. To delineate the spatial genetic landscape of the Swedish moose, we used allozyme variability from over 20,000 georeferenced moose collected all over Sweden in combination with 12 microsatellites (n = 1,200) and mitochondrial DNA (mtDNA) sequences (n = 44). We combined individual-based and traditional statistical approaches with coalescence-based simulations. The results indicate a complex history with bottlenecks and recent expansions that is consistent with historical records. Swedish moose are separated into 2 major genetic groups, a northern and a southern one, where the southern group is further divided into 3 subgroups. The 2 main subpopulations are moderately differentiated (F-ST = 0.1; R-ST = 0.07) and separated by sharp genetic discontinuities occurring over a relatively narrow transition zone in central Sweden that coincides with a similar, previously reported transition zone in Norway. This differentiation is not reflected in mtDNA variation, where no significant divergence was observed. Together with the F-ST andR(ST) similarities, this suggests that the 2 major subpopulations in Sweden reflect divergence shaped after the postglacial recolonization of Scandinavia. Neighborhood size assessments indicate that gene flow is relatively restricted with an estimated average dispersal distance of 3.5-11.1 km, and spatial autocorrelograms suggest that genetic similarity decreases almost linearly over space resulting in continuous genetic clines within major subgroups. Management areas largely coincide with genetic clusters, simplifying the integration of genetic information into management.</t>
  </si>
  <si>
    <t>10.1093/jmammal/gyv146</t>
  </si>
  <si>
    <t>WOS:000369232600001</t>
  </si>
  <si>
    <t>Genetic consequences of human forest exploitation in two colobus monkeys in Guinea Bissau</t>
  </si>
  <si>
    <t>The ability of forest-dwelling species to adapt to changes in their habitat is being increasingly challenged by the rapid pace of human-induced forest degradation. Understanding the effect of such environmental changes on biodiversity requires comparative analyses across species living within the same habitats. We investigated the effect of forest exploitation on the genetic structure and demography of two sympatric arboreal primates showing differences in their socioecology: the Western black-and-white colobus (Colobus polykomos) and Temminck's red colobus (Procolobus badius temminckii). We conducted the study in a fragmented and human-impacted forest in Guinea Bissau. Using microsatellite data from six C. polykomos and eight P. b. temminckii social groups, we found that in C polykomos the distribution of genetic diversity followed an isolation-by-distance pattern whereas for P. b. temminckii, the results suggested restriction in female dispersal. We detected a strong, recent bottleneck for both primates, which we inferred to have resulted from the anthropogenic exploitation of forest resources in the last centuries. The bottleneck signal was stronger for P. b. temminckii as a likely consequence of its larger estimated ancestral population size. Finally, we discussed the different analytical approaches used. Our results confirm that P. b. temminckii is more affected by habitat changes than C polykomos, despite being phylogenetically close. Nonetheless, the low estimated effective population sizes and the known demographic changes indicate that both species are severely threatened by human forest exploitation, requiring urgent conservation action. (C) 2015 Elsevier Ltd. All rights reserved.</t>
  </si>
  <si>
    <t>10.1016/j.biocon.2015.12.019</t>
  </si>
  <si>
    <t>WOS:000369456300023</t>
  </si>
  <si>
    <t>Disentangling the responses of boreal stream assemblages to low stressor levels of diffuse pollution and altered channel morphology</t>
  </si>
  <si>
    <t>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t>
  </si>
  <si>
    <t>10.1016/j.scitotenv.2015.12.031</t>
  </si>
  <si>
    <t>WOS:000369491500101</t>
  </si>
  <si>
    <t>Changes in Coastal Benthic Algae Succession Trajectories and Assemblages Under Contrasting Nutrient and Grazer Loads</t>
  </si>
  <si>
    <t>Eutrophication plays a crucial role in coastal systems, driving changes in the composition and abundance of flora and fauna with consequent effects for the entire ecosystem. Sensitive to nutrient levels, micro- and macroalgal blooms serve as valuable indicators of eutrophication. The San Antonio Bay (Northern Argentinean Patagonia, 40A degrees 43' S, 64A degrees 56' W) provides an appropriate system to study in situ eutrophication processes on coastal communities. In a multi-scale approach, using two different kind of settlement substrates (micro: polyethylene terephthalate, and macro: ceramic), the present study followed benthic algal dynamics over one year, distinguishing changes in natural succession and seasonality. Strong differences were found in the biofilm assemblages after three days, marked by tube dwelling diatoms and Cocconeis spp. under high nutrient-grazer conditions and needle like diatoms (e.g. Nitzschia spp., Tabularia spp.) under lower nutrient-grazer loads. The succession continued by the colonization of macroalgae, with a higher recruitment rate in the nutrient and grazer rich environment with a concomitant higher diversity. Our results show that under higher nutrient-grazer conditions natural benthic succession not only differs in trajectory but in its final taxa composition promoting higher biodiversity and biomass accumulation. In addition, taxa specific substrate preferences interfere with the observed eutrophication pattern, suggesting substrate dependant interrelations between the bloom forming taxa. These findings provide evidence that nutrient enrichment can not only affect an established assemblage but also affect the early succession stages, changing the succession trajectory and thus the final assemblage.</t>
  </si>
  <si>
    <t>10.1007/s12237-015-9999-2</t>
  </si>
  <si>
    <t>WOS:000369527900012</t>
  </si>
  <si>
    <t>Human-Induced Landscape Changes Homogenize Atlantic Forest Bird Assemblages through Nested Species Loss</t>
  </si>
  <si>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</si>
  <si>
    <t>10.1371/journal.pone.0147058</t>
  </si>
  <si>
    <t>WOS:000369550200023</t>
  </si>
  <si>
    <t>Spatial and Temporal Examination of Bivalve Communities in Several Estuaries of Southern California and Northern Baja California, MX</t>
  </si>
  <si>
    <t>A combination of historical bivalve surveys spanning 30-50 years and contemporary sampling were used to document the changes in bivalve community structure over time at four southern California and one northern Baja California estuaries. While there are limitations to the interpretation of historic data, we observed generally similar trends of reduced total bivalve species richness, losses of relatively large and/or deeper-dwelling natives, and gains of relatively small, surface dwelling introduced species across the southern California estuaries, despite fairly distinct bivalve communities. A nearly 50-year absence of bivalves from two wetlands surveyed in a Baja California estuary continued. A combination of site history and current characteristics (e.g., location, depth) likely contributes to maintenance of distinct communities, and both episodic and gradual environmental changes likely contribute to within-estuary temporal shifts (or absences). We highlight future research needed to determine mechanisms underlying patterns so that we can better predict responses of bivalve communities to future scenarios, including climate change and restoration.</t>
  </si>
  <si>
    <t>10.1371/journal.pone.0148220</t>
  </si>
  <si>
    <t>WOS:000369550200100</t>
  </si>
  <si>
    <t>The impact of cattle access on ecological water quality in streams: Examples from agricultural catchments within Ireland</t>
  </si>
  <si>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</si>
  <si>
    <t>10.1016/j.scitotenv.2015.12.120</t>
  </si>
  <si>
    <t>WOS:000369630600003</t>
  </si>
  <si>
    <t>Reduction of Genetic Diversity of the Harpy Eagle in Brazilian Tropical Forests</t>
  </si>
  <si>
    <t>Habitat loss and fragmentation intensify the effects of genetic drift and endogamy, reducing genetic variability of populations with serious consequences for wildlife conservation. The Harpy Eagle (Harpia harpyja) is a forest dwelling species that is considered near threatened and suffers from habitat loss in the forests of the Neotropical region. In this study, 72 historical and current samples were assessed using eight autosomal microsatellite markers to investigate the distribution of genetic diversity of the Harpy Eagle of the Amazonian and Atlantic forests in Brazil. The results showed that the genetic diversity of Harpy Eagle decreased in the regions where deforestation is intense in the southern Amazon and Atlantic Forest.</t>
  </si>
  <si>
    <t>10.1371/journal.pone.0148902</t>
  </si>
  <si>
    <t>WOS:000370054100071</t>
  </si>
  <si>
    <t>Effects of forest management on physical habitats and fish assemblages in Iberian eucalypt streams</t>
  </si>
  <si>
    <t>In Portugal, more than 150,000 ha of eucalypt plantations are managed under best management practices (BMP), in compliance with international certification systems. Some of these forestry areas extend to streams, and the riparian areas are thus protected from productive land uses. However, many other eucalypt plantations present riparian zones that are not managed under BMP and are often occupied by agricultural uses. To test the effects of forest management on physical habitats and fish assemblages in Iberian eucalypt streams, we selected three different stream reach types: (1) reaches in catchments dominated by native vegetation associations, and presenting semi-natural riparian zones (reference-REF); (2) reaches surrounded by certified eucalypt plantations (i.e., managed under BMP), and consequently, presenting protected riparian buffer zones (PRZ); and (3) reaches surrounded by eucalypt plantations (dominant) and some oak forests, and presenting disturbed riparian zones with agricultural land use (DRZ). All sites represented small, low-gradient, warmwater streams in Central Portugal (Tagus basin), and their upstream land cover was dominated by natural/semi-natural uses. PRZ sites were abiotically similar to REF sites, although PRZ sites generally presented lower potential cover for fish and tended to support a riparian vegetation that was a little more fragmented. PRZ sites supported fish assemblages that were similar to those in reference reaches, although at the functional level we found a higher abundance of native invertivores in REF sites. DRZ reaches, on the other hand, differed substantially from the other two groups. DRZ sites presented disturbed riparian vegetation (removal or substitution of native trees by exotic and/or non-woody species), eroded and modified channels, and a degradation of stream habitats (lack of riffle-poll complexes, higher silt contents, and lower potential cover for fish). The fish assemblages were also quite different, with a higher abundance of alien specimens (mainly Gobio lozanoi) and generalist spawners, and a lower proportion of native invertivores and lithophils. Riffles and morphological alteration explained the greatest proportion of variance in species composition. Our study showed that protecting stream riparian zones by implementing BMP may mitigate the effects of eucalypt forestry on Iberian fish assemblages. However, given that there are a few differences in physical condition and biological integrity between streams associated with certified plantations and reference streams we suggest additional riparian management measures in the certified areas, such as restoration of the native vegetation, removal of alien plants, and improvement of the stream habitat. (C) 2015 Elsevier B.V. All rights reserved.</t>
  </si>
  <si>
    <t>10.1016/j.foreco.2015.12.011</t>
  </si>
  <si>
    <t>WOS:000370104200001</t>
  </si>
  <si>
    <t>Population genetics and geometric morphometrics of the key silverside, Menidia conchorum, a marine fish in a highly-fragmented, inland habitat</t>
  </si>
  <si>
    <t>Gene flow between populations is restricted in fragmented habitats, which can promote a more rapid genetic diversification as evolutionary forces act on isolated gene pools. Here, we compare two silverside species occurring in a continuous coastal habitat (tidewater silverside, Menidia peninsulae Goode and Bean, 1879) vs a highly fragmented habitat consisting of hypersaline pools (key silverside, Menidia conchorum Hildebrand and Ginsburg, 1927). First, we aim to better resolve the morphological and genetic relationships between the two nominal species using a haplotype analysis at two loci (NADH dehydrogenase 2, internal transcribed space r2) and geometric morphometrics. Despite some haplotype sharing and incomplete lineage sorting, they were both genetically differentiated (Phi(ST) = 0.2186 and 0.4198, respectively, P &lt; 0.0001) and showed significant discriminating morphometric characteristics. Second, we made a temporal comparison of genetic diversity and effective population size (Ne) in key silversides over time using seven polymorphic microsatellite loci and found that genetic diversity and Ne of key silversides were lower in these pools compared to tidewater silversides in the marine environment and decreased over time. We conclude that key silversides more likely represent an ecotype of the tidewater silverside and thus harbor a distinct adaptive potential. Further, our results support the hypothesis that highly fragmented aquatic habitats promote rapid genetic change and species diversification. Finally, we discuss the management applications of our study pertaining to the current listing of key silversides as a National Marine Fisheries Service Species of Concern.</t>
  </si>
  <si>
    <t>10.5343/bms.2015.1035</t>
  </si>
  <si>
    <t>WOS:000370113700003</t>
  </si>
  <si>
    <t>Lake-wide physical and biological trends associated with warming in Lake Baikal</t>
  </si>
  <si>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</si>
  <si>
    <t>10.1016/j.jglr.2015.11.006</t>
  </si>
  <si>
    <t>WOS:000370115500002</t>
  </si>
  <si>
    <t>Ecological and socio-economic factors affecting extinction risk in parrots</t>
  </si>
  <si>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</si>
  <si>
    <t>10.1007/s10531-015-1036-z</t>
  </si>
  <si>
    <t>WOS:000370137100001</t>
  </si>
  <si>
    <t>Spatial and temporal genetic variation among size classes of green turtles (Chelonia mydas) provides information on oceanic dispersal and population dynamics</t>
  </si>
  <si>
    <t>Migratory marine species present challenges for conservation because of complex threats within their pelagic dispersal zones, including coastal foraging areas and extensive migration pathways, or at breeding grounds. To better understand the connectivity between green turtle rookeries and foraging populations, we sequenced the mtDNA control region of 987 turtles from 6 major foraging grounds on a similar to 2300 km longitudinal transect off eastern Australia, and used mixed stock analysis (MSA) to estimate their natal origins. We investigated variation in natal origins within different size classes and over spatial and temporal scales and compared this to approximately 30 yr of mark-recapture data. For adult turtles, we found that the northern Great Barrier Reef (nGBR) genetic stock dominated in the northern feeding grounds while the southern Great Barrier Reef (sGBR) and Coral Sea stocks dominated in the south, with a changeover of dominating stock occurring between 14 degrees and 20 degrees S. However, at the 3 most northern feeding grounds, we found an unexpected decrease (17-30%) in the proportion of nGBR turtles among small immature turtles relative to large immatures and adults. Four possible hypotheses were explored, with the 2 most plausible being that (1) small immature turtles from the sGBR and other rookeries first settle in nGBR feeding grounds, but later shift to other feeding grounds as they mature, or (2) a reduced hatching success for decades from the main nGBR rookery at Raine Island has resulted in reduced recruitment into the nGBR feeding ground from this stock. These results may indicate an alarming reduction in hatching success at the largest known green turtle rookery in the world.</t>
  </si>
  <si>
    <t>10.3354/meps11521</t>
  </si>
  <si>
    <t>WOS:000370178100017</t>
  </si>
  <si>
    <t>Identifying Catchment-Scale Predictors of Coal Mining Impacts on New Zealand Stream Communities</t>
  </si>
  <si>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</si>
  <si>
    <t>10.1007/s00267-015-0627-5</t>
  </si>
  <si>
    <t>WOS:000370198400016</t>
  </si>
  <si>
    <t>Urban stress is associated with variation in microbial species composition-but not richness-in Manhattan</t>
  </si>
  <si>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</si>
  <si>
    <t>10.1038/ismej.2015.152</t>
  </si>
  <si>
    <t>WOS:000370472500019</t>
  </si>
  <si>
    <t>Temporal dynamics influenced by global change: bee community phenology in urban, agricultural, and natural landscapes</t>
  </si>
  <si>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</si>
  <si>
    <t>10.1111/gcb.13141</t>
  </si>
  <si>
    <t>WOS:000370491400008</t>
  </si>
  <si>
    <t>Influence of exotic horses on the use of water by communities of native wildlife in a semi-arid environment</t>
  </si>
  <si>
    <t>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t>
  </si>
  <si>
    <t>10.1016/j.jaridenv.2015.11.008</t>
  </si>
  <si>
    <t>WOS:000370893900011</t>
  </si>
  <si>
    <t>The ups and downs of coral reef fishes: the genetic characteristics of a formerly severely overfished but currently recovering Nassau grouper fish spawning aggregation</t>
  </si>
  <si>
    <t>The Nassau grouper (Epinephelus striatus) has sustained large declines across its distribution, including extirpation of many of its fish spawning aggregations (FSAs). Within US Virgin Islands (USVI) waters, Nassau grouper FSAs were overfished until their disappearance in the 1970s and 1980s. In the early 2000s, however, Nassau grouper were found gathering at Grammanik Bank, USVI, a mesophotic coral reef adjacent to one of the extinct aggregation sites, and regulatory protective measures were implemented to protect this fledgling FSA. The population genetic dynamics of this rapid FSA deterioration followed by protection-facilitated, incipient recovery are unknown. We addressed two objectives: (1) we explored which factors (i.e., local vs. external recruitment) might be key in shaping the USVI FSA recovery; and (2) we examined the consequences of severe past overfishing on this FSA's current genetic status. We genotyped individuals (15 microsatellites) from the USVI FSA comprising three successive spawning years (2008-2010), as well as individuals from a much larger, presumably less impacted, Nassau grouper FSA in the Cayman Islands, to assess their comparative population dynamics. No population structure was detected between the USVI and Cayman FSAs (F (ST) = -0.0004); however, a temporally waning, genetic bottleneck signal was detected in the USVI FSA. Parentage analysis failed to identify any parent-offspring matches between USVI FSA adults and nearby juveniles, and relatedness analysis showed low levels of genetic relatedness among USVI FSA individuals. Genetic diversity across USVI FSA temporal collections was relatively high, and no marked differences were found between the USVI and Cayman FSAs. These collective results suggest that external recruitment is an important driver of the USVI FSA recovery. Furthermore, despite an apparent genetic bottleneck, the genetic diversity of USVI Nassau grouper has not been severely compromised. Our findings also provide a baseline for future genetic monitoring of the nascent USVI aggregation.</t>
  </si>
  <si>
    <t>10.1007/s00338-015-1370-3</t>
  </si>
  <si>
    <t>WOS:000370955100027</t>
  </si>
  <si>
    <t>Low conservation value of converted habitat for avifauna in tropical peatland on Sumatra, Indonesia</t>
  </si>
  <si>
    <t>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t>
  </si>
  <si>
    <t>10.1007/s11284-016-1334-2</t>
  </si>
  <si>
    <t>WOS:000370957300012</t>
  </si>
  <si>
    <t>Responses of microbial community from tropical pristine coastal soil to crude oil contamination</t>
  </si>
  <si>
    <t>Brazilian offshore crude oil exploration has increased after the discovery of new reservoirs in the region known as pre-sal, in a depth of 7.000 m under the water surface. Oceanic islands near these areas represent sensitive environments, where changes in microbial communities due oil contamination could stand for the loss of metabolic functions, with catastrophic effects to the soil services provided from these locations. This work aimed to evaluate the effect of petroleum contamination on microbial community shifts (Archaea, Bacteria and Fungi) from Trindade Island coastal soils. Microcosms were assembled and divided in two treatments, control and contaminated (weathered crude oil at the concentration of 30 g kg(-1)), in triplicate. Soils were incubated for 38 days, with CO2 measurements every four hours. After incubation, the total DNA was extracted, purified and submitted for target sequencing of 16S rDNA, for Bacteria and Archaea domains and Fungal ITS1 region, using the Illumina MiSeq platform. Three days after contamination, the CO2 emission rate peaked at more than 20x the control and the emissions remained higher during the whole incubation period. Microbial alpha-diversity was reduced for contaminated-samples. Fungal relative abundance of contaminated samples was reduced to almost 40% of the total observed species. Taxonomy comparisons showed rise of the Actinobacteria phylum, shifts in several Proteobacteria classes and reduction of the Archaea class Nitrososphaerales. This is the first effort in acquiring knowledge concerning the effect of crude oil contamination in soils of a Brazilian oceanic island. This information is important to guide any future bioremediation strategy that can be required.</t>
  </si>
  <si>
    <t>10.7717/peerj.1733</t>
  </si>
  <si>
    <t>WOS:000370984200012</t>
  </si>
  <si>
    <t>Harvesting effects on functional structure and composition of tropical invertebrate assemblages</t>
  </si>
  <si>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</si>
  <si>
    <t>10.1093/icesjms/fsv179</t>
  </si>
  <si>
    <t>WOS:000371141600023</t>
  </si>
  <si>
    <t>Diverse Effects of a Seven-Year Experimental Grassland Fragmentation on Major Invertebrate Groups</t>
  </si>
  <si>
    <t>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t>
  </si>
  <si>
    <t>10.1371/journal.pone.0149567</t>
  </si>
  <si>
    <t>WOS:000371221500060</t>
  </si>
  <si>
    <t>Temporal stability of parasite distribution and genetic variability values of Contracaecum osculatum sp D and C. osculatum sp E (Nematoda: Anisakidae) from fish of the Ross Sea (Antarctica)</t>
  </si>
  <si>
    <t>The Ross Sea, Eastern Antarctica, is considered a pristine ecosystem and a biodiversity hotspot scarcely impacted by humans. The sibling species Contracaecum osculatum sp. D and C. osculatum sp. E are anisakid parasites embedded in the natural Antarctic marine ecosystem. Aims of this study were to: identify the larvae of C. osculatum (s. l.) recovered in fish hosts during the XXVII Italian Expedition to Antarctica (2011-2012); perform a comparative analysis of the contemporary parasitic load and genetic variability estimates of C. osculatum sp. D and C. osculatum sp. E with respect to samples collected during the expedition of 1993-1994; to provide ecological data on these parasites. 200 fish specimens (Chionodraco hamatus, Trematomus bernacchii, Trematomus hansoni, Trematomus newnesi) were analysed for Contracaecum sp. larvae, identified at species level by allozyme diagnostic markers and sequences analysis of the mtDNA cox2 gene. Statistically significant differences were found between the occurrence of C. osculatum sp. D and C. osculatum sp. E in different fish species. C. osculatum sp. E was more prevalent in T. bernacchii; while, a higher percentage of C. osculatum sp. D occurred in Ch. hamatus and T. hansoni. The two species also showed differences in the host infection site: C. osculatum sp. D showed higher percentage of infection in the fish liver. High genetic variability values at both nuclear and mitochondrial level were found in the two species in both sampling periods. The parasitic infection levels by C. osculatum sp. D and sp. E and their estimates of genetic variability showed no statistically significant variation over a temporal scale (2012 versus 1994). This suggests that the low habitat disturbance of the Antarctic region permits the maintenance of stable ecosystem trophic webs, which contributes to the maintenance of a large populations of anisakid nematodes with high genetic variability. (C) 2015 The Authors. Published by Elsevier Ltd on behalf of Australian Society for Parasitology.</t>
  </si>
  <si>
    <t>10.1016/j.ijppaw.2015.10.004</t>
  </si>
  <si>
    <t>WOS:000371441100013</t>
  </si>
  <si>
    <t>Corticolous lichens as environmental indicators of natural sulphur emissions near the sulphur mine El Vinagre (Cauca, Colombia)</t>
  </si>
  <si>
    <t>The aim of this study was to evaluate the spatial effect of a natural source of sulphur pollution on the species diversity, richness and distribution of corticolous lichens in a paramo zone at the mine 'El Vinagre' (Purace, Cauca, Colombia). Three zones at different distances from the pollution source were established: zone 1 with a high degree of contamination, a potentially mildly affected or transitional zone 2, and a zone 3 free of disturbance. In each zone, 10 phorophytes of Weinmannia microphylla (Cunoniaceae) were sampled, and all lichens in a 150 cm vertical transect 50 cm above the ground were collected and identified. Phorophyte parameters were measured (bark pH and diameter at breast height) and the samples were georeferenced. In order to evaluate the impact on lichens, non-metric multidimensional scaling (NMS) and indicator species analysis were carried out. ANOVA and Spearman correlations were performed to assess the relationships of environmental and tree variables between zones and with lichen community structure. The index of atmospheric purity (IAP) and the environmental rating factor (FCA) were evaluated for the three zones. In total, 104 lichen species were recorded, of which 72 were identified to species, 17 to genus, and four to family; 11 samples could not be identified. NMS clustered samples according to zone and the main axis which were correlated with bark pH and distance from pollution source. We found eight indicator species characterizing different zones, and four marginally significant indicator species. Using the IAP, we established three isocontamination areas, with zones 2 and 3 classified as more or less pristine zones and zone 1 as a polluted zone (supported by bark pH as a proxy for current pollution). Diversity was lowest in zone 1, closest to the pollution source, and lichen species composition differed between zones. Differences between lichens in zones 2 and 3 appear mostly unrelated to the current pollution source and might be more related to historical differences in impact from a 20-year-old pollution source.</t>
  </si>
  <si>
    <t>10.1017/S0024282915000535</t>
  </si>
  <si>
    <t>WOS:000371635200006</t>
  </si>
  <si>
    <t>Lower selfing rates in metallicolous populations than in non-metallicolous populations of the pseudometallophyte Noccaea caerulescens (Brassicaceae) in Southern France</t>
  </si>
  <si>
    <t>Background and Aims The pseudometallophyte Noccaea caerulescens is an excellent model to study evolutionary processes, as it grows both on normal and on heavy-metal-rich, toxic soils. The evolution and demography of populations are critically impacted by mating system and, yet, information about the N. caerulescens mating system is limited. Methods Mean selfing rates were assessed using microsatellite loci and a robust estimation method (RMES) in five metallicolous and five non-metallicolous populations of N. caerulescens in Southern France, and this measure was replicated for two successive reproductive seasons. As a part of the study, the patterns of gene flow among populations were analysed. The mating system was then characterized at a fine spatial scale in three populations using the MLTR method on progeny arrays. Key Results The results confirm that N. caerulescens has a mixed mating system, with selfing rates ranging from 0 center dot 2 to 0 center dot 5. Selfing rates did not vary much among populations within ecotypes, but were lower in the metallicolous than in the non-metallicolous ecotype, in both seasons. Effective population size was also lower in non-metallicolous populations. Biparental inbreeding was null to moderate. Differentiation among populations was generally high, but neither ecotype nor isolation by distance explained it. Conclusions The consequences of higher selfing rates on adaptation are expected to be weak to moderate in non-metallicolous populations and they are expected to suffer less from inbreeding depression, compared to metallicolous populations.</t>
  </si>
  <si>
    <t>10.1093/aob/mcv191</t>
  </si>
  <si>
    <t>WOS:000371690500012</t>
  </si>
  <si>
    <t>Nematode communities as indicators of the status of a soil ecosystem influenced by mining practices in Brazil</t>
  </si>
  <si>
    <t>This study evaluated the effects of mining practices using soil nematodes as bioindicators. Soil samples represented four different subsystems found in the CeBio Research Center, including natural/undisturbed (rainforest (RF) and savannah (SA)) and disturbed (Eucalyptus spp. (EU) and grassland (GR)) subsystems. Ecological descriptors S (3.5-9.5), d (1.22-4.23) and MI (1.9-3.23) significantly differentiated the subsystem GR (high impact) from the other subsystems. Additionally, poorly covered soil (i.e., subsystem GR) negatively influenced the composition of nematode assemblages, and primarily so for nematodes with high c-p values. Among soil variables, pH strongly influenced the distribution of soil nematodes, negatively affecting the abundance of all c-p groups and diversity of nematodes. On the other hand, pH also positively affected FF and PP trophic groups in the subsystem GR. The similarity of subsystem EU and natural subsystems (RF and SA) suggests that soil restoration with Eucalyptus spp. appears to be an adequate management practice to promote the recovery of areas subjected to mining practices.</t>
  </si>
  <si>
    <t>10.1163/15685411-00002958</t>
  </si>
  <si>
    <t>WOS:000371994700002</t>
  </si>
  <si>
    <t>Genomewide introgressive hybridization patterns in wild Atlantic salmon influenced by inadvertent gene flow from hatchery releases</t>
  </si>
  <si>
    <t>Many salmonid fish populations are threatened by genetic homogenization, primarily due to introgressive hybridization with hatchery-reared conspecifics. By applying genomewide analysis using two molecular marker types (1986 SNPs and 17 microsatellites), we assessed the genetic impacts of inadvertent gene flow via straying from hatchery releases on wild populations of Atlantic salmon in the Gulf of Finland, Baltic Sea, over 16years (1996-2012). Both microsatellites and SNPs revealed congruent population genetic structuring, indicating that introgression changed the genetic make-up of wild populations by increasing genetic diversity and reducing genetic divergence. However, the degree of genetic introgression varied among studied populations, being higher in the eastern part and lower in the western part of Estonia, which most likely reflects the history of past stocking activities. Using kernel smoothing and permutation testing, we detected considerable heterogeneity in introgression patterns across the genome, with a large number of regions exhibiting nonrandom introgression widely dispersed across the genome. We also observed substantial variation in nonrandom introgression patterns within populations, as the majority of genomic regions showing elevated or reduced introgression were not consistently detected among temporal samples. This suggests that recombination, selection and stochastic processes may contribute to complex nonrandom introgression patterns. Our results suggest that (i) some genomic regions in Atlantic salmon are more vulnerable to introgressive hybridization, while others show greater resistance to unidirectional gene flow; and (ii) the hybridization of previously separated populations leads to complex and dynamic nonrandom introgression patterns that most likely have functional consequences for indigenous populations.</t>
  </si>
  <si>
    <t>10.1111/mec.13570</t>
  </si>
  <si>
    <t>WOS:000372253800005</t>
  </si>
  <si>
    <t>Assessing temporal genetic variation in a cougar population: influence of harvest and neighboring populations</t>
  </si>
  <si>
    <t>The geography of the Black Hills region of South Dakota and Wyoming may limit connectivity for many species. For species with large energetic demands and large home ranges or species at low densities this can create viability concerns. Carnivores in this region, such as cougars (Puma concolor), have the additive effect of natural and human-induced mortality; this may act to decrease long-term viability. In this study we set out to explore genetic diversity among cougar populations in the Black Hills and surrounding areas. Specifically, our objectives were to first compare genetic variation and effective number of breeders of cougars in the Black Hills during three harvest regimes: pre (2003-2006), moderate (2007-2010), and heavy (2011-2013), to determine if harvest impacted genetic variation. Second, we compared genetic structure of the Black Hills cougar population with cougar populations in neighboring eastern Wyoming and North Dakota. Using 20 microsatellite loci, we conducted genetic analysis on DNA samples from cougars in the Black Hills (n = 675), North Dakota (n = 113), and eastern Wyoming (n = 62) collected from 2001-2013. Here we report that the Black Hills cougar population maintained genetic variation over the three time periods. Our substructure analysis suggests that the maintenance of genetic variation was due to immigration from eastern Wyoming and possibly North Dakota.</t>
  </si>
  <si>
    <t>10.1007/s10592-015-0790-5</t>
  </si>
  <si>
    <t>WOS:000372278400012</t>
  </si>
  <si>
    <t>Stable populations in unstable habitats: temporal genetic structure of the introduced ascidian Styela plicata in North Carolina</t>
  </si>
  <si>
    <t>The analysis of temporal genetic variability is an essential yet largely neglected tool to unveil and predict the dynamics of introduced species. We here describe the temporal genetic structure and diversity over time of an introduced population of the ascidian Styela plicata (Lesueur, 1823) in Wilmington (North Carolina, USA, 34 08/24N, 77 5144W). This population suffers important salinity and temperature changes, and in June every year we observed massive die -offs, leaving free substratum that was recolonized within a month. We sampled 12-14 individuals of S. plicata every 2 months from 2007 to 2009 (N = 196) and analyzed a mitochondrial marker (the gene cytochrome oxidase subunit I, COI) and seven nuclear microsatellites. Population genetic analyses showed similar results for both types of markers and revealed that most of the genetic variation was found within time periods. However, analyses conducted with microsatellite loci also showed weak but significant differences among time periods. Specifically, in the samplings after die-off episodes (August November 2007 and 2008) the genetic diversity increased, the inbreeding coefficient showed prominent drops, and there was a net gain of alleles in the microsatellite loci. Taken together, our results suggest that recruits arriving from neighboring populations quickly occupied the newly available space, bringing new alleles with them. However, other shifts in genetic diversity and allele loss and gain episodes were observed in December January and February March 2008, respectively, and were apparently independent of die-off events. Overall, our results indicate that the investigated population is stable over time and relies on a periodic arrival of larvae from other populations, maintaining high genetic diversity and a complex interplay of allele gains and losses.</t>
  </si>
  <si>
    <t>10.1007/s00227-016-2829-7</t>
  </si>
  <si>
    <t>WOS:000372302600015</t>
  </si>
  <si>
    <t>Investigating trends in the growth of five demersal fish species from the Firth of Clyde and the wider western shelf of Scotland</t>
  </si>
  <si>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</si>
  <si>
    <t>10.1016/j.fishres.2016.01.005</t>
  </si>
  <si>
    <t>WOS:000372378600009</t>
  </si>
  <si>
    <t>Impact of offshore gas platforms on the structural and functional biodiversity of nematodes</t>
  </si>
  <si>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</si>
  <si>
    <t>10.1016/j.marenvres.2016.02.001</t>
  </si>
  <si>
    <t>WOS:000372557500007</t>
  </si>
  <si>
    <t>Coupling Demographic and Genetic Variability from Archived Collections of European Anchovy (Engraulis encrasicolus)</t>
  </si>
  <si>
    <t>It is well known that temporal fluctuations in small populations deeply influence evolutionary potential. Less well known is whether fluctuations can influence the evolutionary potentials of species with large census sizes. Here, we estimated genetic population parameters from as survey of polymorphic microsatellite DNA loci in archived otoliths from Adriatic European anchovy (Engraulis encrasicolus), a fish with large census sizes that supports numerous local fisheries. Stocks have fluctuated greatly over the past few decades, and the Adriatic fishery collapsed in 1987. Our results show a significant reduction of mean genetic parameters as a consequence of the population collapse. In addition, estimates of effective population size (N-e) are much smaller than those expected in a fishes with large population census sizes (N-c). Estimates of N-e indicate low effective population sizes, even before the population collapse. The ratio N-e/N-e ranged between 10(-6) and 10(-8), indicating a large discrepancy between the anchovy gene pool and population census size. Therefore, anchovy populations may be more vulnerable to fishery effort and environmental change than previously thought.</t>
  </si>
  <si>
    <t>10.1371/journal.pone.0151507</t>
  </si>
  <si>
    <t>WOS:000372574900089</t>
  </si>
  <si>
    <t>Combined effects of drought and the fungicide tebuconazole on aquatic leaf litter decomposition</t>
  </si>
  <si>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</si>
  <si>
    <t>10.1016/j.aquatox.2016.01.012</t>
  </si>
  <si>
    <t>WOS:000372689900013</t>
  </si>
  <si>
    <t>Macroinvertebrate diversity loss in urban streams from tropical forests</t>
  </si>
  <si>
    <t>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t>
  </si>
  <si>
    <t>10.1007/s10661-016-5237-z</t>
  </si>
  <si>
    <t>WOS:000372750100036</t>
  </si>
  <si>
    <t>Drifting to oblivion? Rapid genetic differentiation in an endangered lizard following habitat fragmentation and drought</t>
  </si>
  <si>
    <t>Aim The frequency and severity of habitat alterations and disturbance are predicted to increase in upcoming decades, and understanding how disturbance affects population integrity is paramount for adaptive management. Although rarely is population genetic sampling conducted at multiple time points, pre- and post-disturbance comparisons may provide one of the clearest methods to measure these impacts. We examined how genetic properties of the federally threatened Coachella Valley fringe-toed lizard (Uma inornata) responded to severe drought and habitat fragmentation across its range. Location Coachella Valley, California, USA. Methods We used 11 microsatellites to examine population genetic structure and diversity in 1996 and 2008, before and after a historic drought. We used Bayesian assignment methods and F-statistics to estimate genetic structure. We compared allelic richness across years to measure loss of genetic diversity and employed approximate Bayesian computing methods and heterozygote excess tests to explore the recent demographic history of populations. Finally, we compared effective population size across years and to abundance estimates to determine whether diversity remained low despite post-drought recovery. Results Genetic structure increased between sampling periods, likely as a result of population declines during the historic drought of the late 1990s-early 2000s, and habitat loss and fragmentation that precluded post-drought genetic rescue. Simulations supported recent demographic declines in 3 of 4 main preserves, and in one preserve, we detected significant loss of allelic richness. Effective population sizes were generally low across the range, with estimates &lt;= 100 in most sites. Main conclusions Fragmentation and drought appear to have acted synergistically to induce genetic change over a short time frame. Progressive deterioration of connectivity, low Ne and measurable loss of genetic diversity suggest that conservation efforts have not maintained the genetic integrity of this species. Genetic sampling over time can help evaluate population trends to guide management.</t>
  </si>
  <si>
    <t>10.1111/ddi.12398</t>
  </si>
  <si>
    <t>WOS:000372882700009</t>
  </si>
  <si>
    <t>Microbial diversity in the floral nectar of Linaria vulgaris along an urbanization gradient</t>
  </si>
  <si>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</si>
  <si>
    <t>10.1186/s12898-016-0072-1</t>
  </si>
  <si>
    <t>WOS:000373186800001</t>
  </si>
  <si>
    <t>Chemical multi-contamination drives benthic prokaryotic diversity in the anthropized Toulon Bay</t>
  </si>
  <si>
    <t>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t>
  </si>
  <si>
    <t>10.1016/j.scitotenv.2016.02.038</t>
  </si>
  <si>
    <t>WOS:000373278700032</t>
  </si>
  <si>
    <t>Benthic assemblages, biodiversity and invasiveness in marinas and commercial harbours: an investigation using a bioindicator group</t>
  </si>
  <si>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</si>
  <si>
    <t>10.1080/08927014.2016.1151500</t>
  </si>
  <si>
    <t>WOS:000373313200010</t>
  </si>
  <si>
    <t>Strong differences in Quercus robur-associated ectomycorrhizal fungal communities along a forest-city soil sealing gradient</t>
  </si>
  <si>
    <t>Ectomycorrhizal fungi (EM) that associate with tree roots in a symbiotic relationship may be crucial in mediating tree health in urban environments, but research on the effects of urbanization on EM communities is very limited so far. Here, we compared EM communities of adult pedunculate oaks (Quercus robur) between urban and forest environments, and assessed the effect of soil sealing around the trees on their EM community composition and EM diversity. We sampled 32 oak individuals across 4 sampling classes (Street, Lane, Park and Forest), and we characterized their EM communities using 454 amplicon pyrosequencing. The EM communities were not nested but they were significantly different between all sampling classes, with a very strong community differentiation between forest and urban trees. There were indications that EM richness declined with increasing sealed soil surface, with a significant effect of sampling class on estimated EM richness and diversity. We also identified indicator EM of the different sampling classes. The most important soil factor affecting EM community composition was pH, followed by plant available phosphorus, total nitrogen content and organic matter. Our results may have important implications when developing EM inocula for managing tree health in urban environments. (C) 2015 Elsevier Ltd and The British Mycological Society. All rights reserved.</t>
  </si>
  <si>
    <t>10.1016/j.funeco.2015.12.002</t>
  </si>
  <si>
    <t>WOS:000373539100013</t>
  </si>
  <si>
    <t>Genetic and Demographic Insights into the Decline of a Captive Population of the Endangered Hawaiian Tree Snail Achatinella fuscobasis (Achatinellinae)</t>
  </si>
  <si>
    <t>Hawaiian tree snails in subfamily Achatinellinae have experienced drastic population declines and range reductions as a result of habitat destruction, overcollection, and introduced predators. In 1991,11 individuals from one of the last remaining populations of Achatinella fuscobasis, a federally listed species, were brought to the University of Hawai'i's tree-snail captive-rearing facility. After increasing in population size to 441 snails in 2005, the population subsequently declined to only 120 snails by 2014, a 73% reduction. In this study, we assessed demographic and genetic changes that occurred in the captive-bred population of A. fuscobasis. Demographic data were compared to genetic data collected from 11 microsatellite markers for the F-1 to F-3 generations to investigate the role bottleneck effects such as loss of genetic diversity and inbreeding may have had on the population decline. Demographic measures such as juvenile survival and survival to maturity remained constant for the F-1 and F-2 generations, and significantly decreased in the F-3 generation. There was no difference in genetic diversity measures such as allelic richness, gene diversity, and observed heterozygosity among generations, but all generations were characterized by low genetic diversity and high inbreeding. The drastic population decline appears to have been due to stochastic demographic dynamics characteristic of small populations, with bottleneck effects that occurred before the founding of the ex situ population acting in synergy with factors such as disease.</t>
  </si>
  <si>
    <t>10.2984/70.2.1</t>
  </si>
  <si>
    <t>WOS:000373647400001</t>
  </si>
  <si>
    <t>Loss of genetic diversity and reduction of genetic distance among lake trout Salvelinus namaycush ecomorphs, Lake Superior 1959 to 2013</t>
  </si>
  <si>
    <t>North America's northern lakes are undergoing major changes. Lake Superior is the coldest and northernmost of the Laurentian Great Lakes. Here, we present an extension of a long-term data set that monitors genetic and phenotypic diversity of lake trout Salvelinus namaycush in Lake Superior. Hypotheses were investigated pertaining to loss of genetic diversity and genetic homogenization among three lake trout ecomorphs in Lake Superior during their recovery several decades after a major fishery collapse in the early 1960s. Comparison of a contemporary (2004-2013) microsatellite DNA data set to a previously published, post-collapse recovery period data set (1995-1999) indicated substantive losses in genetic diversity. Allelic richness decreased by 5.7%, 12.3%, and 6.8% at Isle Royale, Stannard Rock, and Klondike Reef, respectively. A 60.7% reduction in genetic distance among ecomorphs since the 1990s was detected. Comparisons with a third data set of samples collected during the fishery collapse (1959) indicated an overall 18.2% loss in allelic richness at Isle Royale. The amount of introgression among ecomorphs has likely increased over time. Apparent losses in genetic diversity could be a consequence of historical fishery harvests (early 1900s) exacerbated by intensive stocking (1950s-1980s) and invasions of non-native species (1960s-1990s). Overlap in foraging and breeding areas may have contributed to increasing levels of hybridization among ecomorphs. Knowledge of these processes will help to identify impediments and strategies for the maintenance of lake trout biodiversity in northern Great Lakes, and their re-establishment in the Laurentian Great Lakes. (C) 2016 The Authors. Published by Elsevier B.V. on behalf of International Association for Great Lakes Research.</t>
  </si>
  <si>
    <t>10.1016/j.jglr.2016.02.001</t>
  </si>
  <si>
    <t>WOS:000373651100005</t>
  </si>
  <si>
    <t>Spatio-temporal genetic structure of the rodent Calomys venustus in linear, fragmented habitats</t>
  </si>
  <si>
    <t>Studies about habitat fragmentation, in terms of how it affects gene flow and genetic variability, have traditionally been conducted on island-like systems in which the remaining habitats form patches embedded in a matrix. However, in agroecosystems, remaining habitats usually form linear strips along fence lines, roads, and water courses (border habitats). We used the rodent Calomys venustus, a species inhabiting borders in central Argentina agroecosystems, as a model to address how genetic variability is structured in linear habitats. A total of 359 rodents were captured seasonally from spring 2005 to winter 2006. Genetic variability at microsatellite loci was uniformly high, despite significant variation in population size during the sampling period. Genetic differentiation, spatial autocorrelation, and causal modeling analyses suggested that dispersion patterns in this species depend mainly on geographic distance, with unfavorable habitat like dirt roads and crop fields posing only weak (or no) resistance to dispersal. Small-scale spatial genetic structure was related to different space use patterns by females and males. Our results showed that, although greatly reduced in area, border habitats can support stable populations of species without loss of either variability or genetic connectivity.</t>
  </si>
  <si>
    <t>10.1093/jmammal/gyv186</t>
  </si>
  <si>
    <t>WOS:000373722700008</t>
  </si>
  <si>
    <t>Historical population size of the threatened New Zealand sea lion Phocarctos hookeri</t>
  </si>
  <si>
    <t>Marine mammal species were exploited worldwide during periods of commercial sealing in the 18th and 19th centuries. For many of these species, an estimate of the pre-exploitation abundance of the species is lacking, as historical catch records are generally scarce and inaccurate. Genetic estimates of long-term effective population size provide a means to estimate the pre-exploitation abundance. Here, we apply genetic methods to estimate the long-term effective population size of the subantarctic lineage of the New Zealand sea lion (NZ sea lion), Phocarctos hookeri. This species is predominantly restricted to the subantarctic islands, south of mainland New Zealand, following commercial sealing in the 19th century. Today, the population consists of similar to 9,880 animals and population growth is slow. Auckland Island breeding colonies of NZ sea lion are currently impacted by commercial trawl fisheries via regular sea lion deaths as bycatch. In order to estimate sustainable levels of bycatch, an estimate of the population's carrying capacity (K) is required. We apply the genetically estimated long-term effective population size of NZ sea lions as a proxy for the estimated historical carrying capacity of the subantarctic population. The historical abundance of subantarctic NZ sea lions was significantly higher than the target values of K employed by the contemporary management. The current management strategy may allow unsustainable bycatch levels, thereby limiting the recovery of the NZ sea lion population toward historical carrying capacity.</t>
  </si>
  <si>
    <t>10.1093/jmammal/gyv187</t>
  </si>
  <si>
    <t>WOS:000373722700009</t>
  </si>
  <si>
    <t>Phenotypic and genotypic changes in French populations of Phytophthora infestans: are invasive clones the most aggressive?</t>
  </si>
  <si>
    <t>The main objective of this investigation was to test the always more aggressive' hypothesis, often advocated to explain lineage replacements in clonal populations of the potato late blight oomycete Phytophthora infestans. To this end, genotypic and pathogenicity data on 1274 French isolates of P. infestans, collected over the period 2001-2008, were analysed. Overall, the populations sampled showed limited genetic diversity, with four multilocus lineages (1_A1, 2_A1, 8_A1 and 13_A2) accounting for over 80% of the isolates collected. As in other West European countries, drastic changes in these dominant clonal lineages were observed over the course of the 8years, particularly in the appearance and propagation of the clone 13_A2. However, invasiveness of clones was not associated with higher aggressiveness; on the contrary, dominant clones had generally low or moderate aggressiveness relative to others present at the same time within the same populations. This finding challenges the link between invasive behaviour and increased aggressiveness often assumed for this biotrophic pathogen, and could reflect the existence of a trade-off between intra-season and inter-season transmission. This would be consistent with the concept of inclusive fitness, which involves the abilities to both reproduce and survive.</t>
  </si>
  <si>
    <t>10.1111/ppa.12441</t>
  </si>
  <si>
    <t>WOS:000373943900007</t>
  </si>
  <si>
    <t>Consequences of agroindustrial sugarcane production to freshwater biodiversity</t>
  </si>
  <si>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</si>
  <si>
    <t>10.1111/gcbb.12279</t>
  </si>
  <si>
    <t>WOS:000374060500011</t>
  </si>
  <si>
    <t>Mixture or mosaic? Genetic patterns in UK grey squirrels support a human-mediated long-jump' invasion mechanism</t>
  </si>
  <si>
    <t>AimClarifying whether multiple introductions of a species remain relatively isolated or merge and interbreed is essential for understanding the dynamics of invasion processes. Multiple introductions from different sources can result in a mixture of genetically distinct populations, increasing the total genetic diversity. This mixing can resolve the genetic paradox', whereby in spite of the relatively small numbers of introduced individuals, the augmented diversity due to this mixing increases adaptability and the ability of the species to spread in new environments. Here, we aim to assess whether the expansion of a successful invader, the Eastern grey squirrel, was partly driven by the merger of multiple introductions and the effects of such a merger on diversity. LocationUK, Ireland. MethodsWe analysed the genetic variation at 12 microsatellite loci of 381 individuals sampled from one historical and 14 modern populations of grey squirrels. ResultsOur data revealed that current UK population structure resembles a mosaic, with minimal interpopulation mixing and each element reflecting the genetic make-up of historic introductions. The genetic diversity of each examined population was lower than a US population or a historical UK population. Numbers of releases in a county did not correlate with county-level genetic diversity. Inbreeding coefficients remain high, and effective population sizes remain small. Main conclusionsOur results support the conclusion that rapid and large-scale expansion in this species in the UK was not driven by a genetic mixing of multiple introduced populations with a single expansion front, but was promoted by repeated translocations of small propagules. Our results have implications for the management of grey squirrels and other invasive species and also demonstrate how invaders can overcome the genetic paradox, if spread is facilitated by human-mediated dispersal.</t>
  </si>
  <si>
    <t>10.1111/ddi.12424</t>
  </si>
  <si>
    <t>WOS:000374158100007</t>
  </si>
  <si>
    <t>Light pollution at stadiums favors urban exploiter bats</t>
  </si>
  <si>
    <t>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t>
  </si>
  <si>
    <t>10.1111/acv.12220</t>
  </si>
  <si>
    <t>WOS:000374563900007</t>
  </si>
  <si>
    <t>Genetic variation at the MHC DRB1 locus is similar across Gunnison's prairie dog (Cynomys gunnisoni) colonies regardless of plague history</t>
  </si>
  <si>
    <t>Yersinia pestis was introduced to North America around 1900 and leads to nearly 100% mortality in prairie dog (Cynomys spp.) colonies during epizootic events, which suggests this pathogen may exert a strong selective force. We characterized genetic diversity at an MHC class II locus (DRB1) in Gunnison's prairie dog (C. gunnisoni) and quantified population genetic structure at the DRB1 versus 12 microsatellite loci in three large Arizona colonies. Two colonies, Seligman (SE) and Espee Ranch (ES), have experienced multiple plague-related die-offs in recent years, whereas plague has never been documented at Aubrey Valley (AV). We found fairly low allelic diversity at the DRB1 locus, with one allele (DRB1*01) at high frequency (0.67-0.87) in all colonies. Two other DRB1 alleles appear to be trans-species polymorphisms shared with the black-tailed prairie dog (C. ludovicianus), indicating that these alleles have been maintained across evolutionary time frames. Estimates of genetic differentiation were generally lower at the MHC locus (F-ST = 0.033) than at microsatellite markers (F-ST = 0.098). The reduced differentiation at DRB1 may indicate that selection has been important for shaping variation at MHC loci, regardless of the presence or absence of plague in recent decades. However, genetic drift has probably also influenced the DRB1 locus because its level of differentiation was not different from that of microsatellites in an F-ST outlier analysis. We then compared specific MHC alleles to plague survivorship in 60 C. gunnisoni that had been experimentally infected with Y. pestis. We found that survival was greater in individuals that carried at least one copy of the most common allele (DRB1* 01) compared to those that did not (60% vs. 20%). Although the sample sizes of these two groups were unbalanced, this result suggests the possibility that this MHC class II locus, or a nearby linked gene, could play a role in plague survival.</t>
  </si>
  <si>
    <t>10.1002/ece3.2077</t>
  </si>
  <si>
    <t>WOS:000374568300031</t>
  </si>
  <si>
    <t>Impact of mining and industrial pollution on stream macroinvertebrates: importance of taxonomic resolution, water geochemistry and EPT indices for impact detection</t>
  </si>
  <si>
    <t>This study investigated freshwater macroinvertebrate communities in waterways contaminated by active and abandoned mining and industrial activities in order to ascertain any impact on freshwater ecosystems. We compared macroinvertebrate communities at the species, family and order levels of taxonomic resolution. We also collected water samples to compare ionic composition and metal concentrations from waste-affected and reference (non-affected) sites. In addition to assessing ecological impairment, the study also sought to determine whether the degree of sensitivity in detecting any impairment varied according to the taxonomic level of identification used. We calculated the biotic indices of EPT richness and taxonomic richness at the species, family and order levels, and performed multivariate analyses to measure differences in community structure at all three levels. We found significant differences in both biotic indices and macroinvertebrate community structure at each taxonomic level, indicating ecological impairment at waste-affected sites. We also concluded that the most appropriate taxonomic level for evaluating macroinvertebrates depends on the information required. In this study, the family level provided the clearest assessment of ecological impairment at waterways affected by mining and/or industrial wastes, and order-level data provided only a marginally less sensitive measure of this impairment.</t>
  </si>
  <si>
    <t>10.1007/s10750-016-2644-7</t>
  </si>
  <si>
    <t>WOS:000374689000008</t>
  </si>
  <si>
    <t>Temporal- and density-dependent impacts of an invasive plant on pollinators and pollination services to a native plant</t>
  </si>
  <si>
    <t>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t>
  </si>
  <si>
    <t>10.1002/ecs2.1233</t>
  </si>
  <si>
    <t>WOS:000374896300007</t>
  </si>
  <si>
    <t>Impact of introduced herbivores on understory vegetation along a regional moisture gradient in Patagonian beech forests</t>
  </si>
  <si>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</si>
  <si>
    <t>10.1016/j.foreco.2016.01.035</t>
  </si>
  <si>
    <t>WOS:000375161100002</t>
  </si>
  <si>
    <t>Post-fire logging produces minimal persistent impacts on understory vegetation in northeastern Oregon, USA</t>
  </si>
  <si>
    <t>Post-fire forest management commonly requires accepting some negative ecological impacts from management activities in order to achieve management objectives. Managers need to know, however, whether ecological impacts from post-fire management activities are transient or cause long-term ecosystem degradation. We studied the long-term response of understory vegetation to two post-fire logging treatments- commercial salvage logging with and without additional fuel reduction logging- on a long-term post-fire logging experiment in northeastern Oregon, USA. We sampled understory plant cover and species diversity on 10-11 sampling plots within each of nine experimental treatment units to see if post-fire logging treatments produced any lasting effects on understory plant cover, species diversity, community composition, or exotic species cover. Post-fire logging treatments produced no significant effects on understory vegetation cover, diversity, or community composition 15 years after treatment. We found no significant treatment effects on graminoid, forb, woody plant, or exotic plant cover and species richness, and differences among treatment means were generally small. Differences in treatment means were larger at the individual species level, but were only statistically significant for one native grass, California brome (Bromus carinatus), which responded differently to the two logging treatments. Multivariate analysis of understory plant communities across 91 sample plots found two major gradients in understory plant community composition, one correlated with regenerating forest (sapling) density and one correlated with residual overstory tree density, suggesting that initial fire severity (tree mortality) and post-fire regeneration may have greater long-term impacts on post-fire understory vegetation than post-fire logging. This study demonstrates that understory vegetation can be resilient to post-fire logging, particularly when best management practices, like logging over snow, are used to limit damage to soils and understory vegetation. Further research is needed to establish the generality of our results and to identify sources of variability in understory plant community responses to wildfire and post fire logging. If further research confirms our findings, post-fire logging debates will be able to focus more on how to mitigate short-term disturbance impacts and manage fire-killed trees to meet wildlife habitat, fuel reduction, and economic objectives, and less on concerns over long-term ecosystem degradation. Published by Elsevier B.V.</t>
  </si>
  <si>
    <t>10.1016/j.foreco.2016.04.004</t>
  </si>
  <si>
    <t>WOS:000375164100006</t>
  </si>
  <si>
    <t>Selective logging: does the imprint remain on tree structure and composition after 45 years?</t>
  </si>
  <si>
    <t>Selective logging of tropical forests is increasing in extent and intensity. The duration over which impacts of selective logging persist, however, remains an unresolved question, particularly for African forests. Here, we investigate the extent to which a past selective logging event continues to leave its imprint on different components of an East African forest 45 years later. We inventoried 2358 stems &gt;= 10 cm in diameter in 26 plots (200 m x 10 m) within a 5.2 ha area in Kibale National Park, Uganda, in logged and unlogged forest. In these surveys, we characterized the forest light environment, taxonomic composition, functional trait composition using three traits (wood density, maximum height and maximum diameter) and forest structure based on three measures (stem density, total basal area and total above-ground biomass). In comparison to unlogged forests, selectively logged forest plots in Kibale National Park on average had higher light levels, different structure characterized by lower stem density, lower total basal area and lower above-ground biomass, and a distinct taxonomic composition driven primarily by changes in the relative abundance of species. Conversely, selectively logged forest plots were like unlogged plots in functional composition, having similar community-weighted mean values for wood density, maximum height and maximum diameter. This similarity in functional composition irrespective of logging history may be due to functional recovery of logged forest or background changes in functional attributes of unlogged forest. Despite the passage of 45 years, the legacy of selective logging on the tree community in Kibale National Park is still evident, as indicated by distinct taxonomic and structural composition and reduced carbon storage in logged forest compared with unlogged forest. The effects of selective logging are exerted via influences on tree demography rather than functional trait composition.</t>
  </si>
  <si>
    <t>10.1093/conphys/cov012</t>
  </si>
  <si>
    <t>WOS:000375196300001</t>
  </si>
  <si>
    <t>No loss of genetic diversity in the exploited and recently collapsed population of Bay of Biscay anchovy (Engraulis encrasicolus, L.)</t>
  </si>
  <si>
    <t>The European anchovy, Engraulis encrasicolus, in the Bay of Biscay suffered a collapse in census population size (N-c) starting in 2002, from which it did not recover until 2010. The slow recovery raised concern over sustainability, potential reduction in adaptive potential, and vulnerability to local extirpation. Long- and short-term effective population size (Ne), N-e/N-c ratio, and other genetic parameters were estimated to evaluate demographic signals of population decline. A total of 349 neutral single-nucleotide polymorphisms (SNPs) were screened in 330 anchovy individuals from the Bay of Biscay distributed across a 20-year period. We show that N-c fluctuations have not significantly affected short-term N-e, and therefore, genetic diversity has remained stable throughout the recent collapse. This study illustrates that N-e estimates should be incorporated into management plans. Our results on short-term N-e suggested that the anchovy in the Bay of Biscay has not faced any recent severe threat of losing evolutionary potential due to genetic drift. However, differences between short- and long-term N-e estimates suggested that the Bay of Biscay anchovy population may be currently much smaller than in the historical past.</t>
  </si>
  <si>
    <t>10.1007/s00227-016-2866-2</t>
  </si>
  <si>
    <t>WOS:000375330500005</t>
  </si>
  <si>
    <t>Effects of agricultural fragmentation on the bird community in sagebrush shrubsteppe</t>
  </si>
  <si>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</si>
  <si>
    <t>10.1016/j.agee.2016.03.011</t>
  </si>
  <si>
    <t>WOS:000375337400029</t>
  </si>
  <si>
    <t>Reorganization of taxonomic, functional, and phylogenetic ant biodiversity after conversion to rubber plantation</t>
  </si>
  <si>
    <t>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t>
  </si>
  <si>
    <t>10.1890/15-1464.1</t>
  </si>
  <si>
    <t>WOS:000375376400004</t>
  </si>
  <si>
    <t>Genetic inference of demographic connectivity in the Atlantic European hake metapopulation (Merluccius merluccius) over a spatio-temporal framework</t>
  </si>
  <si>
    <t>Once the metapopulation structure of the European hake (Merluccius merluccius) has been outlined, temporal stability of its stock units and their connectivity pattern are key factors to understand its population dynamics and design appropriate management policies. Using five microsatellite markers from the European hake and an extensive sampling coverage within stocks, we have tested the connectivity pattern between the two managed fish stocks of this species, the Northern stock and the Southern stock, over the last decade. On the spatial domain, the non-significant genetic variance between stocks (F-CT = 0.001, k=1 gene pools) as opposed to the low but significant divergence within stocks (F-SC = 0.008) suggests that demographic exchange occurs between stocks. On the temporal domain, the non-significant variation among years (F-CT &lt; 0.001) suggests that the genetic background within the Atlantic hake metapopulation did not change significantly over the last decade. The pattern of connectivity observed fits a classic Wright continuum model and the negative correlation between restriction to gene flow (F-ST) and migration rate (m) responds closely to theoretical expectations. No evidence of stable differences in gene diversity was observed between stocks, what is consistent with an intermittent and variable intensity of bi-directionally exchange between them. The current pattern of connectivity indicates that uncoupling exists between actual management areas and the genetic commonality within this metapopulation. Nevertheless, the geographic segregation and the relative demographic independence of both stocks advocate for considering two sub-management units. A subsidiary stock assessment capable of modelling fishing effort upon stock interdependence would add up for their sustainability. Indeed, actual EU subsidiary management of both stocks matches social, economic and cultural needs as well as fishing capacity and fishing tradition of local fleets. (C) 2016 Elsevier B.V. All rights reserved.</t>
  </si>
  <si>
    <t>10.1016/j.fishres.2016.03.017</t>
  </si>
  <si>
    <t>WOS:000375518400030</t>
  </si>
  <si>
    <t>Effects of the MV Rena oil spill on intertidal rocky reefs in the Bay of Plenty, New Zealand</t>
  </si>
  <si>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</si>
  <si>
    <t>10.1080/00288330.2015.1031682</t>
  </si>
  <si>
    <t>WOS:000375557200006</t>
  </si>
  <si>
    <t>Spatial variability and response to anthropogenic pressures of assemblages dominated by a habitat forming seaweed sensitive to pollution (northern coast of Alboran Sea)</t>
  </si>
  <si>
    <t>The Cystoseira ericaefolia group is conformed by three species: C. tamariscifolia, C. mediterranea and C. amentacea. These species are among the most important habitat forming species of the upper sublittoral rocky shores of the Mediterranean Sea and adjacent Atlantic coast. This species group is sensitive to human pressures and therefore is currently suffering important losses. This study aimed to assess the influence of anthropogenic pressures, oceanographic conditions and local spatial variability in assemblages dominated by C. ericaefolia in the Alboran Sea. The results showed the absence of significant effects of anthropogenic pressures or its interactions with environmental conditions in the Cystoseira assemblages. This fact was attributed to the high spatial variability, which is most probably masking the impact of anthropogenic pressures. The results also showed that most of the variability occurred on at local levels. A relevant spatial variability was observed at regional level, suggesting a key role of oceanographic features in these assemblages, (C) 2016 Elsevier Ltd. All rights reserved.</t>
  </si>
  <si>
    <t>10.1016/j.marpolbul.2016.02.017</t>
  </si>
  <si>
    <t>WOS:000375816000043</t>
  </si>
  <si>
    <t>Coral microbial community dynamics in response to anthropogenic impacts near a major city in the central Red Sea</t>
  </si>
  <si>
    <t>Coral-associated bacteria play an increasingly recognized part in coral health. We investigated the effect of local anthropogenic impacts on coral microbial communities on reefs near Jeddah, the largest city on the Saudi Arabian coast of the central Red Sea. We analyzed the bacterial community structure of water and corals (Pocillopora verrucosa and Acropora hemprichii) at sites that were relatively unimpacted, exposed to sedimentation &amp; local sewage, or in the discharge area of municipal wastewaters. Coral microbial communities were significantly different at impacted sites: in both corals the main symbiotic taxon decreased in abundance. In contrast, opportunistic bacterial families, such as e.g. Vibrionaceae and Rhodobacteraceae, were more abundant in corals at impacted sites. In conclusion, microbial community response revealed a measurable footprint of anthropogenic impacts to coral ecosystems close to Jeddah, even though the corals appeared visually healthy. (C) 2015 The Authors. Published by Elsevier Ltd. This is an open access article under the CC BY-NC-ND license</t>
  </si>
  <si>
    <t>10.1016/j.marpolbul.2015.12.045</t>
  </si>
  <si>
    <t>WOS:000375823900023</t>
  </si>
  <si>
    <t>Still here after all these years: the persistence of the Uncompahgre fritillary butterfly</t>
  </si>
  <si>
    <t>The US federally endangered Uncompahgre fritillary butterfly (Boloria acrocnema) lives in isolated alpine habitats of the San Juan Mountains of Colorado, USA. Its apparent extirpation from the type locality and its low genetic diversity raised concern in the late 1980s, thus monitoring for this species has continued and genetic samples were collected in 2008 and 2009 from all but one known site, each on a separate peak. Data for five new microsatellite markers were collected from 316 total specimens, including 26 from wings preserved from 1987 and 1988 seasons. Only three main colonies had high enough sample sizes for adequate analyses. We estimated levels of genetic variability and structure, and effective population size. Despite low demographic numbers at these sites, the species has maintained relatively high heterozygosity ranging from 0.41 to 0.46 at three sites. Allelic richness corrected by sample size ranged from 5.3 to 5.9. Genetic structure assessed with non-spatially explicit methods indicated that despite separation on high mountain peaks, colonies were fairly well mixed, which is surprising for these weak fliers with very short growing and adult flight seasons. Estimates of effective population sizes were low, reflecting the life history and limited habitat range for the species. Comparisons at the site with historic and modern specimens revealed a consistent pattern in genetic indices. Our data suggest that the three focal butterfly colonies exist as a metapopulation that persists due to low-level migration between sites and temporal leakage via flexibility in development time in this biennial species.</t>
  </si>
  <si>
    <t>10.1007/s10841-016-9867-9</t>
  </si>
  <si>
    <t>WOS:000376022300013</t>
  </si>
  <si>
    <t>Temporal trends in genetic data and effective population size support efficacy of management practices in critically endangered dusky gopher frogs (Lithobates sevosus)</t>
  </si>
  <si>
    <t>Monitoring temporal changes in population genetic diversity and effective population size can provide vital information on future viability. The dusky gopher frog, Lithobates sevosus, is a critically endangered species found only in coastal Mississippi, with low genetic variability as a consequence of isolation and population size reduction. Conservation management practices have been implemented, but their efficacy has not been addressed. We genotyped individuals collected 1997-2014 to determine temporal trends in population genetic variation, structure, and effective size. Observed and expected heterozygosity and allelic richness revealed temporally stable, but low, levels of genetic variation. Positive levels of inbreeding were found in each year. There was weak genetic structure among years, which can be attributed to increased effects of genetic drift and inbreeding in small populations. L. sevosus exhibited an increase in effective population size, and currently has an estimated effective size of 33.0-58.6 individuals, which is approximately half the census size. This large ratio could possibly be explained by genetic compensation. We found that management practices have been effective at maintaining and improving effective size and genetic diversity, but that additional strategies need to be implemented to enhance viability of the species.</t>
  </si>
  <si>
    <t>10.1002/ece3.2084</t>
  </si>
  <si>
    <t>WOS:000376149400003</t>
  </si>
  <si>
    <t>Assessing sewage impact in a South-West Atlantic rocky shore intertidal algal community</t>
  </si>
  <si>
    <t>The spatial and seasonal variation of the specific composition and community parameters (abundance, diversity, richness and evenness) of the intertidal algal assemblages was studied at four coastal sampling sites, distributed along an environmental gradient from the sewage water outfall of Mar del Plata, Buenos Aires, Argentina. Two of them were located close to the sewage outfall (&lt;800 m) (impacted area) and the two other were 8 and 9 km distant (non-impacted area). The algal abundance was monthly analyzed from October 2008 to May 2009. The algal assemblages varied according to the pollution gradient in spring, summer and autumn, being autumn the season when the highest difference was observed. Ceramium uruguayense was recognized as an indicator species for the non-impacted areas, while Berkeleya sp. represented an indicator species for the sewage outfall impact. Ulva spp. did not reflect the typical pattern observed for other sewage pollution areas. (C) 2016 Elsevier Ltd. All rights reserved.</t>
  </si>
  <si>
    <t>10.1016/j.marpolbul.2016.02.038</t>
  </si>
  <si>
    <t>WOS:000376545900059</t>
  </si>
  <si>
    <t>Temporal variation of the genetic diversity of a German red deer population between 1960 and 2012</t>
  </si>
  <si>
    <t>This study investigates the genetic development of the German Krofdorfer Forst red deer population, located in the federal state of Hesse, by genotyping red deer hunted between 1960 and 1984 (ancient population) and between 2002 and 2012 (extant population). Krofdorfer Forst belongs to the smaller red deer areas in Hesse, with a census size in spring of 200 animals and is surrounded by areas designated as free of red deer. Because of this island position, it should be evaluated whether there was a significant decrease in genetic diversity over time. DNA extracted from bone shavings of antlers and skulls was genotyped with 16 unlinked microsatellites. In the ancient population, 131 alleles were detected, from which 39 were private alleles which disappeared from the extant population over time. On the other hand, the extant population had 112 alleles, from which 20 were new alleles acquired between 1984 and 2012. This means a net loss of 19 alleles over time in the extant population. Despite this decrease in genetic diversity, there was a high number of effective alleles as compared to red deer populations in Bavaria. Furthermore, the low F value of 0.032 indicates low (or no) inbreeding and thus a likewise extremely low probability of deleterious alleles to become fixed. Using demographic data obtained from the red deer association of the Krofdorfer Forst, the effective population size was calculated to be 73, which reflects an increase in inbreeding of only 0.7 % per generation which confirms the low F value.</t>
  </si>
  <si>
    <t>10.1007/s10344-016-0999-8</t>
  </si>
  <si>
    <t>WOS:000376592300003</t>
  </si>
  <si>
    <t>Population dynamics of a natural red deer population over 200 years detected via substantial changes of genetic variation</t>
  </si>
  <si>
    <t>Most large mammals have constantly been exposed to anthropogenic influence over decades or even centuries. Because of their long generation times and lack of sampling material, inferences of past population genetic dynamics, including anthropogenic impacts, have only relied on the analysis of the structure of extant populations. Here, we investigate for the first time the change in the genetic constitution of a natural red deer population over two centuries, using up to 200-year-old antlers (30 generations) stored in trophy collections. To the best of our knowledge, this is the oldest DNA source ever used for microsatellite population genetic analyses. We demonstrate that government policy and hunting laws may have strong impacts on populations that can lead to unexpectedly rapid changes in the genetic constitution of a large mammal population. A high ancestral individual polymorphism seen in an outbreeding population (1813-1861) was strongly reduced in descendants (1923-1940) during the mid-19th and early 20th century by genetic bottlenecks. Today (2011), individual polymorphism and variance among individuals is increasing in a constant-sized (managed) population. Differentiation was high among periods (F-ST &gt; ***); consequently, assignment tests assigned individuals to their own period with &gt;85% probability. In contrast to the high variance observed at nuclear microsatellite loci, mtDNA (D-loop) was monomorphic through time, suggesting that male immigration dominates the genetic evolution in this population.</t>
  </si>
  <si>
    <t>10.1002/ece3.2063</t>
  </si>
  <si>
    <t>WOS:000376646700008</t>
  </si>
  <si>
    <t>Impacts of shrimp farming cultivation cycles on macrobenthic assemblages and chemistry of sediments</t>
  </si>
  <si>
    <t>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t>
  </si>
  <si>
    <t>10.1016/j.envpol.2015.12.031</t>
  </si>
  <si>
    <t>WOS:000376696800034</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</si>
  <si>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</si>
  <si>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</si>
  <si>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10.1016/j.biocon.2016.03.005</t>
  </si>
  <si>
    <t>WOS:000376798800013</t>
  </si>
  <si>
    <t>Plant community and soil chemistry responses to long-term nitrogen inputs drive changes in alpine bacterial communities</t>
  </si>
  <si>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</si>
  <si>
    <t>10.1890/15-1160.1</t>
  </si>
  <si>
    <t>WOS:000377219900017</t>
  </si>
  <si>
    <t>Response of marine copepods to a changing tropical environment: winners, losers and implications</t>
  </si>
  <si>
    <t>Background. Climate change concurrent with anthropogenic disturbances can initiate serial changes that reverberate up the food chain with repercussions for fisheries. To date, there is no information available concerning the combined effects of global warming and human impacts on tropical marine food webs. While temperate copepods respond differently to warming and environmental stressors, the extent to which tropical copepods can adapt to rising temperature of already warm waters remains unknown. We hypothesize that sea warming and other anthropogenic disturbances over the long term will have the greatest impact on the copepod community in nearshore waters where their effects are accentuated, and therefore vulnerable and resilient species could be identified. Methods. Zooplankton samples were collected during two time periods (1985-86 and 2014-15) interposed by marked anthropogenic disturbances, and at the same five stations located progressively from inshore to offshore in Klang Strait, Malaysia, following the asymmetrical before-after-control-impact (BACI) design. Copepods were identified to species, and results were interpreted by univariate (ANOVA) and multivariate (PERMANOVA, PCO) analyses of the computed species abundance and diversity measures. Results. Copepod total abundance was not significantly different among stations but higher after disturbance than before disturbance. However, changes in the abundance of particular species and the community structure between time periods were dramatic. Coastal large-bodied calanoid species (e.g., Acartia spinicauda, Calanopia thompsoni, Pseudodiaptomus bowmani and Tortanus forcipatus) were the most vulnerable group to disturbance. This however favored the opportunistic species (e.g., Oithona simplex, O. attenuate, Hemicyclops sp., Pseudomacrochiron sp. and Microsetella norvegica). Small-bodied copepods (e.g., Paracalanus sp., Parvocalanus crassirostris and Euterpina acutifrons) were unaffected. Centropages tenuiremis was likely an introduced species. There was no significant loss in species richness of copepods despite the dramatic changes in community structure. Discussion. Sea warming and other human-induced effects such as eutrophication, acidification and coastal habitat degradation are likely the main factors that have altered copepod community structure. The large-bodied estuarine and coastal calanoid copepods are surmised to be vulnerable to eutrophication and hypoxia, while both resilient and opportunistic species are largely unaffected by, or adaptable to, degraded coastal environments and observed sea surface temperature (SST) rise. It is forecasted that SST rise with unmitigated anthropogenic impacts will further reduce large-bodied copepod species the favoured food for fish larvae with dire consequences for coastal fish production.</t>
  </si>
  <si>
    <t>10.7717/peerj.2052</t>
  </si>
  <si>
    <t>WOS:000377680500005</t>
  </si>
  <si>
    <t>Separate and combined effects of copper and freshwater on the biodiversity and functioning of fouling assemblages</t>
  </si>
  <si>
    <t>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t>
  </si>
  <si>
    <t>10.1016/j.marpolbul.2016.04.008</t>
  </si>
  <si>
    <t>WOS:000377726700030</t>
  </si>
  <si>
    <t>Reduced Genetic Diversity and Increased Structure in American Mink on the Swedish Coast following Invasive Species Control</t>
  </si>
  <si>
    <t>Eradication and population reductions are often used to mitigate the negative impacts of nonnative invasive species on native biodiversity. However, monitoring the effectiveness of nonnative species control programmes is necessary to evaluate the efficacy of these measures. Genetic monitoring could provide valuable insights into temporal changes in demographic, ecological, and evolutionary processes in invasive populations being subject to control programmes. Such programmes should cause a decrease in effective population size and/or in genetic diversity of the targeted non-native species and an increase in population genetic structuring over time. We used microsatellite DNA data from Americanmink (Neovison vison) to determine whether the removal of this predator on the Koster Islands archipelago and the nearby Swedish mainland affected genetic variation over six consecutive years of mink culling by trappers as part of a population control programme. We found that on Koster Islands allelic richness decreased (from on average 4.53 to 3.55), genetic structuring increased, and effective population size did not change. In contrast, the mink population from the Swedish coast showed no changes in genetic diversity or structure, suggesting the stability of this population over 6 years of culling. Effective population size did not change over time but was higher on the coast than on the islands across all years. Migration rates from the islands to the coast were almost two times higher than from the coast to the islands. Most migrants leaving the coast were localised on the southern edge of the archipelago, as expected from the direction of the sea current between the two sites. Genetic monitoring provided valuable information on temporal changes in the population of American mink suggesting that this approach can be used to evaluate and improve control programmes of invasive vertebrates.</t>
  </si>
  <si>
    <t>10.1371/journal.pone.0157972</t>
  </si>
  <si>
    <t>WOS:000378212800062</t>
  </si>
  <si>
    <t>Spatial and temporal genetic structure at the fourth trophic level in a fragmented landscape</t>
  </si>
  <si>
    <t>A fragmented habitat becomes increasingly fragmented for species at higher trophic levels, such as parasitoids. To persist, these species are expected to possess life-history traits, such as high dispersal, that facilitate their ability to use resources that become scarce in fragmented landscapes. If a specialized parasitoid disperses widely to take advantage of a sparse host, then the parasitoid population should have lower genetic structure than the host. We investigated the temporal and spatial genetic structure of a hyperparasitoid (fourth trophic level) in a fragmented landscape over 50 x 70 km, using microsatellite markers, and compared it with the known structures of its host parasitoid, and the butterfly host which lives as a classic metapopulation. We found that population genetic structure decreases with increasing trophic level. The hyperparasitoid has fewer genetic clusters (K = 4), than its host parasitoid (K = 15), which in turn is less structured than the host butterfly (K = 27). The genetic structure of the hyperparasitoid also shows temporal variation, with genetic differentiation increasing due to reduction of the population size, which reduces the effective population size. Overall, our study confirms the idea that specialized species must be dispersive to use a fragmented host resource, but that this adaptation has limits.</t>
  </si>
  <si>
    <t>10.1098/rspb.2016.0668</t>
  </si>
  <si>
    <t>WOS:000378318300021</t>
  </si>
  <si>
    <t>Stochasticity in space, persistence in time: genetic heterogeneity in harbour populations of the introduced ascidian Styela plicata</t>
  </si>
  <si>
    <t>Spatio-temporal changes in genetic structure among populations provide crucial information on the dynamics of secondary spread for introduced marine species. However, temporal components have rarely been taken into consideration when studying the population genetics of non-indigenous species. This study analysed the genetic structure of Styela plicata, a solitary ascidian introduced in harbours and marinas of tropical and temperate waters, across spatial and temporal scales. A fragment of the mitochondrial gene Cytochrome Oxidase subunit I (COI) was sequenced from 395 individuals collected at 9 harbours along the NW Mediterranean coast and adjacent Atlantic waters (&gt; 1,200 km range) at two time points 5 years apart (2009 and 2014). The levels of gene diversity were relatively low for all 9 locations in both years. Analyses of genetic differentiation and distribution of molecular variance revealed strong genetic structure, with significant differences among many populations, but no significant differences among years. A weak and marginally significant correlation between geographic distance and gene differentiation was found. Our results revealed spatial structure and temporal genetic homogeneity in S. plicata, suggesting a limited role of recurrent, vessel-mediated transport of organisms among small to medium-size harbours. Our study area is representative of many highly urbanized coasts with dense harbours. In these environments, the episodic chance arrival of colonisers appears to determine the genetic structure of harbour populations and the genetic composition of these early colonising individuals persists in the respective harbours, at least over moderate time frames (five years) that encompass ca. 20 generations of S. plicata.</t>
  </si>
  <si>
    <t>10.7717/peerj.2158</t>
  </si>
  <si>
    <t>WOS:000378796700006</t>
  </si>
  <si>
    <t>Response of macrophyte communities to flow regulation in mountain streams</t>
  </si>
  <si>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</si>
  <si>
    <t>10.1007/s10661-016-5420-2</t>
  </si>
  <si>
    <t>WOS:000378840300031</t>
  </si>
  <si>
    <t>Meiofaunal assemblages associated with native and non-indigenous macroalgae</t>
  </si>
  <si>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</si>
  <si>
    <t>10.1016/j.csr.2016.04.007</t>
  </si>
  <si>
    <t>WOS:000378960500001</t>
  </si>
  <si>
    <t>Status, trends and drivers of kelp forests in Europe: an expert assessment</t>
  </si>
  <si>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</si>
  <si>
    <t>10.1007/s10531-016-1141-7</t>
  </si>
  <si>
    <t>WOS:000379006400008</t>
  </si>
  <si>
    <t>Habitat type plays a greater role than livestock grazing in structuring shrubsteppe plant-pollinator communities</t>
  </si>
  <si>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</si>
  <si>
    <t>10.1007/s10841-016-9884-8</t>
  </si>
  <si>
    <t>WOS:000379034600016</t>
  </si>
  <si>
    <t>Environmental context and magnitude of disturbance influence trait-mediated community responses to wastewater in streams</t>
  </si>
  <si>
    <t>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t>
  </si>
  <si>
    <t>10.1002/ece3.2165</t>
  </si>
  <si>
    <t>WOS:000379342900007</t>
  </si>
  <si>
    <t>Effects of human land-use on Africa's only forest-dependent fetid: The African golden cat Caracal aurata</t>
  </si>
  <si>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</si>
  <si>
    <t>10.1016/j.biocon.2016.04.013</t>
  </si>
  <si>
    <t>WOS:000379559600001</t>
  </si>
  <si>
    <t>Rainforest Conversion to Rubber Plantation May Not Result in Lower Soil Diversity of Bacteria, Fungi, and Nematodes</t>
  </si>
  <si>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</si>
  <si>
    <t>10.1007/s00248-016-0790-0</t>
  </si>
  <si>
    <t>WOS:000379708500009</t>
  </si>
  <si>
    <t>Effects of Cold Winters on the Genetic Diversity of an Estuarine Fish, the Spotted Seatrout</t>
  </si>
  <si>
    <t>Spotted Seatrout Cynoscion nebulosus are recreationally important fish that have been harvested in South Carolina for centuries. The Spotted Seatrout in South Carolina suffered substantial declines in estuarine abundance during the cold winters of 2000, 2009, and 2010, when water temperatures dropped below their tolerance threshold. As these population declines may result in genetic bottlenecks and their repetitive occurrence over a short timescale could reduce the population's adaptive potential, we estimated the genetic diversity and effective population size (N-e) of the Charleston Harbor Spotted Seatrout population at six time points related to recent cold winters using a suite of 13 microsatellite markers. Grouping individuals by year-class (fish spawned in the same year) was the most appropriate and effective method for measuring interannual fluctuations in observed and expected heterozygosity and allelic richness, superior to partitioning fish by collection year. The genetic diversity of Spotted Seatrout was significantly influenced by catch per unit effort, although only minor changes were observed and N-e remained high. Short overlapping generations appear to allow Spotted Seatrout to genetically recover during population growth and maintain moderate levels of genetic diversity.</t>
  </si>
  <si>
    <t>10.1080/19425120.2016.1152333</t>
  </si>
  <si>
    <t>WOS:000379770200020</t>
  </si>
  <si>
    <t>Response of the forest floor invertebrate community to canopy gap formation caused by early stages of emerald ash borer-induced ash mortality</t>
  </si>
  <si>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</si>
  <si>
    <t>10.1016/j.foreco.2016.05.034</t>
  </si>
  <si>
    <t>WOS:000379886900026</t>
  </si>
  <si>
    <t>Forest understory plant and soil microbial response to an experimentally induced drought and heat-pulse event: the importance of maintaining the continuum</t>
  </si>
  <si>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</si>
  <si>
    <t>10.1111/gcb.13270</t>
  </si>
  <si>
    <t>WOS:000380016800018</t>
  </si>
  <si>
    <t>Sixty-year legacy of human impacts on a high Arctic ecosystem</t>
  </si>
  <si>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</si>
  <si>
    <t>10.1111/1365-2664.12603</t>
  </si>
  <si>
    <t>WOS:000380065400027</t>
  </si>
  <si>
    <t>Comparative Assessment of Mangrove Biomass and Fish Assemblages in an Urban and Rural Mangrove Wetlands in Ghana</t>
  </si>
  <si>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</si>
  <si>
    <t>10.1007/s13157-016-0783-2</t>
  </si>
  <si>
    <t>WOS:000380067000012</t>
  </si>
  <si>
    <t>A practical application of reduced-copper antifouling paint in marine biological research</t>
  </si>
  <si>
    <t>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t>
  </si>
  <si>
    <t>10.7717/peerj.2213</t>
  </si>
  <si>
    <t>WOS:000380069700007</t>
  </si>
  <si>
    <t>Changes in the population genetics of an invasive Spartina after 10 years of management</t>
  </si>
  <si>
    <t>Spartina foliosa is native to the San Francisco, California, Bay and Estuary. Spartina alterniflora was introduced to the Bay in the 1970s and subsequently hybridized with S. foliosa. Backcrossing created an invasive hybrid swarm able to outcompete S. foliosa within its tidal range and spread into higher and lower intertidal zones, drastically altering ecological communities. The San Francisco Estuary Invasive Spartina Project (ISP) has implemented a treatment program that has reduced the net area of invasive Spartina by 96 % from its peak of 323 hectares. An endangered bird, the California Ridgway's Rail, takes advantage of habitat characteristics supplied by hybrid Spartina, prompting treatment restrictions in some marshes to preserve hybrid Spartina for the benefit of rails. We investigated changes in the population genetics of the invasion after 10 years of eradication efforts and after three subsequent years without eradication in some locations. Our investigation covered three areas: sites surrounding and including the restricted treatment marshes; sites in the southern Bay similar to proposed salt pond restoration projects; and samples collected Baywide. Our results support previous descriptions of a system of self-fertile hybrid plants that supply seed for mostly localized recruitment into available habitat. Compared to published work from 2003 to 2004, before large-scale eradication efforts began, genetic diversity has generally declined and inbreeding within hybrid populations has increased during and after the period of treatment by the ISP. These observations are perhaps due to pollen limitation as a result of the elimination of most hybrid plants by the ISP. We did not detect strong population genetic boundaries Baywide, but a genetically distinguishable localized introduction was detected in 10 of 11 Bay regions, suggesting leptokurtic dispersal. The restricted treatment areas may allow for continued introgression with S. foliosa, recolonization, and longer persistence of these invasive plants in the San Francisco Bay. Proximity to hybrid Spartina threatens the success of major restoration projects.</t>
  </si>
  <si>
    <t>10.1007/s10530-016-1177-3</t>
  </si>
  <si>
    <t>WOS:000380117300013</t>
  </si>
  <si>
    <t>Invasive willows drive instream community structure</t>
  </si>
  <si>
    <t>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t>
  </si>
  <si>
    <t>10.1111/fwb.12778</t>
  </si>
  <si>
    <t>WOS:000380902400002</t>
  </si>
  <si>
    <t>Assessing current genetic status of the Hainan gibbon using historical and demographic baselines: implications for conservation management of species of extreme rarity</t>
  </si>
  <si>
    <t>Evidence-based conservation planning is crucial for informing management decisions for species of extreme rarity, but collection of robust data on genetic status or other parameters can be extremely challenging for such species. The Hainan gibbon, possibly the world's rarest mammal, consists of a single population of similar to 25 individuals restricted to one protected area on Hainan Island, China, and has persisted for over 30years at exceptionally low population size. Analysis of genotypes at 11 microsatellite loci from faecal samples for 36% of the current global population and tissue samples from 62% of existing historical museum specimens demonstrates limited current genetic diversity (Na=2.27, Ar=2.24, H-e=0.43); diversity has declined since the 19th century and even further within the last 30years, representing declines of similar to 30% from historical levels (Na=3.36, Ar=3.29, H-e=0.63). Significant differentiation is seen between current and historical samples (F-ST=0.156, P=0.0315), and the current population exhibits extremely small N-e (current N-e=2.16). There is evidence for both a recent population bottleneck and an earlier bottleneck, with population size already reasonably low by the late 19th century (historical N-e=1162.96). Individuals in the current population are related at the level of half- to full-siblings between social groups, and full-siblings or parent-offspring within a social group, suggesting that inbreeding is likely to increase in the future. The species' current reduced genetic diversity must be considered during conservation planning, particularly for expectations of likely population recovery, indicating that intensive, carefully planned management is essential.</t>
  </si>
  <si>
    <t>10.1111/mec.13716</t>
  </si>
  <si>
    <t>WOS:000380949700004</t>
  </si>
  <si>
    <t>DEFORESTATION AND CULTIVATION WITH MAIZE (Zea mays L.) HAS A PROFOUND EFFECT ON THE BACTERIAL COMMUNITY STRUCTURE IN SOIL</t>
  </si>
  <si>
    <t>In this study, the effect of deforestation and cultivation of maize (Zea mays L.) on the physicochemical characteristics and the bacterial community structure in soil were studied at the national park Area de Proteccion de Flora y Fauna Nevado de Toluca in Mexico. Soil was sampled from three forested areas in the national park, from three deforested areas grazed by animals and from three areas cultivated with maize. The soil was characterized chemically and biologically, whilst the bacterial community structure was investigated through 454 pyrosequencing of the 16S rRNA gene. The pH in the forest soil decreased from 6.1 to 5.3 in the maize-cultivated soil, whilst the soil organic C content decreased 1.4 times in the arable soil compared with the forest soil. The microbial biomass C decreased 2.9 times in the arable soil compared with the forest soil, but the metabolic quotient qCO(2) (ratio basal respiration to microbial biomass C) nearly doubled. Deforestation and maize cultivation reduced the abundance of Proteobacteria, Actinobacteria and Bacteroidetes, whereas Acidobacteria, Chloroflexi, Gemmatimonadetes and Firmicutes were resistant to these changes. It was found that soil characteristics were affected negatively by deforestation and nearly half of the organic matter was lost, and on these sloped fields, erosion will be high, further decreasing soil fertility. Although the relative abundance of a number of bacterial groups was reduced by deforestation, others were not affected by land-use change. Copyright (C) 2014 John Wiley &amp; Sons, Ltd.</t>
  </si>
  <si>
    <t>10.1002/ldr.2328</t>
  </si>
  <si>
    <t>WOS:000380963900022</t>
  </si>
  <si>
    <t>Effects of the invasive clam Corbicula fluminea (Muller, 1774) on an estuarine microbial community</t>
  </si>
  <si>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</si>
  <si>
    <t>10.1016/j.scitotenv.2016.05.167</t>
  </si>
  <si>
    <t>WOS:000381060900111</t>
  </si>
  <si>
    <t>Influence of shifting cultivation practices on soil-plant-beetle interactions</t>
  </si>
  <si>
    <t>Shifting cultivation (jhum) is a major land use practice in Mizoram. It was considered as an eco-friendly and efficient method when the cycle duration was long (15-30 years), but it poses the problem of land degradation and threat to ecology when shortened (4-5 years) due to increased intensification of farming systems. Studying beetle community structure is very helpful in understanding how shifting cultivation affects the biodiversity features compared to natural forest system. The present study examines the beetle species diversity and estimates the effects of shifting cultivation practices on the beetle assemblages in relation to change in tree species composition and soil nutrients. Scarabaeidae and Carabidae were observed to be the dominant families in the land use systems studied. Shifting cultivation practice significantly (P &lt; 0.05) affected the beetle and tree species diversity as well as the soil nutrients as shown by univariate (one-way analysis of variance (ANOVA), correlation and regression, diversity indices) and multivariate (cluster analysis, principal component analysis (PCA), detrended correspondence analysis (DCA), canonical variate analysis (CVA), permutational multivariate analysis of variance (PERMANOVA), permutational multivariate analysis of dispersion (PERMDISP)) statistical analyses. Besides changing the tree species composition and affecting the soil fertility, shifting cultivation provides less suitable habitat conditions for the beetle species. Bioindicator analysis categorized the beetle species into forest specialists, anthropogenic specialists (shifting cultivation habitat specialist), and habitat generalists. Molecular analysis of bioindicator beetle species was done using mitochondrial cytochrome oxidase subunit I (COI) marker to validate the beetle species and describe genetic variation among them in relation to heterogeneity, transition/transversion bias, codon usage bias, evolutionary distance, and substitution pattern. The present study revealed the fact that shifting cultivation practice significantly affects the beetle species in terms of biodiversity pattern as well as evolutionary features. Spatiotemporal assessment of soil-plant-beetle interactions in shifting cultivation system and their influence in land degradation and ecology will be helpful in making biodiversity conservation decisions in the near future.</t>
  </si>
  <si>
    <t>10.1007/s11356-016-6782-2</t>
  </si>
  <si>
    <t>WOS:000381156600040</t>
  </si>
  <si>
    <t>Effects of riparian zone buffer widths on vegetation diversity in southern Appalachian headwater catchments</t>
  </si>
  <si>
    <t>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t>
  </si>
  <si>
    <t>10.1016/j.foreco.2016.05.046</t>
  </si>
  <si>
    <t>WOS:000381233500002</t>
  </si>
  <si>
    <t>Influence of tree plantations on the phylogenetic structure of understorey plant communities</t>
  </si>
  <si>
    <t>The effect of non-native and native tree species plantations on plant understorey diversity and functioning has gained major interest among ecologist and conservationists. The majority of studies, however, has been focused on changes in species richness and composition in plantations in comparison with natural forests. Recently, the phylogenetic community structure (PCS), i.e. the degree of phylogenetic relatedness within a community, came into the focus of interest. As species richness and PCS are not equivalent, the question of how plantations change PCS and thus the evolutionary history conserved in the associated understorey community is important to fully assess the biodiversity of tree species introductions. In this study we used phytosociological data from the Cedynia Landscape Park in western Poland containing anthropogenic mono-cultures of Scots pine and introduced trees (black locust and Douglas fir) as well as natural sessile oak stands to study the influence of plantations on species richness, composition, and phylogenetic diversity of understorey vegetation. We also added releve's from mixed forests naturally occurring on wetter and richer soil to obtain the full regional species pool. Our results revealed that plantations do not consistently change PCS; they either increased (Douglas fir) or decreased (black locust) the phylogenetic relatedness of understory plant communities. Moreover, our data suggest that environmental conditions are more important drivers of understorey community composition than dominant tree identity. In this respect we identified light regime, pH, and nitrogen availability as major drivers of phylogenetic diversity. (C) 2016 Elsevier B.V. All rights reserved.</t>
  </si>
  <si>
    <t>10.1016/j.foreco.2016.06.011</t>
  </si>
  <si>
    <t>WOS:000381233500023</t>
  </si>
  <si>
    <t>Modest recovery of biodiversity in a western European country: The Living Planet Index for the Netherlands</t>
  </si>
  <si>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</si>
  <si>
    <t>10.1016/j.biocon.2016.05.031</t>
  </si>
  <si>
    <t>WOS:000381325300006</t>
  </si>
  <si>
    <t>Birds, nutrients, and climate change: mtDNA haplotype diversity of Arctic Daphnia on Svalbard revisited</t>
  </si>
  <si>
    <t>Ecosystems in the high Arctic are in transition due to climate change and species shifts. On the Svalbard archipelago, the average annual temperature has increased by more than 2 A degrees C over the past 30 years, and there has been a striking increase in breeding populations of geese. Birds serve as a dominant source of nutrients (via faeces) and may also serve as vectors of dispersal of many small aquatic organisms. We compared samples of species and haplotype composition of the dominant freshwater crustacean Daphnia spp., from 1992, and those resampled in 2014 to see if these major impacts on Arctic freshwater ecosystems may also have affected this key grazer over the past three decades. The study covers tundra ponds that vary in levels of nutrients, abundance, and diversity of birds. Comparison of genetic mitochondrial DNA sequences revealed little change in haplotype and nucleotide diversity between 1992 and 2014, but higher species and haplotype diversity were found in nutrient-rich ponds that hosted large migratory bird populations. This could either reflect that high nutrient levels allow for the maintenance of higher levels of genetic diversity (i.e. haplotypes, lineages), that birds serve as vectors for the dispersal of clones, or likely a combination of both mechanisms.</t>
  </si>
  <si>
    <t>10.1007/s00300-015-1868-8</t>
  </si>
  <si>
    <t>WOS:000381405400006</t>
  </si>
  <si>
    <t>Shoreline hardening alters freshwater shoreline ecosystems</t>
  </si>
  <si>
    <t>Shoreline 'hardening' is a common anthropogenic activity that involves installation of structures, such as seawalls or riprap, at the waterline to protect waterfront property. Despite the ubiquity of this activity, the effects of hardening on shoreline ecosystems are not well understood. We evaluated the geomorphology, organic matter decomposition, washed-up organic material (wrack), and invertebrate communities on both aquatic and terrestrial (riparian) habitats of 7 natural and 7 riprap-hardened shorelines of Lake St Clair (Michigan, USA). Shorelines hardened by riprap differed from their natural counterparts in structure and function, with particularly pronounced effects in terrestrial shoreline habitats. Hardened shorelines were steeper and drier, and sediments were orders of magnitude larger than on natural shorelines. Organic-matter decomposition was slower at riprap than natural shorelines in terrestrial habitats, but did not differ between natural and riprap shorelines in aquatic habitats. Natural shorelines had much greater quantities of wrack, a lake-derived subsidy, than riprap shorelines in summer and autumn. The finding that natural shorelines had more wrack despite faster decomposition suggests that subsidy retention is impaired by riprap. Path analysis indicates that the large sediment size of riprap is the mechanism responsible for disrupting wrack accumulation. Invertebrate community composition in terrestrial habitats also differed between shoreline types, with snails and beetles more abundant on natural shorelines and ants more abundant on riprap. Exotic taxa, such as Asian earthworms (Amynthas sp.), cyanobacteria (Lyngbya wollei), and Phragmites, were prevalent on both natural and riprap shorelines. Overall, riprap shorelines differ greatly from natural shorelines in their structure and functioning, particularly in terrestrial habitats, and possess attributes of 'novel ecosystems'.</t>
  </si>
  <si>
    <t>10.1086/687279</t>
  </si>
  <si>
    <t>WOS:000381446500002</t>
  </si>
  <si>
    <t>Climate extremes can drive biological assemblages to early successional stages compared to several mild disturbances</t>
  </si>
  <si>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</si>
  <si>
    <t>10.1038/srep30607</t>
  </si>
  <si>
    <t>WOS:000381498500001</t>
  </si>
  <si>
    <t>The development of a preliminary rock reef fish multimetric index for assessing thermal and urban impacts in a tropical bay</t>
  </si>
  <si>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</si>
  <si>
    <t>10.1016/j.marpolbul.2016.05.067</t>
  </si>
  <si>
    <t>WOS:000381650200044</t>
  </si>
  <si>
    <t>Simulated leakage of high pCO2 water negatively impacts bivalve dominated infaunal communities from the Western Baltic Sea</t>
  </si>
  <si>
    <t>Carbon capture and storage is promoted as a mitigation method counteracting the increase of atmospheric CO2 levels. However, at this stage, environmental consequences of potential CO2 leakage from sub-seabed storage sites are still largely unknown. In a 3-month-long mesocosm experiment, this study assessed the impact of elevated pCO(2) levels (1,500 to 24,400 mu atm) on Cerastoderma edule dominated benthic communities from the Baltic Sea. Mortality of C. edule was significantly increased in the highest treatment (24,400 mu atm) and exceeded 50%. Furthermore, mortality of small size classes (0-1 cm) was significantly increased in treatment levels &gt;= 6,600 mu atm. First signs of external shell dissolution became visible at &gt;= 1,500 mu atm, holes were observed at &gt; 6,600 mu atm. C. edule body condition decreased significantly at all treatment levels (1,500-24,400 mu atm). Dominant meiofauna taxa remained unaffected in abundance. Densities of calcifying meiofauna taxa (i.e. Gastropoda and Ostracoda) decreased in high CO2 treatments (&gt; 6,600 mu atm), while the non - calcifying Gastrotricha significantly increased in abundance at 24,400 mu atm. In addition, microbial community composition was altered at the highest pCO(2) level. We conclude that strong CO2 leakage can alter benthic infauna community composition at multiple trophic levels, likely due to high mortality of the dominant macrofauna species C. edule.</t>
  </si>
  <si>
    <t>10.1038/srep31447</t>
  </si>
  <si>
    <t>WOS:000381662600001</t>
  </si>
  <si>
    <t>Microsatellite DNA analysis of spatial and temporal population structuring of Phragmites australis along the Hudson River Estuary</t>
  </si>
  <si>
    <t>Phragmites australis is a perennial grass that has invaded wetlands of the northeastern United States over the past century. The Hudson River Estuary and surrounding watersheds are no exception in that populations of P. australis have spread dramatically along its shores and tributaries in the past 40 years. Recent studies have shown that genetically variable populations of P. australis can spread by seed dispersal in addition to clonal mechanisms. It is important to characterize the genetic variation of Hudson River populations as part of a management strategy for this species to determine the mechanisms by which its spreads and colonizes new habitats, particularly those with frequent anthropogenic disturbances. The goals of this study were to quantify levels of genetic variation and structuring in Hudson River populations of P. australis using microsatellite DNA analysis. A total of 354 culms of P. australis were collected from nine locations ranging from Albany, New York to Staten Island, New York in the summers of 2004 (N = 174) and 2011 (N = 180). Microsatellite data from eight loci indicated that the Hudson River Estuary has some of the highest levels of genetic variation of all U. S. Atlantic Coast regions containing P. australis. Gene diversity (Hs) across all loci in the 2004 collection was 0.45 (+/- 0.02) and that of the 2011 collection was 0.47 (+/- 0.07). Patches within sample sites were rarely monoclonal and had multiple genetic phenotypes. Moran's Identity tests indicated that individuals within a patch were closely related, whereas little genetic relatedness was evident among individuals from sample sites &gt; 1 km apart. Spatial structuring was also not evident in autospatial correlation and principle coordinate analyses. These findings suggest that genetic diversity is maintained within stands by sexual reproduction and that seeds are important in dispersal of P. australis across the Hudson River Estuary. Ample habitats are available for establishment of new Phragmites stands due to high levels of anthropogenic disturbance from populations living along the Estuary. Wildlife managers should focus on monitoring habitats that provide seedbed for Phragmites and promote land use practices that prevent soil disturbance and establishment of new stands.</t>
  </si>
  <si>
    <t>10.1007/s10530-016-1157-7</t>
  </si>
  <si>
    <t>WOS:000382136500010</t>
  </si>
  <si>
    <t>Land use changes in an afrotropical biodiversity hotspot affect stream alpha and beta diversity</t>
  </si>
  <si>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</si>
  <si>
    <t>10.1002/ecs2.1355</t>
  </si>
  <si>
    <t>WOS:000382158500008</t>
  </si>
  <si>
    <t>Excess phosphate loading shifts bacterioplankton community composition in oligotrophic coastal water microcosms over time</t>
  </si>
  <si>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</si>
  <si>
    <t>10.1016/j.jembe.2016.07.009</t>
  </si>
  <si>
    <t>WOS:000382413400017</t>
  </si>
  <si>
    <t>Forest area and connectivity influence root-associated fungal communities in a fragmented landscape</t>
  </si>
  <si>
    <t>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t>
  </si>
  <si>
    <t>10.1002/ecy.1472</t>
  </si>
  <si>
    <t>WOS:000382527100021</t>
  </si>
  <si>
    <t>Effects of wetting frequency and afforestation on carbon, nitrogen and the microbial community in soil</t>
  </si>
  <si>
    <t>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t>
  </si>
  <si>
    <t>10.1016/j.agee.2016.06.024</t>
  </si>
  <si>
    <t>WOS:000382592700004</t>
  </si>
  <si>
    <t>Effects of natural and anthropogenic environmental influences on tree community composition and structure in forests along an urban-wildland gradient in southwestern Ohio</t>
  </si>
  <si>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</si>
  <si>
    <t>10.1007/s11252-016-0531-7</t>
  </si>
  <si>
    <t>WOS:000382671000025</t>
  </si>
  <si>
    <t>Rangeland degradation assessment in Kyrgyzstan: vegetation and soils as indicators of grazing pressure in Naryn Oblast</t>
  </si>
  <si>
    <t>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t>
  </si>
  <si>
    <t>10.1007/s11629-016-3915-5</t>
  </si>
  <si>
    <t>WOS:000382748500005</t>
  </si>
  <si>
    <t>Characteristics of the Psidium cattleianum invasion of secondary rainforests</t>
  </si>
  <si>
    <t>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t>
  </si>
  <si>
    <t>10.1111/aec.12319</t>
  </si>
  <si>
    <t>WOS:000382788800001</t>
  </si>
  <si>
    <t>Conservation of genetic diversity in slippery elm (Ulmus rubra) in Wisconsin despite the devastating impact of Dutch elm disease</t>
  </si>
  <si>
    <t>Forest pest epidemics are responsible for many population declines reported in forest trees. While forest tree populations tend to be genetically diverse, in principle mortality resulting from disease could diminish that genetic diversity and alter the genetic structure of the remnant populations with consequences for the ability of a species to adapt to changing environments. Slippery elm (Ulmus rubra Muhl.) is a long-lived, wind-pollinated forest tree with a native range covering essentially all of eastern North America. Dutch elm disease (DED) caused by an introduced fungal pathogen (Ophiostoma ulmi) devastated North American elm populations, including slippery elm, beginning in the 1930s. Estimates of the numbers of elms lost to DED are unknown but range into the hundreds of millions of trees given their former abundance. In this study, the genotypes of 77 herbarium specimens collected between 1890 and 2004 in Wisconsin, and of 100 slippery elm trees from five wild Wisconsin populations, were characterized using 13 microsatellite loci. Levels of genetic diversity were compared between the herbarium specimens collected pre- and post-DED spread in Wisconsin. In addition, the levels of genetic diversity and degree of genetic differentiation were quantified in the five wild populations. The allelic diversity and expected levels of heterozygosity were similar between the pre- and post-DED herbarium specimens. The five wild populations were only slightly differentiated and no genetic bottleneck was detected for any population. At least in Wisconsin, slippery elm apparently has maintained levels of genetic diversity that could facilitate adaptation to future climatic and environmental changes.</t>
  </si>
  <si>
    <t>10.1007/s10592-016-0838-1</t>
  </si>
  <si>
    <t>WOS:000382934400002</t>
  </si>
  <si>
    <t>Spatiotemporal relationship between adult census size and genetic population size across a wide population size gradient</t>
  </si>
  <si>
    <t>Adult census population size (N) and effective number of breeders (Nb) are highly relevant for designing effective conservation strategies. Both parameters are often challenging to quantify, however, making it of interest to determine whether one parameter can be generalized from the other. Yet, the spatiotemporal relationship between N and Nb has not been well characterized empirically in many taxa. We analysed this relationship for 5-7 consecutive years in twelve brook trout populations varying greatly in N (49-10032) and Nb (3-567) and identified major environmental variables affecting the two parameters. N or habitat size alone explained 47-57% of the variance in Nb, and Nb was strongly correlated with effective population size. The ratio Nb/N ranged from 0.01 to 0.45 and increased at small N or following an annual decrease in N, suggesting density-dependent constraints on Nb. We found no evidence for a consistent, directional difference between variability in Nb and/or Nb/N among small and large populations; however, small populations had more varying temporal variability in Nb/N ratios than large populations. Finally, Nb and Nb/N were 2.5-and 2.3-fold more variable among populations than temporally within populations. Our results demonstrate a clear linkage between demographic and evolutionary parameters, suggesting that Nb could be used to approximate N (or vice versa) in natural populations. Nevertheless, using one variable to infer the other to monitor trends within populations is less recommended, perhaps even less so in small populations given their less predictable Nb vs. N dynamics.</t>
  </si>
  <si>
    <t>10.1111/mec.13790</t>
  </si>
  <si>
    <t>WOS:000383344400006</t>
  </si>
  <si>
    <t>Multitaxon activity profiling reveals differential microbial response to reduced seawater pH and oil pollution</t>
  </si>
  <si>
    <t>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t>
  </si>
  <si>
    <t>10.1111/mec.13779</t>
  </si>
  <si>
    <t>WOS:000383344400017</t>
  </si>
  <si>
    <t>Long-lasting effects of land use history on soil fungal communities in second-growth tropical rain forests</t>
  </si>
  <si>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</si>
  <si>
    <t>10.1890/15-1397.1</t>
  </si>
  <si>
    <t>WOS:000383358000022</t>
  </si>
  <si>
    <t>Nutrient additions cause divergence of tallgrass prairie plant communities resulting in loss of ecosystem stability</t>
  </si>
  <si>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</si>
  <si>
    <t>10.1111/1365-2745.12610</t>
  </si>
  <si>
    <t>WOS:000383551800026</t>
  </si>
  <si>
    <t>A longitudinal genetic survey identifies temporal shifts in the population structure of Dutch house sparrows</t>
  </si>
  <si>
    <t>Dutch house sparrow (Passer domesticus) densities dropped by nearly 50% since the early 1980s, and similar collapses in population sizes have been reported across Europe. Whether, and to what extent, such relatively recent demographic changes are accompanied by concomitant shifts in the genetic population structure of this species needs further investigation. Therefore, we here explore temporal shifts in genetic diversity, genetic structure and effective sizes of seven Dutch house sparrow populations. To allow the most powerful statistical inference, historical populations were resampled at identical locations and each individual bird was genotyped using nine polymorphic microsatellites. Although the demographic history was not reflected by a reduction in genetic diversity, levels of genetic differentiation increased over time, and the original, panmictic population (inferred from the museum samples) diverged into two distinct genetic clusters. Reductions in census size were supported by a substantial reduction in effective population size, although to a smaller extent. As most studies of contemporary house sparrow populations have been unable to identify genetic signatures of recent population declines, results of this study underpin the importance of longitudinal genetic surveys to unravel cryptic genetic patterns.</t>
  </si>
  <si>
    <t>10.1038/hdy.2016.38</t>
  </si>
  <si>
    <t>WOS:000383707900009</t>
  </si>
  <si>
    <t>The implementation of an environmental flow regime results in ecological recovery of regulated rivers</t>
  </si>
  <si>
    <t>Environmental flows are the main restoration technique used to ameliorate the ecological effects of regulation in rivers. However, their effectiveness has yet to be unanimously accepted. This study assessed the potential ecological benefits of the application of an environmental flow regime downstream of four dams and two weirs in the Upper Nepean River system, Sydney, Australia. Aquatic macroinvertebrates in three habitat types were sampled at water-supply and low-flow sites and unregulated sites in 1995 and 1996, prior to the environmental flows and in 2013 and 2014, approximately 13 years following the environmental flows. The macroinvertebrate assemblage structure was significantly different between regulated and reference sites and the number of taxa lower at water-supply sites prior to the implementation of the environmental flows. Following the environmental flows, the assemblage structure became more similar to, although still significantly different from, the unregulated sites and the number of taxa was not significantly different between regulated and unregulated sites. Thirteen or approximately 30% of taxa indicative of unregulated rivers increased in frequency at regulated sites following the environmental flows. Despite potentially similar dispersal capabilities the remainder of the taxa failed to respond the new flow regimes. The mechanisms resulting in recovery of some taxa but not others remain unclear and require further investigation as the basis of future research and monitoring. Such information and knowledge would support the application of future environmental flow regimes as the primary mechanism to ameliorate the ecological effects of river regulation.</t>
  </si>
  <si>
    <t>10.1111/rec.12330</t>
  </si>
  <si>
    <t>WOS:000383716800015</t>
  </si>
  <si>
    <t>Escape to Ferality: The Endoferal Origin of Weedy Rice from Crop Rice through De-Domestication</t>
  </si>
  <si>
    <t>Domestication is the hallmark of evolution and civilization and harnesses biodiversity through selection for specific traits. In regions where domesticated lines are grown near wild relatives, congeneric sources of aggressive weedy genotypes cause major economic losses. Thus, the origins of weedy genotypes where no congeneric species occur raise questions regarding management effectiveness and evolutionary mechanisms responsible for weedy population success. Since eradication in the 1970s, California growers avoided weedy rice through continuous flood culture and zero-tolerance guidelines, preventing the import, presence, and movement of weedy seeds. In 2003, after decades of no reported presence in California, a weedy rice population was confirmed in dry-seeded fields. Our objectives were to identify the origins and establishment of this population and pinpoint possible phenotypes involved. We show that California weedy rice is derived from a different genetic source among a broad range of AA genome Oryzas and is most recently diverged from O. sativa temperate japonica cultivated in California. In contrast, other weedy rice eco-types in North America (Southern US) originate from weedy genotypes from China near wild Oryza, and are derived through existing crop-wild relative crosses. Analyses of morphological data show that California weedy rice subgroups have phenotypes like medium-grain or gourmet cultivars, but have colored pericarp, seed shattering, and awns like wild relatives, suggesting that reversion to non-domestic or wild-like traits can occur following domestication, despite apparent fixation of domestication alleles. Additionally, these results indicate that preventive methods focused on incoming weed sources through contamination may miss burgeoning weedy genotypes that rapidly adapt, establish, and proliferate. Investigating the common and unique evolutionary mechanisms underlying global weed origins and subsequent interactions with crop relatives sheds light on how weeds evolve and addresses broader questions regarding the stability of selection during domestication and crop improvement.</t>
  </si>
  <si>
    <t>10.1371/journal.pone.0162676</t>
  </si>
  <si>
    <t>WOS:000383893500009</t>
  </si>
  <si>
    <t>Effects of microplastics on European flat oysters, Ostrea edulis and their associated benthic communities</t>
  </si>
  <si>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</si>
  <si>
    <t>10.1016/j.envpol.2016.05.043</t>
  </si>
  <si>
    <t>WOS:000383930500012</t>
  </si>
  <si>
    <t>Assessing condition of macroinvertebrate communities and sediment toxicity in the St. Lawrence River at Massena Area-of-Concern</t>
  </si>
  <si>
    <t>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t>
  </si>
  <si>
    <t>10.1016/j.jglr.2016.05.001</t>
  </si>
  <si>
    <t>WOS:000383933900020</t>
  </si>
  <si>
    <t>Connectivity rescues genetic diversity after a demographic bottleneck in a butterfly population network</t>
  </si>
  <si>
    <t>Demographic bottlenecks that occur when populations fluctuate in size erode genetic diversity, but that diversity can be recovered through immigration. Connectivity among populations and habitat patches in the landscape enhances immigration and should in turn facilitate recovery of genetic diversity after a sudden reduction in population size. For the conservation of genetic diversity, it may therefore be particularly important to maintain connectivity in the face of factors that increase demographic instability, such as climate change. However, a direct link between connectivity and recovery of genetic diversity after a demographic bottleneck has not been clearly demonstrated in an empirical system. Here, we show that connectivity of habitat patches in the landscape contributes to the maintenance of genetic diversity after a demographic bottleneck. We were able to monitor genetic diversity in a network of populations of the alpine butterfly, Parnassius smintheus, before, during, and after a severe reduction in population size that lasted two generations. We found that allelic diversity in the network declined after the demographic bottleneck but that less allelic diversity was lost from populations occupying habitat patches with higher connectivity. Furthermore, the effect of connectivity on allelic diversity was important during the demographic recovery phase. Our results demonstrate directly the ability of connectivity to mediate the rescue of genetic diversity in a natural system.</t>
  </si>
  <si>
    <t>10.1073/pnas.1600865113</t>
  </si>
  <si>
    <t>WOS:000383954700047</t>
  </si>
  <si>
    <t>Titanium dioxide nanoparticles strongly impact soil microbial function by affecting archaeal nitrifiers</t>
  </si>
  <si>
    <t>Soils are facing new environmental stressors, such as titanium dioxide nanoparticles (TiO2-NPs). While these emerging pollutants are increasingly released into most ecosystems, including agricultural fields, their potential impacts on soil and its function remain to be investigated. Here we report the response of the microbial community of an agricultural soil exposed over 90 days to TiO2-NPs (1 and 500 mg kg(-1) dry soil). To assess their impact on soil function, we focused on the nitrogen cycle and measured nitrification and denitrification enzymatic activities and by quantifying specific representative genes (amoA for ammonia-oxidizers, nirK and nirS for denitrifiers). Additionally, diversity shifts were examined in bacteria, archaea, and the ammonia-oxidizing clades of each domain. With strong negative impacts on nitrification enzyme activities and the abundances of ammonia-oxidizing microorganism, TiO2-NPs triggered cascading negative effects on denitrification enzyme activity and a deep modification of the bacterial community structure after just 90 days of exposure to even the lowest, realistic concentration of NPs. These results appeal further research to assess how these emerging pollutants modify the soil health and broader ecosystem function.</t>
  </si>
  <si>
    <t>10.1038/srep33643</t>
  </si>
  <si>
    <t>WOS:000384041800001</t>
  </si>
  <si>
    <t>Responses of fish assemblages of sandy beaches to different anthropogenic and hydrodynamic influences</t>
  </si>
  <si>
    <t>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t>
  </si>
  <si>
    <t>10.1111/jfb.12889</t>
  </si>
  <si>
    <t>WOS:000384307300054</t>
  </si>
  <si>
    <t>Grazing and. soil pH are biodiversity drivers of vascular plants and bryophytes in boreal wood-pastures</t>
  </si>
  <si>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</si>
  <si>
    <t>10.1016/j.agee.2016.02.018</t>
  </si>
  <si>
    <t>WOS:000384383600018</t>
  </si>
  <si>
    <t>Landscape Visual Quality and Meiofauna Biodiversity on Sandy Beaches</t>
  </si>
  <si>
    <t>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t>
  </si>
  <si>
    <t>10.1007/s00267-016-0735-x</t>
  </si>
  <si>
    <t>WOS:000384420900009</t>
  </si>
  <si>
    <t>Increased human occupation and agricultural development accelerates the population contraction of an estuarine delphinid</t>
  </si>
  <si>
    <t>Over the past few thousand years, human development and population expansion in southern China have led to local extirpation and population contraction of many terrestrial animals. At what extent this early human-induced environmental change has also affected coastal marine species remains poorly known. We investigated the demographic history of the Indo-Pacific humpback dolphin ( Sousa chinensis) in the Pearl River Delta ( PRD); an obligatory inshore species known for its susceptibility to anthropogenic impacts in one of China's most developed coastal regions. Although the deltaic evolution of PRD has been influenced by climate since the Holocene, similar to 74% reduction of the dolphin's effective population size occurred within the last 2000 years, consistent with similar to 61% habitat contraction during this period. This considerable and recent population contraction may have been due to land use practices and deforestation in the upper/ middle Pearl River region, all leading to increasing sedimentation rate in the estuarine area. As anthropogenic impacts within the drainage of Pearl River affected a vast area, coastal dolphins and large terrestrial mammals in southern China may share a similar demographic history, whilst the demographic and biogeographic history of the PRD humpback dolphins may be symptomatic of similar processes that this species may have undergone elsewhere in the region.</t>
  </si>
  <si>
    <t>10.1038/srep35713</t>
  </si>
  <si>
    <t>WOS:000385699300001</t>
  </si>
  <si>
    <t>Multi-trophic impacts of an invasive aquatic plant</t>
  </si>
  <si>
    <t>Natural resource agencies are increasingly required to prioritise management of multiple non-native aquatic plants (macrophytes) in freshwater ecosystems. Characterising the consequences of invasions for ecological processes and corresponding ecosystem services is fundamental to this decision-making process, but requires an understanding of impacts across physical, chemical, and biological responses. Accordingly, we evaluated the multi-trophic impacts of the invasive macrophyte Myriophyllum aquaticum (Haloragaceae; parrotfeather) along the mainstem Chehalis River, Washington, U.S.A. Weexamined invertebrate, plant and fish community responses to varying degrees of parrotfeather abundance and simultaneously characterised variation in physical structure and dissolved oxygen (DO) across the dominant native and non-native plant species. DO concentrations were significantly reduced and approached hypoxic levels in areas dominated by parrotfeather compared with native vegetation. Increased structural complexity, volume and biomass of parrotfeather was associated with increased diversity of epiphytic invertebrates. However, these more diverse invertebrate assemblages were dominated by amphipods, whereas native macrophytes were characterised by cladocerans, chironomids and gastropods. Non-native fishes (primarily centrarchid species) were more strongly associated with sites where parrotfeather was present and diversity of non-native fishes was positively correlated along a gradient of parrotfeather abundance. Native fish associated with parrotfeather areas were those that tend to be tolerant of degraded or lower quality habitats. We saw little evidence of exclusion of other macrophytes; native and non-native plant diversity and abundance were positively correlated with the parrotfeather gradient. This may reflect that analysis was done at a site level, and competitive dominance might be apparent by changes in species richness at smaller (plot) scales or over longer periods. Alternatively, parrotfeather may demonstrate minimal effects on native plant composition. Given the effects observed across multiple habitat characteristics and biota, parrotfeather appears to be a highly impactful invader where it establishes. Many of the changes we observed appear to derive from the emergent leaves and dense mat formation of parrotfeather compared with a submersed structure more typical of the native community. Our results suggest that managers should specifically consider contrasting characteristics between non-native and native physical structure when assessing and prioritising threats of invasive macrophytes.</t>
  </si>
  <si>
    <t>10.1111/fwb.12820</t>
  </si>
  <si>
    <t>WOS:000386022200004</t>
  </si>
  <si>
    <t>Exotic trees modify the thermal landscape and food resources for lizard communities</t>
  </si>
  <si>
    <t>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t>
  </si>
  <si>
    <t>10.1007/s00442-016-3726-y</t>
  </si>
  <si>
    <t>WOS:000386070800026</t>
  </si>
  <si>
    <t>An overview of biodiversity and conservation status of steppes of the Anatolian Biogeographical Region</t>
  </si>
  <si>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</si>
  <si>
    <t>10.1007/s10531-016-1172-0</t>
  </si>
  <si>
    <t>WOS:000386500700016</t>
  </si>
  <si>
    <t>Structure, Variation, and Co-occurrence of Soil Microbial Communities in Abandoned Sites of a Rare Earth Elements Mine</t>
  </si>
  <si>
    <t>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t>
  </si>
  <si>
    <t>10.1021/acs.est.6b02284</t>
  </si>
  <si>
    <t>WOS:000386991100007</t>
  </si>
  <si>
    <t>Invasive lionfish Pterois volitans reduce the density but not the genetic diversity of a native reef fish</t>
  </si>
  <si>
    <t>The Indo-Pacific red lionfish Pterois volitans has spread throughout the western Atlantic causing declines in biomass and diversity of native species at local reefs; worst-case scenarios predict species extinctions and ecosystem phase shifts. While reductions in reef fish population density and recruitment are evident, it is not known whether lionfish are reducing genetic diversity of native species, a major driver of extinction in natural populations. A before-after control- impact experiment was used to determine whether lionfish removals cause an increase in density of native species and genetic diversity in one species, the bicolor damselfish Stegastes partitus. We found that removing lionfish significantly augmented the density of several reef fish species. However, while allelic frequencies in bicolor damselfish recruits changed after removals, genetic diversity did not increase substantially despite a 3-fold increase in recruit density. Responses to lionfish removal differed among native species; rare species with small population sizes may be more susceptible to recruitment failure and diversity loss as a result of lionfish predation than widespread species with large populations.</t>
  </si>
  <si>
    <t>10.3354/meps11924</t>
  </si>
  <si>
    <t>WOS:000387116200018</t>
  </si>
  <si>
    <t>Two decades of genetic consistency in a reproductive population in the face of exploitation: patterns of adult and larval walleye (Sander vitreus) from Lake Erie's Maumee River</t>
  </si>
  <si>
    <t>Analyses of genetic variability and allelic composition in a species exhibiting reproductive fidelity to natal sites may provide important ecological indication of temporal population dynamics, facilitating understanding responses to past disturbances and future climate change. The walleye is an ecologically and economically valuable species, whose largest fishery centers in Lake Erie of the Laurentian Great Lakes; it exhibits reproductive site fidelity, despite otherwise wide-ranging dispersal. We tested whether genetic composition and diversity have remained temporally stable in Lake Erie's Maumee River, which is the largest and most highly fished spawning run. This population has experienced over a century of exploitation, habitat alterations, and pollution, which may have affected genetic structure and might influence future sustainability. Fourteen nuclear DNA microsatellite loci were analyzed from 744 spawning run walleye to test genetic patterns across: (1) years (N = 12, spanning 1995-2013), (2) birth year cohorts, (3) the sexes, (4) those reproducing earlier (ages 2-6) versus later (7 or older) in life, and (5) the adults versus larvae. Results indicated stability in genetic diversity levels (mean H (O) = 0.76 +/- A 0.03) and allelic composition across years (F (ST) = 0.000-0.006, NS), cohorts (F (ST) = 0.000-0.013, NS), sexes (F (ST) = 0.000, NS), earlier versus later reproduction (F (ST) = 0.000, NS), and between the larvae and adults (F (ST) = 0.000-0.004, NS). Number of breeders and effective population size were substantial and consistent. This reproductive population thus has maintained genetic stability and high diversity, despite intensive anthropogenic pressures.</t>
  </si>
  <si>
    <t>10.1007/s10592-016-0866-x</t>
  </si>
  <si>
    <t>WOS:000387222200010</t>
  </si>
  <si>
    <t>Range-wide fragmentation in a threatened fish associated with post-European settlement modification in the Murray-Darling Basin, Australia</t>
  </si>
  <si>
    <t>Distinguishing the relative influence of historic (i.e. natural) versus anthropogenic factors in metapopulation structure is an important but often overlooked step in management programs of threatened species. Biotas in freshwater wetlands and floodplains, such as those in the Murray-Darling Basin (MDB)-one of Australia's most impacted ecosystems, are particularly susceptible to anthropogenic fragmentation. Here we present a comprehensive multilocus assessment of genetic variation in the threatened southern pygmy perch Nannoperca australis (578 individuals; 45 localities; microsatellite, allozyme and mitochondrial DNA datasets), an ecological specialist with low dispersal potential. We assess patterns of spatial structure and genetic diversity in populations spanning the highly fragmented MDB and test whether recent anthropogenic modification has disrupted range-wide connectivity. We detected strong and hierarchical population structure, very low genetic diversity and lack of contemporary gene flow across the MDB. In contrast, the apparent absence of pronounced or long-term phylogeographic structure suggests that observed population divergences generally do not reflect deeply historic natural fragmentation. Coalescent-based analyses supported this inference, revealing that divergence times between populations from the upper and lower MDB fall into the period of European settlement. It appears that the observed contemporary isolation of populations is partly explained by the severe modification of the MDB post-dating the onset of European settlement. Our integrated approach substantially improves the interpretation of how fragmentation impacts present-day biodiversity. It also provides novel contributions for risk-assessing management actions in the context of captive breeding and translocations of small freshwater fishes, a group of increasing global conservation concern.</t>
  </si>
  <si>
    <t>10.1007/s10592-016-0868-8</t>
  </si>
  <si>
    <t>WOS:000387222200012</t>
  </si>
  <si>
    <t>How does the management of rice in natural ponds alter aquatic insect community functional structure?</t>
  </si>
  <si>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</si>
  <si>
    <t>10.1071/MF14246</t>
  </si>
  <si>
    <t>WOS:000387256400005</t>
  </si>
  <si>
    <t>Spatiotemporal dynamics of intermittent stream fish metacommunities in response to prolonged drought and reconnectivity</t>
  </si>
  <si>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</si>
  <si>
    <t>10.1071/MF15072</t>
  </si>
  <si>
    <t>WOS:000387256400007</t>
  </si>
  <si>
    <t>Forest-farm edge effects on communities of ground beetles (Coleoptera: Carabidae) under different landscape structures</t>
  </si>
  <si>
    <t>In fragmented landscapes, ecological processes may be significantly influenced by edge effects, but few data are available for edge effects across forest-farmland edges. We investigated patterns of species richness, abundance, and species composition in ground beetles across forest-farm edges in two different agro-forest landscapes in Korea. Nine and five sites were selected from Hwaseong, a fragmented landscape, in 2011 and 2012, respectively, while eight sites were selected from Hoengseong, a relatively well-protected landscape, in 2012. Ground beetles were collected by pitfall trapping. Species richness was higher in the surrounding habitat than in the forest interior or edge in both Hwaseong and Hoengseong. However, in Hwaseong, species richness of the forest edge was similar to that of the forest interior, while in Hoengseong forest edge species richness was intermediate between that of the forest interior and surrounding areas. In addition, non-metric multidimensional scaling based on the combined data of both locations showed that the species composition of ground beetles in the forest edge was more similar to that of the forest interior than the surrounding areas, although some open-habitat species occurred at the forest edges. Three characteristic groups (forest specialists, edge-associated species, and open-habitat species) of ground beetle species were detected by indicator value analysis. In our study, ground beetle assemblages differed in the forest edges of two agro-forest landscapes, suggesting that the edge effect on biota can be influenced by landscape structure.</t>
  </si>
  <si>
    <t>10.1007/s11284-016-1388-1</t>
  </si>
  <si>
    <t>WOS:000387344900005</t>
  </si>
  <si>
    <t>Land use change in the Amazon rain forest favours generalist fungi</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</si>
  <si>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</si>
  <si>
    <t>10.1111/1365-2435.12651</t>
  </si>
  <si>
    <t>WOS:000387362600012</t>
  </si>
  <si>
    <t>A novel method to assess effects of chemical stressors on natural biofilm structure and function</t>
  </si>
  <si>
    <t>The regulation and management of chemical contaminants rarely use community- and ecosystem-level endpoints, partly due to a lack of suitable methods. To overcome this limitation, we propose contaminant exposure substrata (CES), an adaptation of the widely used nutrient-diffusing substratum method, to assess responses of biofilm communities to chemical contaminants insitu. We describe methods for using CES to assess effects on biofilm biomass, community structure, process rates, biofilm-consumer interactions and biofilm chemistry. We also provide equations to calculate the flux of soluble chemicals from CES and describe an approach to compare contaminant dose in CES assays to the contaminant dose encountered by biofilms in polluted surface waters. Data from four case studies demonstrate that CES can detect impairment of biofilm structure and function. The adaptability, simplicity and cost-effectiveness of CES make them valuable tools to assess community- and ecosystem-level responses to contaminants, suggesting potential for routine use and incorporation of data generated from such assays into contaminant regulation and management.</t>
  </si>
  <si>
    <t>10.1111/fwb.12641</t>
  </si>
  <si>
    <t>WOS:000387504700012</t>
  </si>
  <si>
    <t>Are Odonata communities impacted by conventional or reduced impact logging?</t>
  </si>
  <si>
    <t>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t>
  </si>
  <si>
    <t>10.1016/j.foreco.2016.10.013</t>
  </si>
  <si>
    <t>WOS:000387519700014</t>
  </si>
  <si>
    <t>Canopy closure determines arthropod assemblages in microhabitats created by windstorms and salvage logging</t>
  </si>
  <si>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</si>
  <si>
    <t>10.1016/j.foreco.2016.09.029</t>
  </si>
  <si>
    <t>WOS:000387522700018</t>
  </si>
  <si>
    <t>Measuring the success of reforestation for restoring biodiversity and ecosystem functioning</t>
  </si>
  <si>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</si>
  <si>
    <t>10.1111/1365-2664.12728</t>
  </si>
  <si>
    <t>WOS:000387768800009</t>
  </si>
  <si>
    <t>150 years of macronutrient change in unfertilized UK ecosystems: Observations vs simulations</t>
  </si>
  <si>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</si>
  <si>
    <t>10.1016/j.scitotenv.2016.03.055</t>
  </si>
  <si>
    <t>WOS:000387807200143</t>
  </si>
  <si>
    <t>Shifts in shredder communities and leaf breakdown along a disrupted stream continuum</t>
  </si>
  <si>
    <t>Stream ecosystem functions are predicted to vary longitudinally along a stream network as a result of changes in physical and biotic processes. Conversion by headwater communities of allochthonous materials, such as leaves, into readily available sources of energy is an essential process for maintenance of downstream communities. We investigated how location along a stream continuum, the presence of a dam, and leaf type affected leaf breakdown. We placed yellow birch (Betula alleghaniensis), sugar maple (Acer saccharum), and white oak (Quercus alba) leaf packs in Sims Creek (North Carolina, USA), at a 1(st)-order site, a 2(nd)-order site above a dam, and a 2(nd)-order site immediately below this dam. Leaf breakdown rates of all species were slower at the above-dam than at the headwater site, and breakdown rates for birch and maple were lower at the below- than the above-dam site. Detritivore composition and abundance differed among sites. Leaf packs had lower detritivore abundance at the below- than the above-dam and headwater sites. Much of the lower detritivore abundance was attributable to reduced densities of Pycnopsyche gentilis and Tallaperla maria, which are important shredding species. Our results suggest that longitudinal changes in detritivore communities can influence leaf decomposition, but location effects may vary as a function of leaf species. Dams also may influence leaf-processing rates in headwater streams by altering detritivore assemblages.</t>
  </si>
  <si>
    <t>10.1086/688857</t>
  </si>
  <si>
    <t>WOS:000388080700021</t>
  </si>
  <si>
    <t>Response of bird assemblages to windstorm and salvage logging - Insights from analyses of functional guild and indicator species</t>
  </si>
  <si>
    <t>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t>
  </si>
  <si>
    <t>10.1016/j.ecolind.2015.06.033</t>
  </si>
  <si>
    <t>WOS:000388157700013</t>
  </si>
  <si>
    <t>Does tree canopy closure moderate the effect of climate warming on plant species composition of temperate Himalayan oak forest?</t>
  </si>
  <si>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</si>
  <si>
    <t>10.1111/jvs.12423</t>
  </si>
  <si>
    <t>WOS:000388439400009</t>
  </si>
  <si>
    <t>Impact of urban land use on the bacterial phyllosphere of ivy (Hedera sp.)</t>
  </si>
  <si>
    <t>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t>
  </si>
  <si>
    <t>10.1016/j.atmosenv.2016.10.017</t>
  </si>
  <si>
    <t>WOS:000388543600033</t>
  </si>
  <si>
    <t>Disentangling the stream community impacts of Didymosphenia geminata: How are higher trophic levels affected?</t>
  </si>
  <si>
    <t>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t>
  </si>
  <si>
    <t>10.1007/s10530-016-1233-z</t>
  </si>
  <si>
    <t>WOS:000388579500005</t>
  </si>
  <si>
    <t>Tardigrade diversity: an evaluation of natural and disturbed environments of the province of Salta (Argentina)</t>
  </si>
  <si>
    <t>Argentine tardigrades are relatively unknown and, in many cases, unstudied; in the province of Salta in north-western Argentina the lone record of tardigrade dates to the 1980s. Here, we evaluate and compare tardigrade diversity in natural habitats (N), urban environments (U) and rural communities (R) of Yungas. This work seeks to verify the existence of a reduction in tardigrade diversity outside their native habitats and if there is a biotic homogenization in the urban communities. Tardigrade community assemblages were compared between habitats using non-metric multidimensional scaling and a multi-response permutation procedure. Beta diversity was analysed in its component parts, species turnover and nesting, using a modified Raup-Crick test. Gamma diversity was divided into alpha and several beta levels. In total, 2080 eutardigrade and heterotardigrade specimens were registered and showed differences in tardigrade assemblages between habitats; the most diverse habitat was R. The beta diversity partition showed a nesting pattern in the U communities, highlighting faunal homogenization, while species turnover was key in the R and N communities. There was species loss from N to U communities, most markedly between R and U; various forces (both stochastic and deterministic) influence the structure of these communities.</t>
  </si>
  <si>
    <t>10.1111/zoj.12476</t>
  </si>
  <si>
    <t>WOS:000388622800005</t>
  </si>
  <si>
    <t>Native and introduced land snail species as ecological indicators in different land use types in Java</t>
  </si>
  <si>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</si>
  <si>
    <t>10.1016/j.ecolind.2016.05.013</t>
  </si>
  <si>
    <t>WOS:000388785200050</t>
  </si>
  <si>
    <t>Benthic communities through the construction of a major reservoir and 40 years of change</t>
  </si>
  <si>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</si>
  <si>
    <t>10.1127/fal/2016/0906</t>
  </si>
  <si>
    <t>WOS:000388813400002</t>
  </si>
  <si>
    <t>Organic enrichment effects on a marine meiofauna community, with focus on Kinorhyncha</t>
  </si>
  <si>
    <t>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t>
  </si>
  <si>
    <t>10.1016/j.jcz.2016.03.013</t>
  </si>
  <si>
    <t>WOS:000389109100009</t>
  </si>
  <si>
    <t>The impact of cattle grazing on cursorial spiders (Aranei) and true bugs (Heteroptera) in steppe gullies of northeastern Ukraine</t>
  </si>
  <si>
    <t>Cattle grazing is a traditional agricultural activity and one of the obligatory factors for maintaining steppe ecosystems. The impact of grazing depends on its intensity, site area, soil, topography, and microclimatic conditions. Both intensive grazing and long-term cessation differently affect various components of the steppe biota. During the research, cursorial spiders and true bugs were collected in grazed and ungrazed gullies in northeastern Ukraine. Seventy true bug and 73 spider species were recovered from the ungrazed gully and 65 true bug and 50 spider species from the grazed one. More than a 20-year grazing cessation resulted in the partial overgrowth of the gully bottom by arboreal and shrub vegetation and the predominance of meadow herb species. Consequently, spider assemblages being the richest in species number and individuals lost their steppe traits. Ungrazed south-facing slope covered with typical steppe vegetation harbored the most steppe-like spider assemblage and maintained abundance of steppe specialists. Spider assemblages of the grazed gully were the poorest. Species richness, number of individuals and ecological groups of true bugs depended on orographic conditions, being more divers on the gully slopes (58-60 species vs. 42-44 species in the bottoms). The true bug individual numbers were the highest on the grazed slope while in the bottoms it did not change with grazing. In general, cursorial spiders were better indicators of the grazing pressure than true bugs. At the study site, no specific pastoral assemblages of both arthropod groups were indentified. Nevertheless, patched grazing was necessary for maintaining steppe-like vegetation and arthropod assemblages in the gully bottoms. (C) 2016 Elsevier B.V. All rights reserved.</t>
  </si>
  <si>
    <t>10.1016/j.agee.2016.04.031</t>
  </si>
  <si>
    <t>WOS:000389115600009</t>
  </si>
  <si>
    <t>From Landsat to leafhoppers: A multidisciplinary approach for sustainable stocking assessment and ecological monitoring in mountain grasslands</t>
  </si>
  <si>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</si>
  <si>
    <t>10.1016/j.agee.2016.04.028</t>
  </si>
  <si>
    <t>WOS:000389115600014</t>
  </si>
  <si>
    <t>An asymmetrical sampling design as a tool for sustainability assessment of human activities in coastal systems: a fish farming study case</t>
  </si>
  <si>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</si>
  <si>
    <t>10.1080/17451000.2016.1225958</t>
  </si>
  <si>
    <t>WOS:000389127300006</t>
  </si>
  <si>
    <t>Spatio-temporal genetic structure and the effects of long-term fishing in two partially sympatric offshore demersal fishes</t>
  </si>
  <si>
    <t>Environmental gradients have been shown to disrupt gene flow in marine species, yet their influence in structuring populations at depth remains poorly understood. The Cape hakes (Merluccius paradoxus and M. capensis) are demersal species co-occurring in the Benguela Current system, where decades of intense fishing resulted in severely depleted stocks in the past. Previous studies identified conflicting mtDNA genetic substructuring patterns and thus contrasting evolutionary trajectories for both species. Using 10 microsatellite loci, the control region of mtDNA and employing a seascape genetics approach, we investigated genetic connectivity and the impact of prolonged exploitation in the two species, which are characterized by different patterns of fishing pressure. Three consecutive years were sampled covering the entire distribution (N = 2100 fishes). Despite large estimated population sizes, both species exhibited low levels of contemporary genetic diversity (0.581 &lt; H-E &lt; 0.692), implying that fishing has had a significant impact on their genetic composition and evolutionary trajectories. Further, for M. paradoxus, significant temporal, but not spatial, divergence points to the presence of genetic chaotic patchiness. In contrast, M. capensis exhibited a clear latitudinal cline in genetic differentiation between Namibia and South Africa (FST = 0.063, P &lt; 0.05), with low (0.2% per generation) estimates of contemporary gene flow. Seascape analyses reveal an association with bathymetry and upwelling events, suggesting that adaptation to local environmental conditions may drive genetic differentiation in M. capensis. Importantly, our results highlight the need for temporal sampling in disentangling the complex factors that impact population divergence in marine fishes.</t>
  </si>
  <si>
    <t>10.1111/mec.13890</t>
  </si>
  <si>
    <t>WOS:000389133700003</t>
  </si>
  <si>
    <t>Long-term dynamics in microbial eukaryotes communities: a palaeolimnological view based on sedimentary DNA</t>
  </si>
  <si>
    <t>Assessing the extent to which changes in lacustrine biodiversity are affected by anthropogenic or climatic forces requires extensive palaeolimnological data. We used high-throughput sequencing to generate time-series data encompassing over 2200 years of microbial eukaryotes (protists and Fungi) diversity changes from the sedimentary DNA record of two lakes (Lake Bourget in French Alps and Lake Igaliku in Greenland). From 176 samples, we sequenced a large diversity of microbial eukaryotes, with a total 16 386 operational taxonomic units distributed within 50 phylogenetic groups. Thus, microbial groups, such as Chlorophyta, Dinophyceae, Haptophyceae and Ciliophora, that were not previously considered in lacustrine sediment record analyses appeared to be potential biological markers of trophic status changes. Our data suggest that shifts in relative abundance of extant species, including shifts between rare and abundant taxa, drive ecosystem responses to local and global environmental changes. Community structure shift events were concomitant with major climate variations (more particularly in Lake Igaliku). However, this study shows that the impacts of climatic fluctuations may be overpassed by the high-magnitude eutrophication impacts, as observed in the eutrophicated Lake Bourget. Overall, our data show that DNA preserved in sediment constitutes a precious archive of information on past biodiversity changes.</t>
  </si>
  <si>
    <t>10.1111/mec.13893</t>
  </si>
  <si>
    <t>WOS:000389133700008</t>
  </si>
  <si>
    <t>Disentangling urban habitat and matrix effects on wild bee species</t>
  </si>
  <si>
    <t>In face of a dramatic decline of wild bee species in many rural landscapes, potential conservation functions of urban areas gain importance. Yet effects of urbanization on pollinators, and in particular on wild bees remain ambiguous and not comprehensively understood. This is especially true for amenity grassland and extensively managed wastelands within large-scale residential housing areas. Using Berlin as a study region we aimed to investigate (a) if these greenspaces are accepted by wild bee assemblages as foraging habitats; (b) how assemblage structure of bees and individual bee species are affected by different habitat (e.g., management, flower density) and urban matrix variables (e.g., isolation, urbanization); and (c) to what extent grassland restoration can promote bees in urban environments. In summer 2012, we collected 62 bee species belonging to more than 20% of the taxa known for Berlin. Urbanization significantly affected species composition of bees; 18 species were affiliated to different levels of urbanization. Most bee species were not affected by any of the environmental variables tested, and urbanization had a negative effect only for one bee species. Further, we determined that restoration of diverse grasslands positively affected bee species richnesss in urban environments. We conclude that differently structured and managed greenspaces in large-scale housing areas can provide additional foraging habitats and refuges for pollinators. This supports approaches towards a biodiversity friendly management within urban regions and may be of particular importance given that anthropogenic pressure is increasing in many rural landscapes.</t>
  </si>
  <si>
    <t>10.7717/peerj.2729</t>
  </si>
  <si>
    <t>WOS:000389149900007</t>
  </si>
  <si>
    <t>High Interannual Variability in Connectivity and Genetic Pool of a Temperate Clingfish Matches Oceanographic Transport Predictions</t>
  </si>
  <si>
    <t>Adults of most marine benthic and demersal fish are site-attached, with the dispersal of their larval stages ensuring connectivity among populations. In this study we aimed to infer spatial and temporal variation in population connectivity and dispersal of a marine fish species, using genetic tools and comparing these with oceanographic transport. We focused on an intertidal rocky reef fish species, the shore clingfish Lepadogaster lepadogaster, along the southwest Iberian Peninsula, in 2011 and 2012. We predicted high levels of self-recruitment and distinct populations, due to short pelagic larval duration and because all its developmental stages have previously been found near adult habitats. Genetic analyses based on microsatellites countered our prediction and a biophysical dispersal model showed that oceanographic transport was a good explanation for the patterns observed. Adult sub-populations separated by up to 300 km of coastline displayed no genetic differentiation, revealing a single connected population with larvae potentially dispersing long distances over hundreds of km. Despite this, parentage analysis performed on recruits from one focal site within the Marine Park of Arrabida (Portugal), revealed self-recruitment levels of 2.5% and 7.7% in 2011 and 2012, respectively, suggesting that both long-and short-distance dispersal play an important role in the replenishment of these populations. Population differentiation and patterns of dispersal, which were highly variable between years, could be linked to the variability inherent in local oceanographic processes. Overall, our measures of connectivity based on genetic and oceanographic data highlight the relevance of long-distance dispersal in determining the degree of connectivity, even in species with short pelagic larval durations.</t>
  </si>
  <si>
    <t>10.1371/journal.pone.0165881</t>
  </si>
  <si>
    <t>WOS:000389520600004</t>
  </si>
  <si>
    <t>Changes in composition and abundance of functional groups of arctic fungi in response to long-term summer warming</t>
  </si>
  <si>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</si>
  <si>
    <t>10.1098/rsbl.2016.0503</t>
  </si>
  <si>
    <t>WOS:000389637100008</t>
  </si>
  <si>
    <t>Effects of sediment flushing from a small Alpine reservoir on downstream aquatic fauna</t>
  </si>
  <si>
    <t>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t>
  </si>
  <si>
    <t>10.1002/eco.1725</t>
  </si>
  <si>
    <t>WOS:000390021700011</t>
  </si>
  <si>
    <t>Long-term declines in an intertidal foundation species parallel shifts in community composition</t>
  </si>
  <si>
    <t>The earth is in the midst of a biodiversity crisis, and projections indicate continuing and accelerating rates of global changes. Future alterations in communities and ecosystems may be precipitated by changes in the abundance of strongly interacting species, whose disappearance can lead to profound changes in abundance of other species, including an increase in extinction rate for some. Nearshore coastal communities are often dependent on the habitat and food resources provided by foundational plant (e.g., kelp) and animal (e.g., shellfish) species. We quantified changes in the abundance of the blue mussel (Mytilus edulis), a foundation species known to influence diversity and productivity of intertidal habitats, over the past 40 years in the Gulf of Maine, USA, one of the fastest warming regions in the global ocean. Using consistent survey methods, we compared contemporary population sizes to historical data from sites spanning &gt;400 km. The results of these comparisons showed that blue mussels have declined in the Gulf of Maine by &gt;60% (range: 29-100%) at the site level since the earliest benchmarks in the 1970s. At the same time as mussels declined, community composition shifted: at the four sites with historical community data, the sessile community became increasingly algal dominated. Contemporary (2013-2014) surveys across 20 sites showed that sessile species richness was positively correlated to mussel abundance in mid to high intertidal zones. These results suggest that declines in a critical foundation species may have already impacted the intertidal community. To inform future conservation efforts, we provide a database of historical and contemporary baselines of mussel population abundance and dynamics in the Gulf of Maine. Our results underscore the importance of anticipating not only changes in diversity but also changes in the abundance and identity of component species, as strong interactors like foundation species have the potential to drive cascading community shifts.</t>
  </si>
  <si>
    <t>10.1111/gcb.13425</t>
  </si>
  <si>
    <t>WOS:000390218300029</t>
  </si>
  <si>
    <t>Enhanced summer warming reduces fungal decomposer diversity and litter mass loss more strongly in dry than in wet tundra</t>
  </si>
  <si>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</si>
  <si>
    <t>10.1111/gcb.13362</t>
  </si>
  <si>
    <t>WOS:000390218300034</t>
  </si>
  <si>
    <t>Connecting algal taxonomic information to essential fatty acid content in agricultural streams</t>
  </si>
  <si>
    <t>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t>
  </si>
  <si>
    <t>10.2216/15-123.1</t>
  </si>
  <si>
    <t>WOS:000390261700004</t>
  </si>
  <si>
    <t>Assessing the long-term ecological effects of riparian management practices on headwater streams in a coastal temperate rainforest</t>
  </si>
  <si>
    <t>Our understanding of how effective forestry Best Management Practices (BMPs) can mitigate logging impacts on the structure and functioning of temperate headwater streams tends to be based upon studies conducted within the first few years post-harvest. Little is known about how the affected biological parameters of streams change during riparian and upland forest regeneration, particularly the time taken to return to pre-harvest levels, or to within the range of reference conditions. By following up on an earlier study in southwestern British Columbia, Canada, we examined the post-logging recovery trajectories of stream attributes under multiple forest treatments. These treatments provided a gradient of riparian protection, including streamside clear-cutting with no reserves, and with fixed-width reserves (10 m and 30 m), and thinning with 50% basal area removal of riparian trees, which were compared with unharvested control sites. About 15 years after clear-cutting and 9 years after thinning, slower decomposition of red alder leaves (Alnus rubra) was reported in streams affected by forest harvesting, which was attributed to lower density of shredder invertebrates. Thinned reaches had lower litter decomposition rate than, but similar shredder density and richness to, unharvested reference sites. After a further 7 years of forest regrowth (time elapsed between the previous and present study), we found that litter decomposition rate and shredder density in logging-affected reaches converged with values in reference reaches. Stream functional integrity, as reflected by litter decomposition, increased across all forest treatments. Some differences in rarefied shredder richness among forest treatments emerged in this study. The legacy effects of thinning on some biotic variables likely diminished more quickly (2-9 years post-harvest) than those of clear-cutting with and without riparian reserves (8-15 years). Stream recovery from thinning to reference conditions should continue to warrant attention, as wider, larger-scale partial harvesting practices are recommended within emerging paradigms of forest management. Overall, our findings indicate time scales towards recovery of an important ecological process of streams under common forestry practices, which could be longer than other stream properties, such as water quality. Such differences in recovery time frames should be considered for the planning of forestry operations and monitoring of harvesting legacies. (C) 2016 Elsevier B.V. All rights reserved.</t>
  </si>
  <si>
    <t>10.1016/j.foreco.2016.10.044</t>
  </si>
  <si>
    <t>WOS:000390727600012</t>
  </si>
  <si>
    <t>Detection of environmental impacts of shrimp farming through multiple lines of evidence</t>
  </si>
  <si>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</si>
  <si>
    <t>10.1016/j.envpol.2016.06.056</t>
  </si>
  <si>
    <t>WOS:000390734100076</t>
  </si>
  <si>
    <t>Changes in fish assemblage structure after implementation of Marine Protected Areas in the south western coast of Portugal</t>
  </si>
  <si>
    <t>Marine Protected Areas (MPAs) are increasingly being recommended as management tools for biodiversity conservation and fisheries. With the purpose of protecting the region's biodiversity and prevent the over exploitation of marine resources, in February 2011 the no-take MPAs of Ilha do Pessegueiro and Cabo Sardao were implemented within the Parque Natural do Sudoeste Alentejano e Costa Vicentina (PNSACV) Marine Park, south. western coast of Portugal. As such, commercial and recreational fishing became prohibited in these areas. In order to evaluate the effects of these no-take MPAs, the structure of their fish assemblages and of adjacent control areas without fishing restrictions were studied between 2011 (immediately after implementation) and 2013 (two years after implementation). A total of 4 sampling campaigns were conducted (summer 2011, winter 2012, summer 2013 and winter 2013) using trammel nets and bottom trawl. Ichthyofaunal assemblages from the no-take MPAs (treatment) were compared with adjacent areas (controls) and changes evaluated as a function of time since protection. Results revealed significant increase in fish abundance after the implementation of the no-take MPAs. Furthermore, significant differences in the structure of fish assemblages (abundance and fish size) between protected and neighbouring areas were rapidly observed upon the implementation of the no-take MPAs. In addition, specimens of larger size occurred more frequently within Ilha do Pessegueiro no-take MPA in the last year of the study. Overall, despite the young age of these no-take MPAs, changes on the structure of their fish assemblages were already evident after only two years of protection, indicating that management measures such as MPA designation may play an important role to promote fisheries sustainable exploitation as well as to protect species with conservation interest. (C) 2016 Elsevier Ltd. All rights reserved.</t>
  </si>
  <si>
    <t>10.1016/j.ocecoaman.2016.11.017</t>
  </si>
  <si>
    <t>WOS:000390739300010</t>
  </si>
  <si>
    <t>Limited Dispersal and Significant Fine - Scale Genetic Structure in a Tropical Montane Parrot Species</t>
  </si>
  <si>
    <t>Tropical montane ecosystems are biodiversity hotspots harbouring many endemics that are confined to specific habitat types within narrow altitudinal ranges. While deforestation put these ecosystems under threat, we still lack knowledge about how heterogeneous environments like the montane tropics promote population connectivity and persistence. We investigated the fine-scale genetic structure of the two largest subpopulations of the endangered El Oro parakeet (Pyrrhura orcesi) endemic to the Ecuadorian Andes. Specifically, we assessed the genetic divergence between three sites separated by small geographic distances but characterized by a heterogeneous habitat structure. Although geographical distances between sites are small (3-17 km), we found genetic differentiation between all sites. Even though dispersal capacity is generally high in parrots, our findings indicate that dispersal is limited even on this small geographic scale. Individual genotype assignment revealed similar genetic divergence across a valley (similar to 3 km distance) compared to a continuous mountain range (similar to 13 km distance). Our findings suggest that geographic barriers promote genetic divergence even on small spatial scales in this endangered endemic species. These results may have important implications for many other threatened and endemic species, particularly given the upslope shift of species predicted from climate change.</t>
  </si>
  <si>
    <t>10.1371/journal.pone.0169165</t>
  </si>
  <si>
    <t>WOS:000391226900080</t>
  </si>
  <si>
    <t>Contrasting Impacts of Dams on the Metacommunity Structure of Fish and Macroinvertebrate Assemblages</t>
  </si>
  <si>
    <t>Impoundments are common features of many rivers that often impact abiotic conditions and the organisms that inhabit impacted reaches. As dams alter both local environmental conditions and the ability of organisms to move throughout the habitat, it is difficult to know which factors are driving changes in assemblage composition. To separate these effects, we employed a metacommunity approach to evaluate drivers of assemblage composition in fish and macroinvertebrate communities across two impoundments slated for removal in Danville, Illinois. Based on movement ability, we would expect dams to represent barriers to fish populations, whereas macroinvertebrates, with their motile adult phases, should be easily able to move across impoundments. Therefore, we would expect the assemblage structure of these two groups to be driven by different processes. We sampled habitat quality ( measures) and both fish and macroinvertebrate communities in a replicated series of sites across two low-head dams. As expected, the presence of dams resulted in reduced habitat quality as well as changes in fish and macroinvertebrate quality indices. However, fish and macroinvertebrate assemblages were driven by different metacommunity processes. Fish communities showed strong environmental filtering, responding to local environmental conditions, with no effect of distance between habitats. In marked contrast, macroinvertebrate communities were only related to physical distance between sites, with no indication of environmental filtering. These results suggest that when these dams are removed, fish assemblages should change with the removal of dam-generated habitats. In contrast, dam removal may not alter macroinvertebrate composition, as it did not vary with habitat but appears driven by local dispersal.</t>
  </si>
  <si>
    <t>10.1080/02755947.2016.1221001</t>
  </si>
  <si>
    <t>WOS:000391851900013</t>
  </si>
  <si>
    <t>Temporal genetic stability in natural populations of the waterflea Daphnia magna in response to strong selection pressure</t>
  </si>
  <si>
    <t>Studies monitoring changes in genetic diversity and composition through time allow a unique understanding of evolutionary dynamics and persistence of natural populations. However, such studies are often limited to species with short generation times that can be propagated in the laboratory or few exceptional cases in the wild. Species that produce dormant stages provide powerful models for the reconstruction of evolutionary dynamics in the natural environment. A remaining open question is to what extent dormant egg banks are an unbiased representation of populations and hence of the species' evolutionary potential, especially in the presence of strong environmental selection. We address this key question using the water flea Daphnia magna, which produces dormant stages that accumulate in biological archives over time. We assess temporal genetic stability in three biological archives, previously used in resurrection ecology studies showing adaptive evolutionary responses to rapid environmental change. We show that neutral genetic diversity does not decline with the age of the population and it is maintained in the presence of strong selection. In addition, by comparing temporal genetic stability in hatched and unhatched populations from the same biological archive, we show that dormant egg banks can be consulted to obtain a reliable measure of genetic diversity over time, at least in the multidecadal time frame studied here. The stability of neutral genetic diversity through time is likely mediated by the buffering effect of the resting egg bank.</t>
  </si>
  <si>
    <t>10.1111/mec.13907</t>
  </si>
  <si>
    <t>WOS:000391939700003</t>
  </si>
  <si>
    <t>Realized climatic niches are conserved along maximum temperatures among herpetofaunal invaders</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</si>
  <si>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</si>
  <si>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10.1111/jbi.12808</t>
  </si>
  <si>
    <t>WOS:000391956900011</t>
  </si>
  <si>
    <t>Coleoptera assemblages of pine forests depends on the distance to the source of nitrogen pollution</t>
  </si>
  <si>
    <t>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t>
  </si>
  <si>
    <t>10.1556/168.2016.17.2.11</t>
  </si>
  <si>
    <t>WOS:000392008400011</t>
  </si>
  <si>
    <t>Edge and land use effects on dung beetles (Coleoptera: Scarabaeidae: Scarabaeinae) in Brazilian cerrado vegetation</t>
  </si>
  <si>
    <t>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t>
  </si>
  <si>
    <t>10.1007/s10841-016-9928-0</t>
  </si>
  <si>
    <t>WOS:000392077800003</t>
  </si>
  <si>
    <t>Response of soil bacterial communities to lead and zinc pollution revealed by Illumina MiSeq sequencing investigation</t>
  </si>
  <si>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</si>
  <si>
    <t>10.1007/s11356-016-7826-3</t>
  </si>
  <si>
    <t>WOS:000392105700063</t>
  </si>
  <si>
    <t>Biodiversity impacts of an invasive grass: ant community responses to Cenchrus ciliaris in arid Australia</t>
  </si>
  <si>
    <t>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t>
  </si>
  <si>
    <t>10.1007/s10530-016-1263-6</t>
  </si>
  <si>
    <t>WOS:000392187700006</t>
  </si>
  <si>
    <t>The impacts of recurrent fires on diversity of fruit-feeding butterflies in a south-eastern Amazon forest</t>
  </si>
  <si>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</si>
  <si>
    <t>10.1017/S0266467416000559</t>
  </si>
  <si>
    <t>WOS:000392218900003</t>
  </si>
  <si>
    <t>Spatio-temporal patterns of genetic variations in populations of yellowtail kingfish Seriola lalandi from the south-eastern Pacific Ocean and potential implications for its fishery management</t>
  </si>
  <si>
    <t>The genetic population structure and genetic diversity of yellowtail kingfish Seriola lalandi from the coastal south-eastern Pacific Ocean (SEP) were evaluated at spatiotemporal scale in order to understand the ecology of this species. Between 2012 and 2015, temporal and spatial population genetic structure and a low genetic diversity were detected in S. lalandi from SEP. These results suggest that S. lalandi specimens arriving annually from offshore to the SEP coast could come from at least two genetically distinct populations, revealing a particular life strategy (i.e. reproductive or habitat segregation) for this fish species. Therefore, the SEP coast might constitute a point of population mixing for this species. Additionally, the low genetic diversity of S. lalandi in the SEP could be a result of a founder effect or overfishing. Regardless of the process explaining the genetic diversity and structure of S. lalandi in this geographical area, this new information should be considered in order to implement successful fishery management of this resource in the South Pacific.</t>
  </si>
  <si>
    <t>10.1111/jfb.13179</t>
  </si>
  <si>
    <t>WOS:000392427500015</t>
  </si>
  <si>
    <t>Typha invasion associated with reduced aquatic macroinvertebrate abundance in northern Lake Huron coastal wetlands</t>
  </si>
  <si>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</si>
  <si>
    <t>10.1016/j.jglr.2016.08.009</t>
  </si>
  <si>
    <t>WOS:000392564300025</t>
  </si>
  <si>
    <t>What is the main cause of grassland degradation? A case study of grassland ecosystem service in the middle-south Inner Mongolia</t>
  </si>
  <si>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</si>
  <si>
    <t>10.1016/j.catena.2016.11.014</t>
  </si>
  <si>
    <t>WOS:000392686000012</t>
  </si>
  <si>
    <t>Decadal declines in bird abundance and diversity in urban riparian zones</t>
  </si>
  <si>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</si>
  <si>
    <t>10.1016/j.landurbplan.2016.09.026</t>
  </si>
  <si>
    <t>WOS:000392687200007</t>
  </si>
  <si>
    <t>Inter-annual changes in fish communities of a tropical bay in southeastern Brazil: What can be inferred from anthropogenic activities?</t>
  </si>
  <si>
    <t>We assessed inter-annual changes in fish assemblages of a tropical bay which experienced a heavily industrialized process in the last decades. A highly significant difference in community structure among the bay zones, and a decrease in fish richness and abundance over time were found. Changes in fish richness and abundance between the two first (1987-1988 and 1993-1995) and the two latter time periods (1998-2001 and 2012-2013) were sharpest in the inner bay zone, the most impacted bay area, and in the middle zone, whereas the outer zone remained comparatively stable over time. These changes coincided with increased metal pollution (mainly, Zn and Cd) in the bay and with the enlargement of the Sepetiba Port. Spatial changes in the fish community structure among the bay zones were related to differences in salinity, transparency and depth with this latter variable acting as a buffer stabilizing temporal community changes. (C) 2016 Elsevier Ltd. All rights reserved.</t>
  </si>
  <si>
    <t>10.1016/j.marpolbul.2016.08.063</t>
  </si>
  <si>
    <t>WOS:000392768900025</t>
  </si>
  <si>
    <t>The impact of logging roads on dung beetle assemblages in a tropical rainforest reserve</t>
  </si>
  <si>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</si>
  <si>
    <t>10.1016/j.biocon.2016.11.011</t>
  </si>
  <si>
    <t>WOS:000392769300010</t>
  </si>
  <si>
    <t>Tidal flooding diminishes the effects of livestock grazing on soil micro-food webs in a coastal saltmarsh</t>
  </si>
  <si>
    <t>Livestock grazing not only has a direct impact on plant productivity but also exerts an indirect influence on soil biota via various pathways. However, little is known about the effects of livestock grazing on soil food webs in saltmarsh ecosystems that are subject to regular tidal inundation stress. By exclosure experiments established at a frequently inundated middle marsh and a less inundated high marsh of Chongming Island (China), the responses of soil micro-food web components (microorganisms, protozoa, and nematodes) to cattle grazing in intertidal marshes were investigated. In the high marsh, cattle grazing significantly increased the biomass of soil microorganisms, protozoa, and the abundance of total nematodes by 30.0%, 97.3% and 76.2%, respectively, but did not significantly affect their biomass or abundance in the middle marsh. For low-trophic-level nematodes, the abundance of bacterial-feeding and algal-feeding nematodes increased more in the high marsh than in the middle marsh, and that of plant-feeding nematodes decreased more in the high marsh than in the middle marsh under grazing. In contrast, carnivorous and omnivorous nematodes at high trophic levels did not respond to cattle grazing along an elevational gradient. The nematode maturity index and structure index based on nematode functional guilds significantly decreased under grazing along the elevational gradient, suggesting that cattle grazing caused a more simplified and unstable soil micro-food web structure. Overall, low trophic levels in soil micro-food webs were most vulnerable under grazing and the response was strongest in the less inundated high marsh. Thus, cattle grazing leads to different changes in soil ecosystem processes at different elevations. These results indicate that the strength of the biotic grazing effect on soil micro-food webs and ecological functions might also depend on local abiotic disturbance such as tidal inundations in the saltmarsh. (C) 2016 Elsevier B.V. All rights reserved.</t>
  </si>
  <si>
    <t>10.1016/j.agee.2016.12.006</t>
  </si>
  <si>
    <t>WOS:000392886700018</t>
  </si>
  <si>
    <t>Zinc concentration affects the functional groups of microbial communities in sugarcane-cultivated soil</t>
  </si>
  <si>
    <t>The addition of zinc (Zn) to the soil has significant gains in sugarcane productivity. The understanding of the consequences of zinc application requires insight into ecological aspects of changes in soil microbial communities. Here, we evaluated the effects of zinc application on richness, diversity, evenness and structure of microbial functional genes in sugarcane-cultivated soil, and response thresholds of abundance for groups of microbial functional genes on different zinc concentrations added to the soil (0, 5,10 and 20 kg Zn ha(-1)) in two sugarcane fields in the Northeastern sac. Paulo state, Brazil. Using a high density functional gene array termed GeoChip 5.0, which contains 101,796 distinct probes belonging to gene categories involved in zinc transport, secondary metabolism, stress, virulence and nutrient cycling, differences were observed in the functional gene structure of microbial communities and abundance of specific gene families with a threshold between 5 and 10 kg Zn ha(-1). However, the richness, diversity and evenness of functional genes did not differ across the zinc gradients in soil. Cluster analysis based on microbial functional subcategories revealed variation in abundances across the gradient of zinc concentrations in soil mainly for virulence, stress, secondary metabolism, and carbon- and phosphorus-cycling-related gene families. A threshold in abundance was observed between 5 and 10 kg Zn ha(-1) with high abundance of microbial gene families associated with zinc transporter proteins, antioxidant enzymes, exoenzymes associated with infection, secretion proteins, virulence regulatory genes, carbon fixation, and phosphorus utilization in soils supplemented with up to 5 kg Zn ha(-1). In these same soils, reduced abundance was observed for gene families associated with methanogenesis, metabolism of halogen and carotenoid, and antiphagocytosis compared with soil supplements with 10 or 20 kg Zn ha(-1). The results suggest that changes in microbial functional gene structure and abundance could be used to evaluate the impact of soil management practices on soil microbial communities in sugarcane production fields. (C) 2016 Elsevier B.V. All rights reserved.</t>
  </si>
  <si>
    <t>10.1016/j.agee.2016.12.009</t>
  </si>
  <si>
    <t>WOS:000392886700019</t>
  </si>
  <si>
    <t>Genetic population sub-structuring of kingklip (Genypterus capensis - Ophidiidiae), a commercially exploited demersal fish off South Africa</t>
  </si>
  <si>
    <t>Kingklip, Genypterus capensis, is one of the most valuable fishery resources in South Africa, mainly caught as by-catch in the trawl and longline fisheries for hakes. Intense exploitation has contributed to substantial population declines in the past, but current exploitation levels are considered to be sustainable. Management is presently based on a Replacement Yield model, with total catches regulated through a Precautionary Upper Catch Limit. However, there is no consensus regarding population structure, which may have a direct impact on the management of the resource. Assessment of historical and current genetic sub-structuring of kingklip (N=418) off South Africa was conducted using a fragment of mtDNA Control Region and ten microsatellite loci, for three consecutive years. Kingklip exhibited high historical genetic diversity levels (h= 0.901; IT = 0.009), but lower contemporary measures (HE = 0.802; Ho = 0.777, AR= 18.601) and low effective population sizes, which may be linked to past exploitation levels. Significant genetic divergence was detected for both mtDNA and microsatellites (43.sr = 0.070 and FsT = 0.004; p&lt; 0.001), although the differentiation pattern was not consistent through time. Results suggest the presence of population sub-structuring, with at least two genetic units detected: western coast and southern coast of South Africa. The observed low levels of genetic differentiation point to significant gene flow between populations. The absence of temporal stability may result from reproductive sweepstakes, with differential reproductive success between cohorts. These findings suggest that management of South African kingklip should consider two independent stocks, and catches should remain at levels that will ensure the long-term viability of the resource. (C) 2016 Elsevier B.V. All rights reserved.</t>
  </si>
  <si>
    <t>10.1016/j.fishres.2016.11.007</t>
  </si>
  <si>
    <t>WOS:000393000000010</t>
  </si>
  <si>
    <t>Does human pressure affect the community structure of surf zone fish in sandy beaches?</t>
  </si>
  <si>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</si>
  <si>
    <t>10.1016/j.csr.2016.11.007</t>
  </si>
  <si>
    <t>WOS:000393005500001</t>
  </si>
  <si>
    <t>Weed species structural and functional composition of okra fields and field periphery under different management intensities along the rural-urban gradient of two West African cities</t>
  </si>
  <si>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</si>
  <si>
    <t>10.1016/j.agee.2016.12.028</t>
  </si>
  <si>
    <t>WOS:000393252200021</t>
  </si>
  <si>
    <t>Mapping Long-Term Changes in Mangrove Species Composition and Distribution in the Sundarbans</t>
  </si>
  <si>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</si>
  <si>
    <t>10.3390/f7120305</t>
  </si>
  <si>
    <t>WOS:000393327700005</t>
  </si>
  <si>
    <t>The importance of traditional orchards for breeding birds: The preliminary study on Central European example</t>
  </si>
  <si>
    <t>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t>
  </si>
  <si>
    <t>10.1016/j.actao.2016.12.010</t>
  </si>
  <si>
    <t>WOS:000393635700008</t>
  </si>
  <si>
    <t>Temporal dynamics of bacterioplankton communities in response to excessive nitrate loading in oligotrophic coastal water</t>
  </si>
  <si>
    <t>Coastal ecosyStems are receiving elevated loads of nitrogen (N) from anthropogenic sources. Understanding how excessive N loading affects bacterioplankton communities is critical to predict the biodiversity of marine ecosystems under conditions of eutrophic disturbance. In this study, oligotrophic coastal water microcosms were perturbed with nitrate in two loading modes: 1) one-off loading at the beginning of the incubation period; and 2) periodic loading every two days for 16 days. Turnover in the bacterioplankton community was investigated by 16S rDNA gene amplicon sequencing. The alpha diversity of the bacterioplankton community showed great temporal variability and similar responses to the different treatments. Bacterioplankton community composition was influenced remarkably by time and N loading mode. The effects of N loading on bacterioplankton community structure showed obvious temporal variation, probably because of the great temporal variation in environmental parameters. This study provides insights into the effects of N pollution in anthropogenically perturbed marine environments. (C) 2016 Elsevier Ltd. All rights reserved.</t>
  </si>
  <si>
    <t>10.1016/j.marpolbul.2016.10.041</t>
  </si>
  <si>
    <t>WOS:000393931700003</t>
  </si>
  <si>
    <t>Temporal and spatial instability in neutral and adaptive (MHC) genetic variation in marginal salmon populations</t>
  </si>
  <si>
    <t>The role of marginal populations for the long-term maintenance of species' genetic diversity and evolutionary potential is particularly timely in view of the range shifts caused by climate change. The Centre-Periphery hypothesis predicts that marginal populations should bear reduced genetic diversity and have low evolutionary potential. We analysed temporal stability at neutral microsatellite and adaptive MHC genetic variation over five decades in four marginal Atlantic salmon populations located at the southern limit of the species' distribution with a complicated demographic history, which includes stocking with foreign and native salmon for at least 2 decades. We found a temporal increase in neutral genetic variation, as well as temporal instability in population structuring, highlighting the importance of temporal analyses in studies that examine the genetic diversity of peripheral populations at the margins of the species' range, particularly in face of climate change.</t>
  </si>
  <si>
    <t>10.1038/srep42416</t>
  </si>
  <si>
    <t>WOS:000393939200001</t>
  </si>
  <si>
    <t>Host and tissue variations overshadow the response of boreal moss-associated fungal communities to increased nitrogen load</t>
  </si>
  <si>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</si>
  <si>
    <t>10.1111/mec.13938</t>
  </si>
  <si>
    <t>WOS:000393944000013</t>
  </si>
  <si>
    <t>Environmental DNA metabarcoding reveals primary chemical contaminants in freshwater sediments from different land-use types</t>
  </si>
  <si>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</si>
  <si>
    <t>10.1016/j.chemosphere.2016.12.117</t>
  </si>
  <si>
    <t>WOS:000394065200023</t>
  </si>
  <si>
    <t>An assessment of spatio-temporal genetic variation in the South African abalone (Haliotis midae), using SNPs: implications for conservation management</t>
  </si>
  <si>
    <t>The South African abalone (Haliotis midae) is a gastropod mollusc of economic importance. In recent years natural populations have come under considerable pressure due to overharvesting and ecological shifts. The spatial genetic structure of H. midae has been determined; however there has not been a temporal assessment of abalone population dynamics around the South African coast. Using a population genomics approach this study aimed to assess fluctuations in genetic diversity among wild and cultured South African abalone populations through time and space. Various estimates of genetic diversity and population differentiation were calculated using EST-derived SNP markers. All populations had comparable levels of genetic diversity and the long-term effective population size appears to be sufficiently large for the wild populations, despite evidence of recent bottlenecks. Population differentiation was for the most part geographically correlated, with spatial genetic structure maintained across temporal samples. Significant genetic differentiation was, however, detected among temporal samples taken from the same locality. There was evidence for comparatively small short-term effective population sizes that could explain large changes in allele frequencies due to stochastic effects. Temporal heterogeneity could also be explained by changes in selection pressures over time. H. midae populations could, therefore, be more dynamic than previously estimated and this could have implications for effective conservation and fisheries management.</t>
  </si>
  <si>
    <t>10.1007/s10592-016-0879-5</t>
  </si>
  <si>
    <t>WOS:000394253300002</t>
  </si>
  <si>
    <t>Isolation-by-time population structure in potamodromous Dourado Salminus brasiliensis in southern Brazil</t>
  </si>
  <si>
    <t>Isolation-by-distance is recognized as a useful model for describing the spatial distribution of gene frequencies depending on dispersal characteristics of the species under study. However, some species may have populations that occupy the same geographic distribution during the breeding season yet reproduce at different time periods resulting in isolation-by-time (IBT). IBT may complicate investigations of spatial population structure if samples are obtained from multiple discrete time periods or may remain undiscovered if surveys are conducted with limited temporal scope. IBT has been observed in several studies of anadromous fishes (primarily salmon) as well as a few examples in taxa such as frogs, plants, birds and insects, but has not been rigorously tested in freshwater fishes. In this study, we assessed spatial and temporal genetic variation and tested for IBT in Dourado (Salminus brasiliensis), a large and commercially-important potamodromous fish species found in multiple river basins of South America. Using 11 polymorphic microsatellite loci, we estimated genetic differentiation of 317 adult Dourado collected monthly during the breeding season at three locations along the Uruguay River in southern Brazil. Analyses identified three populations that were clustered in time (i.e. early, middle and late), suggesting an IBT pattern of population structure with no significant spatial structure. Our results contribute to the mounting evidence across a wide range of taxa that suggests IBT may be more common that currently considered, even for species with very high dispersal capabilities such as potamodromous fishes.</t>
  </si>
  <si>
    <t>10.1007/s10592-016-0882-x</t>
  </si>
  <si>
    <t>WOS:000394253300005</t>
  </si>
  <si>
    <t>Population genetic and behavioural variation of the two remaining colonies of Providence petrel (Pterodroma solandri)</t>
  </si>
  <si>
    <t>Knowledge of the dispersal capacity of species is crucial to assess their extinction risk, and to establish appropriate monitoring and management strategies. The Providence petrel (Pterodroma solandri) presently breeds only at Lord Howe Island (similar to 32,000 breeding pairs) and Phillip Island-7 km south of Norfolk Island (similar to 20 breeding pairs). A much larger colony previously existed on Norfolk Island (similar to 1,000,000 breeding pairs) but was hunted to extinction in the 18th Century. Differences in time of return to nesting sites are presently observed between the two extant colonies. Information on whether the Phillip Island colony is a relict population from Norfolk Island, or a recent colonization from Lord Howe Island, is essential to assess long-term sustainability and conservation significance of this small colony. Here, we sequenced the mitochondrial cytochrome b gene and 14 nuclear introns, in addition to genotyping 10 microsatellite loci, to investigate connectivity of the two extant P. solandri populations. High gene flow between populations and recent colonization of Phillip Island (95 % HPD 56-200 ya) are inferred, which may delay or prevent the genetic differentiation of these insular populations. These results suggest high plasticity in behaviour in this species and imply limited genetic risks surrounding both the sustainability of the small Phillip Island colony, and a proposal for translocation of Lord Howe Island individuals to re-establish a colony on Norfolk Island.</t>
  </si>
  <si>
    <t>10.1007/s10592-016-0887-5</t>
  </si>
  <si>
    <t>WOS:000394253300009</t>
  </si>
  <si>
    <t>Paleogenetic records of Daphnia pulicaria in two North American lakes reveal the impact of cultural eutrophication</t>
  </si>
  <si>
    <t>Understanding the evolutionary consequences of the green revolution, particularly in wild populations, is an important frontier in contemporary biology. Because human impacts have occurred at varying magnitudes or time periods depending on the study ecosystem, evolutionary histories may vary considerably among populations. Paleogenetics in conjunction with paleolimnology enable us to associate microevolutionary dynamics with detailed information on environmental change. We used this approach to reconstruct changes in the temporal population genetic structure of the keystone zooplankton grazer, Daphnia pulicaria, using dormant eggs extracted from sediments in two Minnesota lakes (South Center, Hill). The extent of agriculture and human population density in the catchment of these lakes has differed markedly since European settlement in the late 19th century and is reflected in their environmental histories reconstructed here. The reconstructed environments of these two lakes differed strongly in terms of environmental stability and their associated patterns of Daphnia population structure. We detected long periods of stability in population structure and environmental conditions in South Center Lake that were followed by a dramatic temporal shift in population genetic structure after the onset of European settlement and industrialized agriculture in its watershed. In particular, we noted a 24.3-fold increase in phosphorus (P) flux between pre-European and modern sediment P accumulation rates (AR) in this lake. In contrast, no such shifts were detected in Hill Lake, where the watershed was not as impacted by European settlement and rates of change were less directional with a much smaller increase in sediment P AR (2.3-fold). We identify direct and indirect effects of eutrophication proxies on genetic structure in these lake populations and demonstrate the power of using this approach in understanding the consequences of anthropogenic environmental change on natural populations throughout historic time periods.</t>
  </si>
  <si>
    <t>10.1111/gcb.13445</t>
  </si>
  <si>
    <t>WOS:000394343300022</t>
  </si>
  <si>
    <t>Density-dependent role of an invasive marsh grass, Phragmites australis, on ecosystem service provision</t>
  </si>
  <si>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</si>
  <si>
    <t>10.1371/journal.pone.0173007</t>
  </si>
  <si>
    <t>WOS:000394688200184</t>
  </si>
  <si>
    <t>Effects of grazing intensity and the use of veterinary medical products on dung beetle biodiversity in the sub-mountainous landscape of Central Italy</t>
  </si>
  <si>
    <t>Grazing extensification and intensification are among the main problems affecting European grasslands. We analyze the impact of grazing intensity (low and moderate) and the use of veterinary medical products (VMPs) on the dung beetle community in the province of Pesaro-Urbino (Italy). Grazing intensity is a key factor in explaining the diversity of dung beetles. In the case of the alpha diversity component, sites with a low level of grazing activity-related in a previous step to the subsequent abandonment of traditional farming-is characterized by a loss of species richness (q = 0) and a reduction in alpha diversity at the levels q = 1 and q = 2. In the case of beta diversity, sites with a different grazing intensity show remarkable differences in terms of the composition of their species assemblages. The use of VMPs is another important factor in explaining changes in dung beetle diversity. In sites with a traditional use of VMPs, a significant loss of species richness and biomass is observed, as is a notable effect on beta diversity. In addition, the absence of indicator species in sites with a historical use of VMPs corroborates the hypothesis that these substances have a ubiquitous effect on dung beetles. However, the interaction between grazing activity and VMPs when it comes to explaining changes in dung beetle diversity is less significant (or is not significant) than the main effects (each factor separately) for alpha diversity, biomass and species composition. This may be explained if we consider that both factors affect the various species differently. In other words, the reduction in dung availability affects several larger species more than it does very small species, although this does not imply that the former are more susceptible to injury caused by the ingestion of dung contaminated with VMPs. Finally, in order to prevent negative consequences for dung beetle diversity, we propose the maintenance of a moderate grazing intensity and the rational use of VMPs. It is our view that organic management can prevent excessive extensification while providing an economic stimulus to the sector. Simultaneously, it can also prevent the abuse of VMPs.</t>
  </si>
  <si>
    <t>10.7717/peerj.2780</t>
  </si>
  <si>
    <t>WOS:000394698100002</t>
  </si>
  <si>
    <t>Differential Responses of Soil Microbial Community to Four-Decade Long Grazing and Cultivation in a Semi-Arid Grassland</t>
  </si>
  <si>
    <t>Grazing and cultivation are two important management practices worldwide that can cause significant soil organic carbon (SOC) losses. However, it remains elusive how soil microbes have responded to soil carbon changes under these two practices. Based on a four-decade long field experiment, this study investigated the effects of grazing and cultivation on SOC stocks and microbial properties in the semi-arid grasslands of China. We hypothesize that grazing and cultivation would deplete SOC and depress microbial activities under both practices. However, our hypotheses were only partially supported. As compared with the adjacent indigenous grasslands, SOC and microbial biomass carbon (MBC) were decreased by 20% or more under grazing and cultivation, which is consistent with the reduction of fungi abundance by 40% and 71%, respectively. The abundance of bacteria and actinomycetes was decreased under grazing but increased under cultivation, which likely enhanced microbial diversity in cultivation. Invertase activity decreased under the two treatments, while urease activity increased under grazing. These results suggest that nitrogen fertilizer input during cultivation may preferentially favor bacterial growth, in spite of SOC loss, due to rapid decomposition, while overgrazing may deteriorate the nitrogen supply to belowground microbes, thus stimulating the microbial production of nitrogen acquisition enzymes. This decade-long study demonstrated differential soil microbial responses under grazing and cultivation and has important applications for better management practices in the grassland ecosystem.</t>
  </si>
  <si>
    <t>10.3390/su9010128</t>
  </si>
  <si>
    <t>WOS:000394842700126</t>
  </si>
  <si>
    <t>Non-native liana, Euonymus fortunei, associated with increased soil nutrients, unique bacterial communities, and faster decomposition rate</t>
  </si>
  <si>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</si>
  <si>
    <t>10.1007/s11258-016-0689-3</t>
  </si>
  <si>
    <t>WOS:000394973600008</t>
  </si>
  <si>
    <t>Genetic patterns across an invasion's history: a test of change versus stasis for the Eurasian round goby in North America</t>
  </si>
  <si>
    <t>Biological invasions comprise accidental evolutionary experiments, whose genetic compositions underlie relative success, spread and persistence in new habitats. However, little is known about whether, or how, their population genetic patterns change temporally and/or spatially across the invasion's history. Theory predicts that most would undergo founder effect, exhibit low genetic divergence across the new range and gain variation over time via new arriving propagules. To test these predictions, we analyse population genetic diversity and divergence patterns of the Eurasian round goby Neogobius melanostomus across the two decades of its North American invasion in the Laurentian Great Lakes, comparing results from 13 nuclear DNA microsatellite lociand mitochondrial DNA cytochrome b sequences. We test whether genetic stasis', genetic replacement' and/or genetic supplement' scenarios have occurred at the invasion's core and expansion sites, in comparison with its primary native source population in the Dnieper River, Black Sea. Results reveal pronounced genetic divergence across the exotic range, with population areas remaining genetically distinct and statistically consistent across two decades, supporting genetic stasis' and founder takes most'. The original genotypes continue to predominate, whose high population growth likely outpaced the relative success of later arrivals. The original invasion core has stayed the most similar to the native source. Secondary expansion sites indicate slight allelic composition convergence towards the core population over time, attributable to some early genetic supplementation'. The geographic and temporal coverage of this investigation offers a rare opportunity to discern population dynamics over time and space in context of invasion genetic theory vs. reality.</t>
  </si>
  <si>
    <t>10.1111/mec.13997</t>
  </si>
  <si>
    <t>WOS:000394999200010</t>
  </si>
  <si>
    <t>A decade of irrigation transforms the soil microbiome of a semi-arid pine forest</t>
  </si>
  <si>
    <t>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t>
  </si>
  <si>
    <t>10.1111/mec.13995</t>
  </si>
  <si>
    <t>WOS:000394999200018</t>
  </si>
  <si>
    <t>Passive warming reduces stress and shifts reproductive effort in the Antarctic moss, Polytrichastrum alpinum</t>
  </si>
  <si>
    <t>Background and Aims The Western Antarctic Peninsula is one of the most rapidly warming regions on Earth, and many biotic communities inhabiting this dynamic region are responding to these well-documented climatic shifts. Yet some of the most prevalent organisms of terrestrial Antarctica, the mosses, and their responses to warming have been relatively overlooked and understudied. In this research, the impacts of 6 years of passive warming were investigated using open top chambers (OTCs), on moss communities of Fildes Peninsula, King George Island, Antarctica. Methods The effects of experimental passive warming on the morphology, sexual reproductive effort and stress physiology of a common dioicous Antarctic moss, Polytrichastrum alpinum, were tested, gaining the first speciesspecific mechanistic insight into moss responses to warming in the Antarctic. Additionally community analyses were conducted examining the impact of warming on overall moss percentage cover and sporophyte production in intact Antarctic moss communities. Key Results Our results show a generally greater percentage moss cover under warming conditions as well as increased gametangia production in P. alpinum. Distinct morphological and physiological shifts in P. alpinum were found under passive warming compared with those without warming: warmed mosses reduced investment in cellular stress defences, but invested more towards primary productivity and gametangia development. Conclusions Taken together, results from this study of mosses under passive warming imply that in ice-free moss-dominated regions, continued climate warming will probably have profound impacts on moss biology and colonization along the Western Antarctic Peninsula. Such findings highlight the fundamental role that mosses will play in influencing the terrestrialization of a warming Antarctica.</t>
  </si>
  <si>
    <t>10.1093/aob/mcw201</t>
  </si>
  <si>
    <t>WOS:000395621900003</t>
  </si>
  <si>
    <t>Temporal stability in patterns of genetic diversity and structure of a marine foundation species (Zostera marina)</t>
  </si>
  <si>
    <t>Genetic diversity and population structure reflect complex interactions among a diverse set of processes that may vary temporally, limiting their potential to predict ecological and evolutionary outcomes. Yet, the stability of these patterns is rarely tested. We resampled eelgrass (Zostera marina) meadows from published studies to determine variability in genetic diversity and structure within and between meadows over 5-12 years. The meadows sampled (San Francisco, Tomales and Bodega Bays in California and the Virginia coastal bays) represent a range of life histories (annual vs perennial), age (well-established vs restored) and environments (rural vs urbanized). In all of these systems, neither diversity nor differentiation (FST) changed over time. Differences among tidal heights within Bodega Bay were also remarkably consistent, with the high intertidal being more diverse than the subtidal, and tidal height differentiation being modest but significant at both time points. Historical studies used only a few microsatellite loci; therefore, our temporal comparisons were based on 4-5 loci. However, analysis of the current data using a set of 12 loci show that 4-5 loci are sufficient to describe diversity and differentiation patterns in this system. This temporal consistency was not because of the resampling of large clones, underscoring the feasibility and relevance of understanding drivers of the differences. Because seagrasses are declining at rapid rates, restoration and conservation are increasingly a coastal management priority. Our results argue that surveys of eelgrass genetic structure and diversity at decadal scales can provide accurate depictions of populations, increasing the utility of published genetic data for restoration and designing networks of reserves.</t>
  </si>
  <si>
    <t>10.1038/hdy.2016.114</t>
  </si>
  <si>
    <t>WOS:000395902100011</t>
  </si>
  <si>
    <t>Rethinking the history of common walnut (Juglans regia L.) in Europe: Its origins and human interactions</t>
  </si>
  <si>
    <t>Common walnut (Juglans regia L) is an economically important species cultivated worldwide for its high-quality wood and nuts. It is generally accepted that after the last glaciation J. regia survived and grew in almost completely isolated stands in Asia, and that ancient humans dispersed walnuts across Asia and into new habitats via trade and cultural expansion. The history of walnut in Europe is a matter of debate, however. In this study, we estimated the genetic diversity and structure of 91 Eurasian walnut populations using 14 neutral microsatellites. By integrating fossil pollen, cultural, and historical data with population genetics, and approximate Bayesian analysis, we reconstructed the demographic history of walnut and its routes of dispersal across Europe. The genetic data confirmed the presence of walnut in glacial refugia in the Balkans and western Europe. We conclude that human-mediated admixture between Anatolian and Balkan walnut germplasm started in the Early Bronze Age, and between western Europe and the Balkans in eastern Europe during the Roman Empire. A population size expansion and subsequent decline in northeastern and western Europe was detected in the last five centuries. The actual distribution of walnut in Europe resulted from the combined effects of expansion/contraction from multiple refugia after the Last Glacial Maximum and its human exploitation over the last 5,000 years.</t>
  </si>
  <si>
    <t>10.1371/journal.pone.0172541</t>
  </si>
  <si>
    <t>WOS:000396021100020</t>
  </si>
  <si>
    <t>Temporal genetic change in North American Pacific oyster populations suggests caution in seascape genetics analyses of high gene-flow species</t>
  </si>
  <si>
    <t>The Pacific oyster Crassostrea gigas was, for decades, massively introduced to North America from Japan and established large, self-recruiting populations in the Pacific Northwest of the USA and Canada. A previous study of mtDNA variation revealed little population genetic structure among populations from British Columbia and Washington State. Here, we used samples from that study, more recent samples from 2 of the same localities, and 2 additional samples, including 1 from Japan, to investigate spatial and temporal genetic variation at 52 mapped, coding, single-nucleotide polymorphisms (SNPs) assayed by high-resolution melting (HRM). Little variation was detected among North American populations, which, as a group, are distinct, perhaps adaptively so, from oysters in Hiroshima, Japan. However, significant excesses of heterozygotes with respect to random mating expectations and of pairwise linkage disequilibria revealed that North American populations are not in Hardy-Weinberg (random mating) equilibrium. Moreover, genetic changes over 10 to 21 yr in 2 localities are substantial, despite high gene flow, and are as large as spatial variance per generation. These results caution against basing connectivity or seascape genetic analyses on snapshots of spatial population structure in high gene-flow species. Because migration and selection are ruled out as causes of temporal genetic change, random genetic drift is the most parsimonious explanation. This implies effective population sizes (Ne) of hundreds to a few thousands, orders of magnitude smaller than the natural abundance (N) of this oyster. These low Ne: N ratios are compatible with the hypothesis of sweepstakes reproductive success.</t>
  </si>
  <si>
    <t>10.3354/meps12009</t>
  </si>
  <si>
    <t>WOS:000396051700006</t>
  </si>
  <si>
    <t>Population genomics applications for conservation: the case of the tropical dry forest dweller Peromyscus melanophrys</t>
  </si>
  <si>
    <t>Recent advances in genomic sequencing have opened new horizons in the study of population genetics and evolution in non-model organisms. However, very few population genomic studies have been performed on wild mammals to understand how the landscape affects the genetic structure of populations, useful information for the conservation of biodiversity. Here, we applied a genomic approach to evaluate the relationship between habitat features and genetic patterns at spatial and temporal scales in an endangered ecosystem, the Tropical Dry Forest (TDF). We studied populations of the Plateau deer mouse Peromyscus melanophrys to analyse its genomic diversity and structure in a TDF protected area in the Huautla Mountain Range (HMR), Mexico based on 8209 SNPs obtained through Genotyping-by-Sequencing. At a spatial scale, we found a significant signature of isolation-by-distance, few significant differences in genetic diversity indices among study sites, and no significant differences between habitats with different levels of human perturbation. At a temporal scale, while genetic diversity levels fluctuated significantly over time, neither seasonality nor disturbance levels had a significant effect. Also, outlier analysis revealed loci potentially under selection. Our results suggest that the population genetics of P. melanophrys may be little impacted by anthropogenic disturbances, or by natural spatial and temporal habitat heterogeneity in our study area. The genome-wide approach adopted here provides data of value for conservation planning, and a baseline to be used as a reference for future studies on the effects of habitat fragmentation and seasonality in the HMR and in TDF.</t>
  </si>
  <si>
    <t>10.1007/s10592-016-0907-5</t>
  </si>
  <si>
    <t>WOS:000396341900006</t>
  </si>
  <si>
    <t>Population history and genetic bottlenecks in translocated Cook Strait giant weta, Deinacrida rugosa: recommendations for future conservation management</t>
  </si>
  <si>
    <t>Translocating populations of endangered animals to predator-free offshore islands is an extreme, and potentially risky, conservation management strategy. There are many examples of failures and successes, however relatively little work has been done to formally quantify the required numbers of translocated individuals to increase the chance of successful establishment. Cook Strait giant weta, Deinacrida rugosa Buller 1870 (Orthoptera: Anostostomatidae), of New Zealand are an example of an at-risk species where extreme conservation measures are needed, due to their ground-dwelling lifestyle making them particularly prone to habitat loss and predation by alien species following human settlement. Here, we have used microsatellite markers to characterise genetic diversity within and between two parental populations (Mana and Stephens Islands), and two translocated populations (Maud and Matiu/Somes Islands), and estimate probabilities of genetic bottlenecks. We have modelled various demographic scenarios to quantify the severity of effective population size fluctuations resulting from translocations using DIYABC, and explored the number of founders needed to retain rare alleles using ALLELERETAIN. Our results suggest that populations have expanded on both Maud Island and Matiu/Somes Island from effective population sizes at time of translocation of 36 and 47 respectively, but provide evidence for a genetic bottleneck on Maud Island. We also show that translocations have had minimal impact on parental effective population sizes. The impact of our results on future conservation management efforts is discussed.</t>
  </si>
  <si>
    <t>10.1007/s10592-016-0916-4</t>
  </si>
  <si>
    <t>WOS:000396341900013</t>
  </si>
  <si>
    <t>Impact of Estuary Barrage Construction on Fish Assemblages in the Lower Part of a River and the Role of Fishways as a Passage</t>
  </si>
  <si>
    <t>The construction of an estuary barrage, an instream structure in the lower reaches of a river, causes significant physical changes in water flow patterns and river morphology, and results in altered environmental conditions. Here, we examined the impact of the Geum River estuary barrage, completed in 1990, on fish assemblages by using a literature search and fresh surveys of fishways in the barrage. We found that fish assemblages upstream and downstream of the barrage were altered following its completion. After construction, more species were found in the freshwater area, with a particularly great increase in freshwater species. Conversely, estuarine and marine species were only consistently caught in the downstream salt-water area, although the number of species increased. In total, 15,829 fish from 47 species and 20 families were identified at the three types (pool and weir, rubble type, and boat passage) of fishways in the barrage. The dominant species were Chelon haematocheilus, an estuarine species, Coilia nasus, a diadromous species, and Erythroculter erythropterus, a freshwater species. The mean total length of fish (101.9 +/- 76.0 mm) in the boat passage fishway was approximately 100 mm lesser than those in the pool and weir (207.2 +/- 112.8 mm) and rubble type (205.8 +/- 112.7 mm) fishways. The boat passage fishway was the most efficient for fish movements. The current fishway system is not sufficient for fish migration, and thus additional ways are required to improve the system such as the boat passage. Few estuarine or diadromous species were found in both freshwater and salt-water areas, but freshwater fishes that accidently moved to salt-water area actively used fishways. Therefore, fishway management in the Geum River estuary barrage has to focus on freshwater fish; however, this may need to change to a focus on migratory fishes depending on ecological life cycles of migratory fish.</t>
  </si>
  <si>
    <t>10.1007/s12601-017-0015-6</t>
  </si>
  <si>
    <t>WOS:000397134300013</t>
  </si>
  <si>
    <t>Experimental warming reveals positive feedbacks to climate change in the Eurasian Steppe</t>
  </si>
  <si>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</si>
  <si>
    <t>10.1038/ismej.2016.180</t>
  </si>
  <si>
    <t>WOS:000397281200007</t>
  </si>
  <si>
    <t>Quantifying Biodiversity Losses Due to Human Consumption: A Global-Scale Footprint Analysis</t>
  </si>
  <si>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</si>
  <si>
    <t>10.1021/acs.est.6b05296</t>
  </si>
  <si>
    <t>WOS:000397477900021</t>
  </si>
  <si>
    <t>Non-target effects of fungicides on nectar-inhabiting fungi of almond flowers</t>
  </si>
  <si>
    <t>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t>
  </si>
  <si>
    <t>10.1111/1758-2229.12501</t>
  </si>
  <si>
    <t>WOS:000397493300003</t>
  </si>
  <si>
    <t>Arthropod communities and biological control in soybean fields: Forest cover at landscape scale is more influential than forest proximity</t>
  </si>
  <si>
    <t>Natural habitats surrounding annual crops influence biodiversity and the provision of ecosystem services within the cultivated habitats. Soybean, an important crop worldwide and the main crop in Argentina, is affected by several pest species, including stink-bugs that damage soybean pods. Here, we studied the effects of Chaco Serrano forests on arthropod herbivores and natural enemies and on biologital control of stink bugs on soybean, at landscape (forest cover) and local (forest proximity) scales. We sampled arthropods on soybean plants by using the beating-sheet method, on nine landscapes (with low and high forest cover) and at 5, 25, 50 and 100 m from the forest, during soybean flowering and pod-filling stages. Biological control of stink bug eggs was assessed via sentinel-egg experiments in soybean and forest habitats. We found that landscapes with high forest cover presented higher richness and abundance of natural enemies and higher levels of biological control on stink bug eggs (both in the cropland and in the forest), while a similar trend for herbivores was restricted to soybean flowering stage. Community composition of both functional groups was also affected by forest cover and crop phenological stage. Forest proximity had more limited effects: natural enemies showed more species and individuals at 5 m from the forest than at larger distances and, conversely, stink bug abundance was lower at the closest distance to the forest. We conclude than forest amount at landscape scale is more influential for arthropod biodiversity and biological control in soybean than forest proximity. Moreover, our results suggest that maintaining remnants of forest in agricultural landscapes can be effective for conservation of arthropod biodiversity while contributing to biological control of stink bugs in soybean fields. (C) 2017 Elsevier B.V. All rights reserved.</t>
  </si>
  <si>
    <t>10.1016/j.agee.2017.02.002</t>
  </si>
  <si>
    <t>WOS:000397550100037</t>
  </si>
  <si>
    <t>Coal Mine Water Pollution and Ecological Impairment of One of Australia's Most 'Protected' High Conservation-Value Rivers</t>
  </si>
  <si>
    <t>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t>
  </si>
  <si>
    <t>10.1007/s11270-017-3278-8</t>
  </si>
  <si>
    <t>WOS:000397821100005</t>
  </si>
  <si>
    <t>Biotic homogenization of herb layer composition between two contrasting beech forest communities on limestone over 50 years</t>
  </si>
  <si>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</si>
  <si>
    <t>10.1111/avsc.12255</t>
  </si>
  <si>
    <t>WOS:000398083700012</t>
  </si>
  <si>
    <t>Compositional changes in thermophilous oak forests in Poland over time: do they correspond to European trends?</t>
  </si>
  <si>
    <t>Questions: Have compositional changes occurred in thermophilous oak forests in Poland during the past two decades? What kinds of driversmight be responsible for these changes? Are the thermophilous oak woods still rich in species or have they rather lost their diversity? Location: SudetesMts., SWPoland. Methods: The vegetation of thermophilous oak forests within four distinct areas was surveyed on 92 semi-permanent plots in the time periods from 1992 to 1994 and from 2010 to 2014. The overall pattern in vegetation changes, trends in species composition and site parameters, as well as the diversity of studied communities were analysed using ordination and permutation techniques. Results: The species composition of thermophilous oak forests has changed significantly. We recorded a decrease in the share of oligotrophic light-demanding species, whereas mesotrophic light-demanding and nitrophilous species showed an upward trend. Regarding the fourth group of shade-tolerant species, their share varied depending on the site. The analysis of habitat parameters revealed that the studied oak forest communities generally shifted from communities of moderately oligotrophic and mesic character towards forests growing on nutrient- richer but drier habitats. Interestingly, the observed change in species composition was not accompanied by the loss of biodiversity that has generally been reported in other types of thermophilous forests in Europe. Conclusions: Changes observed within thermophilous and previously coppiced oak forests of southwest Poland are going in a direction which has not been recognized so far in analogous communities. The transition of studied communities is probably a result of the cumulative influence of several drivers, the most crucial of which seem to be soil regeneration, after the period of intensive acidity caused by sulphur emission between 1960 and 2000, and decreasing moisture. The observed changes are independent of the type of forestmanagement (or the lack thereof) within the study sites.</t>
  </si>
  <si>
    <t>10.1111/avsc.12290</t>
  </si>
  <si>
    <t>WOS:000398083700014</t>
  </si>
  <si>
    <t>The effects of reed canary grass (Phalaris arundinacea L.) on wetland habitat and arthropod community composition in an urban freshwater wetland</t>
  </si>
  <si>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</si>
  <si>
    <t>10.1007/s11273-016-9507-x</t>
  </si>
  <si>
    <t>WOS:000398185800003</t>
  </si>
  <si>
    <t>Effects of in situ phosphorus enrichment on the benthos in a subalpine karst stream and implications for bioassessment in nature reserves</t>
  </si>
  <si>
    <t>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t>
  </si>
  <si>
    <t>10.1016/j.ecolind.2016.09.055</t>
  </si>
  <si>
    <t>WOS:000398334400028</t>
  </si>
  <si>
    <t>Response of moths (Lepidoptera: Heterocera) to livestock grazing in Mongolian rangelands</t>
  </si>
  <si>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</si>
  <si>
    <t>10.1016/j.ecolind.2016.08.053</t>
  </si>
  <si>
    <t>WOS:000398426200065</t>
  </si>
  <si>
    <t>Drivers of Extinction Risk in Terrestrial Vertebrates</t>
  </si>
  <si>
    <t>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t>
  </si>
  <si>
    <t>10.1111/conl.12258</t>
  </si>
  <si>
    <t>WOS:000398563500003</t>
  </si>
  <si>
    <t>Tree diversity across different tropical agricultural land use types</t>
  </si>
  <si>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</si>
  <si>
    <t>10.1016/j.agee.2017.01.042</t>
  </si>
  <si>
    <t>WOS:000398645900010</t>
  </si>
  <si>
    <t>Variegated tropical landscapes conserve diverse dung beetle communities</t>
  </si>
  <si>
    <t>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t>
  </si>
  <si>
    <t>10.7717/peerj.3125</t>
  </si>
  <si>
    <t>WOS:000398662200001</t>
  </si>
  <si>
    <t>Bottom trawling and oxygen minimum zone influences on continental slope benthic community structure off Vancouver Island (NE Pacific)</t>
  </si>
  <si>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</si>
  <si>
    <t>10.1016/j.dsr2.2016.11.014</t>
  </si>
  <si>
    <t>WOS:000398749900033</t>
  </si>
  <si>
    <t>EFFECTS OF CLAM AQUACULTURE ON NEKTONIC AND BENTHIC ASSEMBLAGES IN TWO SHALLOW-WATER ESTUARIES</t>
  </si>
  <si>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</si>
  <si>
    <t>10.2983/035.035.0405</t>
  </si>
  <si>
    <t>WOS:000398959000005</t>
  </si>
  <si>
    <t>Population genetic structure of eelgrass (Zostera marina) on the Korean coast: Current status and conservation implications for future management</t>
  </si>
  <si>
    <t>Seagrasses provide numerous ecosystem services for coastal and estuarine environments, such as nursery functions, erosion protection, pollution filtration, and carbon sequestration. Zostera marina (common name broken vertical bar eelgrass ) is one of the seagrass bed-forming species distributed widely in the northern hemisphere, including the Korean Peninsula. Recently, however, there has been a drastic decline in the population size of Z. marina worldwide, including Korea. We examined the current population genetic status of this species on the southern coast of Korea by estimating the levels of genetic diversity and genetic structure of 10 geographic populations using eight nuclear microsatellite markers. The level of genetic diversity was found to be significantly lower for populations on Jeju Island [mean allelic richness (AR) = 1.92, clonal diversity (R) = 0.51], which is located approximately 155 km off the southernmost region of the Korean Peninsula, than for those in the South Sea (mean AR = 2.69, R = 0.82), which is on the southern coast of the mainland. South Korean eelgrass populations were substantially genetically divergent from one another (F-ST = 0.061 - 0.573), suggesting that limited contemporary gene flow has been taking place among populations. We also found weak but detectable temporal variation in genetic structure within a site over 10 years. In additional depth comparisons, statistically significant genetic differentiation was observed between shallow (or middle) and deep zones in two of three sites tested. Depleted genetic diversity, small effective population sizes (N-e) and limited connectivity for populations on Jeju Island indicate that these populations may be vulnerable to local extinction under changing environmental conditions, especially given that Jeju Island is one of the fastest warming regions around the world. Overall, our work will inform conservation and restoration efforts, including transplantation for eelgrass populations at the southern tip of the Korean Peninsula, for this ecologically important species.</t>
  </si>
  <si>
    <t>10.1371/journal.pone.0174105</t>
  </si>
  <si>
    <t>WOS:000399089000061</t>
  </si>
  <si>
    <t>Influence of land use on the taxonomic and functional diversity of dung beetles (Coleoptera: Scarabaeinae) in the southern Atlantic forest of Argentina</t>
  </si>
  <si>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</si>
  <si>
    <t>10.1007/s10841-017-9964-4</t>
  </si>
  <si>
    <t>WOS:000399241300014</t>
  </si>
  <si>
    <t>Temporal trends in live foraminiferal assemblages near a pollution outfall on the Levant shelf</t>
  </si>
  <si>
    <t>Long and short term effects of activated sewage sludge input on live benthic foraminiferal assemblages of the shallow shelf off Palmachim, Israel were examined at three stations along the eutrophic gradient. Over ten years from 2003 to 2012, foraminiferal abundance decreased dramatically by &gt;50% in all stations. In 2012, new species were found near the discharge point, relative abundance of the dominant species decreased and in-sediment depth increased. In the remote stations the dominant species failed to bloom seasonally. Each year, dispersion of sludge was accompanied by intense current activity, aeration, and periodic local sediment transport, reintroducing species from nearby. Storm frequency was notably high in 2012. The decrease in numbers over time despite seasonal amelioration indicates that the constant OM input is a permanent source of environmental stress. Aside from this stress, natural variability, changes in Nile input, or a hidden impact of long-term climate change may play a role. (C) 2016 Elsevier Ltd. All rights reserved.</t>
  </si>
  <si>
    <t>10.1016/j.marpolbul.2016.12.045</t>
  </si>
  <si>
    <t>WOS:000399258600019</t>
  </si>
  <si>
    <t>Soil microbial community responses to contamination with silver, aluminium oxide and silicon dioxide nanoparticles</t>
  </si>
  <si>
    <t>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t>
  </si>
  <si>
    <t>10.1007/s10646-017-1776-5</t>
  </si>
  <si>
    <t>WOS:000399817400015</t>
  </si>
  <si>
    <t>Combined effects of climate and land management on watershed vegetation dynamics in an arid environment</t>
  </si>
  <si>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</si>
  <si>
    <t>10.1016/j.scitotenv.2017.02.210</t>
  </si>
  <si>
    <t>WOS:000399848100008</t>
  </si>
  <si>
    <t>Fish assemblages from touristic and non-visited headwater streams differ</t>
  </si>
  <si>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</si>
  <si>
    <t>10.1007/s10641-017-0586-1</t>
  </si>
  <si>
    <t>WOS:000400073300009</t>
  </si>
  <si>
    <t>Interactions of exotic and native Pomacea with wetland vegetation structure in the Greater Everglades, Florida, USA</t>
  </si>
  <si>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</si>
  <si>
    <t>10.1127/fal/2017/0970</t>
  </si>
  <si>
    <t>WOS:000400955400001</t>
  </si>
  <si>
    <t>Design for ground beetle abundance and diversity sampling within the National Ecological Observatory Network</t>
  </si>
  <si>
    <t>The National Ecological Observatory Network (NEON) will monitor ground beetle populations across a network of broadly distributed sites because beetles are prevalent in food webs, are sensitive to abiotic factors, and have an established role as indicator species of habitat and climatic shifts. We describe the design of ground beetle population sampling in the context of NEON's long-term, continentalscale monitoring program, emphasizing the sampling design, priorities, and collection methods. Freely available NEON ground beetle data and associated field and laboratory samples will increase scientific understanding of how biological communities are responding to land-use and climate change.</t>
  </si>
  <si>
    <t>10.1002/ecs2.1744</t>
  </si>
  <si>
    <t>WOS:000400985300011</t>
  </si>
  <si>
    <t>The European forest sector: past and future carbon budget and fluxes under different management scenarios</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</si>
  <si>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</si>
  <si>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10.5194/bg-14-2387-2017</t>
  </si>
  <si>
    <t>WOS:000401104900001</t>
  </si>
  <si>
    <t>Divergent extremes but convergent recovery of bacterial and archaeal soil communities to an ongoing subterranean coal mine fire</t>
  </si>
  <si>
    <t>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t>
  </si>
  <si>
    <t>10.1038/ismej.2017.1</t>
  </si>
  <si>
    <t>WOS:000401323100013</t>
  </si>
  <si>
    <t>Forest litter amendment during nursery stage influence field performance and ectomycorrhizal community of Scots pine (Pinus sylvestris L.) seedlings outplanted on four different sites</t>
  </si>
  <si>
    <t>Our recent studies have demonstrated that forest litter used in a bare-root forest nursery promoted survival and growth of two-year-old Scots pine seedlings and positively shaped the development of their ectomycorrhizal (ECM) fungal communities. To determine whether the beneficial effects of litter treatment can be extended to the next growing seasons, litter-treated seedlings were outplanted to four sites with different environmental conditions: forest clear-cut (S1), area formerly polluted by emissions from nitrogen fertilizer plant (S2), abandoned agricultural land (S3,) and coastal sand dunes (S4). Seedlings grown in mineral nursery soil without litter amendment served as controls. Height and survival of seedlings were measured over three consecutive years after outplanting. At the end of the third growing season, the mycorrhizal status of seedlings was assessed using DNA-based identification techniques. Litter treatment during the nursery phase significantly improved the height of seedlings at the end of the first growing season at all tested sites. In the second and third growing seasons after outplanting, the heights of litter treated seedlings remained greater compared to control seedlings at three of the four sites; however, at the abandoned agricultural site (S3), significantly lower growth of litter-treated seedlings was observed. After the third growing season, the differences in seedling heights at the forest clear-cut (S1) and the site formerly polluted by nitrogen (S2) were not statistically significant. Survival of all outplanted seedlings varied by season and study site, but litter treated seedlings showed a clear tendency towards enhanced survival. Three years after outplanting, the survival rates of litter-treated seedlings ranged from approximately 81% at S4 to 96% at S2; for control seedlings, survival rates ranged from 63% at S4 to 81% at S3. At sites S1, S2 and S4, the survival of litter-treated seedling was significantly higher. There was a substantial transformation in ECM community composition with low persistence of suilloid mycorrhizas for both litter-treated and control seedlings three years after outplanting. Two-way analysis of similarities (ANOSIM) indicated that differences in ECM fungal community composition across seedlings from different sites likely were due to site specificity rather than previous litter treatment. Our results indicated that nursery soil amended with pine forest litter creates favourable conditions for the production of pine seedlings with better root quality and high abundance of suilloid mycorrhizas, thus allowing for potential reductions in mortality after outplanting on unfavourable sites. (C) 2017 Elsevier B.V. All rights reserved.</t>
  </si>
  <si>
    <t>10.1016/j.foreco.2017.04.002</t>
  </si>
  <si>
    <t>WOS:000401389600010</t>
  </si>
  <si>
    <t>Challenges using extrapolated family-level macroinvertebrate metrics in moderately disturbed tropical streams: a case-study from Belize</t>
  </si>
  <si>
    <t>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t>
  </si>
  <si>
    <t>10.1007/s10750-017-3100-z</t>
  </si>
  <si>
    <t>WOS:000401474400017</t>
  </si>
  <si>
    <t>Responses of serpentine plants to pine invasion: Vegetation diversity and nickel accumulation in species with contrasting adaptive strategies</t>
  </si>
  <si>
    <t>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t>
  </si>
  <si>
    <t>10.1016/j.scitotenv.2017.03.249</t>
  </si>
  <si>
    <t>WOS:000401556800009</t>
  </si>
  <si>
    <t>Identifying and quantifying environmental thresholds for ecological shifts in a large semi-regulated river</t>
  </si>
  <si>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</si>
  <si>
    <t>10.1080/02705060.2017.1319431</t>
  </si>
  <si>
    <t>WOS:000401719600004</t>
  </si>
  <si>
    <t>Metabarcoding monitoring analysis: the pros and cons of using co-extracted environmental DNA and RNA data to assess offshore oil production impacts on benthic communities</t>
  </si>
  <si>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</si>
  <si>
    <t>10.7717/peerj.3347</t>
  </si>
  <si>
    <t>WOS:000401845500009</t>
  </si>
  <si>
    <t>Long-term genetic monitoring of a riverine dragonfly, Orthetrum coerulescens (Odonata: Libellulidae]: Direct anthropogenic impact versus climate change effects</t>
  </si>
  <si>
    <t>Modern conservationists call for long term genetic monitoring datasets to evaluate and understand the impact of human activities on natural ecosystems and species on a global but also local scale. However, long-term monitoring datasets are still rare but in high demand to correctly identify, evaluate and respond to environmental changes. In the presented study, a population of the riverine dragonfly, Orthetrum coerulescens (Odonata: Libellulidae), was monitored over a time period from 1989 to 2013. Study site was an artificial irrigation ditch in one of the last European stone steppes and nature heritage, the Crau in Southern France. This artificial riverine habitat has an unusual high diversity of odonate species, prominent indicators for evaluating freshwater habitats. A clearing of the canal and destruction of the bank vegetation in 1996 was assumed to have great negative impact on the odonate larval and adult populations. Two mitochondrial markers (CO1 &amp; ND1) and a panel of nuclear microsatellite loci were used to assess the genetic diversity. Over time they revealed a dramatic decline in diversity parameters between the years 2004 and 2007, however not between 1996 and 1997. From 2007 onwards the population shows a stabilizing trend but has not reached the amount of genetic variation found at the beginning of this survey. This decline cannot be referred to the clearing of the canal or any other direct anthropogenic impact. Instead, it is most likely that the populations decay was due to by extreme weather conditions during the specific years. A severe drought was recorded for the summer months of these years, leading to reduced water levels in the canal causing also other water parameters to change, and therefore impacting temperature sensitive riverine habitat specialists like the O. coerulescens in a significant way. The data provide important insights into population genetic dynamics and metrics not always congruent with traditional monitoring data (e.g. abundance); a fact that should be regarded with caution when management plans for developed landscapes are designed.</t>
  </si>
  <si>
    <t>10.1371/journal.pone.0178014</t>
  </si>
  <si>
    <t>WOS:000402063000018</t>
  </si>
  <si>
    <t>Effects of triclosan on bacterial community composition and Vibrio populations in natural seawater microcosms</t>
  </si>
  <si>
    <t>Pharmaceuticals and personal care products, including antimicrobials, can be found at trace levels in treated wastewater effluent. Impacts of chemical contaminants on coastal aquatic microbial community structure and pathogen abundance are unknown despite the potential for selection through antimicrobial resistance. In particular, Vibrio, a marine bacterial genus that includes several human pathogens, displays resistance to the ubiquitous antimicrobial compound triclosan. Here we demonstrated through use of natural seawater microcosms that triclosan (at a concentration of similar to 5 ppm) can induce a significant Vibrio growth response (68-1,700 fold increases) in comparison with no treatment controls for three distinct coastal ecosystems: Looe Key Reef (Florida Keys National Marine Sanctuary), Doctors Arm Canal (Big Pine Key, FL), and Clam Bank Landing (North Inlet Estuary, Georgetown, SC). Additionally, microbial community analysis by 16 S rRNA gene sequencing for Looe Key Reef showed distinct changes in microbial -community structure with exposure to 5 ppm triclosan, with increases observed in the relative abundance of Vibrionaceae (17-fold), Pseudoalteromonadaceae (65-fold), Alteromonadaceae (108-fold), Colwelliaceae (430-fold), and Oceanospirillaceae (1,494-fold). While the triclosan doses tested were above concentrations typically observed in coastal surface waters, results identify bacterial families that are potentially resistant to triclosan and/or adapted to use triclosan as a carbon source. The results further suggest the potential for selection of Vibrio in coastal environments, especially sediments, where triclosan may accumulate at high levels.</t>
  </si>
  <si>
    <t>10.1525/elementa.141</t>
  </si>
  <si>
    <t>WOS:000402118000001</t>
  </si>
  <si>
    <t>Persistent changes to ecosystems following winter road construction and abandonment in an area of discontinuous permafrost, Nahanni National Park Reserve, Northwest Territories, Canada</t>
  </si>
  <si>
    <t>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t>
  </si>
  <si>
    <t>10.1657/AAAR0016-012</t>
  </si>
  <si>
    <t>WOS:000402283000006</t>
  </si>
  <si>
    <t>Environmental heterogeneity promotes microgeographic genetic divergence in the Mediterranean killifish Aphanius fasciatus (Cyprinodontidae)</t>
  </si>
  <si>
    <t>Environmental stress can promote evolutionary forces and genetic divergence, but at which microgeographic scale divergence may arise, even in the presence of gene flow, remains poorly known. We studied the effects of eutrophication in a saltwork over a period of 6years on the gene pool of a local population of the Mediterranean killifish Aphanius fasciatus, a species resistant to extreme conditions. We hypothesised that during eutrophication, the environmental stress may have acted differently along a gradient of salinity and oxygen concentration in promoting evolutionary forces, generating divergence over a small spatial scale (2km), despite gene flow. We analysed 24 allozymes in three temporal samples each composed of four spatial sub-samples, collected along the gradient, during eutrophication (2003 and 2005) and after a recovery project (2008). The results suggest that eutrophication promoted natural selection, originating a genetic cline on one locus (adenosine deaminase) significantly linked to salinity and oxygen concentration. Together with selection, both genetic drift and gene flow contributed to shaping the genetic structure under stress by further promoting the genetic heterogeneity and giving rise to deficits of heterozygotes as a secondary effect of the divergence. Environmental stress thus increased diversification, with the effects of selection and drift prevailing on gene flow. When environmental stress was relaxed (2008), allele and genotype frequencies became homogeneous, likely because under less extreme conditions the gene flow prevailed. These results improve our understanding of microgeographic divergence, and highlight the role of environmental stress in moulding microevolutionary dynamics and genetic patterns of animal populations.</t>
  </si>
  <si>
    <t>10.1080/03949370.2016.1188159</t>
  </si>
  <si>
    <t>WOS:000402457800004</t>
  </si>
  <si>
    <t>Urbanization drives community shifts towards thermophilic and dispersive species at local and landscape scales</t>
  </si>
  <si>
    <t>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t>
  </si>
  <si>
    <t>10.1111/gcb.13606</t>
  </si>
  <si>
    <t>WOS:000402514900004</t>
  </si>
  <si>
    <t>Resistance and resilience of root fungal communities to water limitation in a temperate agroecosystem</t>
  </si>
  <si>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</si>
  <si>
    <t>10.1002/ece3.2900</t>
  </si>
  <si>
    <t>WOS:000402554700014</t>
  </si>
  <si>
    <t>Invasive lionfish had no measurable effect on prey fish community structure across the Belizean Barrier Reef</t>
  </si>
  <si>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</si>
  <si>
    <t>10.7717/peerj.3270</t>
  </si>
  <si>
    <t>WOS:000402559100001</t>
  </si>
  <si>
    <t>Distribution and diversity of aquatic macroinvertebrate assemblages in a semiarid region earmarked for shale gas exploration (Eastern Cape Karoo, South Africa)</t>
  </si>
  <si>
    <t>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t>
  </si>
  <si>
    <t>10.1371/journal.pone.0178559</t>
  </si>
  <si>
    <t>WOS:000402624300064</t>
  </si>
  <si>
    <t>A river-scale Lagrangian experiment examining controls on phytoplankton dynamics in the presence and absence of treated wastewater effluent high in ammonium</t>
  </si>
  <si>
    <t>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t>
  </si>
  <si>
    <t>10.1002/lno.10497</t>
  </si>
  <si>
    <t>WOS:000402907100024</t>
  </si>
  <si>
    <t>Patterns on a parr: Drivers of long-term salmon parr length in UK and French rivers depend on geographical scale</t>
  </si>
  <si>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</si>
  <si>
    <t>10.1111/fwb.12929</t>
  </si>
  <si>
    <t>WOS:000403021500001</t>
  </si>
  <si>
    <t>Evidence and Consequence of a Highly Adapted Clonal Haplotype within the Australian Ascochyta rabiei Population</t>
  </si>
  <si>
    <t>The Australian Ascochyta rabiei (Pass.) Labr. (syn. Phoma rabiei) population has low genotypic diversity with only one mating type detected to date, potentially precluding substantial evolution through recombination. However, a large diversity in aggressiveness exists. In an effort to better understand the risk from selective adaptation to currently used resistance sources and chemical control strategies, the population was examined in detail. For this, a total of 598 isolates were quasi-hierarchically sampled between 2013 and 2015 across all major Australian chickpea growing regions and commonly grown host genotypes. Although a large number of haplotypes were identified (66) through short sequence repeat (SSR) genotyping, overall low gene diversity (H-exp = 0.066) and genotypic diversity (D = 0.57) was detected. Almost 70% of the isolates assessed were of a single dominant haplotype (ARH01). Disease screening on a differential host set, including three commonly deployed resistance sources, revealed distinct aggressiveness among the isolates, with 17% of all isolates identified as highly aggressive. Almost 75% of these were of the ARH01 haplotype. A similar pattern was observed at the host level, with 46% of all isolates collected from the commonly grown host genotype Genesis090 (classified as resistant during the term of collection) identified as highly aggressive. Of these, 63% belonged to the ARH01 haplotype. In conclusion, the ARH01 haplotype represents a significant risk to the Australian chickpea industry, being not only widely adapted to the diverse agro-geographical environments of the Australian chickpea growing regions, but also containing a disproportionately large number of aggressive isolates, indicating fitness to survive and replicate on the best resistance sources in the Australian germplasm.</t>
  </si>
  <si>
    <t>10.3389/fpls.2017.01029</t>
  </si>
  <si>
    <t>WOS:000403487300002</t>
  </si>
  <si>
    <t>Paleolimnological Fingerprinting of the Impact of Acid Mine Drainage After 50 Years of Chronic Pollution in a Southern Finnish Lake</t>
  </si>
  <si>
    <t>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t>
  </si>
  <si>
    <t>10.1007/s11270-017-3417-2</t>
  </si>
  <si>
    <t>WOS:000403574100036</t>
  </si>
  <si>
    <t>New climatic targets against global warming: will the maximum 2 °C temperature rise affect estuarine benthic communities?</t>
  </si>
  <si>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</si>
  <si>
    <t>10.1038/s41598-017-04309-0</t>
  </si>
  <si>
    <t>WOS:000403643900071</t>
  </si>
  <si>
    <t>Combined effects of livestock grazing and abiotic environment on vegetation and soils of grasslands across Tibet</t>
  </si>
  <si>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</si>
  <si>
    <t>10.1111/avsc.12312</t>
  </si>
  <si>
    <t>WOS:000403676000003</t>
  </si>
  <si>
    <t>Impact of maintenance dredging on macrobenthic community structure of a tropical estuary</t>
  </si>
  <si>
    <t>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t>
  </si>
  <si>
    <t>10.1016/j.ocecoaman.2017.04.020</t>
  </si>
  <si>
    <t>WOS:000403862600009</t>
  </si>
  <si>
    <t>Abrupt species loss of the Amazonian dung beetle in pastures adjacent to species-rich forests</t>
  </si>
  <si>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</si>
  <si>
    <t>10.1007/s10841-017-9988-9</t>
  </si>
  <si>
    <t>WOS:000404178700012</t>
  </si>
  <si>
    <t>High intra-ocean, but limited inter-ocean genetic connectivity in populations of the deep-water oblique-banded snapper Pristipomoides zonatus (Pisces: Lutjanidae)</t>
  </si>
  <si>
    <t>While many studies have investigated connectivity and subdivision in marine fish occupying tropical, shallow water reef habitats, relatively few have been conducted on commercially important deep-water species in the Indo-Pacific region. Here, we examine spatial and temporal genetic variation in the deep-water oblique-banded snapper Pristipomoides zonatus, collected from eight locations across the Indian and Pacific Oceans. A total of 292 individuals were screened for genetic variation at six nuclear microsatellite loci and the cytochrome c oxidase subunit 1 (COI) mitochondrial DNA (mtDNA) gene. There was evidence of low, but significant genetic differentiation between ocean basins (F-cr = 0.009) and no significant divergences between sites within oceans. The lack of population structure within ocean basins suggests P. zonatus has a long pelagic larval duration with high levels of connectivity between populations over large geographical distances ( &gt; 2000 kin). There was no evidence of temporal variation in allele frequencies within populations. However, ephemeral genetic divergences between sites were detected, along with a significant reduction in genetic diversity at one site, suggesting there may be low effective population sizes (Ne). Our results suggest that localized declines in genetic diversity could be offset by gene flow from other locations within ocean basins, though predicting the broader impacts of localized stock depletions requires further understanding of recruitment dynamics and life history characteristics of the species.</t>
  </si>
  <si>
    <t>10.1016/j.fishres.2017.04.015</t>
  </si>
  <si>
    <t>WOS:000404311100025</t>
  </si>
  <si>
    <t>Effects of fumigation with metam-sodium on soil microbial biomass, respiration, nitrogen transformation, bacterial community diversity and genes encoding key enzymes involved in nitrogen cycling</t>
  </si>
  <si>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</si>
  <si>
    <t>10.1016/j.scitotenv.2017.02.058</t>
  </si>
  <si>
    <t>WOS:000404504000105</t>
  </si>
  <si>
    <t>Satellite Monitoring the Spatial-Temporal Dynamics of Desertification in Response to Climate Change and Human Activities across the Ordos Plateau, China</t>
  </si>
  <si>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</si>
  <si>
    <t>10.3390/rs9060525</t>
  </si>
  <si>
    <t>WOS:000404623900016</t>
  </si>
  <si>
    <t>Evaluating expected outcomes of acid remediation in an intensively mined Appalachian watershed</t>
  </si>
  <si>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</si>
  <si>
    <t>10.1007/s10661-017-6036-x</t>
  </si>
  <si>
    <t>WOS:000404652900036</t>
  </si>
  <si>
    <t>Genotypic and phenotypic changes in wild barley (Hordeum vulgare subsp spontaneum) during a period of climate change in Jordan</t>
  </si>
  <si>
    <t>Climate change and other anthropogenic disturbances can lead to the loss of genetic variation and thereby affect evolutionary potential and survival of plant populations in the wild. We examined these predictions in the primary wild relative of barley, Hordeum vulgare L. subsp. spontaneum (K. Koch) Thell., within its center of diversity, in Jordan. Changes in genotypic and phenotypic diversity were assessed using seed samples collected in 1981 and 2012 from the same 18 sites across Jordan. The overall population structure was conserved, but we observed an increase of within population genetic diversity and a reduction in population differentiation. Phenotypic variation differed among years and sites but the magnitude and direction of change variated among sites. While the sampled region became significantly hotter and drier during this period, simple correlation models did not support association between measures of climate change and the observed genetic and phenotypic changes. Agricultural activities that promote disturbance and demographic fluctuations may affect crop wild relatives that grow in agricultural landscapes, in unexpected ways. The observed increase in genetic diversity within populations might be explained by increased migration or by an advantage of increased genetic variation in the face of variable environmental conditions. This study provides a new perspective on the range of possible responses of crop wild relatives to environmental pressures.</t>
  </si>
  <si>
    <t>10.1007/s10722-016-0437-5</t>
  </si>
  <si>
    <t>WOS:000404901300015</t>
  </si>
  <si>
    <t>Waste heaps left by historical Zn-Pb ore mining are hotspots of species diversity of beech forest understory vegetation</t>
  </si>
  <si>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</si>
  <si>
    <t>10.1016/j.scitotenv.2017.04.197</t>
  </si>
  <si>
    <t>WOS:000405252000005</t>
  </si>
  <si>
    <t>Effects of sewage effluents and seasonal changes on the metabolism of three Atlantic rivers</t>
  </si>
  <si>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</si>
  <si>
    <t>10.1016/j.scitotenv.2017.05.067</t>
  </si>
  <si>
    <t>WOS:000405253500008</t>
  </si>
  <si>
    <t>Agricultural history drives structure and tree species composition of second growth forest over 100 years in southeastern Ohio, USA</t>
  </si>
  <si>
    <t>Question: Most modern forest in eastern North America has recolonized after abandonment from agriculture. Cultivation and pasturing, historically the dominant forms of agriculture, differ in their environmental legacies and potentially influence stand development following abandonment. We ask how the legacy of agriculture plays out in development of second-growth stands, and whether tree community composition and structure differ between sites with contrasting land-use histories. Location: Southeast Ohio, USA. Methods: Thirty-five second-growth stands were sorted into a replicated chronosequence of formerly cultivated and pastured sites spanning 80yr. Stand age and land-use history were determined from historical aerial photographs and from site characteristics including microtopography and soil profiles. In addition, a control group was selected consisting of long-established forest stands showing no signs of agricultural disturbance. At each site stand composition and structure were described using the point-centred quarter method. Results: Stand density declined and basal area increased through the chronosequence but neither pastured nor cultivated sites reached levels observed in the control group. Density decreased most dramatically between the 41-60- and 61-80-yr age classes, consistent with competitive stand thinning. Tree community composition changed through time, reflecting a shift away from light-demanding successional species and toward long-lived, shade-tolerant species characteristic of long-established forests. Composition and structure did not differ significantly between cultivated and pastured sites, but individual species did show significant differences, with the greatest contrast evident shortly after abandonment. Conclusions: Stand development following agriculture appears to be a process of convergence in species composition and density. Because most deciduous forest in eastern North America is &lt;80-yr-old, these results suggest that most forest is still accruing biomass and has yet to reach a stable density and composition.</t>
  </si>
  <si>
    <t>10.1111/jvs.12516</t>
  </si>
  <si>
    <t>WOS:000405595300009</t>
  </si>
  <si>
    <t>Post-fire vegetation response at the woodland-shrubland interface is mediated by the pre-fire community</t>
  </si>
  <si>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</si>
  <si>
    <t>10.1002/ecs2.1851</t>
  </si>
  <si>
    <t>WOS:000405626700007</t>
  </si>
  <si>
    <t>Open oakwoods facing modern threats: Will they survive the next fifty years?</t>
  </si>
  <si>
    <t>Open oakwoods are ancient but currently vanishing plant communities of high conservation value. We studied the vegetation of Eurasian steppic oalcwoods in the Czech Republic where they are at the westernmost outcrop of their potential distribution to understand ecosystem changes and their drivers in the period of modern environmental change. In 2012, we resampled a set of semi-permanent plots established in 1965. Long-term compositional shifts and biotic homogenization were linked mainly to eutrophication and canopy closure. Ecological groups of nitrophytes and neophytes increased, while assemblages of species characteristic for open woodlands declined. This process can be attributed to several factors including changes in forest management, the rise of the native woody species Tilia cordata, airborne nitrogen input to generally nutrient-poor substrates and subsequent increase of invasive plant species, and finally to increased wildboar density. The decline of the unique communities of open steppic oakwoods will likely continue under the current management, increased nitrogen availability and canopy closure. Although reintroducing the wide range of historical forest uses is not realistic, the removal of Tilia individuals, reduction of the wild boar population and the promotion of Quercus to maintain the open-canopy structure may moderate the shift towards novel communities and help to restore open oakwoods.</t>
  </si>
  <si>
    <t>10.1016/j.biocon.2017.04.017</t>
  </si>
  <si>
    <t>WOS:000405881600019</t>
  </si>
  <si>
    <t>Combined effects of water stress and pollution on macroinvertebrate and fish assemblages in a Mediterranean intermittent river</t>
  </si>
  <si>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</si>
  <si>
    <t>10.1016/j.scitotenv.2017.06.078</t>
  </si>
  <si>
    <t>WOS:000405981500066</t>
  </si>
  <si>
    <t>Impacts of a reduction in seawater pH mimicking ocean acidification on the structure and diversity of mycoplankton communities</t>
  </si>
  <si>
    <t>Increases in atmospheric carbon dioxide (CO2) change ocean chemistry, as dissolved CO2 leads to a reduction in the seawater pH. Many marine taxa have been shown to be affected by ocean acidification; however, information on marine fungi is lacking. We analyzed the effect of pH on mycoplankton communities. The pH of microcosms was adjusted to a value mimicking the predicted ocean acidification in the near future. Fungal communities were analyzed using a double-marker gene approach, allowing a more detailed analysis of their response using 454 pyrosequencing. Mycoplankton communities in microcosms with in situ and adjusted water pH values differed significantly in terms of structure and diversity. The differences were mainly abundance shifts among the dominant taxa, rather than the exclusion of fungal groups. A sensitivity to lower pH values was reported for several groups across the fungal kingdom and was not phylogenetically conserved. Some of the fungal species that dominated the communities of microcosms with a lower pH were known pathogenic fungi. With the increasing awareness of the significant role fungi play in marine systems, including performing a diverse range of symbiotic activities, our results highlight the importance of including fungi in further research projects studying and modeling biotic responses to the predicted ocean acidification.</t>
  </si>
  <si>
    <t>10.3354/ame01831</t>
  </si>
  <si>
    <t>WOS:000406130800004</t>
  </si>
  <si>
    <t>Ecological effects of soil properties and metal concentrations on the composition and diversity of microbial communities associated with land use patterns in an electronic waste recycling region</t>
  </si>
  <si>
    <t>Soil microbes play vital roles in ecosystem functions, and soil microbial communities may be strongly structured by land use patterns associated with electronic waste (e-waste) recycling activities, which can increase the heavy metal concentration in soils. In this study, a suite of soils from five land use types ( paddy field, vegetable field, dry field, forest field, and e-waste recycling site) were collected in Longtang Town, Guangdong Province, South China. Soil physicochemical properties and heavy metal concentrations were measured, and the indigenous microbial assemblages were profiled using 16S rRNA high-throughput sequencing and clone library analyses. The results showed that mercury concentration was positively correlated with both Faith's PD and Chao1 estimates, suggesting that the soil microbial alpha diversity was predominantly regulated by mercury. In addition, redundancy analysis indicated that available phosphorus, soil moisture, and mercury were the three major drivers affecting the microbial assemblages. Overall, the microbial composition was determined primarily by land use patterns, and this study provides a novel insight on the composition and diversity of microbial communities in soils associated with e-waste recycling activities. (C) 2017 Elsevier B.V. All rights reserved.</t>
  </si>
  <si>
    <t>10.1016/j.scitotenv.2017.05.165</t>
  </si>
  <si>
    <t>WOS:000406294900006</t>
  </si>
  <si>
    <t>Stocking activities for the Arctic charr in Lake Geneva: Genetic effects in space and time</t>
  </si>
  <si>
    <t>Artificial stocking practices are widely used by resource managers worldwide, in order to sustain fish populations exploited by both recreational and commercial activities, but their benefits are controversial. Former practices involved exotic strains, although current programs rather consider artificial breeding of local fishes (supportive breeding). Understanding the complex genetic effects of these management strategies is an important challenge with economic and conservation implications, especially in the context of population declines. In this study, we focus on the declining Arctic charr (Salvelinus alpinus) population from Lake Geneva (Switzerland and France), which has initially been restocked with allochtonous fishes in the early eighties, followed by supportive breeding. In this context, we conducted a genetic survey to document the evolution of the genetic diversity and structure throughout the last 50years, before and after the initiation of hatchery supplementation, using contemporary and historical samples. We show that the introduction of exotic fishes was associated with a genetic bottleneck in the 1980-1990s, a break of Hardy-Weinberg Equilibrium (HWE), a reduction in genetic diversity, an increase in genetic structure among spawning sites, and a change in their genetic composition. Together with better environmental conditions, three decades of subsequent supportive breeding using local fishes allowed to re-establish HWE and the initial levels of genetic variation. However, current spawning sites have not fully recovered their original genetic composition and were extensively homogenized across the lake. Our study demonstrates the drastic genetic consequences of different restocking tactics in a comprehensive spatiotemporal framework and suggests that genetic alteration by nonlocal stocking may be partly reversible through supportive breeding. We recommend that conservation-based programs consider local diversity and implement adequate protocols to limit the genetic homogenization of this Arctic charr population.</t>
  </si>
  <si>
    <t>10.1002/ece3.3073</t>
  </si>
  <si>
    <t>WOS:000406323100018</t>
  </si>
  <si>
    <t>Consequences of severe habitat fragmentation on density, genetics, and spatial capture-recapture analysis of a small bear population</t>
  </si>
  <si>
    <t>Loss and fragmentation of natural habitats caused by human land uses have subdivided several formerly contiguous large carnivore populations into multiple small and often isolated subpopulations, which can reduce genetic variation and lead to precipitous population declines. Substantial habitat loss and fragmentation from urban development and agriculture expansion relegated the Highlands-Glades subpopulation (HGS) of Florida, USA, black bears (Ursus americanus floridanus) to prolonged isolation; increasing human land development is projected to cause &gt;= 50% loss of remaining natural habitats occupied by the HGS in coming decades. We conducted a noninvasive genetic spatial capture-recapture study to quantitatively describe the degree of contemporary habitat fragmentation and investigate the consequences of habitat fragmentation on population density and genetics of the HGS. Remaining natural habitats sustaining the HGS were significantly more fragmented and patchier than those supporting Florida's largest black bear subpopulation. Genetic diversity was low (A(R) = 3.57; H-E = 0.49) and effective population size was small (N-E = 25 bears), both of which remained unchanged over a period spanning one bear generation despite evidence of some immigration. Subpopulation density (0.054 bear/km(2)) was among the lowest reported for black bears, was significantly female-biased, and corresponded to a subpopulation size of 98 bears in available habitat. Conserving remaining natural habitats in the area occupied by the small, genetically depauperate HGS, possibly through conservation easements and government land acquisition, is likely the most important immediate step to ensuring continued persistence of bears in this area. Our study also provides evidence that preferentially placing detectors (e.g., hair traps or cameras) primarily in quality habitat across fragmented landscapes poses a challenge to estimating density-habitat covariate relationships using spatial capture-recapture models. Because habitat fragmentation and loss are likely to increase in severity globally, further investigation of the influence of habitat fragmentation and detector placement on estimation of this relationship is warranted.</t>
  </si>
  <si>
    <t>10.1371/journal.pone.0181849</t>
  </si>
  <si>
    <t>WOS:000406362700078</t>
  </si>
  <si>
    <t>A few is enough: a low cover of a non-native seaweed reduces the resilience of Mediterranean macroalgal stands to disturbances of varying extent</t>
  </si>
  <si>
    <t>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t>
  </si>
  <si>
    <t>10.1007/s10530-017-1442-0</t>
  </si>
  <si>
    <t>WOS:000406405700007</t>
  </si>
  <si>
    <t>Spatial and temporal changes in epibenthic communities at deep, hard bottom aquaculture sites in Newfoundland</t>
  </si>
  <si>
    <t>This study explores spatio-temporal changes in epibenthic communities due to salmon aquaculture at deep (&gt;30 m), hard-bottom dominated sites in Newfoundland (Canada). Using a drop-camera approach, we followed changes with production at two aquaculture sites, as well as potential recovery processes at two fallow sites, comparing their epibenthic composition with nearby non-production sites. Multivariate analysis revealed that aquaculture production led to rapid changes in epibenthic communities, as evidenced primarily by the presence of two visual indicators: bacterial mats and opportunistic polychaetes. Due to low taxon richness and abundances, as well as variability among sites, no clear intermediate successional stages were apparent. Beggiatoa-like mats and opportunistic polychaetes appeared rapidly once aquaculture production began; these indicators did not increase in spatial extent during the survey and were typically observed up to 100 m, and occasionally up to 160 m from cages. After 15 months of fallowing, Beggiatoa-like mats and opportunistic polychaetes remained present at sites and were occasionally accompanied by few other taxa, suggesting incomplete recovery. Crown Copyright (C) 2017 Published by Elsevier Ltd. All rights reserved.</t>
  </si>
  <si>
    <t>10.1016/j.ecolind.2017.01.019</t>
  </si>
  <si>
    <t>WOS:000406435700020</t>
  </si>
  <si>
    <t>Livestock disturbance in Brazilian grasslands influences avian species diversity via turnover</t>
  </si>
  <si>
    <t>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t>
  </si>
  <si>
    <t>10.1007/s10531-017-1370-4</t>
  </si>
  <si>
    <t>WOS:000406637700012</t>
  </si>
  <si>
    <t>Warmer night-time temperature promotes microbial heterotrophic activity and modifies stream sediment community</t>
  </si>
  <si>
    <t>Diel temperature patterns are changing because of global warming, with higher temperatures being predicted to be more pronounced at night. Biological reactions are temperature dependent, with some occurring only during the daylight hours (e.g., light photosynthesis) and other during the entire day (e.g., respiration). Consequently, we expect the modification of daily temperature cycles to alter microbial biological reactions in stream sediments. Here, we aimed to study the effect of warming and changes of the diel temperature patterns on stream sediment biofilm functions tied to organic carbon decomposition, as well as on biofilm meiofaunal community structure. We performed an eight-week experiment with 12 artificial streams subjected to three different diel temperature patterns: warming, warmer nights and control. Significant effects of warming on biofilm function and structure were mainly detected in the long term. Our results showed that warming altered biofilm function, especially in the warmer nights' treatment, which enhanced beta-glucosidase enzyme activity. Interestingly, clear opposite diel patterns were observed for dissolved organic carbon and b-glucosidase activity, suggesting that, at night, sediment bacteria quickly consume the input of photosynthetic dissolved organic carbon labile compounds created during light-time. The biofilm structure was also altered by warming, as both warming and warmer night treatments enhanced copepod abundance and diminished abundances of turbellaria and nematodes, which, in turn, controlled bacterial, algal and ciliate communities. Overall, we conclude that warming has strong effect on sediment biofilm structure and enhanced microbial organic matter degradation which might, consequently, affect higher trophic levels and river carbon cycling.</t>
  </si>
  <si>
    <t>10.1111/gcb.13664</t>
  </si>
  <si>
    <t>WOS:000406812100032</t>
  </si>
  <si>
    <t>Genetic composition and origin of juvenile green turtles foraging at Culebra, Puerto Rico, as revealed by mtDNA</t>
  </si>
  <si>
    <t>Marine migratory species encounter a range of threats as they move through coastal and oceanic zones. Understanding the connectivity and dispersal patterns of such species is critical to their effective conservation. Here we analyzed the temporal genetic composition and the most likely origin of juvenile green turtles foraging at Puerto Manglar and Tortuga Bay, Culebra, Puerto Rico, using mitochondrial DNA control region sequences. We identified 17 haplotypes, of which CM-A3 (51.5%), CM-A5 (19.4%) and CM-A1 (13.6%) were the most common. Haplotype (h) and nucleotide (pi) diversities were 0.680 and 0.008, respectively. There was no evidence of significant variation in the genetic composition of these aggregations throughout seven years (2000-2006), suggesting that relative contributions from source populations did not significantly change during this period. Mixed Stock Analysis (MSA), incorporating 14 Atlantic nesting populations as possible sources, indicated four main contributing stocks to the Culebra foraging grounds: Costa Rica (34.9%), Mexico (29.2%), East Central Florida (13.2%), and Suriname (12.0%). The regional pattern of connectivity among Wider Caribbean rookeries and Culebra was further evidenced by a second MSA using Atlantic Regional Management Units (RMUs) as sources, with 94.1% of the mixed stock attributed to this area. This study addresses the information gap on the connectivity of the green turtle in the North Atlantic, and establishes an important baseline that can be used to determine future changes in stock composition.</t>
  </si>
  <si>
    <t>10.3856/vol45-issue3-fulltext-2</t>
  </si>
  <si>
    <t>WOS:000406912400011</t>
  </si>
  <si>
    <t>Longitudinal patterns of microplastic concentration and bacterial assemblages in surface and benthic habitats of an urban river</t>
  </si>
  <si>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</si>
  <si>
    <t>10.1086/693012</t>
  </si>
  <si>
    <t>WOS:000407373600004</t>
  </si>
  <si>
    <t>Plant Community Effects and Genetic Diversity of Post-fire Princess Tree (Paulownia tomentosa) Invasions</t>
  </si>
  <si>
    <t>Many naturalized populations of the invasive tree princess tree exist in North America, yet little research has quantified its effect on native plant communities. A series of recent wildfires in the Linville Gorge Wilderness Area (LGWA) promoted multiple large-scale princess tree invasions in this ecologically important area. To measure community shifts caused by these princess tree invasions across burn areas, we sampled vegetation in paired invaded and noninvaded plots in mature and immature invasions within two burn areas of the LGWA. Plant community composition shifted in response to princess tree invasion across all invasion stages and burn areas. Species richness and Shannon diversity values decreased in invaded plots. Overall community structure also differed in invaded plots within immature invasions (P = 0.004). The distribution of princess tree age classes in both burn areas indicates that fire promotes invasion but is not necessary for subsequent recruitment. Additionally, preliminary genetic analyses among distinct princess tree populations revealed very low genetic diversity, suggesting that a single introduction may have occurred in the LGWA. This information regarding community shift and strong post-fire recruitment by princess tree may inform management decisions by prioritizing princess tree control immediately after wildfires and immediately before and after prescribed burns.</t>
  </si>
  <si>
    <t>10.1017/inp.2017.14</t>
  </si>
  <si>
    <t>WOS:000407423900002</t>
  </si>
  <si>
    <t>Habitat change mediates the response of coral reef fish populations to terrestrial run-off</t>
  </si>
  <si>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</si>
  <si>
    <t>10.3354/meps12221</t>
  </si>
  <si>
    <t>WOS:000407443900005</t>
  </si>
  <si>
    <t>Petroleum Contamination and Plant Identity Influence Soil and Root Microbial Communities While AMF Spores Retrieved from the Same Plants Possess Markedly Different Communities</t>
  </si>
  <si>
    <t>Phytoremediation is a promising in situ green technology based on the use of plants to cleanup soils from organic and inorganic pollutants. Microbes, particularly bacteria and fungi, that closely interact with plant roots play key roles in phytoremediation processes. In polluted soils, the root-associated microbes contribute to alleviation of plant stress, improve nutrient uptake and may either degrade or sequester a large range of soil pollutants. Therefore, improving the efficiency of phytoremediation requires a thorough knowledge of the microbial diversity living in the rhizosphere and in close association with plant roots in both the surface and the endosphere. This study aims to assess fungal ITS and bacterial 16S rRNA gene diversity using high-throughput sequencing in rhizospheric soils and roots of three plant species (Solidago canadensis, Populus balsamifera, and Lycopus europaeus) growing spontaneously in three petroleum hydrocarbon polluted sedimentation basins. Microbial community structures of rhizospheric soils and roots were compared with those of microbes associated with arbuscular mycorrhizal fungal (AMF) spores to determine the links between the root and rhizosphere communities and those associated with AMF. Our results showed a difference in OTU richness and community structure composition between soils and roots for both bacteria and fungi. We found that petroleum hydrocarbon pollutant (PHP) concentrations have a significant effect on fungal and bacterial community structures in both soils and roots, whereas plant species identity showed a significant effect only on the roots for bacteria and fungi. Our results also showed that the community composition of bacteria and fungi in soil and roots varied from those associated with AMF spores harvested from the same plants. This let us to speculate that in petroleum hydrocarbon contaminated soils, AMF may release chemical compounds by which they recruit beneficial microbes to tolerate or degrade the PHPs present in the soil.</t>
  </si>
  <si>
    <t>10.3389/fpls.2017.01381</t>
  </si>
  <si>
    <t>WOS:000407698700001</t>
  </si>
  <si>
    <t>Linking fish species traits to environmental conditions in the Jakarta Bay-Pulau Seribu coral reef system</t>
  </si>
  <si>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</si>
  <si>
    <t>10.1016/j.marpolbul.2017.06.054</t>
  </si>
  <si>
    <t>WOS:000408076900039</t>
  </si>
  <si>
    <t>Microbial communities in marine sediments modify success of an invasive macrophyte</t>
  </si>
  <si>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</si>
  <si>
    <t>10.1038/s41598-017-10231-2</t>
  </si>
  <si>
    <t>WOS:000408538100087</t>
  </si>
  <si>
    <t>Responses of soil N-fixing bacteria communities to Amaranthus retroflexus invasion under different forms of N deposition</t>
  </si>
  <si>
    <t>Soil N-fixing bacteria communities (SNB) can increase soil N availability, which can facilitate invasions of many kinds of invasive plant species. Meanwhile, variability in the forms of anthropogenic N deposition can mediate obvious shifts in both soil physicochemical properties and soil microbial communities (especially SNB). This can alter the soil micro-ecological mechanisms of plant invasions via changes in soil characteristics and soil microbial communities, especially SNB. This study uses next-generation high throughput sequencing technology to provide insight into the effects of invasion by Amaranthus retrofiexus L. on the structure and diversity of SNB under different forms of simulated N deposition (SND). Soil pH under A. retrofiexus invasion under various forms of SND was 8.08% lower than controls under a NH4-N treatment (P &lt; 0.05), 15.15% lower than controls under a NO3-N treatment (P &lt; 0.05), and 6.57% lower than controls under CO(NH2)(2)-N and Mix-N treatments (P &lt; 0.05). Meanwhile, soil pH was one of the most important environmental variables explaining changes in the structure and diversity of SNB. The total number of species of SNB under A. retroflexus invasion was approximately 13.13% higher than controls for the NH4-N treatment (P &gt; 0.05), 11.00% higher than controls for the NO3-N treatment (P &gt; 0.05), 39.42% higher than controls for the CO(NH2)(2)-N treatment (P &lt; 0.05), and 27.67 higher than controls for the Mix-N treatment (P &lt; 0.05). The positive effects mediated by the combined treatments of A. retrofiexus invasion and SND may be ascribed to enhanced soil nutrient content (especially N), which can enhance the abundance of the nifH gene. The effects of A. retrofiexus invasion on the total number of species of SNB under organic and mixed-N addition were greater than under inorganic N addition. This may be a consequence of a disturbance of the balance of inorganic to organic N for SND, as a result of the addition of a single form of inorganic N, which can diminish the stimulatory effects of soil nutrient content on SNB under inorganic N. Another potential cause of this pattern may be stronger acidification under inorganic N addition, which can exert more pronounced effects on SNB. LEfSe analysis showed that some species changed significantly under A. retroflexus invasion in the presence of SND (i.e., Rhodobacteraceae under NH4-N and Proteobacteria under CO(NH2)(2)-N). Thus, A. retrofiexus invasion in the presence of SND caused obvious shifts in certain species of SNB and increased the total number of species of SNB in particular, to facilitate its further invasion.</t>
  </si>
  <si>
    <t>10.1016/j.agee.2017.07.012</t>
  </si>
  <si>
    <t>WOS:000408597800036</t>
  </si>
  <si>
    <t>Urban Land use Affects Resident Fish Communities and Associated Salt Marsh Habitat in Alabama and West Florida, USA</t>
  </si>
  <si>
    <t>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t>
  </si>
  <si>
    <t>10.1007/s13157-017-0902-8</t>
  </si>
  <si>
    <t>WOS:000408670000010</t>
  </si>
  <si>
    <t>Marine protected areas increase temporal stability of community structure, but not density or diversity, of tropical seagrass fish communities</t>
  </si>
  <si>
    <t>Marine protected areas (MPAs) have been shown to increase long-term temporal stability of fish communities and enhance ecosystem resilience to anthropogenic disturbance. Yet, the potential ability of MPAs to buffer effects of environmental variability at shorter time scales remains widely unknown. In the tropics, the yearly monsoon cycle is a major natural force affecting marine organisms in tropical regions, and its timing and severity are predicted to change over the coming century, with potentially severe effects on marine organisms, ecosystems and ecosystem services. Here, we assessed the ability of MPAs to buffer effects of monsoon seasonality on seagrass-associated fish communities, using a field survey in two MPAs (no-take zones) and two unprotected (open-access) sites around Zanzibar (Tanzania). We assessed the temporal stability of fish density and community structure within and outside MPAs during three monsoon seasons in 2014-2015, and investigated several possible mechanisms that could regulate temporal stability. Our results show that MPAs did not affect fish density and diversity, but that juvenile fish densities were temporally more stable within MPAs. Second, fish community structure was more stable within MPAs for juvenile and adult fish, but not for subadult fish or the total fish community. Third, the observed effects may be due to a combination of direct and indirect (seagrass-mediated) effects of seasonality and, potentially, fluctuating fishing pressure outside MPAs. In summary, these MPAs may not have the ability to enhance fish density and diversity and to buffer effects of monsoon seasonality on the whole fish community. However, they may increase the temporal stability of certain groups, such as juvenile fish. Consequently, our results question whether MPAs play a general role in the maintenance of biodiversity and ecosystem functioning under changing environmental conditions in tropical seagrass fish communities.</t>
  </si>
  <si>
    <t>10.1371/journal.pone.0183999</t>
  </si>
  <si>
    <t>WOS:000408693600076</t>
  </si>
  <si>
    <t>Short-term temporal instability in fine-scale genetic structure of masu salmon</t>
  </si>
  <si>
    <t>1. Identifying spatial extent and temporal patterns of population genetic structure is important for understanding evolutionary relationships among local populations and for designing conservation programmes. However, little attention has been devoted to understand whether genetic structure is temporally stable or unstable, and how genetic characteristics may change over time. The goal of this study was to assess the temporal stability of the genetic structure of masu salmon (Oncorhynchus masou). 2. To examine the temporal component of genetic variation in genetic structuring within a river system, we used 810 masu salmon collected from eight tributaries of the Atsuta River, Hokkaido, Japan, over three consecutive years (i.e. 200709). We assessed the temporal stability of the genetic structure in 15 microsatel-lite loci by comparing genetic diversity, effective population size and the relationships between genetic and geographical distances among samples collected from different tributaries and over time. 3. Significant genetic differences were observed among most of the temporal samples collected from the same tributary, and analysis of molecular variance indicated that the temporal component explained about 10 times more of the genetic variation (1.98%) than did the spatial component (0.18%). 4. Isolation by distance (IBD) was detected only in 2009. In addition, a significant correlation in population genetic structure was observed between samples collected in 2008 and those in 2009. In 2007, decomposed pairwise regression analysis identified one population as an outlier population and, following exclusion of the outlier sample, IBD was observed in 2007. This population is small and physically isolated by waterfall, in which the effective population size or effective number of breeders would be expected to be small. 5. We found that fine-scale genetic structure in masu salmon populations was temporally unstable, due perhaps to genetic drift in small isolated populations, temporal changes in environmental conditions (e.g. drought), and a combination of these factors. This study also highlights that the genetic structure among populations could easily be affected by temporal and/or sampling issues. Studies focused on temporal genetic structuring are likely to be important for conservation of species inhabiting unstable or isolated habitats such as freshwater fish.</t>
  </si>
  <si>
    <t>10.1111/fwb.12978</t>
  </si>
  <si>
    <t>WOS:000409110900014</t>
  </si>
  <si>
    <t>Invasive alien trees reduce bird species richness and abundance of mutualistic frugivores and nectarivores; a bird's eye view on a conflict of interest species in riparian habitats</t>
  </si>
  <si>
    <t>Invasive alien plants have major ecological effects, in particular in riparian habitats. While effects of alien tree invasions on riparian plants are well studied, effects on animals are less well understood. Invasive alien trees can have a positive effect by adding habitat and food sources, or have a negative effect, by replacing native food plants. Here we use birds as indicators to determine the impacts of an invasive Eucalyptus tree species in riparian areas of the Cape Floristic Region (CFR) of South Africa. Birds are an ideal study group because they are mobile, respond quickly to habitat changes and feed at different trophic levels. Fixed-point bird counts were done during winter and spring at near-pristine and Eucalyptus camaldulensis invaded riparian habitats. A total of 1142 birds from 44 species were recorded. Bird assemblages in invaded sites are almost a complete subset (24 species) of those in near-pristine areas (42 species). Invaded areas were missing 18 species and contained a total of 128 fewer individuals. This is due to declines in insectivores, frugivores, granivores, raptors and omnivores and the absence of nectarivores in invaded sites. From a bird's perspective, the prioritisation of E. camaldulensis removal from the CFR's river systems is justified, but whether bird species will return to cleared areas needs to be determined.</t>
  </si>
  <si>
    <t>10.1007/s11284-017-1481-0</t>
  </si>
  <si>
    <t>WOS:000409123700004</t>
  </si>
  <si>
    <t>How do seasonality, substrate, and management history influence macrofungal fruiting assemblages in a central Amazonian Forest?</t>
  </si>
  <si>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</si>
  <si>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10.1111/btp.12438</t>
  </si>
  <si>
    <t>WOS:000409453300007</t>
  </si>
  <si>
    <t>Fishpond dams affect leaf-litter processing and associated detritivore communities along intermittent low-order streams</t>
  </si>
  <si>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</si>
  <si>
    <t>10.1111/fwb.12984</t>
  </si>
  <si>
    <t>WOS:000410094000007</t>
  </si>
  <si>
    <t>Environmental and spatial processes influencing phytoplankton biomass along a reservoirs-river-floodplain lakes gradient: A metacommunity approach</t>
  </si>
  <si>
    <t>Evaluation of the relative influences of environmental and spatial processes in structuring aquatic metacommunities is an essential first step for understanding how these factors govern species distributions and affect spatial and temporal variability in community structure. Such variability has many causes and consequences at different scales. In the case of phytoplankton metacommunities, both species sorting and mass effect processes are likely to be important in structuring the patterns of biomass distribution on large spatial scales. We investigated the influences of environmental and spatial components on the phytoplankton community on a large spatial scale, consisting of a reservoirs-river-floodplain lakes gradient in a Neotropical region. Using partial redundancy analysis, we partitioned the relative role of environmental (environmental filters) and spatial (asymmetric eigenvector maps) processes structuring phytoplankton biomass. A clear difference of the limnological conditions was observed between the reservoirs and river-floodplain lakes system. High species richness and higher mean values of phytoplankton biomass were recorded in the floodplain lakes. Variation partitioning demonstrated the importance of both environmental and spatial process in phytoplankton biomass structuring. However, the relative importance of these processes may vary over time. Our results suggest that from a metacommunity perspective, the phytoplankton biomass of upstream reservoirs and a downstream river-floodplain lakes system is determined by environmental conditions (species sorting process), mainly in the floodplain lakes; and by high dispersion rates favoured by the connectivity and unidirectional flow (mass effect process), mainly between the reservoirs and the river.</t>
  </si>
  <si>
    <t>10.1111/fwb.12986</t>
  </si>
  <si>
    <t>WOS:000410094000008</t>
  </si>
  <si>
    <t>Effects of local land-use on riparian vegetation, water quality, and the functional organization of macroinvertebrate assemblages</t>
  </si>
  <si>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</si>
  <si>
    <t>10.1016/j.scitotenv.2017.07.197</t>
  </si>
  <si>
    <t>WOS:000410352900077</t>
  </si>
  <si>
    <t>Community responses to seawater warming are conserved across diverse biological groupings and taxonomic resolutions</t>
  </si>
  <si>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</si>
  <si>
    <t>10.1098/rspb.2017.0534</t>
  </si>
  <si>
    <t>WOS:000410610200004</t>
  </si>
  <si>
    <t>Temporal genetic dynamics of reintroduced and translocated populations of the endangered golden lion tamarin (Leontopithecus rosalia)</t>
  </si>
  <si>
    <t>Reintroductions-captive-born animals introduced into the species' original distribution area-and translocations-free-living animals transferred to another location within the historical distribution area-are important conservation strategies for endangered species. Genetic analyses of 239 individuals from unmanaged, translocated and reintroduced populations of Leontopithecus rosalia were performed using 14 microsatellites. These samples were collected during two periods: (a) 1996-1997 (historic), when individuals were translocated and reintroduced into forest fragments in the lowland Atlantic Forest, and (b) 2007-09 (recent). We hypothesized that effective population size and genetic diversity would increase over time and that these management strategies would affect the resulting population genetic structure. We found trends indicating that the effective population size at the translocation site increased while that at the reintroduction sites diminished over time. The inbreeding coefficient of the translocated population diminished over time (from 0.38 to 0.03) and was much lower than that of the native (0.29) and reintroduced (0.13) recent populations. We observed a greater genetic admixture among the reintroduced sites on the historic sampling, as well as a strong genetic structure at the translocation site. In the recent sampling, the population structuring became more site-related suggesting low or inconsistent gene flow between sampling sites. This research highlights how conservation management decisions have an important influence on the genetic outcome of translocations and reintroductions. Future conservation planning should consider population genetic monitoring before and after management measures and maintain population connectivity thereafter to avoid the negative effects of a population size reduction.</t>
  </si>
  <si>
    <t>10.1007/s10592-017-0948-4</t>
  </si>
  <si>
    <t>WOS:000411219800002</t>
  </si>
  <si>
    <t>Population structure and gene flow in a newly harvested gray wolf (Canis lupus) population</t>
  </si>
  <si>
    <t>The genetic effects of harvest may be especially important in species that form social groups, such as gray wolves (Canis lupus). Though much research exists on the ecology and population dynamics of gray wolves, little research has focused on how anthropogenic harvest relates to the genetics of wolf populations. To analyze the short-term genetic consequences of the first two years of public wolf harvest in Minnesota following delisting under the Endangered Species Act, we genotyped harvested individuals at 18 microsatellite loci and quantified changes in population genetic structure and diversity in the first post-harvest year. If the harvest rate was high enough to create detectable genetic changes, population structure and differentiation between clusters could both increase because of decreased natal dispersal and increased disperser mortality, or they could decrease because of increased immigration from outside the population. In the Minnesota population, heterozygosity and allelic richness were not significantly different between years. However, population genetic structure increased and effective migration decreased among the sampled wolves. While the role of anthropogenic harvest in these changes cannot be distinguished from other confounding factors, this analysis suggests that harvest has a non-negligible effect and indicates the need for continued study to determine whether harvest-induced changes in genetic structure affect the evolutionary trajectory of harvested populations.</t>
  </si>
  <si>
    <t>10.1007/s10592-017-0961-7</t>
  </si>
  <si>
    <t>WOS:000411219800009</t>
  </si>
  <si>
    <t>Logged peat swamp forest supports greater macrofungal biodiversity than large-scale oil palm plantations and smallholdings</t>
  </si>
  <si>
    <t>Intensive land expansion of commercial oil palm agricultural lands results in reducing the size of peat swamp forests, particularly in Southeast Asia. The effect of this land conversion on macrofungal biodiversity is, however, understudied. We quantified macrofungal biodiversity by identifying mushroom sporocarps throughout four different habitats; logged peat swamp forest, large-scale oil palm plantation, monoculture, and polyculture smallholdings. We recorded a total of 757 clusters of macrofungi belonging to 127 morphospecies and found that substrates forgrowing macrofungi were abundant in peat swamp forest; hence, morphospecies richness and macrofungal clusters were significantly greater in logged peat swamp forest than converted oil palm agriculture lands. Environmental factors that influence macrofungi in logged peat swamp forests such as air temperature, humidity, wind speed, soil pH, and soil moisture were different from those in oil palm plantations and smallholdings. We conclude that peat swamp forests are irreplaceable with respect to macrofungal biodiversity. They host much greater macrofungal biodiversity than any of the oil palm agricultural lands. It is imperative that further expansion of oil palm plantation into remaining peat swamp forests should be prohibited in palm oil producing countries. These results imply that macrofungal distribution reflects changes in microclimate between habitats and reduced macrofungal biodiversity may adversely affect decomposition in human-modified landscapes.</t>
  </si>
  <si>
    <t>10.1002/ece3.3273</t>
  </si>
  <si>
    <t>WOS:000411341800006</t>
  </si>
  <si>
    <t>Urbanization impacts the taxonomic and functional structure of aquatic macroinvertebrate communities in a small Neotropical city</t>
  </si>
  <si>
    <t>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t>
  </si>
  <si>
    <t>10.1007/s11252-017-0653-6</t>
  </si>
  <si>
    <t>WOS:000411519400004</t>
  </si>
  <si>
    <t>Diversity patterns of alien and native plant species in Trieste port area: exploring the role of urban habitats in biodiversity conservation</t>
  </si>
  <si>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</si>
  <si>
    <t>10.1007/s11252-017-0667-0</t>
  </si>
  <si>
    <t>WOS:000411519400018</t>
  </si>
  <si>
    <t>To chop or not to chop? Tackling shrub encroachment by roller-chopping preserves woody plant diversity and composition in a dry subtropical forest</t>
  </si>
  <si>
    <t>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t>
  </si>
  <si>
    <t>10.1016/j.foreco.2017.07.032</t>
  </si>
  <si>
    <t>WOS:000411534000004</t>
  </si>
  <si>
    <t>Presence of invasive Gambusia alters ecological communities and the functions they perform in lentic ecosystems</t>
  </si>
  <si>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</si>
  <si>
    <t>10.1071/MF16301</t>
  </si>
  <si>
    <t>WOS:000411826800008</t>
  </si>
  <si>
    <t>Unravelling direct and indirect effects of hierarchical factors driving microbial stream communities</t>
  </si>
  <si>
    <t>Aim: The diversity and distributions of organisms are jointly influenced by local environment and large-scale variables, such as land cover patterns, dispersal processes and climate. However, the drivers of microbial diversity are complex and the pathways of these drivers' effects are to date largely unresolved, especially in freshwaters. We disentangled the causal direct and indirect effects of climate, land cover and water chemistry on stream diatom communities using hierarchical settings. Location: Finland, a geographical gradient of c. 1200 km (60 degrees-70 degrees N). Methods: We used structural equation modelling (SEM) to analyse patterns in diatom richness, composition and the uniqueness of species composition in 143 streams. The community composition was defined as the value of the first axis in non-metric multidimensional scaling and the uniqueness of species composition of each site as its local contribution to beta diversity. Results: Species richness was mainly affected directly by energy and resource availability, increasing with nutrients but decreasing with growing degree days (GDD). The community composition was strongly influenced directly by conductivity and mainly indirectly by anthropogenic land use but also to a lesser degree by GDD (directly and indirectly), indirectly by precipitation and directly by the amount of boreal wetlands. The uniqueness of species composition increased with conductivity but decreased with nutrient concentrations with high number of unique species in southernmost and northernmost sites. Main conclusions: Our SEM analyses revealed some of the important links between climate, land cover and water chemistry, all of which influenced the microbial diversity. Energy availability has varying indirect and direct effects on diatom communities regardless of local stream conditions, whereas land cover patterns affect aquatic communities most likely indirectly through water chemistry. Collectively, these results suggest that it is important to consider environmental variables simultaneously at different hierarchically ordered scales in macroecological and biogeographical research.</t>
  </si>
  <si>
    <t>10.1111/jbi.13046</t>
  </si>
  <si>
    <t>WOS:000412074300019</t>
  </si>
  <si>
    <t>Genetic structure of brown pelicans (Pelecanus occidentalis) in the northern Gulf of Mexico in the context of human management and disturbance</t>
  </si>
  <si>
    <t>Environmental disturbances, both natural and anthropogenic, have the capacity to substantially impact animal behavior and abundance, which can in turn influence patterns of genetic diversity and gene flow. However, little empirical information is available on the nature and degree of such changes due to the relative rarity of longitudinal genetic sampling of wild populations at appropriate intervals. Addressing this knowledge gap is therefore of interest to evolutionary biologists, policy makers, and managers. In the past half century, populations of the brown pelican (Pelecanus occidentalis) in the southeastern United States have been exposed to regional extirpations, translocations, colony losses, and oil spills, but potential impacts on genetic diversity and population structure remain unknown. To investigate the cumulative impacts of recent disturbances and management actions, we analyzed seven microsatellite loci using genetic samples collected from 540 nestlings across twelve pelican colonies from two time periods, corresponding to before (n = 305) and after (n = 235) the 2010 Deepwater Horizon oil spill. Pre-2010 populations in Texas were significantly differentiated from Louisiana, Alabama, and Florida populations to the east, with reintroduced populations in southeastern Louisiana having less genetic diversity than sites in Texas, consistent with a recent bottleneck. In contrast, there was no evidence of a geographic component to genetic structure among colonies sampled after the spill, consistent with increased dispersal among sites following the event. This pattern may be associated with reduced philopatry in response to colony abandonment in the areas most heavily impacted by the Deepwater Horizon event, though other factors (e.g., rehabilitation and translocation of oiled birds or colony loss due to erosion and tropical storms) were likely also involved. Future monitoring is necessary to determine if bottlenecks and loss of genetic variation are associated with the oil spill over time, and is recommended for other systems in which disturbance effects may be inferred via repeated genetic sampling.</t>
  </si>
  <si>
    <t>10.1371/journal.pone.0185309</t>
  </si>
  <si>
    <t>WOS:000412163100020</t>
  </si>
  <si>
    <t>Genetic diversity of reintroduced American martens in Michigan's Lower Peninsula</t>
  </si>
  <si>
    <t>Reintroductions are an important conservation and management technique used to restore extirpated populations. Negative genetic consequences (e.g., diversity loss, bottlenecks, inbreeding) are often an unintentional result of reintroductions, due to a small number of founders or suboptimal habitat at release sites. American martens (Martes americana) were extirpated from Michigan's Lower Peninsula in 1911 due to habitat loss and unregulated trapping. Martens were reintroduced into 2 areas of the Lower Peninsula in 1985-1986. The Lower Peninsula reintroduction was characterized by a relatively small number of founders (85 individuals) released into 2 geographically disparate, fragmented sites. We genotyped martens sampled at the 2 release sites approximately 20-25 years since reintroduction, using 11 microsatellite loci. We detected low average allelic richness (3.92 alleles per locus), moderate levels of inbreeding (mean F-IS = 0.106), and multiple loci with significant heterozygote deficiencies. Effective population size estimates were small, ranging between 6 and 27 individuals depending on the estimator and the sample group. We also detected significant population structuring between the release sites (F-ST = 0.093 using the most recent sample). With small population size and limited to no gene flow, we predict the 2 Lower Peninsula marten populations will continue to diverge and potentially further lose genetic diversity. This study highlights the importance of long-term genetic monitoring of reintroduced populations.</t>
  </si>
  <si>
    <t>10.1093/jmammal/gyx075</t>
  </si>
  <si>
    <t>WOS:000412166100026</t>
  </si>
  <si>
    <t>Impact of prawn farming effluent on coral reef water nutrients and microorganisms</t>
  </si>
  <si>
    <t>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t>
  </si>
  <si>
    <t>10.3354/aei00238</t>
  </si>
  <si>
    <t>WOS:000412233700001</t>
  </si>
  <si>
    <t>The effects of hydrocarbons on meiofauna in marine sediments in Antarctica</t>
  </si>
  <si>
    <t>The effects of hydrocarbons in marine sediments on Antarctic meiofaunal communities (nematodes and copepods) were investigated in a five year field experiment at Casey Station, East Antarctica. The effects of four different types of hydrocarbons were examined: clean mineral lube oil, used mineral lube oil, synthetic lube oil marketed as being rapidly biodegradable, and diesel fuel (Special Antarctic Blend). Sediments were sieved to remove macrofauna and then treated with one of the oils, then deployed in trays on the seabed (12-18 m) under sea ice, along with control, uncontaminated sediment. Samples of the meiofaunal communities were collected at one, two and five years and nematodes identified to genus and copepods to family. There were significant differences between meiofaunal communities in hydrocarbon-treated sediment compared to controls, but each hydrocarbon type had quite different effects. Effects persisted to five years and communities showed no signs of recovery or becoming more similar to controls. Nematodes were more sensitive to hydrocarbons than copepods, showing very distinct community differences between different treatments which persisted over the five years. In contrast, copepod communities showed less distinct, more variable changes, which decreased in severity over five years. Nematode abundance initially decreased in hydrocarbon treatments in comparison to controls, except for the biodegradable oil treatment, and this persisted also over five years. In contrast, copepod abundance initially increased in hydrocarbon treatments compared to controls, and then declined, and by five years abundances were lower in hydrocarbon treatments than in controls. Whilst structural community, abundance and diversity differences for nematodes and copepods remained after 5 years, the nematode functional parameters based on feeding types and maturity characteristics showed a substantial degree of recovery after 5 years, suggesting some functional recovery of the nematode community. This experiment demonstrates that different hydrocarbons can have very different effects on sediment meiofauna and that despite strong patterns of community effects it was very difficult to characterize effects on different taxa. The effects of oils in sediments are also likely to persist for periods greater than five years and could take decades to recover.</t>
  </si>
  <si>
    <t>10.1016/j.jembe.2017.07.009</t>
  </si>
  <si>
    <t>WOS:000412252700008</t>
  </si>
  <si>
    <t>Influence of farmland abandonment on the species composition of wetland ground beetles in Kushiro, Japan</t>
  </si>
  <si>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</si>
  <si>
    <t>10.1016/j.agee.2017.07.027</t>
  </si>
  <si>
    <t>WOS:000412256000005</t>
  </si>
  <si>
    <t>A global synthesis of the effects of diversified farming systems on arthropod diversity within fields and across agricultural landscapes</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</si>
  <si>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</si>
  <si>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10.1111/gcb.13714</t>
  </si>
  <si>
    <t>WOS:000412322700041</t>
  </si>
  <si>
    <t>Bacterial and fungal communities respond differently to varying tillage depth in agricultural soils</t>
  </si>
  <si>
    <t>In arable cropping systems, reduced or conservation tillage practices are linked with improved soil quality, C retention and higher microbial biomass, but most long term studies rarely focus on depths greater than 15 cm nor allow comparison of microbial community responses to agricultural practices. We investigated microbial community trial (12- years, Lincoln, New, structure in a long-term field Zealand) established in a silt-loam soil over four depth ranges down to 30 cm. Our objectives were to investigate the degree of homogenisation of soil biological and chemical properties with depth, and to determine the main drivers of microbial community response to tillage. We hypothesised that soil microbiological responses would depend on tillage depth, observed by a homogenisation of microbial community composition within the tilled zone. Tillage treatments were mouldboard plough and disc harrow, impacting soil to similar to 20 and similar to 10 cm depth, respectively. These treatments were compared no-tillage treatment and two control treatments, both permanent pasture and permanent fallow. Bacterial and fungal communities collected from the site were not impacted by the spatial location of sampling across the study area but were affected by physicochemical changes associated with tillage induced soil homogenisation and plant presence. Tillage treatment effects on both species richness and composition were more evident for bacterial communities. fungal communities, and were greater at than depths &lt;15 cm Hornogenisation of soil. 1 and changing. land management appears to redistribute both microbiota and 1 profile while consequences nutrients deeper in the soil for soil biogeochemical functioning remain poorly understood.</t>
  </si>
  <si>
    <t>10.7717/peerj.3930</t>
  </si>
  <si>
    <t>WOS:000413087500003</t>
  </si>
  <si>
    <t>Woody lianas increase in dominance and maintain compositional integrity across an Amazonian dam-induced fragmented landscape</t>
  </si>
  <si>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</si>
  <si>
    <t>10.1371/journal.pone.0185527</t>
  </si>
  <si>
    <t>WOS:000413167500005</t>
  </si>
  <si>
    <t>Warming threat compounds habitat degradation impacts on a tropical butterfly community in Vietnam</t>
  </si>
  <si>
    <t>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t>
  </si>
  <si>
    <t>10.1016/j.gecco.2016.09.003</t>
  </si>
  <si>
    <t>WOS:000413277200020</t>
  </si>
  <si>
    <t>Functional diversity in a fragmented landscape - Habitat alterations affect functional trait composition of frog assemblages in Madagascar</t>
  </si>
  <si>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</si>
  <si>
    <t>10.1016/j.gecco.2017.03.005</t>
  </si>
  <si>
    <t>WOS:000413278400017</t>
  </si>
  <si>
    <t>Climate change and human colonization triggered habitat loss and fragmentation in Madagascar</t>
  </si>
  <si>
    <t>The relative effect of past climate fluctuations and anthropogenic activities on current biome distribution is subject to increasing attention, notably in biodiversity hot spots. In Madagascar, where humans arrived in the last similar to 4 to 5,000years, the exact causes of the demise of large vertebrates that cohabited with humans are yet unclear. The prevailing narrative holds that Madagascar was covered with forest before human arrival and that the expansion of grasslands was the result of human-driven deforestation. However, recent studies have shown that vegetation and fauna structure substantially fluctuated during the Holocene. Here, we study the Holocene history of habitat fragmentation in the north of Madagascar using a population genetics approach. To do so, we infer the demographic history of two northern Madagascar neighbouring, congeneric and critically endangered forest dwelling lemur speciesPropithecus tattersalli and Propithecus perrieriusing population genetic analyses. Our results highlight the necessity to consider population structure and changes in connectivity in demographic history inferences. We show that both species underwent demographic fluctuations which most likely occurred after the mid-Holocene transition. While mid-Holocene climate change probably triggered major demographic changes in the two lemur species range and connectivity, human settlements that expanded over the last four millennia in northern Madagascar likely played a role in the loss and fragmentation of the forest cover.</t>
  </si>
  <si>
    <t>10.1111/mec.14173</t>
  </si>
  <si>
    <t>WOS:000413375500026</t>
  </si>
  <si>
    <t>Impact of pyrene and cadmium co-contamination on prokaryotic community in coastal sediment microcosms</t>
  </si>
  <si>
    <t>Acute ecological impacts of co-contamination of polycyclic aromatic hydrocarbons (PAHs) and heavy metals on diversity and composition of coastal benthic prokaryotes were unclear. We took pyrene (Pyr) and cadmium (Cd) as the representatives and mimicked an eight-weekex posure of moderate and high levels of Pyr, Cd and their mixtures. 16S rRNA amplicon sequencing was used to investigate interaction of the contaminant in temporal succession of prokaryotes. Generally, concentrations of Pyr and HCI-extractable Cd in the sediments were stable over time. Effects and interaction of Pyr and Cd on prokaryotic a-diversity were temporally- and dose-dependent with a decreasing trend in richness and Shannon index under various contamination regimes, particularly in the single-Cd contaminated groups at the early stage. Temporal variability and Pyr-induced pattern in prokaryotic composition were observed. However, Pyr and Cd showed a persistent interaction in prokaryotic composition after 7 days, altering successional trajectories of communities. The communities under Pyr contamination regardless of Cd could be at a developing stage for an active PAH-degrading community with appearance of a pioneer Cycloclasticus phylotype, persistently showing a strong correlation with Pyr level. The associations of phylotypes and Cd level were short-lived and weak, corresponding to the overall resistance of prokaryotic composition to Cd, In the high-throughput sequencing era, using microcosm experiment, we renewed the knowledge about how prokaryotes vary in terms of alpha-diversity, composition and specific taxa in response to co-contamination of model contaminants at a temporal scale. (C) 2017 Elsevier Ltd. All rights reserved.</t>
  </si>
  <si>
    <t>10.1016/j.chemosphere.2017.08.124</t>
  </si>
  <si>
    <t>WOS:000413378400035</t>
  </si>
  <si>
    <t>Measuring the effects of reduced snow cover on Australia's alpine arthropods</t>
  </si>
  <si>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</si>
  <si>
    <t>10.1111/aec.12507</t>
  </si>
  <si>
    <t>WOS:000413405000010</t>
  </si>
  <si>
    <t>Environmental proteomics reveals taxonomic and functional changes in an enriched aquatic ecosystem</t>
  </si>
  <si>
    <t>Aquatic ecosystem enrichment can lead to distinct and irreversible changes to undesirable states. Understanding changes in active microbial community function and composition following organic matter loading in enriched ecosystems can help identify biomarkers of such state changes. In a field experiment, we enriched replicate aquatic ecosystems in the pitchers of the northern pitcher plant, Sarracenia purpurea. Shotgun metaproteomics using a custom metagenomic database identified proteins, molecular pathways, and contributing microbial taxa that differentiated control ecosystems from those that were enriched. The number of microbial taxa contributing to protein expression was comparable between treatments; however, taxonomic evenness was higher in controls. Functionally active bacterial composition differed significantly among treatments and was more divergent in control pitchers than in enriched pitchers. Aerobic and facultative anaerobic bacteria contributed most to identified proteins in control and enriched ecosystems, respectively. The molecular pathways and contributing taxa in enriched pitcher ecosystems were similar to those found in larger enriched aquatic ecosystems and are consistent with microbial processes occurring at the base of detrital food webs. Detectable differences between protein profiles of enriched and control ecosystems suggest that a time series of environmental proteomics data may identify protein biomarkers of impending state changes to enriched states.</t>
  </si>
  <si>
    <t>10.1002/ecs2.1954</t>
  </si>
  <si>
    <t>WOS:000414070800025</t>
  </si>
  <si>
    <t>Genetic footprint of population fragmentation and contemporary collapse in a freshwater cetacean</t>
  </si>
  <si>
    <t>Understanding demographic trends and patterns of gene flow in an endangered species is crucial for devising conservation strategies. Here, we examined the extent of population structure and recent evolution of the critically endangered Yangtze finless porpoise (Neophocaena asiaeorientalis asiaeorientalis). By analysing genetic variation at the mitochondrial and nuclear microsatellite loci for 148 individuals, we identified three populations along the Yangtze River, each one connected to a group of admixed ancestry. Each population displayed extremely low genetic diversity, consistent with extremely small effective size (&lt;= 92 individuals). Habitat degradation and distribution gaps correlated with highly asymmetric gene-flow that was inefficient in maintaining connectivity between populations. Genetic inferences of historical demography revealed that the populations in the Yangtze descended from a small number of founders colonizing the river from the sea during the last Ice Age. The colonization was followed by a rapid population split during the last millennium predating the Chinese Modern Economy Development. However, genetic diversity showed a clear footprint of population contraction over the last 50 years leaving only similar to 2 % of the pre-collapsed size, consistent with the population collapses reported from field studies. This genetic perspective</t>
  </si>
  <si>
    <t>10.1038/s41598-017-14812-z</t>
  </si>
  <si>
    <t>WOS:000414231000050</t>
  </si>
  <si>
    <t>Oil palm monoculture induces drastic erosion of an Amazonian forest mammal fauna</t>
  </si>
  <si>
    <t>Oil palm monoculture comprises one of the most financially attractive land-use options in tropical forests, but cropland suitability overlaps the distribution of many highly threatened vertebrate species. We investigated how forest mammals respond to a landscape mosaic, including mature oil palm plantations and primary forest patches in Eastern Amazonia. Using both line-transect censuses (LTC) and camera-trapping (CT), we quantified the general patterns of mammal community structure and attempted to identify both species life-history traits and the environmental and spatial covariates that govern species intolerance to oil palm monoculture. Considering mammal species richness, abundance, and species composition, oil palm plantations were consistently depauperate compared to the adjacent primary forest, but responses differed between functional groups. The degree of forest habitat dependency was a leading trait, determining compositional dissimilarities across habitats. Considering both the LTC and CT data, distance from the forest-plantation interface had a significant effect on mammal assemblages within each habitat type. Approximately 87% of all species detected within oil palm were never farther than 1300 m from the forest edge. Our study clearly reinforces the notion that conventional oil palm plantations are extremely hostile to native tropical forest biodiversity, which does not bode well given prospects for oil palm expansion in both aging and new Amazonian deforestation frontiers.</t>
  </si>
  <si>
    <t>10.1371/journal.pone.0187650</t>
  </si>
  <si>
    <t>WOS:000414659600054</t>
  </si>
  <si>
    <t>Inter-decadal changes in fish communities of a tropical bay in southeastern Brazil</t>
  </si>
  <si>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</si>
  <si>
    <t>10.1016/j.rsma.2015.06.001</t>
  </si>
  <si>
    <t>WOS:000414755500014</t>
  </si>
  <si>
    <t>Hong Kong's marine environments: History, challenges and opportunities</t>
  </si>
  <si>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</si>
  <si>
    <t>10.1016/j.rsma.2016.09.001</t>
  </si>
  <si>
    <t>WOS:000414771500005</t>
  </si>
  <si>
    <t>Is the Natura 2000 network of the European Union the key land use policy tool for preserving Europe's biodiversity heritage?</t>
  </si>
  <si>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</si>
  <si>
    <t>10.1016/j.landusepol.2017.09.045</t>
  </si>
  <si>
    <t>WOS:000414881200040</t>
  </si>
  <si>
    <t>Assessing the risk to the conservation status of temperate rainforest from exposure to mining, commercial logging, and climate change: A Tasmanian case study</t>
  </si>
  <si>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</si>
  <si>
    <t>10.1016/j.biocon.2017.08.032</t>
  </si>
  <si>
    <t>WOS:000414883000003</t>
  </si>
  <si>
    <t>Assessment of benthic biological indicators for evaluating the environmental impact of tuna farming</t>
  </si>
  <si>
    <t>The overall impact of tuna farming on soft-bottom habitat was assessed at three tuna farms over a period of 3years, using benthic macroinvertebrates as indicators. Polychaetes and amphipods served as better indicators of the impact of tuna farming compared with molluscs and decapods. Lower number and Shannon-Wiener diversity of polychaete and amphipod taxa were recorded over time at the impacted plots compared with the control plots, while the polychaete/amphipod index indicated that the Ecological Quality Status at the impacted plots changed from Poor/Moderate to Good during the study period. Results of the multivariate analyses indicated significantly higher dispersion of samples of the polychaete and amphipod assemblages over time at the impacted plots compared with the control plots, indicative of stressed assemblages. Differences in the macroinvertebrate assemblages between impacted and control plots were consistent across faunal groups except for molluscs, which showed no response. Results must be interpreted with caution due to the high spatiotemporal variation in the influence of tuna farming on the macroinvertebrate assemblages, which highlights the importance of including multiple impacted and reference areas, as well as replicate sampling times, in assessing the environmental impact of tuna farms.</t>
  </si>
  <si>
    <t>10.1111/are.13403</t>
  </si>
  <si>
    <t>WOS:000414941000011</t>
  </si>
  <si>
    <t>Bird community responses to afforested eucalyptus plantations in the Argentine pampas</t>
  </si>
  <si>
    <t>Land-use change driven by human population growth and economic activity will continue to impact both natural habitats and land currently being used for food, fiber, and fuel production. The effects of this conversion on economically important ecological services will in large part depend on how native biodiversity responds to these changes. We investigated how agriculture-related land use change influences the avian community in northeastern Argentina by examining common agricultural land uses (pasture/annual crops, young and mature large-scale eucalyptus plantations, mixed-use farms with citrus, blueberry and small stands of eucalyptus) and remnant native espinal savannas. In this region, afforested eucalyptus plantations represent a new land-use change from the land cover of pasture with intermixed annual crops that has dominated the region. In this mosaic, we used point counts to assess how avian diversity and community structure differed between land uses. Bird species richness was lowest in older plantations and highest in the espinal savanna, with the other land uses having intermediate richness. Abundance trends followed the same pattern, with low overall abundance in the plantations, intermediate levels for pasture/annual crops, and highest abundance in the espinal. Distinct bird community assemblages were strongly associated with each land use, and between young and mature eucalyptus stands. Birds can be useful indicators for biodiversity as a whole, and the depopulated and depauperate avian community within the eucalyptus plantations will likely lead to reduced provision of many ecosystem services in this region if the spatial extent of plantations continues to expand.</t>
  </si>
  <si>
    <t>10.1007/s10531-016-1126-6</t>
  </si>
  <si>
    <t>WOS:000415281200004</t>
  </si>
  <si>
    <t>Can the leaf-bag technique detect benthic macrofauna responses to sediment contamination by metals and metalloids in estuaries?</t>
  </si>
  <si>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</si>
  <si>
    <t>10.1016/j.marpolbul.2017.07.027</t>
  </si>
  <si>
    <t>WOS:000415391200032</t>
  </si>
  <si>
    <t>Effects of Long-Term Anthropogenic Disturbance on the Benthic Episammic Diatom Community of an Ancient, Tropical Lake</t>
  </si>
  <si>
    <t>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t>
  </si>
  <si>
    <t>10.1007/s00128-017-2181-8</t>
  </si>
  <si>
    <t>WOS:000415991900002</t>
  </si>
  <si>
    <t>Local and global climatic drivers of Atlantic salmon decline in southern Europe</t>
  </si>
  <si>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</si>
  <si>
    <t>10.1016/j.fishres.2017.10.012</t>
  </si>
  <si>
    <t>WOS:000416194200009</t>
  </si>
  <si>
    <t>Impact of oil palm agriculture on understory amphibians and reptiles: A Mesoamerican perspective</t>
  </si>
  <si>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</si>
  <si>
    <t>10.1016/j.gecco.2015.05.008</t>
  </si>
  <si>
    <t>WOS:000416220800010</t>
  </si>
  <si>
    <t>Ecological analysis of the ichthyofaunal community ten years after a diesel oil spill at Serra do Mar, Parana state, Brazil</t>
  </si>
  <si>
    <t>In February 2001, an accidental spill dumped 52,000 litres of diesel oil in Serra do Mar, Parana state, Brazil, contaminating streams. This study aimed to evaluate if fish communities currently inhabiting environments exposed to the oil spill still showing evidence of spill-related impacts. Ichthyofauna communities were monitored in five rivers located in the region of the spill. Two sites exposed to oil (Meio and Sagrado rivers) were considered treatment sites, and three unexposed sites with environmental characteristics similar to the treatment sites (Pinto, Passa Sete and Marumbi rivers) were considered control sites. Analysis of water quality parameters indicated that sites within rivers were more similar than sites among rivers. The diversity and species composition of fish communities differed between the treatment and control groups and among the rivers. The distribution and species composition of ichthyofaunal communities likely reflect the environmental characteristics of each river and not related to the environmental contamination resulting from the oil spill. (C) 2015 The Authors. Published by Elsevier B.V.</t>
  </si>
  <si>
    <t>10.1016/j.gecco.2015.07.010</t>
  </si>
  <si>
    <t>WOS:000416220800029</t>
  </si>
  <si>
    <t>Reef fish communities in the central Red Sea show evidence of asymmetrical fishing pressure</t>
  </si>
  <si>
    <t>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t>
  </si>
  <si>
    <t>10.1007/s12526-017-0665-8</t>
  </si>
  <si>
    <t>WOS:000416240300021</t>
  </si>
  <si>
    <t>Characterization of Nothofagus pumilio (Lenga) Understory in Managed and Unmanaged Forests of Central Patagonia, Argentina</t>
  </si>
  <si>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</si>
  <si>
    <t>10.5849/forsci.15-156</t>
  </si>
  <si>
    <t>WOS:000416746300004</t>
  </si>
  <si>
    <t>An invasive social insect overcomes genetic load at the sex locus</t>
  </si>
  <si>
    <t>Some invasive hymenopteran social insects found new populations with very few reproductive individuals. This is despite the high cost of founder effects for such insects, which generally require heterozygosity at a single locus-the complementary sex determiner, csd-to develop as females. Individuals that are homozygous at csd develop as either infertile or subfertile diploid males or not at all. Furthermore, diploid males replace the female workers that are essential for colony function. Here we document how the Asian honey bee (Apis cerana) overcame the diploid male problem during its invasion of Australia. Natural selection prevented the loss of rare csd alleles due to genetic drift and corrected the skew in allele frequencies caused by founder effects to restore high average heterozygosity. Thus, balancing selection can alleviate the genetic load at csd imposed by severe bottlenecks, and so facilitate invasiveness.</t>
  </si>
  <si>
    <t>10.1038/s41559-016-0011</t>
  </si>
  <si>
    <t>WOS:000417168900008</t>
  </si>
  <si>
    <t>Urbanization erodes ectomycorrhizal fungal diversity and may cause microbial communities to converge</t>
  </si>
  <si>
    <t>Urbanization alters the physicochemical environment, introduces non-native species and causes ecosystem characteristics to converge. It has been speculated that these alterations contribute to loss of regional and global biodiversity, but so far most urban studies have assessed macro-organisms and reported mixed evidence for biodiversity loss. We studied five cities on three continents to assess the global convergence of urban soil microbial communities. We determined the extent to which communities of bacteria, archaea and fungi are geographically distributed, and to what extent urbanization acts as a filter on species diversity. We discovered that microbial communities in general converge, but the response differed among microbial domains; soil archaeal communities showed the strongest convergence, followed by fungi, while soil bacterial communities did not converge. Our data suggest that urban soil archaeal and bacterial communities are not vulnerable to biodiversity loss, whereas urbanization may be contributing to the global diversity loss of ectomycorrhizal fungi. Ectomycorrhizae decreased in both abundance and species richness under turf and ruderal land-uses. These data add to an emerging pattern of widespread suppression of ectomycorrhizal fungi by human land-uses that involve physical disruption of the soil, management of the plant community, or nutrient enrichment.</t>
  </si>
  <si>
    <t>10.1038/s41559-017-0123</t>
  </si>
  <si>
    <t>WOS:000417173100013</t>
  </si>
  <si>
    <t>Climate warming reduces gut microbiota diversity in a vertebrate ectotherm</t>
  </si>
  <si>
    <t>Climate change is now considered to be the greatest threat to biodiversity and ecological networks, but its impacts on the bacterial communities associated with plants and animals remain largely unknown. Here, we studied the consequences of climate warming on the gut bacterial communities of an ectotherm, the common lizard (Zootoca vivipara), using a semi-natural experimental approach. We found that 2-3 degrees C warmer climates cause a 34% loss of populations' microbiota diversity, with possible negative consequences for host survival.</t>
  </si>
  <si>
    <t>10.1038/s41559-017-0161</t>
  </si>
  <si>
    <t>WOS:000417174700019</t>
  </si>
  <si>
    <t>No single driver of biodiversity: divergent responses of multiple taxa across land use types</t>
  </si>
  <si>
    <t>Understanding the responses of biodiversity to different land use regimes is critical for managing biodiversity in the face of future land use change. However, there is still significant uncertainty around how consistent the responses of different taxonomic groups to land use change are. Here, we use a combination of high-throughput environmental DNA sequencing and traditional field-based survey methods to examine how patterns of richness and community composition correlate among four domains/kingdoms (bacteria, fungi, plants, and metazoans) and the four most-abundant animal taxonomic groups (arachnids, Collembola, insects, and nematodes) across five different land use types (natural forest, planted forest, unimproved grassland, improved grassland, and vineyards). Richness for each taxonomic group varied between land use types, yet different taxa showed inconsistent responses to land use, and their richness was rarely correlated. This contrasted with community composition of taxonomic groups, for which there was relatively good discrimination of land use types and there was strong correlation between group responses. We found little evidence for consistent drivers of taxonomic richness, yet identified several significant drivers of community composition that were shared across many groups. Drivers of composition were not the same as the drivers of diversity, suggesting diversity and composition are independently controlled. While land use intensification has been viewed as having generally negative effects on biodiversity, our results provide evidence that different taxa respond divergently across different land uses. Further, our study demonstrates the power of high-throughput sequencing of environmental DNA as a tool for addressing broad ecological patterns relating to landscape biodiversity.</t>
  </si>
  <si>
    <t>10.1002/ecs2.1997</t>
  </si>
  <si>
    <t>WOS:000417330000013</t>
  </si>
  <si>
    <t>Impact of an invasive weed, Parthenium hysterophorus, on a pasture community in south east Queensland, Australia</t>
  </si>
  <si>
    <t>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t>
  </si>
  <si>
    <t>10.1007/s11356-017-0327-1</t>
  </si>
  <si>
    <t>WOS:000417545800025</t>
  </si>
  <si>
    <t>Impacts of a novel shellfishing gear on macrobenthos in a marine protected area: pump-scoop dredging in Poole Harbour, UK</t>
  </si>
  <si>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</si>
  <si>
    <t>10.1051/alr/2017044</t>
  </si>
  <si>
    <t>WOS:000417610600001</t>
  </si>
  <si>
    <t>Effect of Compensatory Immigration on the Genetic Structure of Coyotes</t>
  </si>
  <si>
    <t>Despite efforts to reduce their effects on livestock and native ungulates within the southeastern United States, coyotes (Canis latrans) can recover from control programs. It is unknown how coyotes compensate for high mortality following trapping, so there is great interest to identify methods that can provide insight into coyote response to intensive trapping. To investigate if population genetic tools can decipher how coyotes recover from intensive trapping, we combined an empirical test of how genetic differentiation, diversity, and familial structure changed following trapping on the Savannah River Site (SRS), South Carolina, USA, with spatially explicit genetic simulations. The pre- and post-trapping periods had similar genetic diversities and were not genetically differentiated as expected by either compensatory reproduction or immigration from a single genetic source. The post-trapping coyote populations exhibited weaker signatures of philopatry with little evidence for increased dispersal distances of young coyotes, which suggests immigration caused a decrease in familial structure. Our simulations indicated that spatial autocorrelation coefficients and observed heterozygosities change as immigration increases, whereas population differentiation, allelic richness, and displacement distances do not. Collectively, our results suggest that coyotes recover from intensive trapping via reproduction and immigration, which likely makes preventing compensation difficult. Monitoring post-trapping populations may offer more insight into maximizing the effectiveness of control efforts, and based on our simulations, population genetics can provide critical information about the amount of compensatory immigration following trapping. (C) 2017 The Wildlife Society.</t>
  </si>
  <si>
    <t>10.1002/jwmg.21320</t>
  </si>
  <si>
    <t>WOS:000417628900009</t>
  </si>
  <si>
    <t>Genetic implications of bottleneck effects of differing severities on genetic diversity in naturally recovering populations: An example from Hawaiian coot and Hawaiian gallinule</t>
  </si>
  <si>
    <t>The evolutionary trajectory of populations through time is influenced by the interplay of forces (biological, evolutionary, and anthropogenic) acting on the standing genetic variation. We used microsatellite and mitochondrial loci to examine the influence of population declines, of varying severity, on genetic diversity within two Hawaiian endemic waterbirds, the Hawaiian coot and Hawaiian gallinule, by comparing historical (samples collected in the late 1800s and early 1900s) and modern (collected in 2012-2013) populations. Population declines simultaneously experienced by Hawaiian coots and Hawaiian gallinules differentially shaped the evolutionary trajectory of these two populations. Within Hawaiian coot, large reductions (between -38.4% and -51.4%) in mitochondrial diversity were observed, although minimal differences were observed in the distribution of allelic and haplotypic frequencies between sampled time periods. Conversely, for Hawaiian gallinule, allelic frequencies were strongly differentiated between time periods, signatures of a genetic bottleneck were detected, and biases in means of the effective population size were observed at microsatellite loci. The strength of the decline appears to have had a greater influence on genetic diversity within Hawaiian gallinule than Hawaiian coot, coincident with the reduction in census size. These species exhibit similar life history characteristics and generation times; therefore, we hypothesize that differences in behavior and colonization history are likely playing a large role in how allelic and haplotypic frequencies are being shaped through time. Furthermore, differences in patterns of genetic diversity within Hawaiian coot and Hawaiian gallinule highlight the influence of demographic and evolutionary processes in shaping how species respond genetically to ecological stressors.</t>
  </si>
  <si>
    <t>10.1002/ece3.3530</t>
  </si>
  <si>
    <t>WOS:000417754100007</t>
  </si>
  <si>
    <t>Dung beetles in a Caatinga Natural Reserve: a threatened Brazilian dry-forest with high biological value</t>
  </si>
  <si>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</si>
  <si>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10.1590/1678-4766e2017045</t>
  </si>
  <si>
    <t>WOS:000417860400001</t>
  </si>
  <si>
    <t>Temporal patterns and processes of genetic differentiation of the Brachionus calyciflorus (Rotifera) complex in a subtropical shallow lake</t>
  </si>
  <si>
    <t>Sympatric distribution and temporal overlap of cryptic zooplankton species pose a challenge to the framework of the niche differentiation theory and the mechanisms underlying the coexistence of potentially strong competitors. In this study, we collected Brachionus calyciflorus Pallas monthly from Lake Tingtang over the course of 1 year and clonally cultured them in the laboratory. Finally, 204 clones were established, and their nuDNA ITS1 and mtCOI sequences were analyzed. The phylogenetic relationships and GMYC model analyses revealed that B. calyciflorus was a species complex composed of three cryptic species. Cryptic species BcI-W, and BcII-S and Bc-SW underwent a clear seasonal succession. However, BcII-S and Bc-SW overlapped in June and July, and all the three cryptic species coexisted in November. Different preferences to water temperature might contribute to the seasonal succession. More investment in sexual reproduction accelerated the disappearance of cryptic species from the water column during the seasonal succession process. Differential responses in rate of population growth of the two overlapping cryptic species to increasing food level might reduce the intensity of competition between them and promote their coexistence over time. Differences in population growth rate partially resulted in the different relative abundances of the two overlapping cryptic species.</t>
  </si>
  <si>
    <t>10.1007/s10750-017-3407-9</t>
  </si>
  <si>
    <t>WOS:000417867600020</t>
  </si>
  <si>
    <t>Ecological selection of siderophore-producing microbial taxa in response to heavy metal contamination</t>
  </si>
  <si>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</si>
  <si>
    <t>10.1111/ele.12878</t>
  </si>
  <si>
    <t>WOS:000418133700012</t>
  </si>
  <si>
    <t>Response and recovery of a pristine groundwater ecosystem impacted by toluene contamination A meso-scale indoor aquifer experiment</t>
  </si>
  <si>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</si>
  <si>
    <t>10.1016/j.jconhyd.2017.10.004</t>
  </si>
  <si>
    <t>WOS:000418215100003</t>
  </si>
  <si>
    <t>Long-term carbon sink in Borneo's forests halted by drought and vulnerable to edge effects</t>
  </si>
  <si>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</si>
  <si>
    <t>10.1038/s41467-017-01997-0</t>
  </si>
  <si>
    <t>WOS:000418334200001</t>
  </si>
  <si>
    <t>Biting midges (Diptera: Ceratopogonidae) from an urban forest fragment in Central Amazon (Brazil): Effects of opening areas on abundance, richness, and composition</t>
  </si>
  <si>
    <t>We assessed the immature stages of Ceratopogonidae (Diptera) in artificial containers in an urban forest fragment in Manaus (Brazil), including their behavioral, biological and ecological information. In addition, we evaluated the effects of deforestation in an open and forested area on Ceratopogonidae communities. Immatures were sampled between August 2012 and July 2014 in artificial containers installed in both habitat types. We collected 685 immatures of seven morpho-species of Bezzia Kieffer, Culicoides Latreille, Dasyhelea Kieffer, Forcipomyia Meigen, and Palpomyia Meigen. In the open area, we recorded higher temperature and electrical conductivity values than in the forested area; however, these variables did not differ between seasons. Water volume was higher in open area and in rainy season, while pH was similar in both areas and seasons. Species richness was higher in forested area, but did not differ between seasons. We did not record differences in abundance between areas or seasons. Community composition differed between areas, but not between seasons. We provide the first records of Culicoides (Hoffmania) insignis Lutz and C. (Haematomyidium) quasiparaensis Clastrier in artificial containers from the state of Amazonas. Our results suggest that the preservation of forested areas in Amazonas is fundamental for the maintenance of the life cycle of some species of Ceratopogonidae.</t>
  </si>
  <si>
    <t>10.1590/0001-3765201720170370</t>
  </si>
  <si>
    <t>WOS:000418647100018</t>
  </si>
  <si>
    <t>Effects of hydrocarbon pollution in the structure of macrobenthic assemblages from two large estuaries in Brazil</t>
  </si>
  <si>
    <t>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t>
  </si>
  <si>
    <t>10.1016/j.marpolbul.2017.07.074</t>
  </si>
  <si>
    <t>WOS:000418727000021</t>
  </si>
  <si>
    <t>Genetic Diversity and Its Spatial Distribution in Self-Regenerating Norway Spruce and Scots Pine Stands</t>
  </si>
  <si>
    <t>Tree genetic diversity is among the most important factors determining the sustainability of forest ecosystems. The main aim of the present study was to track possible changes in genetic diversity of regenerating populations of Norway spruce (Picea abies (L.) H. Karst) and Scots pine (Pinus sylvestris L.) in areas subjected either to a natural disturbance (windthrows and subsequent clear-cutting of the affected spruce stand) or to a changed land-use legacy (pine regeneration on abandoned agricultural land) with the aim of testing whether the new forest generation retains the genetic diversity of the putative maternal stand. Eight highly polymorphic microsatellite loci were used to reveal the genetic diversity and its spatial distribution in the studied tree populations. Self-regenerating juveniles of Norway spruce and Scots pine were spatially random and as genetically diverse as in the putative maternal populations. Genetic differentiation between putatively maternal trees and regenerating juveniles was low for both species. A high genetic diversity and random spatial genetic structure revealed in the regenerating populations provides a basis for the formation of evolutionary and ecologically sound stands able to adapt to ever-changing climatic conditions. Information on the genetic dynamics of the studied natural populations of long-lived coniferous tree species may be important for evaluating possible changes in genetic diversity at a local scale following forest ecosystem disturbances and changes in land-use legacies.</t>
  </si>
  <si>
    <t>10.3390/f8120470</t>
  </si>
  <si>
    <t>WOS:000419210800011</t>
  </si>
  <si>
    <t>Benthic freshwater nematode community dynamics under conditions of Tilapia aquaculture in Egypt</t>
  </si>
  <si>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</si>
  <si>
    <t>10.2989/16085914.2017.1410464</t>
  </si>
  <si>
    <t>WOS:000419304300009</t>
  </si>
  <si>
    <t>Structural impoverishment of the subtidal vegetation of southeastern Bay of Biscay from 1991 to 2013 in the context of climate change</t>
  </si>
  <si>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</si>
  <si>
    <t>10.1016/j.seares.2017.06.006</t>
  </si>
  <si>
    <t>WOS:000419410100014</t>
  </si>
  <si>
    <t>Increased mitochondrial DNA diversity in ancient Columbia River basin Chinook salmon Oncorhynchus tshawytscha</t>
  </si>
  <si>
    <t>The Columbia River and its tributaries provide essential spawning and rearing habitat for many salmonid species, including Chinook salmon (Oncorhynchus tshawytscha). Chinook salmon were historically abundant throughout the basin and Native Americans in the region relied heavily on these fish for thousands of years. Following the arrival of Europeans in the 1800s, salmon in the basin experienced broad declines linked to overfishing, water diversion projects, habitat destruction, connectivity reduction, introgression with hatchery-origin fish, and hydropower development. Despite historical abundance, many native salmonids are now at risk of extinction. Research and management related to Chinook salmon is usually explored under what are termed  the four H's : habitat, harvest, hatcheries, and hydropower; here we explore a fifth H, history. Patterns of prehistoric and contemporary mitochondrial DNA variation from Chinook salmon were analyzed to characterize and compare population genetic diversity prior to recent alterations and, thus, elucidate a deeper history for this species. A total of 346 ancient and 366 contemporary samples were processed during this study. Species was determined for 130 of the ancient samples and control region haplotypes of 84 of these were sequenced. Diversity estimates from these 84 ancient Chinook salmon were compared to 379 contemporary samples. Our analysis provides the first direct measure of reduced genetic diversity for Chinook salmon from the ancient to the contemporary period, as measured both in direct loss of mitochondrial haplotypes and reductions in haplotype and nucleotide diversity. However, these losses do not appear equal across the basin, with higher losses of diversity in the mid-Columbia than in the Snake subbasin. The results are unexpected, as the two groups were predicted to share a common history as parts of the larger Columbia River Basin, and instead indicate that Chinook salmon in these subbasins may have divergent demographic histories.</t>
  </si>
  <si>
    <t>10.1371/journal.pone.0190059</t>
  </si>
  <si>
    <t>WOS:000419689600030</t>
  </si>
  <si>
    <t>Investigating the genetic structure of trout from the Garden of Ninfa (central Italy): Suggestions for conservation and management</t>
  </si>
  <si>
    <t>Mediterranean populations of brown trout (Salmo trutta L. complex) have lost a large part of their genetic distinctiveness, mostly due to massive restocking, and the waters of the Gardens of Ninfa (province of Latina, central Italy, Site of Community Importance since 2013) are regarded as one of a few potential reservoirs of autochthonous trout lineages in the Tyrrhenian drainage of the Italian peninsula. In this study, nuclear and mitochondrial markers were used on brown trout samples from Ninfa to estimate non-Mediterranean influence in the population gene pool, potential changes of genetic structure over time and genetic relationships with other sites known (or suspected) to host native trout gene pools. Striking changes in both microsatellite and mtDNA allele frequencies over a 9-year time span were found and provided evidence of unrecorded stocking from the nearby Lake Fibreno. Results are analysed in the light of potential ecological consequences of such events on a longer time scale and provide a scientific background for fisheries management and conservation programmes in the area.</t>
  </si>
  <si>
    <t>10.1111/fme.12259</t>
  </si>
  <si>
    <t>WOS:000419709300001</t>
  </si>
  <si>
    <t>Successful conservation of global waterbird populations depends on effective governance</t>
  </si>
  <si>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</si>
  <si>
    <t>10.1038/nature25139</t>
  </si>
  <si>
    <t>WOS:000419794800035</t>
  </si>
  <si>
    <t>Habitat attribute similarities reduce impacts of land-use conversion on seed removal</t>
  </si>
  <si>
    <t>Changes in land use strongly influence habitat attributes (e.g., herbaceous ground cover and tree richness) and can consequently affect ecological functions. Most studies have focused on the response of these ecological functions to land-use changes within only a single vegetation type. These studies have often focused solely on agricultural conversion of forests, making it nearly impossible to draw general conclusions across other vegetation types or with other land-use changes (e.g., afforestation). We examined the consequences of agricultural conversion for seed removal by ants in native grassland, savanna, and savanna-forest habitats that had been transformed to planted pastures (Brachiaria decumbens) and tree plantations (Eucalyptus spp.) and explored if changes in seed removal were correlated with differences in habitat attributes between habitat types. We found that land-use changes affected seed removal across the tree cover gradient and that the magnitude of impact was influenced by similarity in habitat attributes between native and converted habitats, being greater where there was afforestation (Eucalyptus spp in grassland and savanna). Herbaceous ground cover, soil hardness, and tree richness were the most important habitat attributes that correlated with differences in seed removal. Our results reveal that the magnitude of impact of land-use changes on seed removal varies depending on native vegetation type and is associated with the type of habitat attribute change. Our findings have implications for biodiversity in tropical grassy systems: afforestation can have a greater detrimental impact on ecological function than tree loss.</t>
  </si>
  <si>
    <t>10.1111/btp.12506</t>
  </si>
  <si>
    <t>WOS:000419881900004</t>
  </si>
  <si>
    <t>Urban landscape genomics identifies fine-scale gene flow patterns in an avian invasive</t>
  </si>
  <si>
    <t>Invasive species exert a serious impact on native fauna and flora and have been the target of many eradication and management efforts worldwide. However, a lack of data on population structure and history, exacerbated by the recency of many species introductions, limits the efficiency with which such species can be kept at bay. In this study we generated a novel genome of high assembly quality and genotyped 4735 genome-wide single nucleotide polymorphic (SNP) markers from 78 individuals of an invasive population of the Javan Myna Acridotheres javanicus across the island of Singapore. We inferred limited population subdivision at a micro-geographic level, a genetic patch size (similar to 13-14 km) indicative of a pronounced dispersal ability, and barely an increase in effective population size since introduction despite an increase of four to five orders of magnitude in actual population size, suggesting that low population-genetic diversity following a bottleneck has not impeded establishment success. Landscape genomic analyses identified urban features, such as low-rise neighborhoods, that constitute pronounced barriers to gene flow. Based on our data, we consider an approach targeting the complete eradication of Javan Mynas across Singapore to be unfeasible. Instead, a mixed approach of localized mitigation measures taking into account urban geographic features and planning policy may be the most promising avenue to reducing the adverse impacts of this urban pest. Our study demonstrates how genomic methods can directly inform the management and control of invasive species, even in geographically limited datasets with high gene flow rates.</t>
  </si>
  <si>
    <t>10.1038/s41437-017-0026-1</t>
  </si>
  <si>
    <t>WOS:000419974300005</t>
  </si>
  <si>
    <t>Change in Soil Microbial Community Compositions and Diversity Following the Conversion of Tropical Forest to Rubber Plantations in Xishuangbanan, Southwest China</t>
  </si>
  <si>
    <t>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t>
  </si>
  <si>
    <t>10.1177/1940082917733230</t>
  </si>
  <si>
    <t>WOS:000422704700001</t>
  </si>
  <si>
    <t>Concomitant impacts of climate change, fragmentation and non-native species have led to reorganization of fish communities since the 1980s</t>
  </si>
  <si>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</si>
  <si>
    <t>10.1111/geb.12690</t>
  </si>
  <si>
    <t>WOS:000422750700005</t>
  </si>
  <si>
    <t>Drylands soil bacterial community is affected by land use change and different irrigation practices in the Mezquital Valley, Mexico</t>
  </si>
  <si>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</si>
  <si>
    <t>10.1038/s41598-018-19743-x</t>
  </si>
  <si>
    <t>WOS:000423044400029</t>
  </si>
  <si>
    <t>Frequent wildfires erode tree persistence and alter stand structure and initial composition of a fire-tolerant sub-alpine forest</t>
  </si>
  <si>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</si>
  <si>
    <t>10.1111/jvs.12575</t>
  </si>
  <si>
    <t>WOS:000423189400006</t>
  </si>
  <si>
    <t>Long-term community change: bryophytes are more responsive than vascular plants to nitrogen deposition and warming</t>
  </si>
  <si>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</si>
  <si>
    <t>10.1111/jvs.12579</t>
  </si>
  <si>
    <t>WOS:000423189400012</t>
  </si>
  <si>
    <t>Can data from disparate long-term fish monitoring programs be used to increase our understanding of regional and continental trends in large river assemblages?</t>
  </si>
  <si>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</si>
  <si>
    <t>10.1371/journal.pone.0191472</t>
  </si>
  <si>
    <t>WOS:000423412500050</t>
  </si>
  <si>
    <t>Impact of the huge 2011 Tohoku-oki tsunami on the phenotypes and genotypes of Japanese coastal threespine stickleback populations</t>
  </si>
  <si>
    <t>On March 11, 2011, a large earthquake occurred, causing a tsunami which struck the Pacific coast of northeast Japan. We investigated the ecological and genetic effects of the large tsunami on the threespine stickleback (genus Gasterosteus) populations in Otsuchi Town, which was one of the most severely damaged areas after the tsunami. Our environmental surveys showed that spring water may have contributed to the habitat recovery. Morphological analysis of the stickleback before and after the tsunami showed morphological shifts in the gill raker number, which is a foraging trait. Genetic analyses revealed that the allelic richness of one population was maintained after the tsunami, whereas that of another decreased in 2012 and then started to recover in 2013. Additionally, we found that the large tsunami and ground subsidence created new spring water-fed pools with sticklebacks, suggesting that the tsunami brought sticklebacks into these pools. Genetic analysis of this population showed that this population might be derived from hybridization between freshwater Gasterosteus aculeatus and anadromous G. nipponicus. Overall, our data indicate that tsunamis can influence morphologies and genetic structures of freshwater fishes. Furthermore, spring water may play important roles in the maintenance and creation of fish habitats, faced with environmental disturbance.</t>
  </si>
  <si>
    <t>10.1038/s41598-018-20075-z</t>
  </si>
  <si>
    <t>WOS:000423428300012</t>
  </si>
  <si>
    <t>Spatial and temporal genetic dynamics of the grasshopper Oedaleus decorus revealed by museum genomics</t>
  </si>
  <si>
    <t>Analyzing genetic variation through time and space is important to identify key evolutionary and ecological processes in populations. However, using contemporary genetic data to infer the dynamics of genetic diversity may be at risk of a bias, as inferences are performed from a set of extant populations, setting aside unavailable, rare, or now extinct lineages. Here, we took advantage of new developments in next-generation sequencing to analyze the spatial and temporal genetic dynamics of the grasshopper Oedaleus decorus, a steppic Southwestern-Palearctic species. We applied a recently developed hybridization capture (hyRAD) protocol that allows retrieving orthologous sequences even from degraded DNA characteristic of museum specimens. We identified single nucleotide polymorphisms in 68 historical and 51 modern samples in order to (i) unravel the spatial genetic structure across part of the species distribution and (ii) assess the loss of genetic diversity over the past century in Swiss populations. Our results revealed (i) the presence of three potential glacial refugia spread across the European continent and converging spatially in the Alpine area. In addition, and despite a limited population sample size, our results indicate (ii) a loss of allelic richness in contemporary Swiss populations compared to historical populations, whereas levels of expected heterozygosities were not significantly different. This observation is compatible with an increase in the bottleneck magnitude experienced by central European populations of O.decorus following human-mediated land-use change impacting steppic habitats. Our results confirm that application of hyRAD to museum samples produces valuable information to study genetic processes across time and space.</t>
  </si>
  <si>
    <t>10.1002/ece3.3699</t>
  </si>
  <si>
    <t>WOS:000423807900005</t>
  </si>
  <si>
    <t>Sepiolid paralarval diversity in a regional upwelling area of the NE Atlantic</t>
  </si>
  <si>
    <t>Sepiolid paralarvae are poorly studied, at least in part, because of the difficulty of accurate identification using morphological analysis. To unravel the biodiversity of sepiolid paralarvae collected in the Ria de Vigo during the upwelling season (2012-2014), and to overcome the difficulties of traditional identification, sepiolid paralarvae were identified by amplifying the barcoding gene cytochrome c oxidase subunit I (COI). In addition, morphometric analysis (Generalised Lineal Models, GLM and Discriminant Analysis, DA) was used to identify morphometric patterns useful for paralarval species identification. Genetic barcoding successfully identified 34 Sepiola pfefferi, 31 Rondeletiola minor, 30 Sepiola tridens, 4 Sepiola atlantica, 2 Sepietta neglecta and 1 Sepiola ligulata. COI analysis also allowed us to infer that the paralarvae of the three most abundant species belonged to the same populations independently of the year sampled. GLM suggested that total length (statistically different among the three species) and tentacle length (statistically larger in S. pfefferi from the other two species) were good variables to distinguish among species. DA succeeded in separating S. pfefferi from S. tridens, but R. minor overlapped along the first axes with both species, decreasing the accurate classification rate to 67%.</t>
  </si>
  <si>
    <t>10.1007/s10750-017-3186-3</t>
  </si>
  <si>
    <t>WOS:000423827000005</t>
  </si>
  <si>
    <t>Dry and wet periods drive rapid shifts in community assembly in an estuarine ecosystem</t>
  </si>
  <si>
    <t>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t>
  </si>
  <si>
    <t>10.1111/gcb.13972</t>
  </si>
  <si>
    <t>WOS:000423994700021</t>
  </si>
  <si>
    <t>Anthropogenic water bodies as drought refuge for aquatic macroinvertebrates and macrophytes</t>
  </si>
  <si>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</si>
  <si>
    <t>10.1016/j.scitotenv.2017.10.333</t>
  </si>
  <si>
    <t>WOS:000424121800055</t>
  </si>
  <si>
    <t>Long-term effects of flow regulation by dams simplify fish functional diversity</t>
  </si>
  <si>
    <t>The long-term impact of river regulation on fish functional diversity by a dam immediately upstream from the upper Parana River floodplain, Brazil, was evaluated. It was expected that the resulting alterations in natural flow, downstream from the dam, would negatively impact fish species, resulting in a functional simplification of the ichthyofauna. In addition, this effect was expected to be more pronounced in the directly affected main channel of the Parana River than in its tributaries, the Baia and Ivinhema rivers. Fish were sampled before (pre) and after (post) dam closure (the intervention). The functional traits used were diet, habitat use, mouth position, migration, parental care, internal fertilisation and maximum total length. Differences in trait composition between periods (pre and post) were tested using a PERMANOVA main-test. An indicator value analysis (IndVal) was applied to identify which traits significantly increased or decreased in abundance after the intervention. The indexes used were functional richness (FRic), Rao's quadratic entropy (FDQ) and functional redundancy (FRed). The intervention analysis based on linear models for time series was used to evaluate differences in these indexes over time. Traits most representative during pre-intervention were large-bodied species with long reproductive migrations, pelagic, with subterminal and superior mouths, and herbivorous. Traits most representative during the post-intervention were omnivorous species, with parental care, benthopelagic and insectivorous, which typically characterise fishes that inhabit stable environments. FRic decreased in Parana and Baia rivers after the construction of the dam. However, the Ivinhema River showed an increase in mean FRic in the post-intervention period. FDQ decreased substantially in all three rivers, while FRed increased. The combined results of FRic, FDQ and FRed corroborate the functional simplification hypothesis expected from flow regulation by dams on functional diversity. As expected, the most pronounced simplification occurred in the Parana River. Therefore, hydroelectric power plants can act as environmental filters strongly selecting functional traits of the downstream fish fauna, generating long-lasting impacts on ecosystem functioning and services.</t>
  </si>
  <si>
    <t>10.1111/fwb.13064</t>
  </si>
  <si>
    <t>WOS:000424133500004</t>
  </si>
  <si>
    <t>Influence of nitrogen and phosphorus additions on N2-fixation activity, abundance, and composition of diazotrophic communities in a Chinese fir plantation</t>
  </si>
  <si>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</si>
  <si>
    <t>10.1016/j.scitotenv.2017.10.064</t>
  </si>
  <si>
    <t>WOS:000424144200151</t>
  </si>
  <si>
    <t>A comparison study of the potential risks induced in arable land and forest soils by carcass-derived pollutants</t>
  </si>
  <si>
    <t>Improper decisions concerning animal carcass disposal sites pose grave threats to environmental biosecurity. However, only a few studies have focused on the effects of different land-use types on the composition of carcass-derived pollutants and microbial responses to the disturbances. This study was conducted using soil microcosms with minced pork built from arable land and forest soils for 5 weeks. To compare the risk induced from different land-use types by carcass burial, the soil properties, the microbial community, and multiple-antibiotic-resistant bacteria were evaluated for microcosm containing 0, 1.5 and 7.5 g of minced pork. The abiotic properties, including pH, organic carbon, nitrogen and phosphorus compounds, significantly increased, regardless of the land-use types and applied load masses. The microbial diversity indices of the forest soil were reduced, whereas those of the arable land remained relatively stable. The disturbances produced from carcass-derived pollutants altered the bacterial community structures differently for the different land-use types. The treatment increased multiple-antibiotic-resistant bacteria in the both soil samples, although the increase in the forest soil was significantly less compared to the arable land soils.</t>
  </si>
  <si>
    <t>10.1007/s10653-017-9932-7</t>
  </si>
  <si>
    <t>WOS:000424199900029</t>
  </si>
  <si>
    <t>Elevated native terrestrial snail abundance and diversity in association with an invasive understory shrub, Berberis thunbergii, in a North American deciduous forest</t>
  </si>
  <si>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</si>
  <si>
    <t>10.1016/j.actao.2017.12.004</t>
  </si>
  <si>
    <t>WOS:000424717200010</t>
  </si>
  <si>
    <t>Influence of two non-indigenous plants on intertidal macrobenthic communities in Ximen Island Special Marine Protected Area, China</t>
  </si>
  <si>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</si>
  <si>
    <t>10.1016/j.ecoleng.2017.12.023</t>
  </si>
  <si>
    <t>WOS:000424938300013</t>
  </si>
  <si>
    <t>Livestock exclusion alters plant species composition in fen meadows</t>
  </si>
  <si>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</si>
  <si>
    <t>10.1111/avsc.12333</t>
  </si>
  <si>
    <t>WOS:000425120600002</t>
  </si>
  <si>
    <t>Recent changes in the plant composition of wetlands in the Jura Mountains</t>
  </si>
  <si>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</si>
  <si>
    <t>10.1111/avsc.12338</t>
  </si>
  <si>
    <t>WOS:000425120600014</t>
  </si>
  <si>
    <t>The status and distribution of a newly identified endemic galaxiid in the eastern Cape Fold Ecoregion, of South Africa</t>
  </si>
  <si>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</si>
  <si>
    <t>10.1002/aqc.2850</t>
  </si>
  <si>
    <t>WOS:000425121900007</t>
  </si>
  <si>
    <t>Climate vulnerability and resilience in the most valuable North American fishery</t>
  </si>
  <si>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</si>
  <si>
    <t>10.1073/pnas.1711122115</t>
  </si>
  <si>
    <t>WOS:000425495000061</t>
  </si>
  <si>
    <t>Livestock and the functional habitat of vicunas in Ecuador: a new puzzle</t>
  </si>
  <si>
    <t>Whether interactions between wildlife and livestock are competitive or facilitative is context dependent. Intermediary factors that explain how context (seasonal or regional characteristics of the ecological community) affects these interactions are rarely reported. We compared activity time and density in vicunas (Vicugna vicugna) introduced into the Chimborazo Faunal Production Reserve (CFPR), Ecuador, to describe how they interact with livestock. We compared vicuna density in wetlands and uplands (two landscape structures) with and without livestock (two conditions) using an isodar approach. We measured, over two seasons, vicuna forage abundance, composition, preference and accessibility, time vicunas spent vigilant, and their flight distances on approach. We tested optimal foraging theory relating to the hypothesis that time mediates behavior, and found that vicunas were no less frequently vigilant, nor were flight distances greater, during a wet season or in habitats of greater forage abundance and accessibility. We also found no evidence that vicuna behavior was density dependent; instead, we found that more time was spent vigilant by vicunas when they foraged near livestock in rainy regions during the dry season. Although forage abundance was similar throughout CFPR during a dry season, better forage quality in areas occupied by livestock may constitute an effect of their facilitating vicunas. A puzzling finding, because it was not explained by any of the other variables we measured, was that at low densities vicunas selected habitat irrespective of livestock, and where their density was higher, it was doubly so adjacent to livestock. We conclude that in the CFPR, spatial heterogeneity in habitat quality determines the interactions between livestock and vicunas. To support recommendations that minimize competition between wildlife and livestock, and to expand on descriptions of the contexts that determine the direction of species interactions, future study may require a wider sampling of the densities of sympatric large herbivores in general, and, in the CFPR, a closer resolution of spatial heterogeneity in forage plant quality.</t>
  </si>
  <si>
    <t>10.1002/ecs2.2066</t>
  </si>
  <si>
    <t>WOS:000425731000015</t>
  </si>
  <si>
    <t>Compounding Effects of Agricultural Land Use and Water Use in Free-Flowing Rivers: Confounding Issues for Environmental Flows</t>
  </si>
  <si>
    <t>Defining the ecological impacts of water extraction from free-flowing river systems in altered landscapes is challenging as multiple stressors (e.g., flow regime alteration, increased sedimentation) may have simultaneous effects and attributing causality is problematic. This multiple-stressor context has been acknowledged in environmental flows science, but is often neglected when it comes to examining flow-ecology relationships, and setting and implementing environmental flows. We examined the impacts of land and water use on rivers in the upper Ringarooma River catchment in Tasmania (south-east Australia), which contains intensively irrigated agriculture, to support implementation of a water management plan. Temporal and spatial and trends in river condition were assessed using benthic macroinvertebrates as bioindicators. Relationships between macroinvertebrate community structure and environmental variables were examined using univariate and multivariate analyses, focusing on the impacts of agricultural land use and water use. Structural changes in macroinvertebrate communities in rivers in the catchment indicated temporal and spatial declines in the ecological condition of some stretches of river associated with agricultural land and water use. Moreover, water extraction appeared to exacerbate impairment associated with agricultural land use (e.g., reduced macroinvertebrate density, more flow-avoiding taxa). The findings of our catchment-specific bioassessments will underpin decision-making during the implementation of the Ringarooma water management plan, and highlight the need to consider compounding impacts of land and water use in environmental flows and water planning in agricultural landscapes.</t>
  </si>
  <si>
    <t>10.1007/s00267-017-0836-1</t>
  </si>
  <si>
    <t>WOS:000426092300008</t>
  </si>
  <si>
    <t>Response of overstory and understory vegetation 37 years after prescribed burning in an aspen-dominated forest in northern Minnesota, USA - A case study</t>
  </si>
  <si>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</si>
  <si>
    <t>10.1080/11263504.2016.1255265</t>
  </si>
  <si>
    <t>WOS:000426306200005</t>
  </si>
  <si>
    <t>Spatio-temporal benthic biodiversity patterns and pollution pressure in three Mediterranean touristic ports</t>
  </si>
  <si>
    <t>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t>
  </si>
  <si>
    <t>10.1016/j.scitotenv.2017.12.111</t>
  </si>
  <si>
    <t>WOS:000426355900065</t>
  </si>
  <si>
    <t>Genetic diversity of Norway spruce (Picea abies (L.) Karst.) seed orchard crops: Effects of number of parents, seed year, and pollen contamination</t>
  </si>
  <si>
    <t>Seed from orchards, established from breeding programs, often dominate the planting stock in economically important tree species, such as Norway spruce. The genetic diversity in seed orchards' crops depends on effective population size which in turn is affected by many factors such as: number of parents in the orchard, seed orchards' design, fecundity, and pollen contamination. Even though seed orchards' seed is extensively used over large regions, very few studies have addressed how well their crops reflect the genetic diversity present in the regions where they are planted. Here we have investigated the genetic diversity (by means of 11 microsatellites) of two Norway spruce seed orchard populations with different number of parents (60 and 25) and compared this with seed crops collected in the semi natural forest and natural unmanaged populations. We found that the ratio between the effective population size (Ne) and actual number of parents (N) varied between 0.60 and 0.76 in the orchards' seedlots. A reduction in genetic diversity (mainly allelic richness) was detected in a few seedlots, mainly where the number of parents was low. Our results also show that pollen contamination play an important role in maintaining the genetic diversity in orchards' seedlots, particularly when the number of parents is low. The population genetic structure among seed orhcards and natural populations is shallow suggesting that regeneration with seed from current seed orchards will have limited effect on the overall genetic diversity.</t>
  </si>
  <si>
    <t>10.1016/j.foreco.2018.01.009</t>
  </si>
  <si>
    <t>WOS:000426409100014</t>
  </si>
  <si>
    <t>Ocean acidification alters zooplankton communities and increases top-down pressure of a cubozoan predator</t>
  </si>
  <si>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</si>
  <si>
    <t>10.1111/gcb.13849</t>
  </si>
  <si>
    <t>WOS:000426506100011</t>
  </si>
  <si>
    <t>Agriculture erases climate-driven β-diversity in Neotropical bird communities</t>
  </si>
  <si>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</si>
  <si>
    <t>10.1111/gcb.13821</t>
  </si>
  <si>
    <t>WOS:000426506100056</t>
  </si>
  <si>
    <t>Logging, exotic plant invasions, and native plant reassembly in a lowland tropical rain forest</t>
  </si>
  <si>
    <t>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t>
  </si>
  <si>
    <t>10.1111/btp.12521</t>
  </si>
  <si>
    <t>WOS:000427005400008</t>
  </si>
  <si>
    <t>Effects of oil palm plantations on habitat structure and fish assemblages in Amazon streams</t>
  </si>
  <si>
    <t>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t>
  </si>
  <si>
    <t>10.1007/s10641-018-0716-4</t>
  </si>
  <si>
    <t>WOS:000427174300003</t>
  </si>
  <si>
    <t>Impacts of climate, disturbance and topography on distribution of herbaceous cover in Southern California chaparral: Insights from a remote-sensing method</t>
  </si>
  <si>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</si>
  <si>
    <t>10.1111/ddi.12693</t>
  </si>
  <si>
    <t>WOS:000427246300007</t>
  </si>
  <si>
    <t>Under the canopy: Community-wide effects of invasive algae in Marine Protected Areas revealed by metabarcoding</t>
  </si>
  <si>
    <t>We analysed with multigene (18S and COI) metabarcoding the effects of the proliferation of invasive seaweeds on rocky littoral communities in two Spanish Marine Protected Areas. The invasive algae studied were Caulerpa cylindracea, Lophocladia lallemandii and Asparagopsis armata. They are canopy-forming, landscape-dominant seaweeds, and we were interested in their effects on the underlying communities of meiobenthos and macro-benthos, separated in two size fractions through sieving. A new semiquantitative treatment of metabarcoding data is introduced. The results for both markers showed that the presence of the invasive seaweed had a significant effect on the understory communities for Lophocladia lallemandii and Asparagopsis armata but not for Caulerpa cylindracea. Likewise, changes in MOTU richness and diversity with invasion status varied in magnitude and direction depending on the alga considered. Our results showed that metabarcoding allows monitoring of the less conspicuous, but not least important, effects of the presence of dominant invasive seaweeds.</t>
  </si>
  <si>
    <t>10.1016/j.marpolbul.2017.11.033</t>
  </si>
  <si>
    <t>WOS:000427332900007</t>
  </si>
  <si>
    <t>Titanium dioxide nanoparticle exposure reduces algal biomass and alters algal assemblage composition in wastewater effluent-dominated stream mesocosms</t>
  </si>
  <si>
    <t>A 5-week mesocosm experiment was conducted to investigate the toxicity of titanium dioxide nanoparticles (TiO(2)NPs) to periphytic algae in an environmentally-realistic scenario. We used outdoor experimental streams to simulate the characteristics of central Texas streams receiving large discharges of wastewater treatment plant effluent during prolonged periods of drought. The streams were continually dosed and maintained at two concentrations. The first represents an environmentally relevant concentration of 0.05 mg L-1 (low concentration). The second treatment of 5 mg L-1 (high concentration) was selected to represent a scenario where TiO(2)NPs are used for photocatalytic degradation of pharmaceuticals in wastewater. Algal cell density, chlorophyll- a, ash-free dry mass, algal assemblage composition, and Ti accumulation were determined for the periphyton in the riffle sections of each stream. The high concentration treatment of TiO(2)NPs significantly decreased algal cell density, ash-free dry mass, and chlorophyll-a, and altered algal assemblage composition. Decreased abundance of three typically pollution-sensitive taxa and increased abundance of two genera associated with heavy metal sorption and organic pollution significantly contributed to algal assemblage composition changes in response to TiO(2)NPs. Benefits of the use of TiO(2)NPs in wastewater treatment plants will need to be carefully weighed against the demonstrated ability of these NPs to cause large changes in periphyton that would likely propagate significant effects throughout the stream ecosystem, even in the absence of direct toxicity to higher trophic level organisms. (c) 2018 Elsevier B.V. All rights reserved.</t>
  </si>
  <si>
    <t>10.1016/j.scitotenv.2018.01.050</t>
  </si>
  <si>
    <t>WOS:000428194000036</t>
  </si>
  <si>
    <t>Drought differentially affects the post-fire dynamics of seeders and resprouters in a Mediterranean shrubland</t>
  </si>
  <si>
    <t>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t>
  </si>
  <si>
    <t>10.1016/j.scitotenv.2018.01.174</t>
  </si>
  <si>
    <t>WOS:000428194000120</t>
  </si>
  <si>
    <t>The effect of cadmium exposure on diversity of intestinal microbial community of Rana chensinensis tadpoles</t>
  </si>
  <si>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</si>
  <si>
    <t>10.1016/j.ecoenv.2018.02.022</t>
  </si>
  <si>
    <t>WOS:000428360300002</t>
  </si>
  <si>
    <t>Productivity and recovery of forage fish under climate change and fishing: North Sea sandeel as a case study</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</si>
  <si>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</si>
  <si>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10.1111/fog.12246</t>
  </si>
  <si>
    <t>WOS:000428400500003</t>
  </si>
  <si>
    <t>Regional variability in the sensitivity of Caribbean reef fish assemblages to ocean warming</t>
  </si>
  <si>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</si>
  <si>
    <t>10.3354/meps12462</t>
  </si>
  <si>
    <t>WOS:000428817200014</t>
  </si>
  <si>
    <t>Jellyfish summer distribution, diversity and impact on fish farms in a Nordic fjord</t>
  </si>
  <si>
    <t>Jellyfish can cause high mortality of farmed fish and hence significant economic losses for the aquaculture industry. Despite their socio-economic importance, distribution and diversity data on gelatinous plankton are scarce from northern Norwegian fjords and other Nordic systems. Intense blooms of jellyfish have repeatedly been observed in Ryggefjord, Finnmark (Norway), sometimes concurrent with severe health problems of salmon. In the present study, the jellyfish community of this fjord was studied in summer 2015. In July, at least 13 species were identified using a combination of morphological and molecular techniques. High densities of small Beroe spp. and ctenophore larvae in cydippid stage dominated the surface waters. Adult Beroe cucumis were also present. Molecular identification revealed the presence of juvenile Euphysa tentaculata, as well as 2 species each of Clytia and Obelia. Obelia longissima was identified from both its pelagic (medusa) and benthic (polyp) stages, indicating that some local populations can complete their entire life cycle in the fjord. Abundances were significantly different between inner and outer parts of the fjord, and in relation to the prevailing wind direction. A dense bloom of the hydrozoan Dipleurosoma typicum in September coincided with high mortalities of farmed fish, suggesting a causal relationship. We conclude that the jellyfish assemblage in Ryggefjord is dynamic on short time scales and structured by both oceanographic conditions and local reproduction. A better understanding of seasonal population development and the relationships between hydrography, abundance and species composition is required to develop mitigation strategies for aquaculture operations.</t>
  </si>
  <si>
    <t>10.3354/meps12274</t>
  </si>
  <si>
    <t>WOS:000428818100021</t>
  </si>
  <si>
    <t>The Influence of Oyster Farming on Sediment Bacterial Communities</t>
  </si>
  <si>
    <t>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t>
  </si>
  <si>
    <t>10.1007/s12237-017-0301-7</t>
  </si>
  <si>
    <t>WOS:000428847700013</t>
  </si>
  <si>
    <t>Anthropogenic disturbance homogenizes seagrass fish communities</t>
  </si>
  <si>
    <t>Anthropogenic activities have led to the biotic homogenization of many ecological communities, yet in coastal systems this phenomenon remains understudied. In particular, activities that locally affect marine habitat-forming foundation species may perturb habitat and promote species with generalist, opportunistic traits, in turn affecting spatial patterns of biodiversity. Here, we quantified fish diversity in seagrass communities across 89 sites spanning 6 degrees latitude along the Pacific coast of Canada, to test the hypothesis that anthropogenic disturbances homogenize (i.e., lower beta-diversity) assemblages within coastal ecosystems. We test for patterns of biotic homogenization at sites within different anthropogenic disturbance categories (low, medium, and high) at two spatial scales (within and across regions) using both abundance- and incidence-based beta-diversity metrics. Our models provide clear evidence that fish communities in high anthropogenic disturbance seagrass areas are homogenized relative to those in low disturbance areas. These results were consistent across within-region comparisons using abundance- and incidence-based measures of beta-diversity, and in across-region comparisons using incidence-based measures. Physical and biotic characteristics of seagrass meadows also influenced fish beta-diversity. Biotic habitat characteristics including seagrass biomass and shoot density were more differentiated among high disturbance sites, potentially indicative of a perturbed environment. Indicator species and trait analyses revealed fishes associated with low disturbance sites had characteristics including stenotopy, lower swimming ability, and egg guarding behavior. Our study is the first to show biotic homogenization of fishes across seagrass meadows within areas of relatively high human impact. These results support the importance of targeting conservation efforts in low anthropogenic disturbance areas across land- and seascapes, as well as managing anthropogenic impacts in high activity areas.</t>
  </si>
  <si>
    <t>10.1111/gcb.14090</t>
  </si>
  <si>
    <t>WOS:000428879800008</t>
  </si>
  <si>
    <t>Fuel-reduction management alters plant composition, carbon and nitrogen pools, and soil thaw in Alaskan boreal forest</t>
  </si>
  <si>
    <t>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t>
  </si>
  <si>
    <t>10.1002/eap.1636</t>
  </si>
  <si>
    <t>WOS:000429004700011</t>
  </si>
  <si>
    <t>Beta-diversity partitioning and drivers of variations in tropical fish community structure in central India</t>
  </si>
  <si>
    <t>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t>
  </si>
  <si>
    <t>10.1007/s00027-018-0568-1</t>
  </si>
  <si>
    <t>WOS:000429435600008</t>
  </si>
  <si>
    <t>River biofilm community changes related to pharmaceutical loads emitted by a wastewater treatment plant</t>
  </si>
  <si>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</si>
  <si>
    <t>10.1007/s11356-017-0024-0</t>
  </si>
  <si>
    <t>WOS:000429561900007</t>
  </si>
  <si>
    <t>Alien turf: Overfishing, overgrazing and invader domination in south-eastern Levant reef ecosystems</t>
  </si>
  <si>
    <t>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t>
  </si>
  <si>
    <t>10.1002/aqc.2862</t>
  </si>
  <si>
    <t>WOS:000429696900009</t>
  </si>
  <si>
    <t>Edge effects of oil palm plantations on tropical anuran communities in Borneo</t>
  </si>
  <si>
    <t>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t>
  </si>
  <si>
    <t>10.1016/j.biocon.2018.02.006</t>
  </si>
  <si>
    <t>WOS:000429765000005</t>
  </si>
  <si>
    <t>Short-term CO2 exposure and temperature rise effects on metazoan meiofauna and free-living nematodes in sandy and muddy sediments: Results from a flume experiment</t>
  </si>
  <si>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</si>
  <si>
    <t>10.1016/j.jembe.2017.07.012</t>
  </si>
  <si>
    <t>WOS:000430034100021</t>
  </si>
  <si>
    <t>Bacterial rather than fungal community composition is associated with microbial activities and nutrient-use efficiencies in a paddy soil with short-term organic amendments</t>
  </si>
  <si>
    <t>Considering the global demands in sustaining agriculture, use of organic amendments is gradually increasing. An improved understanding of the biological process is essential to evaluate the performance of organic amendments on agro-ecosystem. Soils subjected to different fertilization regimes were collected from a field experiment. Microbial community compositions are assessed with 16S and ITS rRNA gene sequencing and subsequent bioinformatics analysis. Microbial functions are characterized with the geometric mean of the assayed enzyme activities (GMea) and the microbial carbon-use efficiency:nitrogen-use efficiency ratio (CUE:NUE). Compared with the chemically fertilized soil, the GMea significantly increased in organically amended soils. In contrast, the CUE:NUE was highest in chemically treated soil. These changes of microbial functional indicators were associated with shifts in the bacterial and not the fungal community composition, despite the fact that both the bacterial and fungal community compositions were significantly affected by the fertilization regimes. The abundances of specific soil bacterial taxa, especially the genera Luteimonas and Gemmatimona, were enriched by organic amendments. Soil organic carbon emerged as the major determinant of the bacterial community composition. Soil microbial activities and nutrient-use efficiencies were dramatically changed along with the alteration of bacterial community composition. Relatively greater abundance of Luteimonas and Gemmatimona taxa in soils might be useful indicators for soil amelioration. Our research could be helpful to provide better strategies for the maintenance of soil fertility.</t>
  </si>
  <si>
    <t>10.1007/s11104-017-3547-8</t>
  </si>
  <si>
    <t>WOS:000430192000023</t>
  </si>
  <si>
    <t>Combined Effects of Dissolved Nutrients and Oxygen on Plant Litter Decomposition and Associated Fungal Communities</t>
  </si>
  <si>
    <t>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t>
  </si>
  <si>
    <t>10.1007/s00248-017-1099-3</t>
  </si>
  <si>
    <t>WOS:000430393400005</t>
  </si>
  <si>
    <t>Disturbance reduces the differentiation of mycorrhizal fungal communities in grasslands along a precipitation gradient</t>
  </si>
  <si>
    <t>Given that mycorrhizal fungi play key roles in shaping plant communities, greater attention should be focused on factors that determine the composition of mycorrhizal fungal communities and their sensitivity to anthropogenic disturbance. We investigate changes in arbuscular mycorrhizal (AM) fungal community composition across a precipitation gradient in North American grasslands as well as changes occurring with varying degrees of site disturbance that have resulted in invasive plant establishment. We find strong differentiation of AM fungal communities in undisturbed remnant grasslands across the precipitation gradient, whereas communities in disturbed grasslands were more homogeneous. These changes in community differentiation with disturbance are consistent with more stringent environmental filtering of AM fungal communities in undisturbed sites that may also be promoted by more rigid functional constraints imposed on AM fungi by the native plant communities in these areas. The AM fungal communities in eastern grasslands were particularly sensitive to anthropogenic disturbance, with disturbed sites having low numbers of AM fungal operational taxonomic units (OTUs) commonly found in undisturbed sites, and also the proliferation of AM fungal OTUs in disturbed sites. This proliferation of AM fungi in eastern disturbed sites coincided with increased soil phosphorus availability and is consistent with evidence suggesting the fungi represented by these OTUs would provide reduced benefits to native plants. The differentiation of AM fungal communities along the precipitation gradient in undisturbed grasslands but not in disturbed sites is consistent with AM fungi aiding plant adaptation to climate, and suggests they may be especially important targets for conservation and restoration in order to help maintain or re-establish diverse grassland plant communities.</t>
  </si>
  <si>
    <t>10.1002/eap.1681</t>
  </si>
  <si>
    <t>WOS:000430466300011</t>
  </si>
  <si>
    <t>Long-term manure addition reduces diversity and changes community structure of diazotrophs in a neutral black soil of northeast China</t>
  </si>
  <si>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</si>
  <si>
    <t>10.1007/s11368-018-1975-6</t>
  </si>
  <si>
    <t>WOS:000430473300024</t>
  </si>
  <si>
    <t>THE EFFECTS OF AN INVASIVE ALIEN PLANT (CHROMOLAENA ODORATA) ON LARGE AFRICAN MAMMALS</t>
  </si>
  <si>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</si>
  <si>
    <t>10.24189/ncr.2017.048</t>
  </si>
  <si>
    <t>WOS:000430588400009</t>
  </si>
  <si>
    <t>Metabarcoding of benthic ciliate communities shows high potential for environmental monitoring in salmon aquaculture</t>
  </si>
  <si>
    <t>The backbone of benthic marine monitoring programs is the biological component, traditionally the macrofauna inventory. Such macrofauna-based environmental impact assessments (EIA), however, are very time consuming and expensive. To overcome these shortcomings, we used environmental metabarcoding to test the potential of protists as bioindicators in EIAs. Therefore, we analyzed taxonomic metabarcodes (V9 region of the SSU rRNA), obtained from sediment samples collected along a 400-m transect extending from below salmon cages towards the open sea along the predominant current flow. The obtained genetic data of protistan communities were compared to benchmark data obtained from traditional macrofauna surveys of the same samples.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It can be concluded that ciliates allow for a better fine-scale resolution of impact conditions than traditional monitoring methods. Other protistan taxon groups such as diatoms and chrysophytes were not as successful as marine benthic indicators compared to ciliates. We conclude that the implementation of ciliate metabarcoding can substantially improve EIAs. We discuss further mandatory research needs to make ciliate metabarcoding a routine tool in official regulations for EIAs in salmon farming.</t>
  </si>
  <si>
    <t>10.1016/j.ecolind.2017.10.041</t>
  </si>
  <si>
    <t>WOS:000430634500016</t>
  </si>
  <si>
    <t>Effects of sub-seabed CO2 leakage: Short- and medium-term responses of benthic macrofaunal assemblages</t>
  </si>
  <si>
    <t>The continued rise in atmospheric carbon dioxide (CO2) levels is driving climate change and temperature shifts at a global scale. CO2 Capture and Storage (CCS) technologies have been suggested as a feasible option for reducing CO2 emissions and mitigating their effects. However, before CCS can be employed at an industrial scale, any environmental risks associated with this activity should be identified and quantified. Significant leakage of CO2 from CCS reservoirs and pipelines is considered to be unlikely, however direct and/or indirect effects of CO2 leakage on marine life and ecosystem functioning must be assessed, with particular consideration given to spatial (e.g. distance from the source) and temporal (e.g. duration) scales at which leakage impacts could occur. In the current mesocosm experiment we tested the potential effects of CO2 leakage on macrobenthic assemblages by exposing infaunal sediment communities to different levels of CO2 concentration (400, 1000, 2000, 10,000 and 20,000 ppm CO2), simulating a gradient of distance from a hypothetic leakage, over short-term (a few weeks) and medium-term (several months). A significant impact on community structure, abundance and species richness of macrofauna was observed in the short-term exposure. Individual taxa showed idiosyncratic responses to acidification. We conclude that the main impact of CO2 leakage on macrofaunal assemblages occurs almost exclusively at the higher CO2 concentration and over short time periods, tending to fade and disappear at increasing distance and exposure time. Although under the cautious perspective required by the possible context-dependency of the present findings, this study contributes to the cost-benefit analysis (environmental risk versus the achievement of the intended objectives) of CCS strategies.</t>
  </si>
  <si>
    <t>10.1016/j.marpolbul.2018.01.068</t>
  </si>
  <si>
    <t>WOS:000430645600059</t>
  </si>
  <si>
    <t>Cryptogamic communities as a useful bioindication tool for estimating the degree of soil pollution with heavy metals</t>
  </si>
  <si>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</si>
  <si>
    <t>10.1016/j.ecolind.2018.01.013</t>
  </si>
  <si>
    <t>WOS:000430760800045</t>
  </si>
  <si>
    <t>Subfossil Cladocera from surface sediment reflect contemporary assemblages and their environmental controls in Iberian flatland ponds</t>
  </si>
  <si>
    <t>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t>
  </si>
  <si>
    <t>10.1016/j.ecolind.2017.12.007</t>
  </si>
  <si>
    <t>WOS:000430761100004</t>
  </si>
  <si>
    <t>Global warming transforms coral reef assemblages</t>
  </si>
  <si>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</si>
  <si>
    <t>10.1038/s41586-018-0041-2</t>
  </si>
  <si>
    <t>WOS:000430793000045</t>
  </si>
  <si>
    <t>Fish assemblage changes over half a century in the Yellow River, China</t>
  </si>
  <si>
    <t>Riverine environments have been threatened by anthropogenic perturbations worldwide, whereby their fish assemblages have been modified by habitat changes and nonendemic species invasions. We assessed changes in fish assemblages by comparing the species presence in historical and contemporary fish data in the Yellow River from 1965 to 2015. The temporal change in species assemblages was found with increased nonendemic species and fewer natives. Fish species richness of the river declined 35.4% over the past fifty years. Moreover, the decreased mean Bray-Curtis dissimilarity among reaches suggested that the fish assemblages of different reaches in the Yellow River were becoming more similar over time. However, temporal patterns of fish assemblages varied among reaches. In the upper Yellow River, higher species richness and more invasive species were found than those in the historical record, while the lower reaches experienced significant species loss. Dam constructions, exotic fish invasions, and flow reductions played the vital role in structuring the temporal fish assemblages in the Yellow River. It is suggested that river basins which experienced different types and levels of stressors by anthropogenic perturbations can produce varied effects on their temporal trends of species assemblages.</t>
  </si>
  <si>
    <t>10.1002/ece3.3890</t>
  </si>
  <si>
    <t>WOS:000430807200032</t>
  </si>
  <si>
    <t>Genetic signatures through space, time and multiple disturbances in a ubiquitous brooding coral</t>
  </si>
  <si>
    <t>The predominance of self-recruitment in many reef-building corals has fundamental and complex consequences for their genetic diversity, population persistence and responses to climate change. Knowledge of genetic structure over local scales needs to be placed within a broad spatial context, and also integrated with genetic monitoring through time to disentangle these consequences. Here, we examined patterns of genetic diversity over multiple spatio-temporal scales across tropical Australia in the ubiquitous brooding coral, Seriatopora hystrix. We also analysed complimentary environmental and demographic data to elucidate the seascape drivers of these patterns. Large genetic differences were detected between the east vs. west coasts of Australia. In northwest Australia, geographic differentiation dominated genetic structure over multiple scales. However, three sympatric lineages were detected at the largest offshore reef system (Scott Reef). Similar to the differences observed among putative species in eastern Australia, these lineages were associated with different levels of wave exposure. Local genetic structure within the Scott Reef system was relatively stable over 10 years, but temporal differences were observed that reflected small but important genetic changes over a few generations during recovery after severe bleaching. These results highlight the importance of self-recruitment together with occasional longer distance connectivity for the persistence of a metapopulation across spatially and temporally variable environments. Our multidimensional research provides a foundation for further long-term genetic monitoring to inform conservation strategies and highlights that sampling scales, ecological effects and cryptic diversity are important considerations to develop realistic understanding of the evolutionary resilience of corals.</t>
  </si>
  <si>
    <t>10.1111/mec.14559</t>
  </si>
  <si>
    <t>WOS:000430919600006</t>
  </si>
  <si>
    <t>Long-term changes in the planktonic cnidarian community in a mesoscale area of the NW Mediterranean</t>
  </si>
  <si>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</si>
  <si>
    <t>10.1371/journal.pone.0196431</t>
  </si>
  <si>
    <t>WOS:000431281100022</t>
  </si>
  <si>
    <t>From forest to city: Plant community change in northeast Ohio from 1800 to 2014</t>
  </si>
  <si>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</si>
  <si>
    <t>10.1111/jvs.12621</t>
  </si>
  <si>
    <t>WOS:000431503000017</t>
  </si>
  <si>
    <t>Highway pollution effects on microhabitat community structure of corticolous lichens</t>
  </si>
  <si>
    <t>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t>
  </si>
  <si>
    <t>10.1639/0007-2745-121.1.001</t>
  </si>
  <si>
    <t>WOS:000431655100001</t>
  </si>
  <si>
    <t>Elevated seawater temperature disrupts the microbiome of an ecologically important bioeroding sponge</t>
  </si>
  <si>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</si>
  <si>
    <t>10.1111/mec.14544</t>
  </si>
  <si>
    <t>WOS:000431667800027</t>
  </si>
  <si>
    <t>The Importance of Disturbance versus Physiography in Defining Vegetation Composition and Predicting Possible Successional Trajectories</t>
  </si>
  <si>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</si>
  <si>
    <t>10.2179/17-139</t>
  </si>
  <si>
    <t>WOS:000431791200005</t>
  </si>
  <si>
    <t>Macrobenthic assemblage characteristics under stressed waters and ecological health assessment using AMBI and M-AMBI: a case study at the Xin'an River Estuary, Yantai, China</t>
  </si>
  <si>
    <t>To understand the ecological status and macrobenthic assemblages of the Xin'an River Estuary and its adjacent waters, a survey was conducted for environmental variables and macrobenthic assemblage structure in September 2012 (Yantai, China). Several methods are adopted in the data analysis process: dominance index, diversity indices, cluster analysis, non-metric multi-dimentional scaling ordination, AMBI and M-AMBI. The dissolved inorganic nitrogen and soluble reactive phosphorus of six out of eight sampling stations were in a good condition with low concentration. The average value of DO ((2.89 +/- 0.60) mg/L) and pH (4.28 +/- 0.43) indicated that the research area faced with the risk of ocean acidification and underlying hypoxia. A total of 62 species were identified, of which the dominant species group was polychaetes. The average abundance and biomass was 577.50 ind./m(2) and 6.01 g/m(2), respectively. Compared with historical data, the macrobenthic assemblage structure at waters around the Xin'an River Estuary was in a relatively stable status from 2009 to 2012. Contaminant indicator species Capitella capitata appeared at Sta. Y1, indicating the animals here suffered from hypoxia and acidification. AMBI and M-AMBI results showed that most sampling stations were slightly disturbed, which were coincided with the abiotic measurement on evaluating the health conditions. Macrobenthic communities suffered pressures from ocean acidification and hypoxia at the research waters, particularly those at Stas Y1, Y2 and Y5, which displays negative results in benthic health evaluation.</t>
  </si>
  <si>
    <t>10.1007/s13131-018-1180-x</t>
  </si>
  <si>
    <t>WOS:000431898900010</t>
  </si>
  <si>
    <t>Long-term effect of sheep and goat grazing on plant diversity in a semi-natural dry grassland habitat</t>
  </si>
  <si>
    <t>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t>
  </si>
  <si>
    <t>10.1016/j.heliyon.2018.e00556</t>
  </si>
  <si>
    <t>WOS:000432033900031</t>
  </si>
  <si>
    <t>Assessment of spatial-temporal variation in natural populations of Brassica incana in south Italy: implications for conservation</t>
  </si>
  <si>
    <t>Brassica incana is a secondary-gene pool wild relative of Brassica oleracea. Twenty-two B. incana populations are recorded in Italy, where the species has recently been pointed out as in priority need of conservation. While data on the spatial and temporal variation of B. incana Italian populations are completely lacking, this information is useful in conservation planning for this species. Three populations from the Sorrento peninsula and from the islands of Ischia and Capri, collected in 1984 and 2012, were characterised for 12 morpho-phenological and 21 genetic traits to assess their spatial-temporal variation. The populations were quite different for morpho-phenological and genetic traits. Spatial differentiation was high and easily explained by the isolation. Temporal differentiation between the Sorrento and Ischia populations was high and explained by a reduction in the population census across time, while it was not significant between the two Capri accessions as such pointing to a major effect of genetic drift. Numerical dimension is extremely relevant in evaluating conservation priorities since it has a major impact on population dynamics over time. The Sorrento and Ischia populations are under threat and urgently need conservation actions, suggesting an alarming scenario for the survival of other crop wild relative populations which are similar in census. Our data also show that, in an allogamous and self-incompatible species like B. incana, populations of 100-200 individuals maintain high allelic diversity. According to obtained results, natural populations of species with similar reproductive system and census can be considered at low risk of genetic erosion.</t>
  </si>
  <si>
    <t>10.1007/s00606-018-1505-4</t>
  </si>
  <si>
    <t>WOS:000432299700001</t>
  </si>
  <si>
    <t>DNA from lake sediments reveals long-term ecosystem changes after a biological invasion</t>
  </si>
  <si>
    <t>What are the long-term consequences of invasive species? After invasion, how long do ecosystems require to reach a new equilibrium? Answering these questions requires long-term, high-resolution data that are vanishingly rare. We combined the analysis of environmental DNA extracted from a lake sediment core, coprophilous fungi, and sedimentological analyses to reconstruct 600 years of ecosystem dynamics on a sub-Antarctic island and to identify the impact of invasive rabbits. Plant communities remained stable from AD 1400 until the 1940s, when the DNA of invasive rabbits was detected in sediments. Rabbit detection corresponded to abrupt changes of plant communities, with a continuous decline of a dominant plant species. Furthermore, erosion rate abruptly increased with rabbit abundance. Rabbit impacts were very fast and were stronger than the effects of climate change during the 20th century. Lake sediments can allow an integrated temporal analysis of ecosystems, revealing the impact of invasive species over time and improving our understanding of underlying mechanisms.</t>
  </si>
  <si>
    <t>10.1126/sciadv.aar4292</t>
  </si>
  <si>
    <t>WOS:000432440600023</t>
  </si>
  <si>
    <t>Responses of stream microbes to multiple anthropogenic stressors in a mesocosm study</t>
  </si>
  <si>
    <t>Stream ecosystems are affected by multiple anthropogenic stressors worldwide. Even though effects of many single stressors are comparatively well studied, the effects of multiple stressors are difficult to predict. In particular bacteria and protists, which are responsible for the majority of ecosystem respiration and element flows, are infrequently studied with respect to multiple stressors responses. We conducted a stream mesocosm experiment to characterize the responses of single and multiple stressors on microbiota. Two functionally important stream habitats, leaf litter and benthic phototrophic rock biofilms, were exposed to three stressors in a full factorial design: fine sediment deposition, increased chloride concentration (salinization) and reduced flow velocity. We analyzed the microbial composition in the two habitat types of the mesocosms using an amplicon sequencing approach. Community analysis on different taxonomic levels as well as principle component analyses (PCoAs) based on realtive abundances of operational taxonomic units (OTUs) showed treatment specific shifts in the eukaryotic biofilm community. Analysis of variance (ANOVA) revealed that Bacillariophyta responded positively salinity and sediment increase, while the relative read abundance of chlorophyte taxa decreased. The combined effects of multiple stressors were mainly antagonistic. Therefore, the community composition in multiply stressed environments resembled the composition of the unstressed control community in terms of OTU occurrence and relative abundances. (C) 2018 The Authors. Published by Elsevier B.V.</t>
  </si>
  <si>
    <t>10.1016/j.scitotenv.2018.03.077</t>
  </si>
  <si>
    <t>WOS:000432475300126</t>
  </si>
  <si>
    <t>Urban forested parks and tall tree canopies contribute to macrolichen epiphyte biodiversity in urban landscapes</t>
  </si>
  <si>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</si>
  <si>
    <t>10.1016/j.ufug.2018.04.012</t>
  </si>
  <si>
    <t>WOS:000432650500013</t>
  </si>
  <si>
    <t>Historical ecology of a biological invasion: the interplay of eutrophication and pollution determines time lags in establishment and detection</t>
  </si>
  <si>
    <t>Human disturbance modifies selection regimes, depressing native species fitness and enabling the establishment of non-indigenous species with suitable traits. A major impediment to test the effect of disturbance on invasion success is the lack of long-term data on the history of invasions. Here, we overcome this problem and reconstruct the effect of disturbance on the invasion of the bivalve Anadara transversa from sediment cores in the Adriatic Sea. We show that (1) the onset of major eutrophication in the 1970s shifted communities towards species tolerating hypoxia, and (2) A. transversa was introduced in the 1970s but failed to reach reproductive size until the late 1990s because of metal contamination, resulting in an establishment and detection lag of similar to 25 years. Subfossil assemblages enabled us to (1) disentangle the distinct stages of invasion, (2) quantify time-lags and (3) finely reconstruct the interaction between environmental factors and the invasion process, showing that while disturbance does promote invasions, a synergism of multiple disturbances can shift selection regimes beyond tolerance limits and induce significant time lags in establishment. The quantification of these time lags enabled us to reject the hypothesis that aquaculture was an initial vector of introduction, making shipping the most probable source.</t>
  </si>
  <si>
    <t>10.1007/s10530-017-1634-7</t>
  </si>
  <si>
    <t>WOS:000432717100006</t>
  </si>
  <si>
    <t>Genetic diversity from pre-bottleneck to recovery in two sympatric pinniped species in the Northwest Atlantic</t>
  </si>
  <si>
    <t>Conservation successes of the past several decades provide natural settings to study post-bottleneck evolutionary processes in species undergoing recovery. Here, we study the impact of demographic change on genetic diversity in parallel natural experiments of historical decline and subsequent recovery in two sympatric pinniped species in the Northwest Atlantic, the gray seal (Halichoerus grypus atlantica) and harbor seal (Phoca vitulina concolor). We compare genetic diversity at the mitochondrial control region today to diversity in archaeological specimens, which represent the populations prior to the regional bounties of the late 1800s to mid-1900s that drastically reduced population sizes and led to local extirpations. We further assess genetic diversity throughout recovery, using biological collections from ongoing long-term studies of both species. Overall, the genetic data are consistent with the historical presence of large, genetically diverse populations of pinnipeds prior to human exploitation, and suggest that gray seals were more dramatically impacted by historical bottlenecks than harbor seals in the Northwest Atlantic. Current mitochondrial diversity in both species is relatively high, and we observe little change over the past several decades during a period of roughly parallel rapid population increases. However, there remain large differences in haplotype composition between pinniped populations of pre-exploitation and today, a lasting genetic signature of historical exploitation that is likely to persist into the future.</t>
  </si>
  <si>
    <t>10.1007/s10592-017-1032-9</t>
  </si>
  <si>
    <t>WOS:000432992100004</t>
  </si>
  <si>
    <t>Population genetic patterns in an irruptive species, the long-nosed bandicoot (Perameles nasuta)</t>
  </si>
  <si>
    <t>Understanding the genetic diversity of a population is important for understanding population persistence and extinction risk. The long-nosed bandicoot (Perameles nasuta) was once regarded as common throughout its range, but it is unknown whether it is at risk of decline and the genetic diversity in this species has not been assessed. We evaluated the genetic structure and diversity of a P. nasuta population from samples collected during a 6 year demographic study that encompassed a cyclical fluctuation in abundance. Genetic diversity was higher compared to other studies on bandicoot species suggesting the population is not genetically impoverished. We detected significant temporal genetic differentiation suggesting turnover of genotypes. There was no strong evidence for population structuring, indicating a panmictic population. Individual-based spatial autocorrelation analysis generated a similar pattern of relatedness across geographical distances for both sexes suggesting no or limited sex-biased dispersal. This study provides useful baseline genetic data for a large P. nasuta population that is not significantly impacted by introduced predators or habitat destruction.</t>
  </si>
  <si>
    <t>10.1007/s10592-017-1044-5</t>
  </si>
  <si>
    <t>WOS:000432992100012</t>
  </si>
  <si>
    <t>Spatiotemporal genetic structure of anadromous Arctic char (Salvelinus alpinus) populations in a region experiencing pronounced climate change</t>
  </si>
  <si>
    <t>We examined spatio-temporal genetic variation at 53 single nucleotide polymorphisms in anadromous Arctic char populations from Western Greenland, a region experiencing pronounced climate change. The study was based on contemporary and historical samples, the latter represented by DNA extracted from otoliths and scales from the 1950s-1960s. We investigated whether genetic population structure was temporarily stable or unstable, the latter due to relatively small spawning and nursery areas combined with a harsh Arctic environment. Furthermore, in order to evaluate the potential for adaptive responses and local adaptation we estimated effective population size (N-e) and migration rate (m). Temporal stability of genetic population structure was suggested, based on a hierarchical analysis of genetic differentiation showing much higher differentiation among samples from different populations (F-CT = 0.091) than among temporal samples from the same populations (F-SC = 0.01). This was further supported by a neighbor-joining tree and assignment of individuals that showed high contingency between historical and contemporary samples. Estimates of N-e were high (&gt; 500) in three out of four populations, with a lower estimate in one population potentially reflecting fishing pressure or suboptimal environmental conditions. Estimates of m were in most cases low, ae 0.01. N-e and m estimates suggest a potential for adaptive responses and local adaptation. However, long generation time may also cause adaptive responses by microevolution to be unable to track climate change, especially considering the low migration rates that reduce potential evolutionary rescue by gene flow from populations better adapted to the altered environments.</t>
  </si>
  <si>
    <t>10.1007/s10592-018-1047-x</t>
  </si>
  <si>
    <t>WOS:000432992100015</t>
  </si>
  <si>
    <t>Genetic diversity through time and space: diversity and demographic history from natural history specimens and serially sampled contemporary populations of the threatened Gouldian finch (Erythrura gouldiae)</t>
  </si>
  <si>
    <t>Declines in population size can compromise the viability of populations by reducing the effective population size (N-e), which may result in loss of genetic diversity and inbreeding. Temporal population genetic data can be a powerful tool for testing the presence and severity of reductions in N-e. The Gouldian finch (Erythrura gouldiae) is a flagship for conservation of Australian monsoonal savanna species. This species underwent severe population declines in the twentieth century due to land use changes associated with European colonization. Microsatellite and mitochondrial genetic data from Gouldian finch samples sourced from natural history collections prior to land use changes were compared with contemporary samples to estimate the severity of decline in effective population size and to detect changes in gene flow. These data show that Gouldian finch decline was not as severe as some sources suggest, and that population genetic connectivity has not changed following land use changes in the twentieth century. Multiple estimators of current N-e using genetic data from consecutive years suggest the Gouldian finch N-e is likely between a few hundred and a few thousand individuals, with some estimates within the range considered of conservation concern. This work has identified the need to genetically characterize populations in Queensland, and to understand critical demographic parameters (e.g. lifespan) in the Gouldian finch. Understanding these factors is vital to further improve genetic estimates of population size, key to the formation of appropriate conservation management of this species.</t>
  </si>
  <si>
    <t>10.1007/s10592-018-1051-1</t>
  </si>
  <si>
    <t>WOS:000432992100019</t>
  </si>
  <si>
    <t>Assessing changes in functional connectivity in a desert bighorn sheep metapopulation after two generations</t>
  </si>
  <si>
    <t>Determining how species move across complex and fragmented landscapes and interact with human-made barriers is a major research focus in conservation. Studies estimating functional connectivity from movement, dispersal or gene flow usually rely on a single study period and rarely consider variation over time. We contrasted genetic structure and gene flow across barriers for a metapopulation of desert bighorn sheep (Ovis canadensis nelsoni) using genotypes collected 2000-2003 and 2013-2015. Based on the recently observed but unexpected spread of a respiratory pathogen across an interstate highway previously identified as a barrier to gene flow, we hypothesized that bighorn sheep changed how they interacted with that barrier, and that shifts in metapopulation structure influenced gene flow, genetic diversity and connectivity. Population assignment tests, genetic structure and genetic recapture demonstrated that bighorn sheep crossed the interstate highway in at least one location in 2013-2015, sharply reducing genetic structure between two populations, but supported conclusions of an earlier study that such crossings were very infrequent or unknown in 2000-2003. A recently expanded population established new links and caused decreases in genetic structure among multiple populations. Genetic diversity showed only slight increases in populations linked by new connections. Genetic structure and assignments revealed other previously undetected changes in movements and distribution, but much was consistent. Thus, we observed changes in both structural and functional connectivity over just two generations, but only in specific locations. Movement patterns of species should be revisited periodically to enable informed management, particularly in dynamic and fragmented systems.</t>
  </si>
  <si>
    <t>10.1111/mec.14586</t>
  </si>
  <si>
    <t>WOS:000433589000002</t>
  </si>
  <si>
    <t>Land ownership and 20th century changes to forest structure in California</t>
  </si>
  <si>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</si>
  <si>
    <t>10.1016/j.foreco.2018.04.012</t>
  </si>
  <si>
    <t>WOS:000433653900015</t>
  </si>
  <si>
    <t>Interactions among plants, bacteria, and fungi reduce extracellular enzyme activities under long-term N fertilization</t>
  </si>
  <si>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</si>
  <si>
    <t>10.1111/gcb.14081</t>
  </si>
  <si>
    <t>WOS:000433717700039</t>
  </si>
  <si>
    <t>Tracking an invasion: community changes in hardwood forests following the arrival of Amynthas agrestis and Amynthas tokioensis in Wisconsin</t>
  </si>
  <si>
    <t>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t>
  </si>
  <si>
    <t>10.1007/s10530-017-1653-4</t>
  </si>
  <si>
    <t>WOS:000434033000004</t>
  </si>
  <si>
    <t>Geographical distribution of zooplankton biodiversity in highly polluted running water ecosystems: Validation of fine-scale species sorting hypothesis</t>
  </si>
  <si>
    <t>Dispersal, rather than species sorting, is widely recognized as the dominant driver for determining meta-community structure at fine geographical scales in running water ecosystems. However, this view has been challenged by a recently proposed fine-scale species sorting hypothesis, where community structure can be largely determined by an environmental gradient formed by local pollution at fine scales. Here, we tested this hypothesis by studying community composition and geographical distribution of metazoan zooplankton in a heavily polluted riverthe North Canal River in the Haihe River Basin, China. Analysis of similarity (ANOSIM) showed that the community composition of metazoan zooplankton differed significantly (p=.001) along the environmental gradient. Ammonium (NH4-N) was the leading factor responsible for changes in zooplankton community structure and geographical distribution, followed by total dissolved solid (TDS), Na, dissolved oxygen (DO) and temperature (T). Variation partitioning revealed a larger contribution of environmental variables (21.6%) than spatial variables (1.1%) to the total explained variation of zooplankton communities. Our results support that species sorting, rather than dispersal, played a key role in structuring communities. Threshold Indicator Taxa ANalysis (TITAN) also revealed significant change points at both taxon and community levels along the gradient of NH4-N, providing further support for the influence of environmental variables on zooplankton communities. Collectively, we validate the fine-scale species sorting hypothesis when an environmental gradient exists in running water ecosystems at fine geographical scales. However, future studies on interactions between pollutants and zooplankton communities are still needed to better understand mechanisms responsible for the meta-community dynamics.</t>
  </si>
  <si>
    <t>10.1002/ece3.4037</t>
  </si>
  <si>
    <t>WOS:000434093100009</t>
  </si>
  <si>
    <t>Invasive weeds in urban riparian zones: the influence of catchment imperviousness and soil chemistry across an urbanization gradient</t>
  </si>
  <si>
    <t>The riparian zones of urban waterways are frequently degraded by weed invasions. This study examined the effects of different levels of catchment imperviousness, as a surrogate for the extent and intensity of urbanisation, on invasive weeds and soil physical and chemical attributes. The study was conducted adjacent to waterways in the partly urbanised Georges River catchment in south western Sydney. Vegetation and soil sampling was undertaken in the riparian zone of 10 freshwater streams in non-urban (low imperviousness), peri-urban (moderate imperviousness) and urban (high imperviousness) sub-catchments. Soil samples were tested for a suite of physical and chemical properties (moisture, bulk density, organic matter, pH, salinity, phosphorus, potassium and calcium). Increased levels of sub-catchment imperviousness and urbanisation were associated with higher weed coverage and elevated soil geochemical attributes. One of the most interesting findings in this study was that urban soil calcium concentrations were over 2000 times greater than soils collected from non-urban catchments. The BIOENV procedure identified soil pH, salinity, calcium, organic matter, moisture and catchment imperviousness to be important environmental factors associated with variation in riparian vegetation. The single factor of soil pH was most highly correlated with variations in riparian vegetation. Soil pH was approximately 1.5 units higher in urban compared to non-urban riparian soils. We speculate that there is a link between urban concrete materials, urban soil and water contaminants and riparian weed invasion. We also recommend further study into the contribution of urban concrete materials on the geochemical contamination of riparian soils.</t>
  </si>
  <si>
    <t>10.1007/s11252-018-0736-z</t>
  </si>
  <si>
    <t>WOS:000434162600009</t>
  </si>
  <si>
    <t>A Genetic Assessment of a Red Drum, Sciaenops ocellatus, Stock Enhancement Program</t>
  </si>
  <si>
    <t>The South Carolina Department of Natural Resources began a stock enhancement research program for red drum, Sciaenops ocellatus, as a possible management strategy for augmenting the availability of juveniles for recreational harvest in South Carolina estuaries. Between 1999 and 2011, approximately 6 million juveniles and 260 million larvae were stocked into the Charleston Harbor (CH) estuary, and proportions of stocked fish were found through standardized sampling as high as 49.6% within a subadult year-class and up to 12% within the spatially separate spawning population. This study evaluated the genetic influences of stocking on the spawning population, using microsatellite loci, and examined any changes in genetic diversity metrics over the course of the stock enhancement program. Percent contribution of stocked fish among subadult and adult collections was compared against measures of genetic diversity. No statistically significant correlations were found among genetic diversity metrics, suggesting that responsible stocking of red drum as small juveniles has not altered the genetic diversity of adults spawning offshore the CH. Life-history characteristics likely play a large role in mitigating changes in genetic diversity, despite high contributions of stocked fish in some years, because red drum exhibit a long adult life span and benefit from overlapping generations.</t>
  </si>
  <si>
    <t>10.1111/jwas.12442</t>
  </si>
  <si>
    <t>WOS:000434226500008</t>
  </si>
  <si>
    <t>Species assignment and population genetic studies of Gran Parana pejerrey (Odontesthes sp., Atheriniformes, Atherinopsidae) from La Plata Basin in South America</t>
  </si>
  <si>
    <t>Pejerrey is the common name given to Odontesthes species from South America. Every year, individuals of pejerrey called Gran (Big) Parana appear during the low-temperature season at rivers in the southern section of the La Plata Basin. Gran Parana fishes are highly appreciated for fishing, and present some biological features different from other well-characterized Odontesthes fish, such as bigger size and migratory behavior. Regulations for the management of pejerrey fisheries within La Plata Basin have not been implemented yet. The aims of the present work were to characterize the Gran Parana pejerrey species by molecular methods and carry out the first population genetic study of Gran Parana pejerrey from the La Plata Basin. All Gran Parana specimens were classified as O. bonariensis, based on both morphology and microsatellite loci. Genetic differentiation was observed between Gran Parana pejerrey and O. bonariensis pejerrey sampled at ChascomAs lagoon. In addition, temporal genetic differentiation was observed, suggesting the presence of different cohorts migrating along the basin. The knowledge of population dynamics and differentiation will contribute to figure out fisheries models and to design protective areas for this species under commercial exploitation.</t>
  </si>
  <si>
    <t>10.1007/s10750-018-3643-7</t>
  </si>
  <si>
    <t>WOS:000434373400016</t>
  </si>
  <si>
    <t>eDNA-based bioassessment of coastal sediments impacted by an oil spill</t>
  </si>
  <si>
    <t>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t>
  </si>
  <si>
    <t>10.1016/j.envpol.2018.02.081</t>
  </si>
  <si>
    <t>WOS:000434754600079</t>
  </si>
  <si>
    <t>Quantifying long-term changes in carbon stocks and forest structure from Amazon forest degradation</t>
  </si>
  <si>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</si>
  <si>
    <t>10.1088/1748-9326/aac331</t>
  </si>
  <si>
    <t>WOS:000434818600001</t>
  </si>
  <si>
    <t>From unburnt to salvage logged: Quantifying bird responses to different levels of disturbance severity</t>
  </si>
  <si>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</si>
  <si>
    <t>10.1111/1365-2664.13137</t>
  </si>
  <si>
    <t>WOS:000434970200007</t>
  </si>
  <si>
    <t>Response of nematode community structure to hypoxia in an enclosed coastal sea, Omura Bay, for three consecutive years</t>
  </si>
  <si>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</si>
  <si>
    <t>10.3800/pbr.13.59</t>
  </si>
  <si>
    <t>WOS:000435228200003</t>
  </si>
  <si>
    <t>Impact of a reservoir system on benthic macroinvertebrate and diatom communities of a large Mediterranean river (lower Ebro river, Catalonia, Spain)</t>
  </si>
  <si>
    <t>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t>
  </si>
  <si>
    <t>10.23818/limn.37.18</t>
  </si>
  <si>
    <t>WOS:000435434300005</t>
  </si>
  <si>
    <t>Downstream impacts of dams: shifts in benthic invertivorous fish assemblages</t>
  </si>
  <si>
    <t>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t>
  </si>
  <si>
    <t>10.1007/s00027-018-0579-y</t>
  </si>
  <si>
    <t>WOS:000435456200003</t>
  </si>
  <si>
    <t>Demographic and Density Response of Northern Bobwhites to Pyric Herbivory of Non-Native Grasslands</t>
  </si>
  <si>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</si>
  <si>
    <t>10.1016/j.rama.2018.02.008</t>
  </si>
  <si>
    <t>WOS:000435480900008</t>
  </si>
  <si>
    <t>Insights from Long-Term Ungrazed and GrazedWatersheds in a Salt Desert Colorado Plateau Ecosystem</t>
  </si>
  <si>
    <t>Dryland ecosystems cover over 41% of the earth's land surface, and living within these important ecosystems are approximately 2 billion people, a large proportion of whom are subsistence agropastoralists. Improper grazing in drylands can negatively impact ecosystem productivity, soil conservation, hydrologic processes, downstream water quantity and quality, and ultimately human health and economic well-being. Concerns regarding the degraded state of western US rangelands in the 1950s resulted in an interagency committee to study the effects of land use on runoff and erosion processes. In 1953, a federal research group established four pairedwatersheds in western Colorado to study the interaction of grazing by domestic livestock, runoff, and sediment yield. Exclusion of livestock from half of the watersheds dramatically reduced runoff and sediment yield after the first 10 yr-primarily due to changes in ground cover but not vegetation. Here, we report results of repeated soils and vegetation assessments of the experimentalwatersheds after more than 50 yr of grazing exclusion. Results show that many of the differences in soil conditions between grazed and ungrazed watersheds observed in the 1950s and 1960s were still present in 2004, despite reduced numbers of livestock: few differences in vegetation cover but large differences in biological soil crusts, soil stability, soil compaction, and soil biogeochemistry. There were differences among soil types in response to grazing history, especially soil lichen cover and soil organic matter, nitrogen, and sodium. Comparisons of ground cover measured in 2004 with those measured in 1953, 1966, and 1972 suggest much of the differences between grazed and ungrazed watersheds likely were driven by high sheep numbers during droughts in the 1950s. Persistence of these differences, despite large reductions in stocking rates, suggest the combination of overgrazing and drought may have pushed these salt desert ecosystems into a persistent, degraded ecological state. Published by Elsevier Inc. on behalf of The Society for Range Management.</t>
  </si>
  <si>
    <t>10.1016/j.rama.2018.02.007</t>
  </si>
  <si>
    <t>WOS:000435480900011</t>
  </si>
  <si>
    <t>Diverse effects of degree of urbanisation and forest size on species richness and functional diversity of plants, and ground surface-active ants and spiders</t>
  </si>
  <si>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</si>
  <si>
    <t>10.1371/journal.pone.e0199245</t>
  </si>
  <si>
    <t>WOS:000435541300029</t>
  </si>
  <si>
    <t>Arbuscular mycorrhizal fungal communities in tropical rain forest are resilient to slash-and-burn agriculture</t>
  </si>
  <si>
    <t>Certain forestry and agricultural practices are known to affect arbuscular mycorrhizal (AM) fungal communities, but the effects of deforestation - including slash-and-burn management and other more severe disturbances - in tropical rain forests are poorly understood. We addressed the effects of anthropogenic disturbance on rain-forest AM fungal communities in French Guiana, by comparing mature tropical rain forest, slash-and-burn (5 y old) and clearcut areas (8 y old). A total of 36 soil samples were collected in six plots and sequenced using a high throughput 454-pyrosequencing platform. A total of 32649 sequences from 103 AM fungal virtual taxa (VT) were recorded. Whereas alpha diversity of AM fungi did not decrease due to land-use intensification, with average richness ranging from 17 to 21 taxa per plot, beta diversity (average distance to multivariate centroid) dropped by 28% from 0.46 in rain forest to 0.33 under clearcutting. AM fungal community composition was correlated with land use and soil chemical properties. Clearcut areas were characterized by the more frequent occurrence of specialist AM fungi, compared with mature forest or slash-and-burn areas. Specifically, clearcuts contained the highest proportions of VT that were geographic (21%), habitat (31%), abundance (97%) or host (97%) specialists based on VT metadata contained in the Maarj AM database. This suggests that certain AM fungi with narrow ecological niches have traits that allow them to exploit conditions of severe disturbance. In conclusion, slash-and-burn management appears to allow diverse AM fungal communities to persist, and may favour regeneration of tropical rain forest after abandonment. More severe disturbance in the form of clearcutting resulted in marked changes in AM fungal communities.</t>
  </si>
  <si>
    <t>10.1017/S0266467418000184</t>
  </si>
  <si>
    <t>WOS:000435549200003</t>
  </si>
  <si>
    <t>More (or less?) bounce for the ounce: a comparison of environmental DNA and classical approaches for bioassessment</t>
  </si>
  <si>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</si>
  <si>
    <t>10.1071/MF17250</t>
  </si>
  <si>
    <t>WOS:000435553500013</t>
  </si>
  <si>
    <t>Genetic diversity of Nephtys hombergii (Phyllodocida, Polychaeta) associated with environmental factors in a highly fluctuating ecosystem</t>
  </si>
  <si>
    <t>Genetic diversity and population distribution are influenced by environmental factors, yet information is scarce on the interrelations that define dispersal of populations. Transitional water ecosystems are hosting habitats with temporally and spatially variable conditions, which make them very useful in understanding the mechanisms affecting population establishment. For the study, seasonal samples were collected from four lagoons in the lagoonal complex of Amvrakikos Gulf (W Greece). The mitochondrial DNA (COI gene) was analysed from polychaetes of Nephtys hombergii, as it is considered an important component of these assemblages and shows great dispersal ability. The results of the genetic analysis showed intraspecific variability in all the lagoons, with genetic structuring tending to follow a seasonal pattern rather than a spatial one. The results of BIOENV analysis indicated correlation of the observed pattern with the water pH levels, the redox potential and the concentration of phosphate in the sediment. The complexity of the network suggested the enhancement of the local population with more recently established haplotypes. The findings of the study support the necessity of designing management strategies by taking into account genetic diversity and population demography approaches in addition to those based on species and habitats.</t>
  </si>
  <si>
    <t>10.1017/S0025315416001910</t>
  </si>
  <si>
    <t>WOS:000435649100014</t>
  </si>
  <si>
    <t>Effects of anthropogenic wildfire in low-elevation Pacific island vegetation communities in French Polynesia</t>
  </si>
  <si>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</si>
  <si>
    <t>10.7717/peerj.5114</t>
  </si>
  <si>
    <t>WOS:000435832400013</t>
  </si>
  <si>
    <t>No recovery of campo rupestre grasslands after gravel extraction: implications for conservation and restoration</t>
  </si>
  <si>
    <t>Old-growth grasslands, including savannas and tropical grasslands, need centuries to assemble; they are therefore expected to have low resilience to anthropogenic activities that disturb the soil (e.g. cultivation, quarrying, mining, etc.). Understanding which parameters restrict the natural recovery of degraded ecosystems is a major prerequisite for planning an effective restoration program. This study was designed to evaluate the recovery of an old-growth grassland, the campo rupestre, after a major disturbance: gravel extraction. In 2010 (i.e. 8years after the degradation), we analyzed soil characteristics, seed bank, and vegetation composition in degraded sites consisting of sandy or gravel substrates, as well as in reference sites of sandy and gravel grasslands. At degraded sites, soils contained lower concentrations of the main nutrients, and seed banks consisted mainly of nontarget species. Seed banks of reference grasslands were poor in species and in seeds. Eight years after the degradation, plant communities at degraded sites were still very different from those at the reference sites, with ruderals and almost no target species. Altered soil conditions, low capacity of campo rupestre species to form seed banks, and the probable restriction of seed dispersal from the target species in nearby campo rupestre considerably limited the establishment of campo rupestre plant communities in degraded areas. Time is essential for old-growth grassland assemblage and, even with the presence of a propagule source in the surroundings, the assembly of campo rupestre plant communities in degraded sites will take centuries. Therefore, human intervention is necessary to rapidly reestablish the main species.</t>
  </si>
  <si>
    <t>10.1111/rec.12713</t>
  </si>
  <si>
    <t>WOS:000436116600010</t>
  </si>
  <si>
    <t>Invasion of aquarium origin soft corals on a tropical rocky reef in the southwest Atlantic, Brazil</t>
  </si>
  <si>
    <t>Non-indigenous species (NIS) can cause substantial change in ecosystems and as marine invasives they can become a major threat to coastal and subtidal habitats. In September 2017 previously unknown and apparently NIS soft corals were detected on a shallow subtidal tropical rocky reef at Ilha Grande Bay, southeast Brazil. The present study aims to identify the species, quantify their distribution, abundance, and their interactions with native species. The most abundant NIS belonged to the recently described genus Sansibia (family Xeniidae) and the less common species was identified as Clavularia cf. viridis (family Clavulariidae). They were found along 170 m of shoreline at all depths where hard substrate was available. Sansibia sp. dominated deeper communities, associated positively with some macroalgal and negatively with the zoantharian Palythoa caribaeonon, which probably provided greater biotic resistance to invasion. Both species are of Indo-Pacific origin and typical of those ornamentals found in the aquarium trade.</t>
  </si>
  <si>
    <t>10.1016/j.marpolbul.2018.03.014</t>
  </si>
  <si>
    <t>WOS:000436221000011</t>
  </si>
  <si>
    <t>Natural revegetation of a semiarid habitat alters taxonomic and functional diversity of soil microbial communities</t>
  </si>
  <si>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</si>
  <si>
    <t>10.1016/j.scitotenv.2018.04.171</t>
  </si>
  <si>
    <t>WOS:000436494400058</t>
  </si>
  <si>
    <t>Microplastics: New substrates for heterotrophic activity contribute to altering organic matter cycles in aquatic ecosystems</t>
  </si>
  <si>
    <t>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t>
  </si>
  <si>
    <t>10.1016/j.scitotenv.2018.04.199</t>
  </si>
  <si>
    <t>WOS:000436494400110</t>
  </si>
  <si>
    <t>Ocean warming alters predicted microbiome functionality in a common sea urchin</t>
  </si>
  <si>
    <t>The microbiome of sea urchins plays a role in maintaining digestive health and innate immunity. Here, we investigated the effects of long-term (90 day) exposure to elevated seawater temperatures on the microbiome of the common, subtropical sea urchin Lytechinus variegatus. The community composition and diversity of microbes varied according to the type of sample collected from the sea urchin (seawater, feed, intestines, coelomic fluid, digested pellet and faeces), with the lowest microbial diversity (predominately the order Campylobacterales) located in the intestinal tissue. Sea urchins exposed to near-future seawater temperatures maintained the community structure and diversity of microbes associated with their tissues. However, marginal, non-significant shifts in microbial community structure with elevated temperature resulted in significant changes in predicted metagenomic functions such as membrane transport and amino acid and carbohydrate metabolism. The predicted changes in key metabolic categories suggest that near-future climate-induced increases in seawater temperature could shift microbial community function and impact sea urchin digestive and immune physiology.</t>
  </si>
  <si>
    <t>10.1098/rspb.2018.0340</t>
  </si>
  <si>
    <t>WOS:000436565200006</t>
  </si>
  <si>
    <t>Fate of di (2 ethylhexyl) phthalate in different soils and associated bacterial community changes</t>
  </si>
  <si>
    <t>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t>
  </si>
  <si>
    <t>10.1016/j.scitotenv.2018.05.055</t>
  </si>
  <si>
    <t>WOS:000436605400046</t>
  </si>
  <si>
    <t>Plant and vegetation functional responses to cumulative high nitrogen deposition in rear-edge heathlands</t>
  </si>
  <si>
    <t>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t>
  </si>
  <si>
    <t>10.1016/j.scitotenv.2018.05.092</t>
  </si>
  <si>
    <t>WOS:000436605400094</t>
  </si>
  <si>
    <t>Rapid recovery of a coral dominated Eastern Tropical Pacific reef after experimentally produced anthropogenic disturbance</t>
  </si>
  <si>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</si>
  <si>
    <t>10.1016/j.marenvres.2018.05.008</t>
  </si>
  <si>
    <t>WOS:000436911600009</t>
  </si>
  <si>
    <t>Concentration-dependent responses of soil bacterial, fungal and nitrifying communities to silver nano and micron particles</t>
  </si>
  <si>
    <t>The growing use of silver nanoparticles (AgNPs) is likely to result in increased environmental contamination. Although AgNPs have been reported to affect microbial communities in a range of ecosystems, there is still a lack of information concerning the effect of low concentrations of AgNPs on soil microbial community structures and functional groups involved in biogeochemical cycling. In this study, the concentration-dependent effects of AgNPs and silver micron particles (AgMPs) on bacterial and fungal community structures in an agricultural pastureland soil were examined in a microcosm-based experiment using enzyme analysis, molecular fmgerprinting, qPCR and amplicon sequencing. Soil enzyme processes were impacted by Ag contamination, with soil dehydrogenase activity reduced by 1 mg kg(-1) of AgNPs and AgMPs. Soil urease activity was less susceptible, but was inhibited by &gt;= 10 mg kg(-1) AgNPs. The significant (P &lt;= 0.001) decrease in copy numbers of the amoA gene by 10 mg kg(-1) AgNPs indicated that archaca ammonia oxidisers may be more sensitive to AgNP contamination than bacteria. Amplicon sequencing revealed the bacterial phyla Acidobacteria and Verrucomicrobia to be highly sensitive to AgNP contamination. A broad reduction in the relative abundance of Acidobacterial genera was observed, with the exception of the genus Geothrix which increased in response to AgNP and AgMP amendment. Broad tolerance to Ag was observed among the Bacteriodetes, with higher relative abundance of most genera observed in the presence of AgNPs and AgMPs. The proteobacterial genus Dyella was highly tolerant to AgNPs and AgMPs and relative abundance of this genus increased with Ag concentration. Soil fungal community structure responded to both AgNPs and AgMPs, but the nanoparticle had an impact at a lower concentration. This study demonstrates that pastureland soil microbial communities are highly sensitive to AgNP amendment and key functional processes may be disrupted by relatively low levels of contamination.</t>
  </si>
  <si>
    <t>10.1007/s11356-018-2087-y</t>
  </si>
  <si>
    <t>WOS:000437264700045</t>
  </si>
  <si>
    <t>A comparison of the effect of beaver and human-made impoundments on stream zooplankton</t>
  </si>
  <si>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</si>
  <si>
    <t>10.1002/eco.1963</t>
  </si>
  <si>
    <t>WOS:000437275000011</t>
  </si>
  <si>
    <t>Land-use heterogeneity by small-scale agriculture promotes amphibian diversity in montane agroforestry systems of northeast Colombia</t>
  </si>
  <si>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</si>
  <si>
    <t>10.1016/j.agee.2018.05.011</t>
  </si>
  <si>
    <t>WOS:000437392100003</t>
  </si>
  <si>
    <t>Rapid Response of Bird Communities to Small-Scale Reforestation in Indonesian Borneo</t>
  </si>
  <si>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</si>
  <si>
    <t>10.1177/1940082918769460</t>
  </si>
  <si>
    <t>WOS:000437507600001</t>
  </si>
  <si>
    <t>Seasonal changes in the diversity and composition of the litter fauna in native forests and rubber plantations</t>
  </si>
  <si>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</si>
  <si>
    <t>10.1038/s41598-018-28603-7</t>
  </si>
  <si>
    <t>WOS:000437673200006</t>
  </si>
  <si>
    <t>Tree monocultures in a biodiversity hotspot: Impact of pine plantations on mammal and bird assemblages in the Atlantic Forest</t>
  </si>
  <si>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</si>
  <si>
    <t>10.1016/j.foreco.2018.04.049</t>
  </si>
  <si>
    <t>WOS:000437967900021</t>
  </si>
  <si>
    <t>Changes in spider diversity through the growth cycle of pine plantations in the semi-deciduous Atlantic forest: The role of prey availability and abiotic conditions</t>
  </si>
  <si>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</si>
  <si>
    <t>10.1016/j.foreco.2018.03.025</t>
  </si>
  <si>
    <t>WOS:000437967900050</t>
  </si>
  <si>
    <t>Genetic monitoring of the Mexican four-eyed octopus Octopus maya population: New insights and perspectives for the fishery management</t>
  </si>
  <si>
    <t>The Octopus maya fishery is one of the most important among the octopod fisheries in America. Recent studies about the wild population of this species, have contributed to understand that population variations and dynamics are highly influenced by temperature. The distribution area of this species could be divided in two well-differentiated thermal zones: an eastern zone influenced by the upwelling pulses, and a western zone with no upwelling influence. There is evidence suggesting that variations in population parameters could be linked to these thermal zones. However the fishery is still managed as one single unit, and there is no control of the capture limit. In this study we analyzed the multilocus microsatellite genotypes of wild O. maya across its distribution area to find out if the population is structured, and if the structure matches the mentioned thermal zones. Additionally, the heterozygosity was compared between samples from 2010 and 2015 to monitor changes related to the high fishing pressure. Results show that O. maya population is structured in two clusters that match with the different thermal zones in the distribution area. Moreover, significant genic differentiation was detected between these thermal zones. On the other hand, despite the high fishing pressure over this species, there is no significant difference in heterozygosity between 2010 and 2015 samples, and no inbreeding was detected, showing that genetic diversity is still high. We recommend the continuous monitoring of heterozygosity in this species, and a separate fishery management for Campeche (western) and Yucatan (eastern) subpopulations.</t>
  </si>
  <si>
    <t>10.1016/j.fishres.2018.05.002</t>
  </si>
  <si>
    <t>WOS:000438005100011</t>
  </si>
  <si>
    <t>Lentic and lotic odonate communities and the factors that influence them in urban versus rural landscapes</t>
  </si>
  <si>
    <t>Habitat alteration via urbanization has very different effects on even closely related taxa. Most research investigating the ecological effects of urbanization has focused on birds or mammals, resulting in a relatively poor understanding of how the species richness and community composition of invertebrates may change. We quantified differences in species richness of adult odonates (dragonflies and damselflies) at lentic and lotic sites in urban and rural landscapes, and we examined environmental factors that might drive the differences in community composition that we observed. For lotic sites, species richness did not differ between urban versus rural sites for either dragonflies or damselflies. For lentic sites, urban and rural sites contained similar dragonfly species richness, but damselfly species richness was significantly lower at urban sites than at rural sites. Differences in lentic odonate community composition were associated with the amount of urban development within 150 m of each site, mean algal coverage, and distance to the urban center. At lotic sites, water temperature and distance to the urban center were correlated with differences in odonate community composition. The differing responses to urbanization observed in this study were probably a consequence of differences between lentic versus lotic ecosystems and between dragonflies versus damselflies in dispersal capability and habitat specificity. Given that different environmental factors affected these taxa differently in lentic and lotic sites, maintaining the highest level of odonate diversity possible across a landscape will require the use of different management practices for each ecosystem type.</t>
  </si>
  <si>
    <t>10.1007/s11252-018-0752-z</t>
  </si>
  <si>
    <t>WOS:000438128600013</t>
  </si>
  <si>
    <t>Recovery of mammal diversity in tropical forests: a functional approach to measuring restoration</t>
  </si>
  <si>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</si>
  <si>
    <t>10.1111/rec.12582</t>
  </si>
  <si>
    <t>WOS:000438220000023</t>
  </si>
  <si>
    <t>A Population Genetic Analysis of Continuously Selected Chlamys farreri Populations</t>
  </si>
  <si>
    <t>This study applied an optimized one-step 2b-RAD library construction strategy and performed simplified genome sequencing of 539 individuals from three continuously selected Chlamys farreri populations. SNP screening was performed using RAD typing software and population genetic parameters for the continuously selected populations from three generations (G1, G2, G3) were determined. The results showed that the optimized one-step 2b-RAD library construction strategy greatly simplified the experimental process, making it suitable for efficiently constructing a large number of libraries. A total of 18450 SNP markers were identified, which evenly distributed throughout the genome. Population genetic analysis of these three generations showed that the mean value of observed heterozygosity was 0.275 +/- 0.177, 0.272 +/- 0.181 and 0.275 +/- 0.166, respectively. Meanwhile, the mean value of expected heterozygosity was 0.275 +/- 0.141, 0.274 +/- 0.145 and 0.280 +/- 0.133, respectively. The Wright's fixation index (F) was 0.04291, 0.04976 and 0.06685, respectively. Markers deviated from Hardy-Weinberg equilibrium accounted for 10.34%, 12.64%, and 23.11%, and the Shannon diversity index was 0.0999 +/- 0.0404, 0.0921 +/- 0.0388 and 0.0733 +/- 0.0308. F (IS) (also known as the inbreeding coefficient) of the three populations was 0.0256, 0.0323 and 0.0468, respectively. We suggested that the 2b-RAD method is well suited to population genetic studies of aquacultured organisms. Moreover, our results indicated that the continuous selection affected the population genetic structure of the cultured Penglai-Red scallop, but the change was not significant; therefore, population selection should continue.</t>
  </si>
  <si>
    <t>10.1007/s11802-018-3539-1</t>
  </si>
  <si>
    <t>WOS:000438294800021</t>
  </si>
  <si>
    <t>Historical changes in grassland area determined the demography of semi-natural grassland butterflies in Japan</t>
  </si>
  <si>
    <t>Semi-natural grassland areas expanded worldwide several thousand years ago following an increase in anthropogenic activities. However, semi-natural grassland habitat areas have been declining in recent decades due to changes in landuse, which have caused a loss of grassland biodiversity. Reconstructing historical and recent demographic changes in seminatural grassland species will help clarify the factors affecting their population decline. Here we quantified past and recent demographic histories of Melitaea ambigua (Lepidoptera; Nymphalidae), an endangered grassland butterfly species in Japan. We examined changes in demography over the past 10,000 years based on 1378 bp of mitochondrial COI gene. We then examined changes in its genetic diversity and structure during the last 30 years using nine microsatellite DNA markers. The effective population size of M. ambigua increased about 3000-6000 years ago. In contrast, the genetic diversity and effective population sizes of many populations significantly declined from the 1980s to 2010s, which is consistent with a recent decline in the species population size. Our data suggest that the M. ambigua demography can be traced to changes in area covered by semi-natural grasslands throughout the Holocene.</t>
  </si>
  <si>
    <t>10.1038/s41437-018-0057-2</t>
  </si>
  <si>
    <t>WOS:000438314600005</t>
  </si>
  <si>
    <t>Ongoing primary forest loss in Brazil, Democratic Republic of the Congo, and Indonesia</t>
  </si>
  <si>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</si>
  <si>
    <t>10.1088/1748-9326/aacd1c</t>
  </si>
  <si>
    <t>WOS:000438666900001</t>
  </si>
  <si>
    <t>N-P fertilization did not reduce AMF abundance or diversity but alter AMF composition in an alpine grassland infested by a root hemiparasitic plant</t>
  </si>
  <si>
    <t>Fertilization has been shown to have suppressive effects on arbuscular mycorrhizal fungi (AMF) and root hemiparasites separately in numerous investigations, but its effects on AMF in the presence of root hemiparasites remain untested. In view of the contrasting nutritional effects of AMF and root hemiparasites on host plants, we tested the hypothesis that fertilization may not show strong suppressive effects on AMF when a plant community was infested by abundant hemiparasitic plants. Plants and soil samples were collected from experimental field plots in Bayanbulak Grassland, where N and P fertilizers had been applied for three continuous years for control against a spreading root hemiparasite, Pedicularis kansuensis. Shoot and root biomass of each plant functional group were determined. Root AMF colonization levels, soil spore abundance, and extraradical hyphae length density were measured for three soil depths (0-10 cm, 10-20 cm, 20-30 cm). Partial 18S rRNA gene sequencing was used to detect AMF diversity and community composition. In addition, we analyzed the relationship between relative abundance of different AMF genera and environmental factors using Spearman's correlation method. In contrast to suppressive effects reported by many previous studies, fertilization showed no significant effects on AMF root colonization or AMF species diversity in the soil. Instead, a marked increase in soil spore abundance and extraradical hyphae length density were observed. However, fertilization altered relative abundance and AMF composition in the soil. Our results support the hypothesis that fertilization does not significantly influence the abundance and diversity of AMF in a plant community infested by P. kansuensis. Copyright (C) 2018 Kunming Institute of Botany, Chinese Academy of Sciences. Publishing services by Elsevier B.V. on behalf of KeAi Communications Co., Ltd.</t>
  </si>
  <si>
    <t>10.1016/j.pld.2018.05.001</t>
  </si>
  <si>
    <t>WOS:000438702000004</t>
  </si>
  <si>
    <t>Fishing, pollution, climate change, and the long-term decline of coral reefs off Havana, Cuba</t>
  </si>
  <si>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</si>
  <si>
    <t>10.5343/bms.2017.1061</t>
  </si>
  <si>
    <t>WOS:000439017000005</t>
  </si>
  <si>
    <t>Cage fish farm act as a source of changes in the fish community of a Neotropical reservoir</t>
  </si>
  <si>
    <t>Brazil has shown an increase in cage fish farms activity in reservoirs. However, this activity shows potential to cause several changes in the environment with consequences in the structure of native fish fauna community. Thus, the hypothesis of this work is that three cage fish farms, located in the different areas of Chavantes reservoir, high Parana basin, have potential to interfere with resident fish communities, modifying their structure. Fish were caught in twelve monthly field samplings around three cage fish farms (FF) (FF1 and FF2 Dec/ 06-Nov/07; FF3 - Mar/08-Feb/09) and their respective reference sites (RF) (RF1, RF2 and RF3), using gillnets with 3 to 14 cm between opposite knots. Our data showed that cage fish farms cause increase in fish abundance and biomass around cages. However, Margalef Richness and Shannon-Wiener diversity decreased in these areas. Spatially, fish community around cage fish farms differed from those observed in the reference sites (Permanova two-way: (F = 12.747; p = 0.001)). However, seasonal differences were not observed (F = 1.3732; p = 0.089). This difference was illustrated by NMDS, that showed the formation of two groups, one composed by fish farms and another by reference sites. These differences were mainly influenced by a small group of fish species (Apareiodon affinis, Steindachnerina insculpta (detritivores) and Pimelodus maculatus (generalist) (Simper analysis)) that are able to consume wastes released. We conclude that the cage fish farm act as a driver of alterations in the fish community, increasing the abundance and biomass of a few species which contributes to decrease Richness and Diversity.</t>
  </si>
  <si>
    <t>10.1016/j.aquaculture.2018.06.053</t>
  </si>
  <si>
    <t>WOS:000439123500094</t>
  </si>
  <si>
    <t>Can intensive fish farming for 20 years induce changes in benthic ecosystems on a scale of waterbody? An assessment from Cephalonia bay (Ionian Sea)</t>
  </si>
  <si>
    <t>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t>
  </si>
  <si>
    <t>10.1007/s10661-018-6846-5</t>
  </si>
  <si>
    <t>WOS:000439227100001</t>
  </si>
  <si>
    <t>Persisting responses of salt marsh fungal communities to the Deepwater Horizon oil spill</t>
  </si>
  <si>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</si>
  <si>
    <t>10.1016/j.scitotenv.2018.06.077</t>
  </si>
  <si>
    <t>WOS:000439405600089</t>
  </si>
  <si>
    <t>Tracking and tracing central Queensland's Macroderma - determining the size of the Mount Etna ghost bat population and potential threats</t>
  </si>
  <si>
    <t>The ghost bat, Macroderma gigas, colony at Mount Etna was at the centre of Australia's longest-running conservation campaign. To protect the colony the Queensland Government removed recreational facilities and gated caves. The size and genetic diversity of the Mount Etna M. gigas population were estimated using cave searches, direct captures and molecular analysis to determine whether these actions have benefitted the species. In addition, telemetry was undertaken and red fox, Vulpes vulpes, scats analysed to identify possible threats. Results suggest that the population has declined by 79% since the late 1990s, has low microsatellite diversity, low effective population size (Ne) and is undergoing a population bottleneck. VHF- and GPS-collared animals were found to forage over agricultural land up to 11.8km from their daytime roost, suggesting that poor land management and barbed-wire fences could be potential threats. No ghost bat remains were found in fox scats. We recommend that compliance be increased around Johansen's Cave to reduce disturbance during the maternity season and landholders be encouraged to undertake management that is sympathetic to ghost bats.</t>
  </si>
  <si>
    <t>10.1071/AM16010</t>
  </si>
  <si>
    <t>WOS:000439693400015</t>
  </si>
  <si>
    <t>Impact of the invasive species Sargassum muticum (Phaeophyta) on tide pool macroalgal assemblages of northern Spain</t>
  </si>
  <si>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</si>
  <si>
    <t>10.1016/j.ecss.2018.06.003</t>
  </si>
  <si>
    <t>WOS:000439740000006</t>
  </si>
  <si>
    <t>Genomic signatures of population bottleneck and recovery in Northwest Atlantic pinnipeds</t>
  </si>
  <si>
    <t>Population increases over the past several decades provide natural settings in which to study the evolutionary processes that occur during bottleneck, growth, and spatial expansion. We used parallel natural experiments of historical decline and subsequent recovery in two sympatric pinniped species in the Northwest Atlantic, the gray seal (Halichoerus grypus atlantica) and harbor seal (Phoca vitulina vitulina), to study the impact of recent demographic change in genomic diversity. Using restriction site-associated DNA sequencing, we assessed genomic diversity at over 8,700 polymorphic gray seal loci and 3,700 polymorphic harbor seal loci in samples from multiple cohorts collected throughout recovery over the past half-century. Despite significant differences in the degree of genetic diversity assessed in the two species, we found signatures of historical bottlenecks in the contemporary genomes of both gray and harbor seals. We evaluated temporal trends in diversity across cohorts, as well as compared samples from sites at both the center and edge of a recent gray seal range expansion, but found no significant change in genomewide diversity following recovery. We did, however, find that the variance and degree of allele frequency change measured over the past several decades were significantly different from neutral expectations of drift under population growth. These two cases of well-described demographic history provide opportunities for critical evaluation of current approaches to simulating and understanding the genetic effects of historical demographic change in natural populations.</t>
  </si>
  <si>
    <t>10.1002/ece3.4143</t>
  </si>
  <si>
    <t>WOS:000439769400019</t>
  </si>
  <si>
    <t>Ocean acidification drives community shifts towards simplified non-calcified habitats in a subtropical-temperate transition zone</t>
  </si>
  <si>
    <t>Rising atmospheric concentrations of carbon dioxide are causing surface seawater pH and carbonate ion concentrations to fall in a process known as ocean acidification. To assess the likely ecological effects of ocean acidification we compared intertidal and subtidal marine communities at increasing levels of pCO(2) at recently discovered volcanic seeps off the Pacific coast of Japan (34 degrees N). This study region is of particular interest for ocean acidification research as it has naturally low levels of surface seawater pCO(2) (280-320 mu atm) and is located at a transition zone between temperate and sub-tropical communities. We provide the first assessment of ocean acidification effects at a biogeographic boundary. Marine communities exposed to mean levels of pCO(2) predicted by 2050 experienced periods of low aragonite saturation and high dissolved inorganic carbon. These two factors combined to cause marked community shifts and a major decline in biodiversity, including the loss of key habitat-forming species, with even more extreme community changes expected by 2100. Our results provide empirical evidence that near-future levels of pCO(2) shift sub-tropical ecosystems from carbonate to fleshy algal dominated systems, accompanied by biodiversity loss and major simplification of the ecosystem.</t>
  </si>
  <si>
    <t>10.1038/s41598-018-29251-7</t>
  </si>
  <si>
    <t>WOS:000439965800008</t>
  </si>
  <si>
    <t>Secondary Invasions Hinder the Recovery of Native Communities after the Removal of Nonnative Pines Along a Precipitation Gradient in Patagonia</t>
  </si>
  <si>
    <t>The removal of nonnative species can lead to re-invasion by nonnative species, especially in communities with multiple co-occurring invaders. Biotic and abiotic conditions shape community structure, reducing the predictability of nonnative management. We evaluated plant community recovery after the removal of nonnative pines with an emphasis on the effect of environmental conditions on the nonnative species response.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Compared to native communities, invasion resistance was lower in clearcuts in the wetter sites. Native richness and cover were lower in clearcuts relative to native communities along the gradient. Species composition in clearcuts diverged in similarity from native communities towards the wetter sites. Plantations showed an extremely lower richness and cover compared to both clearcuts and native communities. Our study highlights that clearcutting is an ineffective strategy to manage nonnatives aimed at restoring native communities and elucidates the importance of environmental context in management approaches. Taken together, our findings reinforce the important consideration of both the biotic and abiotic context of nonnative management.</t>
  </si>
  <si>
    <t>10.3390/f9070394</t>
  </si>
  <si>
    <t>WOS:000440018600025</t>
  </si>
  <si>
    <t>Patterns of Spatial Variation of Meiofauna in Sandy Beaches of Northwestern Mexico with Contrasting Levels of Disturbance</t>
  </si>
  <si>
    <t>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t>
  </si>
  <si>
    <t>10.1007/s41208-017-0038-x</t>
  </si>
  <si>
    <t>WOS:000440173400003</t>
  </si>
  <si>
    <t>Assessment of the impact of Atlantic bluefin tuna farming on Adriatic benthic habitats by analysing macroinvertebrate assemblage structure at family level</t>
  </si>
  <si>
    <t>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t>
  </si>
  <si>
    <t>10.12681/mms.2133</t>
  </si>
  <si>
    <t>WOS:000440187700011</t>
  </si>
  <si>
    <t>Assessment of fish communities in a Mediterranean MPA: Can a seasonal no-take zone provide effective protection?</t>
  </si>
  <si>
    <t>The efficacy of a Mediterranean Marine Protected Area (National Marine Park of Zakynthos - NMPZ, Ionian Sea, Greece) that implements a seasonal no-take zone as part of its management scheme was assessed using fish data collected in situ with underwater visual census. Sampling was conducted at two habitat types (Posidonia oceanica meadows and rocky reefs) that occur at sites of different protection level with respect to fisheries (high protection: seasonal no-take zone within the MPA; intermediate: zones within the MPA where small-scale fishing is allowed; none: areas outside the MPA, where all types of fishing are allowed, including trawlers, purse seiners, and recreational fishing). The data were used to examine the effects of protection level and habitat type on community parameters, trophic structure and functional diversity of fish populations that occupy the upper sublittoral zone. Overall, habitat type had a more pronounced effect than protection level on all investigated parameters. Biomass, density and number of fish species with low commercial value were higher in sites of intermediate protection, but no substantial fisheries-related ecological benefits were detected for targeted fish in the seasonal no-take zone. Conducted 8 years after the initial implementation of the seasonal no-take management scheme, our study suggests that existing fishing regulations in the NMPZ provide some measurable effects, but fall short of maintaining sufficient protection for the recovery of apex predators or other commercially important fish species. A revision of the existing zoning system to include permanent no-take zones, alongside the regulation of professional fishing and all extractive activities in the rest of the MPA, are strongly encouraged in order to enhance the effectiveness of fisheries management.</t>
  </si>
  <si>
    <t>10.1016/j.ecss.2018.04.012</t>
  </si>
  <si>
    <t>WOS:000440265300023</t>
  </si>
  <si>
    <t>Responses of species and phylogenetic diversity of fish communities in the Lancang River to hydropower development and exotic invasions</t>
  </si>
  <si>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</si>
  <si>
    <t>10.1016/j.ecolind.2018.03.004</t>
  </si>
  <si>
    <t>WOS:000440266100029</t>
  </si>
  <si>
    <t>Nutrient optimization of tree growth alters structure and function of boreal soil food webs</t>
  </si>
  <si>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</si>
  <si>
    <t>10.1016/j.foreco.2018.06.034</t>
  </si>
  <si>
    <t>WOS:000440770600006</t>
  </si>
  <si>
    <t>A high level of outcrossing in the vulnerable species Prosopis rubriflora in a Chaco remnant</t>
  </si>
  <si>
    <t>Prosopis rubriflora Hassl. is a tree species typically found in chaquenian areas, mainly with an arborised phytophysiognomy in the southern region of the Pantanal wetland. This species has become vulnerable in recent decades as a result of considerable increases in anthropogenic activities such as cattle breeding, and this vulnerability has also been observed in several other native species. The goal of this study was to estimate the mating system of P. rubriflora in a Chaco remnant by analysing 10 microsatellite markers. Samples were collected over 2 years (2010-213 seedlings and 2011-180 seedlings), and the results suggest that the mating system of P. rubriflora is preferably allogamous. A progeny array was predominantly composed of half-sibs (from 76 to 79%), full-sibs (from 15%) and self-half-sibs (from 6 to 9%). The outcrossing rate between related individuals was significant in 2011 but not in 2010. The average co-ancestry coefficient ((theta) over bar) ranged from 0.158 to 0.162, and the variance effective size (N-e) ranged from 3.05 to 3.13. The number of seed trees required for seed collection (m) to retain an effective size of 150 in progeny array samples was 48-49. The high levels of outcrossing of P. rubriflora appear to be related to several mechanisms that avoid selfing and due to the behaviour of native pollinators, which clearly contribute to the gene flow of the species.</t>
  </si>
  <si>
    <t>10.1071/BT17195</t>
  </si>
  <si>
    <t>WOS:000441025000009</t>
  </si>
  <si>
    <t>Biological invasions increase the richness of arbuscular mycorrhizal fungi from a Hawaiian subtropical ecosystem</t>
  </si>
  <si>
    <t>Biological invasions can have various impacts on the diversity of important microbial mutualists such as mycorrhizal fungi, but few studies have tested whether the effects of invasions on mycorrhizal diversity are consistent across spatial gradients. Furthermore, few of these studies have taken place in tropical ecosystems that experience an inordinate rate of invasions into native habitats. Here, we examined the effects of plant invasions dominated by non-native tree species on the diversity of arbuscular mycorrhizal (AM) fungi in Hawaii. To test the hypothesis that invasions result in consistent changes in AM fungal diversity across spatial gradients relative to native forest habitats, we sampled soil in paired native and invaded sites from three watersheds and used amplicon sequencing to characterize AM fungal communities. Whether our analyses considered phylogenetic relatedness or not, we found that invasions consistently increased the richness of AM fungi. However, AM fungal species composition was not related to invasion status of the vegetation nor local environment, but stratified by watershed. Our results suggest that while invasions can lead to an overall increase in the diversity of microbial mutualists, the effects of plant host identity or geographic structuring potentially outweigh those of invasive species in determining the community membership of AM fungi. Thus, host specificity and spatial factors such as dispersal need to be taken into consideration when examining the effects of biological invasions on symbiotic microbes.</t>
  </si>
  <si>
    <t>10.1007/s10530-018-1710-7</t>
  </si>
  <si>
    <t>WOS:000441112500010</t>
  </si>
  <si>
    <t>Soil arthropod composition differs between old-fields dominated by exotic plant species and remnant native grasslands</t>
  </si>
  <si>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</si>
  <si>
    <t>10.1016/j.actao.2018.06.003</t>
  </si>
  <si>
    <t>WOS:000441487500009</t>
  </si>
  <si>
    <t>Responses of non-native earthworms to experimental eradication of garlic mustard and implications for native vegetation</t>
  </si>
  <si>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</si>
  <si>
    <t>10.1002/ecs2.2353</t>
  </si>
  <si>
    <t>WOS:000441526900036</t>
  </si>
  <si>
    <t>Cascading effects on bacterial communities: cattle grazing causes a shift in the microbiome of a herbivorous caterpillar</t>
  </si>
  <si>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</si>
  <si>
    <t>10.1038/s41396-018-0102-4</t>
  </si>
  <si>
    <t>WOS:000441575100008</t>
  </si>
  <si>
    <t>Nutrient limitation of benthic algae in Lake Baikal, Russia</t>
  </si>
  <si>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</si>
  <si>
    <t>10.1086/699408</t>
  </si>
  <si>
    <t>WOS:000441679400004</t>
  </si>
  <si>
    <t>Pulling apart the urbanization axis: patterns of physiochemical degradation and biological response across stream ecosystems</t>
  </si>
  <si>
    <t>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t>
  </si>
  <si>
    <t>10.1086/699387</t>
  </si>
  <si>
    <t>WOS:000441679400018</t>
  </si>
  <si>
    <t>Genetic Divergence of Nearby Walleye Spawning Groups in Central Lake Erie: Implications for Management</t>
  </si>
  <si>
    <t>Spawning-site philopatry may lead to genetic differentiation among reproductive populations, despite their locations being in close proximity within single bodies of water. Identifying and maintaining locally differentiated spawning groups of Walleye Sander vitreus constitute an agency management priority of the multi-agency Walleye Task Group advisory for the Great Lakes Fishery Commission. Although genetically separable spawning groups of Walleyes have been identified from several areas in the Great Lakes, those in central Lake Erie were previously unknown. The Ohio Division of Wildlife (ODW) collected Walleyes for the present analysis from two spawning groups in Lake Erie's central basin, located just 2km apartone in the Grand River, Ohio, and the other at the nearby central basin reef. The hypothesis of whether the two spawning groups were genetically different was tested by analyzing variation at 14 nuclear DNA microsatellite loci from Walleyes (n=147) reproducing in 2012 at the two sites and among three separate years (1996, 2003, and 2012) in the Grand River (to evaluate temporal trends). Results revealed relatively high genetic diversity in both spawning groups, with the reproductive population in the Grand River having significantly greater allelic richness and representation of private alleles. The Grand River Walleye runs showed a slight temporal decline in allelic richness from 1996 to 2003, which coincided with ODW reports of declining numbers of Walleyes reproducing there. The two spawning groups differed in genetic composition suggesting that they are closely related, yet are separable reproductive subpopulations, with both contributing to the overall diversity of Lake Erie Walleye. Their maintenance and integrity thus may need management attention and further monitoring.</t>
  </si>
  <si>
    <t>10.1002/nafm.10176</t>
  </si>
  <si>
    <t>WOS:000441706600001</t>
  </si>
  <si>
    <t>Organic contamination as a driver of structural changes of hydroid's assemblages of the coral reefs near to Havana Harbour, Cuba</t>
  </si>
  <si>
    <t>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t>
  </si>
  <si>
    <t>10.1016/j.marpolbul.2018.06.003</t>
  </si>
  <si>
    <t>WOS:000441853600061</t>
  </si>
  <si>
    <t>The current status of coral reefs and their vulnerability to climate change and multiple human stresses in the Comoros Archipelago, Western Indian Ocean</t>
  </si>
  <si>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</si>
  <si>
    <t>10.1016/j.marpolbul.2018.04.065</t>
  </si>
  <si>
    <t>WOS:000441853600107</t>
  </si>
  <si>
    <t>Responses of riffle beetle assemblages to deforestation in a semi-deciduous Atlantic Forest remnant</t>
  </si>
  <si>
    <t>Deforestation affects freshwater assemblages since aquatic organisms are dependent on the structure of the riparian vegetation. To investigate the responses of riffle beetles (Elmidae) to deforestation, this study assessed the structure of riffle beetle assemblages found in streams running through a large and well-preserved semi-deciduous Atlantic Forest remnant in Southern Brazil and in nearby deforested areas. Additionally, the effects of different substrate types (litter and stone) on the assemblages were assessed. Riffle beetle assemblages showed a remarkably distinct structure between forested and deforested areas. Lower abundance occurred in deforested streams. Indicator genera of forested streams were detected (e.g., Macrelmis and Microcylloepus), while a generalist genus (Heterelmis) predominated in deforested streams. Substrate type did not affect the composition of riffle beetle genera, although higher abundance was found in litter. Our results are likely associated with changes in the vegetation type and levels and quality of allochthonous material input between forested (native and higher levels) and deforested (exotic and lower levels) streams, which are directly linked to the feeding habits of riffle beetles. Thus, our study reveals an interesting potential of riffle beetles as indicators of stream ecological integrity in semi-deciduous areas of the Atlantic Forest biome.</t>
  </si>
  <si>
    <t>10.1590/0001-3765201820160853</t>
  </si>
  <si>
    <t>WOS:000442096300022</t>
  </si>
  <si>
    <t>Contributions of marine infrastructures to marine planning and protected area networking</t>
  </si>
  <si>
    <t>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t>
  </si>
  <si>
    <t>10.1002/aqc.2916</t>
  </si>
  <si>
    <t>WOS:000442565600007</t>
  </si>
  <si>
    <t>Fish community responses to stream flow alterations and habitat modifications by small hydropower projects in the Western Ghats biodiversity hotspot, India</t>
  </si>
  <si>
    <t>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t>
  </si>
  <si>
    <t>10.1002/aqc.2904</t>
  </si>
  <si>
    <t>WOS:000442565600020</t>
  </si>
  <si>
    <t>Landscape-scale vegetation homogenization in Central European sub-montane forests over the past 50years</t>
  </si>
  <si>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</si>
  <si>
    <t>10.1111/avsc.12372</t>
  </si>
  <si>
    <t>WOS:000442660900003</t>
  </si>
  <si>
    <t>Biotic consequences of a shift in invertebrate ecosystem engineers: Invasion of New Zealand rocky shores by a zone-forming ascidian</t>
  </si>
  <si>
    <t>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t>
  </si>
  <si>
    <t>10.1111/maec.12502</t>
  </si>
  <si>
    <t>WOS:000443232500006</t>
  </si>
  <si>
    <t>The role of environmental driving factors in historical and projected carbon dynamics of wetland ecosystems in Alaska</t>
  </si>
  <si>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</si>
  <si>
    <t>10.1002/eap.1755</t>
  </si>
  <si>
    <t>WOS:000443555100001</t>
  </si>
  <si>
    <t>Combined effects of local habitat, anthropogenic stress, and dispersal on stream ecosystems: a mesocosm experiment</t>
  </si>
  <si>
    <t>The effects of anthropogenic stressors on community structure and ecosystem functioning can be strongly influenced by local habitat structure and dispersal from source communities. Catchment land uses increase the input of fine sediments into stream channels, clogging the interstitial spaces of benthic habitats. Aquatic macrophytes enhance habitat heterogeneity and mediate important ecosystem functions, being thus a key component of habitat structure in many streams. Therefore, the recovery of macrophytes following in-stream habitat modification may be prerequisite for successful stream restoration. Restoration success is also affected by dispersal of organisms from the source community, with potentially the strongest responses in relatively isolated headwater sites that receive a limited amount of dispersing individuals. We used a factorial design in a set of stream mesocosms to study the independent and combined effects of an anthropogenic stressor (sand sedimentation), local habitat (macrophytes, i.e., moss transplants), and enhanced dispersal (two levels: high vs. low) on organic matter retention, algal accrual rate, leaf decomposition, and macroinvertebrate community structure. Overall, all responses were simple additive effects with no interactions between treatments. Sand reduced algal accumulation, total invertebrate density, and density of a few individual taxa. Mosses reduced algal accrual rate and algae-grazing invertebrates, but enhanced organic matter retention and the number of detritus and filter feeders. Mosses also reduced macroinvertebrate diversity by increasing the dominance by a few taxa. Mosses reduced leaf mass loss, possibly because the organic matter retained by mosses provided an additional food source for leaf-shredding invertebrates and thus reduced shredder aggregation into leaf packs. The effect of mosses on macroinvertebrate communities and ecosystem functioning was distinct irrespective of the level of dispersal, suggesting strong environmental control of community structure. The strong environmental control of macroinvertebrate community composition even under enhanced dispersal suggests that re-establishing key habitat features, such as natural stream vegetation, could aid ecosystem recovery in boreal streams.</t>
  </si>
  <si>
    <t>10.1002/eap.1762</t>
  </si>
  <si>
    <t>WOS:000443555100019</t>
  </si>
  <si>
    <t>World's Largest Mass Bathing Event Influences the Bacterial Communities of Godavari, a Holy River of India</t>
  </si>
  <si>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</si>
  <si>
    <t>10.1007/s00248-018-1169-1</t>
  </si>
  <si>
    <t>WOS:000443567600013</t>
  </si>
  <si>
    <t>Reducing the deleterious effects of logging on Ephemeroptera communities through reduced impact management</t>
  </si>
  <si>
    <t>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t>
  </si>
  <si>
    <t>10.1007/s10750-018-3705-x</t>
  </si>
  <si>
    <t>WOS:000444146300014</t>
  </si>
  <si>
    <t>Effects of heat shock and salinity changes on coastal Mediterranean phytoplankton in a mesocosm experiment</t>
  </si>
  <si>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</si>
  <si>
    <t>10.1007/s00227-018-3415-y</t>
  </si>
  <si>
    <t>WOS:000444497900001</t>
  </si>
  <si>
    <t>Differential biodiversity responses between kingdoms (plants, fungi, bacteria and metazoa) along an Alpine succession gradient</t>
  </si>
  <si>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</si>
  <si>
    <t>10.1111/mec.14817</t>
  </si>
  <si>
    <t>WOS:000444577100009</t>
  </si>
  <si>
    <t>Bioturbation by the razor clam (Sinonovacula constricta) on the microbial community and enzymatic activities in the sediment of an ecological aquaculture wastewater treatment system</t>
  </si>
  <si>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</si>
  <si>
    <t>10.1016/j.scitotenv.2018.06.251</t>
  </si>
  <si>
    <t>WOS:000444625900101</t>
  </si>
  <si>
    <t>The effect of biogenic and chemically manufactured silver nanoparticles on the benthic bacterial communities in river sediments</t>
  </si>
  <si>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</si>
  <si>
    <t>10.1016/j.scitotenv.2018.06.283</t>
  </si>
  <si>
    <t>WOS:000445164000140</t>
  </si>
  <si>
    <t>Comparative assessment of autochthonous bacterial and fungal communities and microbial biomarkers of polluted agricultural soils of the Terra dei Fuochi</t>
  </si>
  <si>
    <t>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t>
  </si>
  <si>
    <t>10.1038/s41598-018-32688-5</t>
  </si>
  <si>
    <t>WOS:000445336600049</t>
  </si>
  <si>
    <t>Reduced representation sequencing detects only subtle regional structure in a heavily exploited and rapidly recolonizing marine mammal species</t>
  </si>
  <si>
    <t>Next-generation reduced representation sequencing (RRS) approaches show great potential for resolving the structure of wild populations. However, the population structure of species that have shown rapid demographic recovery following severe population bottlenecks may still prove difficult to resolve due to high gene flow between subpopulations. Here, we tested the effectiveness of the RRS method Genotyping-By-Sequencing (GBS) for describing the population structure of the New Zealand fur seal (NZFS, Arctocephalus forsteri), a species that was heavily exploited by the 19th century commercial sealing industry and has since rapidly recolonized most of its former range from a few isolated colonies. Using 26,026 neutral single nucleotide polymorphisms (SNPs), we assessed genetic variation within and between NZFS colonies. We identified low levels of population differentiation across the species range (&lt;1% of variation explained by regional differences) suggesting a state of near panmixia. Nonetheless, we observed subtle population substructure between West Coast and Southern East Coast colonies and a weak, but significant (p=0.01), isolation-by-distance pattern among the eight colonies studied. Furthermore, our demographic reconstructions supported severe bottlenecks with potential 10-fold and 250-fold declines in response to Polynesian and European hunting, respectively. Finally, we were able to assign individuals treated as unknowns to their regions of origin with high confidence (96%) using our SNP data. Our results indicate that while it may be difficult to detect population structure in species that have experienced rapid recovery, next-generation markers and methods are powerful tools for resolving fine-scale structure and informing conservation and management efforts.</t>
  </si>
  <si>
    <t>10.1002/ece3.4411</t>
  </si>
  <si>
    <t>WOS:000445606000009</t>
  </si>
  <si>
    <t>Temporal dynamics in animal community assembly during post-logging succession in boreal forest</t>
  </si>
  <si>
    <t>Species assemblages can result from deterministic processes, such as niche differentiation and interspecific interactions, and from stochastic processes, such as random colonisation and extinction events. Although changes in animal communities following disturbances have been widely examined, few studies have investigated the mechanisms structuring communities during ecological succession. We assessed the impact of logging on small mammal and beetle assemblages in landscapes dominated by old-growth boreal forests. Our objectives were to 1) characterize variations in communities during the first 66 years of post-harvest forest succession, 2) determine if there are non-random patterns of species co-occurrence (i.e., deterministic processes), and if there are, 3) establish whether non-random co-occurrences are best explained by habitat attributes or by interspecific interactions. We captured small mammals and beetles along a gradient of forest succession (5-66 years) and in old-growth forest, and characterized key vegetation attributes. First, we tested whether community compositions in clear-cut stands became similar to those in natural stands after 66 years. We then used null models, which were either unconstrained or constrained by habitat attributes, to address the last two objectives and distinguish effects of vegetation attributes from interspecific interactions on community assembly. We showed that beetle assemblages differed in stands 21-30 years post-harvest compared to old-growth forests. In contrast, harvesting did not influence the composition of small mammal communities. Overall, our results suggest that community assembly during forest succession is driven by both stochastic and deterministic processes, the latter being linked to interspecific interactions more strongly than to vegetation attributes.</t>
  </si>
  <si>
    <t>10.1371/journal.pone.0204445</t>
  </si>
  <si>
    <t>WOS:000445626400130</t>
  </si>
  <si>
    <t>Bottom-trawling fisheries influence on standing stocks, composition, diversity and trophic redundancy of macrofaunal assemblages from the West Iberian Margin</t>
  </si>
  <si>
    <t>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t>
  </si>
  <si>
    <t>10.1016/j.dsr.2018.06.004</t>
  </si>
  <si>
    <t>WOS:000445985100012</t>
  </si>
  <si>
    <t>Riparian forests mitigate harmful ecological effects of agricultural diffuse pollution in medium-sized streams</t>
  </si>
  <si>
    <t>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t>
  </si>
  <si>
    <t>10.1016/j.scitotenv.2018.08.427</t>
  </si>
  <si>
    <t>WOS:000446076500045</t>
  </si>
  <si>
    <t>Responses of soil N-fixing bacterial communities to redroot pigweed (Amaranthus retroflexus L.) invasion under Cu and Cd heavy metal soil pollution</t>
  </si>
  <si>
    <t>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t>
  </si>
  <si>
    <t>10.1016/j.agee.2018.08.002</t>
  </si>
  <si>
    <t>WOS:000446144100002</t>
  </si>
  <si>
    <t>Prokaryotic footprints in urban water ecosystems: A case study of urban landscape ponds in a coastal city, China</t>
  </si>
  <si>
    <t>The urban water ecosystems, such as the landscape ponds are commonly considered under the influence of anthropogenic disturbances, which can lead to the deterioration of the water quality. The prokaryotic communities are considered as one of the best indicators of the water quality. However, there are significant gaps in understanding the ecological processes that shape the composition and function of prokaryotic communities in the urban water ecosystems. Here, we investigated the biogeographic distribution of prokaryotic assemblages in water environments including landscape ponds, drinking water reservoirs, influents (IFs) and effluents (EFs) of wastewater treatment plants of a coastal city (Xiamen), China, by using 16S rDNA amplicon sequencing. Our results indicated that the ponds had higher alpha-diversity of prokaryotic communities than those in the reservoirs, while there were significant variations in the community compositions among ponds, reservoirs, IFs and EFs. Moreover, ponds harbored a significantly higher proportion of sewage- and fecal-indicator taxa than those in the reservoirs, suggesting the occurrence of exogenous pollution in the urban ponds. Null model analysis revealed that dispersal limitation was the main ecological processes resulting in the divergence of prokaryotic community compositions between ponds and other environments, while dispersal limitation and variable selection played an essential role in the formation of unique prokaryotic assemblages in the reservoirs. Function predication analysis demonstrated that the ponds shared more similar functional profiles with IFs or EFs (e.g., chemoheterotrophy, fermentation, chlorate reducers, nitrate reduction and respiration) than the reservoirs, whereas dominance of photoautotrophy was observed in the reservoirs. Overall, this study provides a profound insight of the ecological mechanisms underlying the responses of prokaryotic communities in the urban landscape ponds to the anthropogenic disturbances. (C) 2018 Elsevier Ltd. All rights reserved.</t>
  </si>
  <si>
    <t>10.1016/j.envpol.2018.07.097</t>
  </si>
  <si>
    <t>WOS:000446282600075</t>
  </si>
  <si>
    <t>Impact of artisanal benthic fisheries on marine ecosystems: A case study in the Gulf of California</t>
  </si>
  <si>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</si>
  <si>
    <t>10.1016/j.ecss.2018.06.024</t>
  </si>
  <si>
    <t>WOS:000446286100001</t>
  </si>
  <si>
    <t>Decreased streamflow impacts fish movement and energetics through reductions to invertebrate drift body size and abundance</t>
  </si>
  <si>
    <t>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t>
  </si>
  <si>
    <t>10.1002/rra.3340</t>
  </si>
  <si>
    <t>WOS:000446330200009</t>
  </si>
  <si>
    <t>Temporal Patterns of Genetic Diversity in an Imperiled Population of the Eastern Massasauga Rattlesnake (Sistrurus catenatus)</t>
  </si>
  <si>
    <t>The Eastern Massasauga (Sistrurus catenatus) is a small, grassland-dependent rattlesnake species declining throughout its native range, and is thus a species of high conservation priority. In Illinois, only a single population remains of a once widespread distribution. We documented genetic diversity in this population over a ten-year period and assessed levels of heterozygosity, allelic diversity, inbreeding (f(1s)), and effective population size (N-e). Neither heterozygosity nor levels of inbreeding differed significantly among periods. We identified 21 alleles that occurred in a single time period, some of which may have been lost from the population given our estimated detection probability of 93%. Effective population size (N-e) was numerically small and showed a decreasing trend through time. Despite small population size and a lack of connectivity, there was no significant decline in genetic diversity over the ten-year study. Aspects of life history, coupled with a preference for a historically patchy habitat, may mitigate the loss of genetic diversity in the species and promote their persistence in the fragmented habitats of the Anthropocene. However, continued genetic monitoring is recommended, and population recovery measures should be implemented as soon as possible to mitigate the deleterious effects of small population size.</t>
  </si>
  <si>
    <t>10.1643/CG-17-682</t>
  </si>
  <si>
    <t>WOS:000446747700002</t>
  </si>
  <si>
    <t>Eutrophication homogenizes shallow lake macrophyte assemblages over space and time</t>
  </si>
  <si>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</si>
  <si>
    <t>10.1002/ecs2.2406</t>
  </si>
  <si>
    <t>WOS:000446834100017</t>
  </si>
  <si>
    <t>Diverse Management Strategies Produce Similar Ecological Outcomes on Ranches in Western Great Plains: Social-Ecological Assessment</t>
  </si>
  <si>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</si>
  <si>
    <t>10.1016/j.rama.2017.08.001</t>
  </si>
  <si>
    <t>WOS:000446859300012</t>
  </si>
  <si>
    <t>Urbanization as a driver of taxonomic, functional, and phylogenetic diversity losses in bird communities</t>
  </si>
  <si>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</si>
  <si>
    <t>10.1139/cjz-2018-0008</t>
  </si>
  <si>
    <t>WOS:000446903100006</t>
  </si>
  <si>
    <t>Short-term effect of Eucalyptus plantations on soil microbial communities and soil-atmosphere methane and nitrous oxide exchange</t>
  </si>
  <si>
    <t>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t>
  </si>
  <si>
    <t>10.1038/s41598-018-33594-6</t>
  </si>
  <si>
    <t>WOS:000447083100024</t>
  </si>
  <si>
    <t>Assessing environmental effects of the bay scallop Argopecten irradians culture in China: Using abiotic and biotic indicators</t>
  </si>
  <si>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</si>
  <si>
    <t>10.1016/j.aquaculture.2018.09.050</t>
  </si>
  <si>
    <t>WOS:000447083800035</t>
  </si>
  <si>
    <t>Application of sewage sludge to agricultural soil increases the abundance of antibiotic resistance genes without altering the composition of prokaryotic communities</t>
  </si>
  <si>
    <t>The application of sewage sludge as soil amendment is a common agricultural practice. However, wastewater treatment plants, sewage sludge and sewage sludge-amended soils have been reported as hotspots for the appearance and dissemination of antibiotic resistance, driven, among other factors, by selection pressure exerted by co-exposure to antibiotics and heavy metals. To address this threat to environmental and human health, soil samples from a long-term (24 years) field experiment, carried out to study the impact of thermally dried and anaerobically digested sewage sludge (at different doses and frequencies of application) on agricultural soil quality, were investigated for the presence of genes encoding antibiotic resistance (ARGs) and mobile genetic elements (MGEs). Sewage sludge-induced changes in specific soil physicochemical and microbial properties, as indicators of soil quality, were also investigated. The application of sewage sludge increased the total concentration of copper and zinc in amended soils, but without affecting the bioavailability of these metals, possibly due to the high values of soil pH and organic matter content. Soil microbal quality, as reflected by the value of the Soil Quality Index, was higher in sewage sludge-amended soils. Similarly, the application of sewage sludge increased soil microbial activity and biomass, as well as the abundance of ARGs and MGE genes, posing a risk of dissemination of antibiotic resistance. In contrast, the composition of soil prokaryotic communities was not significantly altered by the application of sewage sludge. We found correlation between soil Cu and Zn concentrations and the abundance of ARGs and MGE genes. It was concluded that sewage sludge-derived amendments must be properly treated and managed if they are to be applied to agricultural soil. (C) 2018 Elsevier B.V. All rights reserved.</t>
  </si>
  <si>
    <t>10.1016/j.scitotenv.2018.08.092</t>
  </si>
  <si>
    <t>WOS:000447090400142</t>
  </si>
  <si>
    <t>Are Small Dung Beetles (Aphodiinae) useful for monitoring neotropical forests' ecological status? Lessons from a preliminary case study in the Brazilian Amazon</t>
  </si>
  <si>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</si>
  <si>
    <t>10.1016/j.foreco.2018.07.005</t>
  </si>
  <si>
    <t>WOS:000447103700012</t>
  </si>
  <si>
    <t>Environmental radiation alters the gut microbiome of the bank vole Myodes glareolus</t>
  </si>
  <si>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</si>
  <si>
    <t>10.1038/s41396-018-0214-x</t>
  </si>
  <si>
    <t>WOS:000447661300019</t>
  </si>
  <si>
    <t>Warming and land use change concurrently erode ecosystem services in Tibet</t>
  </si>
  <si>
    <t>Alpine meadows on the Tibetan Plateau comprise the largest alpine ecosystem in the world and provide critical ecosystem services, including forage production and carbon sequestration, on which people depend from local to global scales. However, the provision of these services may be threatened by climate warming combined with land use policies that are altering if and how pastoralists can continue to graze livestock, the dominant livelihood practice in this region for millennia. We synthesized findings from a climate warming and yak grazing experiment with landscape-level observations in central Tibet to gain insight into the trajectories of change that Tibet's alpine meadows will undergo in response to expected changes in climate and land use. We show that within 5 years, experimental warming drove an alpine community with intact, sedge-dominated turfs into a degraded state. With removal of livestock, consistent with policy intended to reverse degradation, a longer-term shift to a more shrub-dominated community will likely occur. Neither degraded nor shrub meadows produce forage or sequester carbon to the same degree as intact meadows, indicating that climate warming and drying will reduce the ability of Tibet's alpine meadows to provide key ecosystem services, and that livestock reduction policies intended to counteract trajectories of land degradation instead endanger contemporary livelihoods on the Tibetan Plateau.</t>
  </si>
  <si>
    <t>10.1111/gcb.14417</t>
  </si>
  <si>
    <t>WOS:000447760300040</t>
  </si>
  <si>
    <t>Arbuscular mycorrhizal fungi associated with the babassu palm (Attalea speciosa) in the eastern periphery of Amazonia, Brazil</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</si>
  <si>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</si>
  <si>
    <t>10.1590/1809-4392201800092</t>
  </si>
  <si>
    <t>WOS:000447773900007</t>
  </si>
  <si>
    <t>Application of Environmental DNA Metabarcoding for Predicting Anthropogenic Pollution in Rivers</t>
  </si>
  <si>
    <t>Rivers are among the most threatened freshwater ecosystems, and anthropogenic activities are affecting both river structures and water quality. While assessing the organisms can provide a comprehensive measure of a river's ecological status, it is limited by the traditional morphotaxonomy-based biomonitoring. Recent advances in environmental DNA (eDNA) metabarcoding allow to identify prokaryotes and eukaryotes in one sequencing run, and could thus allow unprecedented resolution. Whether such eDNA-based data can be used directly to predict the pollution status of rivers as a complementation of environmental data remains unknown. Here we used eDNA metabarcoding to explore the main stressors of rivers along which community structure changes, and to identify the method's potential for predicting pollution status based on eDNA data. We showed that a broad range of taxa in bacterial, protistan, and metazoan communities could be profiled with eDNA. Nutrients were the main driving stressor affecting communities' structure, alpha diversity, and the ecological network. We specifically observed that the relative abundance of indicative OTUs was significantly correlated with nutrient levels. These OTUs data could be used to predict the nutrient status up to 79% accuracy on testing data sets. Thus, our study gives a novel approach to predicting the pollution status of rivers by eDNA data.</t>
  </si>
  <si>
    <t>10.1021/acs.est.8b03869</t>
  </si>
  <si>
    <t>WOS:000447816100028</t>
  </si>
  <si>
    <t>Macroinvertebrate community responses to river impoundment at multiple spatial scales</t>
  </si>
  <si>
    <t>River impoundment by the construction of dams potentially modifies a wide range of abiotic and biotic factors in lotic ecosystems and is considered one of the most significant anthropogenic impacts on rivers globally. The past two decades have witnessed a growing body of research centred on quantifying the effects of river impoundment, with a focus on mitigating and managing the effects of individual large dams. This study presents a novelmulti-scale comparison of paired downstream and control sites associated with multiple water supply reservoirs (n = 80) using a spatially extensive multi-year dataset. Macroinvertebrate community structure and indices were analysed in direct association with spatial (e.g. region) and temporal variables (e.g. season) to identify consistent patterns in ecological responses to impoundment. Macroinvertebrate communities at monitoring sites downstream of water supply reservoirs differed significantly from those at control sites at larger spatial scales, both in terms of community structure and taxa richness. The effect was most significant at the regional scale, while biogeographical factors appeared to be important drivers of community differences at the national scale. Water supply reservoirs dampened natural seasonal patterns in community structure at sites downstream of impoundments. Generally, taxonomic richness was higher and %EPT richness lower at downstream sites. Biomonitoring indices used for river management purposes were able to detect community differences, demonstrating their sensitivity to river regulation activities. The results presented improve our understanding of the spatially extensive and long-term effects of water supply reservoirs on instream communities and provide a basis for the future implementation of mitigation measures on impounded rivers and heavily modified waterbodies. (C) 2018 The Authors. Published by Elsevier B.V.</t>
  </si>
  <si>
    <t>10.1016/j.scitotenv.2018.09.264</t>
  </si>
  <si>
    <t>WOS:000447871400094</t>
  </si>
  <si>
    <t>Changes in temperature alter the relationship between biodiversity and ecosystem functioning</t>
  </si>
  <si>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</si>
  <si>
    <t>10.1073/pnas.1805518115</t>
  </si>
  <si>
    <t>WOS:000448040500063</t>
  </si>
  <si>
    <t>The response of benthic foraminifera to aquaculture and industrial pollution: A case study from the Northern Persian Gulf</t>
  </si>
  <si>
    <t>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t>
  </si>
  <si>
    <t>10.1016/j.marpolbul.2018.07.073</t>
  </si>
  <si>
    <t>WOS:000448094200075</t>
  </si>
  <si>
    <t>Abundant and Rare Bacterioplankton in Freshwater Lakes Subjected to Different Levels of Tourism Disturbances</t>
  </si>
  <si>
    <t>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t>
  </si>
  <si>
    <t>10.3390/w10081075</t>
  </si>
  <si>
    <t>WOS:000448462700109</t>
  </si>
  <si>
    <t>MULTIVARIATE IMPACT ANALYSIS OF PARTHENIUM HYSTEROPHORUS INVASION ON ABOVE-GROUND PLANT DIVERSITY IN POTHWAR REGION OF PAKISTAN</t>
  </si>
  <si>
    <t>Phytosociological studies help to understand extent of biological invasion. Multiple analyses of ecological parameters at different locations derive general explanations of impact on species diversity in plant communities. Current study assessed the impact of Parthenium hysterophorus (an annual weed of great significance in Pakistan and worldwide) invasion on native vegetation in Pothwar region of Pakistan. The approach used for the study was random samplings with two categorical factors: invaded and non-invaded under same habitat conditions. Differences in number of species (S), abundance (N), species richness (R), evenness (J'), Shannon diversity index (H') and Simpson index of dominance (lambda) were compared between invaded and control plots by t-test series. Control plots harbored by average of 0.9 more species per 10 m(2). The control category was more diverse (H' = 1.73) than invaded category (H' = 1.53). The higher value of species richness in control plots shows the heterogeneous nature of communities and vice versa in invaded plots. The lower value of index of dominance in invaded plots shows less sample diversity than in the control ones. At multivariate scale, ordination (nMDS) and ANOSIM showed significant magnitude of differences between invaded and control plots in all sites. The most effected site by Parthenium invasion was Jhelum followed by Attock, Rawalpindi, Chakwal and Islamabad. The decrease in diversity indices in invaded over control sites indicated less productive plant communities due to Parthenium invasion. This makes Parthenium a candidate of consideration for appropriate control measures.</t>
  </si>
  <si>
    <t>10.15666/aeer/1605_57995813</t>
  </si>
  <si>
    <t>WOS:000448772700031</t>
  </si>
  <si>
    <t>Intensification of shifting cultivation reduces forest resilience in the northern Amazon</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</si>
  <si>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</si>
  <si>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10.1016/j.foreco.2018.08.014</t>
  </si>
  <si>
    <t>WOS:000449137300031</t>
  </si>
  <si>
    <t>No difference in plant species diversity between protected and managed ravine forests</t>
  </si>
  <si>
    <t>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t>
  </si>
  <si>
    <t>10.1016/j.foreco.2018.08.052</t>
  </si>
  <si>
    <t>WOS:000449137300057</t>
  </si>
  <si>
    <t>Resiliency of biological soil crusts and vascular plants varies among morphogroups with disturbance intensity</t>
  </si>
  <si>
    <t>Background and aims Disturbance affects the ability of organisms to persist on a site, and disturbance history acts as a filter of community composition. This is true for vascular plants and morphological groups of biocrusts, which respond differently to disturbance. Although functioning arid ecosystems include both groups, filtering of morphological groups of biocrusts has not previously been compared simultaneously with the responses of vascular plants. Methods Using a chronosequence approach, cover of vascular plants and biocrusts was examined across chronic disturbance gradients related to invasion by exotic species and grazing by livestock, following the acute disturbance of fire using paired burned and unburned plots in Wyoming big sagebrush on 99 plots. Results Cover of vascular plants and biocrusts was related to disturbance more so than abiotic factors of precipitation following fire, soil chemistry, percent coarse fragment and heat load index. Over time since fire of 12-23years, we saw recovery of early successional groups: short mosses, shallow-rooted perennial grasses and annual forbs. Cover of deep and shallow-rooted perennial grasses and annual forbs increased in cover with intermediate levels of disturbance. Perennial forbs lacked a clear relationship with disturbance. Biocrusts decreased in cover with less disturbance when compared with perennial herbaceous plants but differed in sensitivities. Tall mosses were less sensitive to disturbance compared with lichens. Short mosses increased with some disturbance. Conclusions Morphological groups of biocrusts and vascular plants are eliminated with increasing variability in the size of gaps between perennials represented by the standard deviation of gaps between perennials. The inclusion of both groups in assessments of ecosystem recovery following disturbance addresses the fact that recovery of either group does not happen in isolation from the other but with interacting contributions to ecosystem functions.</t>
  </si>
  <si>
    <t>10.1007/s11104-018-3838-8</t>
  </si>
  <si>
    <t>WOS:000449754900020</t>
  </si>
  <si>
    <t>Quantifying temporal change in plant population attributes: insights from a resurrection approach</t>
  </si>
  <si>
    <t>Rapid evolution in annual plants can be quantified by comparing phenotypic and genetic changes between past and contemporary individuals from the same populations over several generations. Such knowledge will help understand the response of plants to rapid environmental shifts, such as the ones imposed by global climate change. To that end, we undertook a resurrection approach in Spanish populations of the annual plant Arabidopsis thallana that were sampled twice over a decade. Annual weather records were compared to their historical records to extract patterns of climatic shifts over time. We evaluated the differences between samplings in flowering time, a key life-history trait with adaptive significance, with a field experiment. We also estimated genetic diversity and differentiation based on neutral nuclear markers and nucleotide diversity in candidate flowering time (FRI and FLC) and seed dormancy (DOG1) genes. The role of genetic drift was estimated by computing effective population sizes with the temporal method. Overall, two climatic scenarios were detected: intense warming with increased precipitation and moderate warming with decreased precipitation. The average flowering time varied little between samplings. Instead, within-population variation in flowering time exhibited a decreasing trend over time. Substantial temporal changes in genetic diversity and differentiation were observed with both nuclear microsatellites and candidate genes in all populations, which were interpreted as the result of natural demographic fluctuations. We conclude that drought stress caused by moderate warming with decreased precipitation may have the potential to reduce within-population variation in key life-cycle traits, perhaps as a result of stabilizing selection on them, and to constrain the genetic differentiation over time. Besides, the demographic behaviour of populations probably accounts for the substantial temporal patterns of genetic variation, while keeping rather constant those of phenotypic variation.</t>
  </si>
  <si>
    <t>10.1093/aobpla/ply063</t>
  </si>
  <si>
    <t>WOS:000450011500015</t>
  </si>
  <si>
    <t>Are Odonata nymph adversely affected by impaired water quality in urban streams</t>
  </si>
  <si>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</si>
  <si>
    <t>10.1111/aec.12630</t>
  </si>
  <si>
    <t>WOS:000450335900004</t>
  </si>
  <si>
    <t>Impoverished mobile epifaunal assemblages associated with the invasive macroalga Asparagopsis taxiformis in the Mediterranean Sea</t>
  </si>
  <si>
    <t>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t>
  </si>
  <si>
    <t>10.1016/j.marenvres.2018.07.016</t>
  </si>
  <si>
    <t>WOS:000450376700006</t>
  </si>
  <si>
    <t>Sponge-microbe partnerships are stable under eutrophication pressure from mariculture</t>
  </si>
  <si>
    <t>Sponges harbor a great diversity of symbiotic microorganisms. However, environmental stresses can affect this partnership and influence the health and abundance of the host sponges. In Bolinao, Pangasinan, Philippines, chronic input of organic materials from mariculture activities contributes to a eutrophic coastal environment. To understand how these conditions might affect sponge-microbial partnerships, transplantation experiments were conducted with the marine sponge Gelliodes obtusa. High-throughput sequencing of 16S rRNA revealed that the associated microbial community of the sponges did not exhibit significant shifts after six weeks of transplantation at a eutrophic fish farm site compared to sponges grown at a coral reef or a seagrass area. However, sponges at the fish farm revealed higher abundance of the amoA gene, suggesting that microbiome members are responsive to increased ammonium levels at the site. The stable association between G. obtusa and its microbiome indicates that the sponge holobiont can withstand eutrophication pressure from mariculture.</t>
  </si>
  <si>
    <t>10.1016/j.marpolbul.2018.09.011</t>
  </si>
  <si>
    <t>WOS:000450382900015</t>
  </si>
  <si>
    <t>Extreme drought events can promote homogenization of benthic macroinvertebrate assemblages in a floodplain pond in Brazil</t>
  </si>
  <si>
    <t>Extreme weathers tend to become frequent following global warming and may promote important changes in species composition. We used benthic macroinvertebrates to test the hypothesis that extreme drought events could lead to local biotic homogenization in a floodplain pond. We took sediment samples in three sampling areas of a floodplain pond during a period of the usual hydrological cycle and during an extreme weather event that caused an atypical hydrological cycle with prolonged drought period. We found that community composition significantly differs between usual hydrological cycle and extreme drought periods, in which only species adapted to unfavorable environmental conditions remained. The spatial beta diversity decreased during the extreme drought periods, presenting lower variability compared to the usual hydrological cycle. However, species density, richness, and diversity increased during the droughts. We expect that, in scenarios of climate change with frequent extreme weathers, droughts may cause permanent negative impacts on aquatic communities, leading to biotic homogenization. Moreover, our findings indicate that prolonged droughts could increase the time needed to community recovery, suggesting lower community resilience to environmental stressors. Therefore, increasing frequency of extreme drought events may result in an alternative community structure.</t>
  </si>
  <si>
    <t>10.1007/s10750-018-3756-z</t>
  </si>
  <si>
    <t>WOS:000450842300025</t>
  </si>
  <si>
    <t>Grazing and tree 'clearing' alter grass-associated invertebrate assemblages in an Australian tropical grassy woodland</t>
  </si>
  <si>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</si>
  <si>
    <t>10.1071/RJ18062</t>
  </si>
  <si>
    <t>WOS:000451053800001</t>
  </si>
  <si>
    <t>Assessing mesophotic coral ecosystems inside and outside a Caribbean marine protected area</t>
  </si>
  <si>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</si>
  <si>
    <t>10.1098/rsos.180835</t>
  </si>
  <si>
    <t>WOS:000451073300038</t>
  </si>
  <si>
    <t>Marine long-term biodiversity assessment suggests loss of rare species in the Skagerrak and Kattegat region</t>
  </si>
  <si>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</si>
  <si>
    <t>10.1007/s12526-017-0749-5</t>
  </si>
  <si>
    <t>WOS:000451344500036</t>
  </si>
  <si>
    <t>Fate of di (2-ethylhexyl) phthalate and its impact on soil bacterial community under aerobic and anaerobic conditions</t>
  </si>
  <si>
    <t>In this study, we examined the influence of oxygen on the degradation of di (2-ethylhexyl) phthalate (DEHP), the accumulation of its monoester metabolite mono (2-ethylhexyl) phthalate (MEHP) and their impact on soil bacterial communities. Soil microcosms artificially contaminated with DEHP (0, 100 and 1000 mg kg(-1)) were incubated under aerobic and anaerobic flooded conditions, and sacrificed after 0, 21 and 42 days. The results indicated that DEHP degradation proceeded at similar rates in aerobic and anaerobic flooded soils, but accumulation of metabolite MEHP was more likely to occur in anaerobic soils. Moreover, MEHP generated from DEHP degradation seemed to be readily released into the water phase, which may arouse health concerns. Illumina Miseq sequencing showed that MEHP had a greater impact on soil bacterial community than DEHP at the same dosage, and a wide range of bacterial phylotypes were inhibited by MEHP under anaerobic conditions. High DEHP contamination (1000 mg kg(-1)) significantly reduced bacterial diversity and altered bacterial community structure under anaerobic conditions, but not under aerobic conditions. Firmicutes was constantly inhibited by DEHP under both aerobic (Bacillus) and anaerobic (unclassified Clostridiales Family_XVIII) conditions. On the other hand, bacterial phylotypes belonging to Actinobacteria, beta-Proteobacteria and Gemmatimonadaceae were constantly enriched by DEHP in anaerobic soils, however no such a clear pattern existed in aerobic soils. This work greatly expanded our understanding of the fate of DEHP and its modifying effect on bacterial communities under different environmental conditions. (C) 2018 Elsevier Ltd. All rights reserved.</t>
  </si>
  <si>
    <t>10.1016/j.chemosphere.2018.10.078</t>
  </si>
  <si>
    <t>WOS:000451494600010</t>
  </si>
  <si>
    <t>The disproportionate importance of long-unburned forests and woodlands for reptiles</t>
  </si>
  <si>
    <t>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t>
  </si>
  <si>
    <t>10.1002/ece3.4561</t>
  </si>
  <si>
    <t>WOS:000451611000026</t>
  </si>
  <si>
    <t>Drought intensification drives turnover of structure and function in stream invertebrate communities</t>
  </si>
  <si>
    <t>Climatic extremes are becoming more frequent and intense across much of the globe, potentially transforming the biodiversity and functioning of affected ecosystems. In freshwaters, hydrological extremes such as drought can regulate beta diversity, acting as powerful environmental filters to dictate the complement of species and functional traits found at local and landscape scales. New methods that enable beta diversity and its functional equivalent to be partitioned into turnover (replacement of species/functions) and nestedness-resultant (gain/loss of species/functions) components may offer novel insights into the parallel impacts of drought on ecosystem structure and function. Using a series of artificial channels (mesocosms) designed to mimic perennial headwater streams, we experimentally manipulated streamflows to simulate a gradient of drought intensity. We then modelled taxonomic and functional turnover and nestedness of macroinvertebrate communities along this gradient, validating direct gradient approaches (bootstrapping, Mantel tests) against null models of nestedness. Drought intensification produced significant environmental distance decay trends (i.e. communities became increasingly taxonomically and functionally dissimilar the more differentially disturbed by drought they were). Taxonomic distance decay was primarily driven by turnover, while the functional trend reflected a combination of richness differences and turnover at different points along the gradient. Taxonomic and functional distance decay slopes were not significantly different, implying that communities were functionally vulnerable to drying. The increased frequency and intensity of droughts predicted under most climate change scenarios could thus profoundly modify not only the structure of running water invertebrate communities, but also the ecosystem functions they underpin.</t>
  </si>
  <si>
    <t>10.1111/ecog.03711</t>
  </si>
  <si>
    <t>WOS:000451829900006</t>
  </si>
  <si>
    <t>Herbicides and herbivory interact to drive plant community and crop-tree establishment</t>
  </si>
  <si>
    <t>Land management practices often directly alter vegetation structure and composition, but the degree to which ecological processes such as herbivory interact with management to influence biodiversity is less well understood. We hypothesized that large herbivores compound the effects of intensive forest management on early seral plant communities and plantation establishment (i.e., tree survival and growth), and the degree of such effects is dependent on the intensity of management practices. We established 225-m(2) wild-ungulate (deer and elk) exclosures, nested within a manipulated gradient of management intensity (no-herbicide control, light herbicide, moderate herbicide, and intensive herbicide treatments), replicated at the scale of whole harvest units (10-19 ha). Vegetation structure, composition, and crop-tree responses to herbivory varied across the gradient of herbicide application during the first two years of stand establishment, with herbivory effects most evident at light and moderate herbicide treatments. In the moderate herbicide treatment, which approximates management applied to &gt;2.5 million hectares in the Pacific Northwest, United States, foraging by deer and elk resulted in simplified, low-cover plant communities more closely resembling the intensive herbicide treatment. Herbivory further suppressed the growth of competing vegetation in the light herbicide treatment, improving crop-tree survival, and providing early evidence of an ecosystem service. By changing community composition and vegetation structure, intensive forest management alters foraging selectivity and subsequent plant-herbivore interactions; initial shifts in early seral communities are likely to influence understory plant communities and tree growth in later stages of forest development.</t>
  </si>
  <si>
    <t>10.1002/eap.1777</t>
  </si>
  <si>
    <t>WOS:000451913200007</t>
  </si>
  <si>
    <t>Genetic change versus stasis over the time course of invasions: trajectories of two concurrent, allopatric introductions of the Eurasian ruffe</t>
  </si>
  <si>
    <t>Few investigations have examined whether population genetic changes occur over the course of nonindigenous species invasions, which would facilitate understanding their trajectories and ecological successes. The Eurasian ruffe fish Gymnocephalus cernua unintentionally was introduced from ballast water released into western Lake Superior of the North American Laurentian Great Lakes in similar to 1986, likely originating from the Elbe River region where ruffe is indigenous. The ruffe spread quickly to several other areas in the upper Great Lakes, but despite early predictions, has not invaded the lower Great Lakes. In similar to 1991, the ruffe was introduced to Bassenthwaite Lake in northern England through bait bucket releases from southern England, where it is indigenous (and genetically distinct from the Great Lakes invasion). The genetic trajectories of these two independent invasions offer intriguing evolutionary and ecological comparisons. This study tested two alternative hypotheses for the genetic compositions of the two invasions, with reference to two native northern European populations (Elbe River and Vistula Lagoon): whether they have (1) experienced temporal consistency or (2) changed over their respective 30-year time courses. At each invasion stage (early, middle, or later), population genetic diversity may (A) remain similar, (B) decrease due to drift, or (C) increase over time due to addition and establishment of new propagules. Analyses of variation at 10 nuclear DNA microsatellite loci and entire mitochondrial DNA control region sequencing revealed that both invasions overall have lower effective population sizes, allelic richness, and observed heterozygosity compared to the native populations, indicating founder effects. The genetic compositions of both invasions significantly changed over 30 years, supporting hypothesis 2. Diversity has remained relatively consistent overall (A), with decreased allelic richness at the middle invasion stage (B), followed by recovery (C), suggesting arrival of new propagules. Moreover, population differentiation occurred with spread in the upper Great Lakes, with no overall differences in genetic diversity levels (scenario 2A). Ruffe numbers in the Great Lakes have been declining over time, and its continued absence from the lower Great Lakes may reflect limited genetic diversity stemming from a single source population area and few new supplements. The genetic diversity reservoirs of both ruffe invasions, along with continued measures to prevent new inoculants, may constrain their populations and limit long-term ecological success.</t>
  </si>
  <si>
    <t>10.3391/ai.2018.13.4.11</t>
  </si>
  <si>
    <t>WOS:000452050100011</t>
  </si>
  <si>
    <t>Importance of soil legacy effects and successful mutualistic interactions during Australian acacia invasions in nutrient-poor environments</t>
  </si>
  <si>
    <t>1. Non-native plants often alter environments they invade, favouring their own performance through positive feedbacks. Plant-soil interactions represent one such mechanism, but their complexity (e.g. invader-induced changes in soil nutrients, microbial communities, etc.) makes inferences of the precise mechanisms that benefit invaders difficult. Here we aimed to determine: (1) whether invasion by Australian acacias (genus Acacia Mill.) changes nitrogen-fixing soil rhizobial community diversity and structure, and (2) the importance of available rhizobia and overall invader-induced soil changes as significant facilitators of acacia performance. 2. We sampled soils from various invaded and nearby uninvaded areas in South Africa's Core Cape Subregion and, using next generation sequencing, compared rhizobial communities between invaded and univaded soils. We then determined the relative importance of soil status (invaded vs. uninvaded), in conjunction with rhizobial addition, to the performance of invasive acacias under common garden conditions. 3. Next generation sequencing data revealed that invaded soils generally harboured lower rhizobial diversity and were compositionally more homogenous compared to uninvaded soils. Bradyrhizobium strains, the most common known rhizobia associated with acacias, were more abundant in invaded than uninvaded sites. Our greenhouse experiment found significantly reduced growth performances of acacias in uninvaded relative to invaded soils for most species by site comparisons, and almost no influence of additional rhizobial inoculum. However, the overall relationship between nodulation and growth kinetics was much steeper for plants grown in uninvaded compared to invaded soils. 4. Despite invasive acacias homogenizing nitrogen-fixing rhizobial community composition and reducing diversity, it appears that mutualist availability poses no significant barrier to acacia establishment. Although acacia-induced changes to soil conditions enhance plant performance, successful nodulation seems important to early growth performance when encountering novel soil conditions. 5. Synthesis. We provide evidence that invasions by Australian acacias affect the diversity and structure of soil rhizobial communities. Although overall soil changes benefit their performance independent of rhizobia addition, forming successful mutualistic interactions is critical during the establishment phase under novel environmental conditions. Taken together, our results indicate that interactions between soil abiotic and biotic conditions work in concert to enhance invader performance through positive feedbacks.</t>
  </si>
  <si>
    <t>10.1111/1365-2745.12965</t>
  </si>
  <si>
    <t>WOS:000452178600024</t>
  </si>
  <si>
    <t>Assembling the forest herb community after abandonment from agriculture: Long-term successional dynamics differ with land-use history</t>
  </si>
  <si>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</si>
  <si>
    <t>10.1111/1365-2745.12970</t>
  </si>
  <si>
    <t>WOS:000452178600028</t>
  </si>
  <si>
    <t>Seasonality overrides differences in butterfly species composition between natural and anthropogenic forest habitats</t>
  </si>
  <si>
    <t>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t>
  </si>
  <si>
    <t>10.1111/acv.12408</t>
  </si>
  <si>
    <t>WOS:000452235300006</t>
  </si>
  <si>
    <t>Reducing management intensity and isolation as promising tools to enhance ground-dwelling arthropod diversity in urban grasslands</t>
  </si>
  <si>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</si>
  <si>
    <t>10.1007/s11252-018-0786-2</t>
  </si>
  <si>
    <t>WOS:000452382200011</t>
  </si>
  <si>
    <t>Dynamics and determinants of amoeba community, occurrence and abundance in subtropical reservoirs and rivers</t>
  </si>
  <si>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</si>
  <si>
    <t>10.1016/j.watres.2018.09.011</t>
  </si>
  <si>
    <t>WOS:000452565400016</t>
  </si>
  <si>
    <t>Sensitivity of macroinvertebrate indicator taxa to metal gradients in mining areas in Northern Spain</t>
  </si>
  <si>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</si>
  <si>
    <t>10.1016/j.ecolind.2018.04.059</t>
  </si>
  <si>
    <t>WOS:000452692600022</t>
  </si>
  <si>
    <t>Ferns as potential ecological indicators of edge effects in two types of Mexican forests</t>
  </si>
  <si>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</si>
  <si>
    <t>10.1016/j.ecolind.2018.05.029</t>
  </si>
  <si>
    <t>WOS:000452692600067</t>
  </si>
  <si>
    <t>Multiple indicators yield diverging results on grazing degradation and climate controls across Tibetan pastures</t>
  </si>
  <si>
    <t>Understanding the impacts of livestock grazing is crucial to rangeland management and conservation. Numerous indicators have been employed to detect differences caused by grazing, while case studies suggest that effects differ among individual indicator systems. Across Tibetan pastures that have evolved with long grazing histories and harbour high levels of biodiversity, we tested: (I) whether commonly used grazing indicators differ in their sensitivity to grazing and environmental conditions, and (2) the relative importance of grazing and abiotic factors in controlling effects on indicators. Our sampling covered 18 sites within two main grassland types (steppe and meadow). We compared species compositions among communities of plants, small mammals and ants, as well as overall soil chemical conditions and field hyperspectral reflectance data using multivariate analyses between two qualitative levels of grazing intensity (heavy vs. light). Using univariate Generalized Linear Models, we explored the effects of grazing intensity, grassland type and their interaction on the richness and abundance of biotic groups as well as values of key soil and hyperspectral indices. The major environmental factors tested included temperature, precipitation, elevation, relief, exposure and inclination. Few of the indicators differed under relatively heavy grazing, including reductions in vegetation cover, soil organic carbon, total nitrogen concentration and two hyperspectral indices. Indicator groups differed both quantitatively and qualitatively with respect to grazing and climate impacts. Grazing effects were evident in the moist Kobresia meadows of eastern Tibet, while environmental controls dominated in alpine steppes of the drier western part of the plateau. Grazing effects on indicators thus depended on local precipitation conditions. Multivariate species compositions were affected by abiotic factors in all biotic indicator groups: precipitation was the most influential abiotic factor affecting plant species composition, overall soil nutrients and hyper spectral data, while elevation and temperature influenced ant and small mammal communities in terms of richness and species composition. Our results do not support the notion that local increases in relative grazing intensity have strong effects on the species richness of key biotic indicator groups across all Tibetan pastures. Reliable assessments of grazing effects thus require both multiple appropriate indicators and careful calibration to account for local climate and topographic conditions. Differences between principal grassland types must be acknowledged for future grassland conservation and management.</t>
  </si>
  <si>
    <t>10.1016/j.ecolind.2018.06.021</t>
  </si>
  <si>
    <t>WOS:000452692600117</t>
  </si>
  <si>
    <t>Global warming-induced temperature effects to intertidal tropical and temperate meiobenthic communities</t>
  </si>
  <si>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</si>
  <si>
    <t>10.1016/j.marenvres.2018.10.005</t>
  </si>
  <si>
    <t>WOS:000452943500019</t>
  </si>
  <si>
    <t>The spatial scale of homogenisation and differentiation in Chihuahuan Desert fish assemblages</t>
  </si>
  <si>
    <t>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t>
  </si>
  <si>
    <t>10.1111/fwb.13211</t>
  </si>
  <si>
    <t>WOS:000453853500018</t>
  </si>
  <si>
    <t>Access to Natural Substrates in Urban Streams Does Not Counter Impoverishment of Macroinvertebrate Communities: a Comparison of Engineered and Non-engineered Reaches</t>
  </si>
  <si>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</si>
  <si>
    <t>10.1007/s11270-018-4054-0</t>
  </si>
  <si>
    <t>WOS:000453937600001</t>
  </si>
  <si>
    <t>Evaluating effective population size and genetic diversity of a declining kit fox population using contemporary and historical specimens</t>
  </si>
  <si>
    <t>Loss of genetic diversity has serious conservation consequences (e.g., loss of adaptive potential, reduced population viability), but is difficult to evaluate without developing long-term, multigenerational datasets. Alternatively, historical samples can provide insights into changes in genetic diversity and effective population size (N-e). Kit foxes (Vulpes macrotis) are a species of conservation concern across much of their range. In western Utah, kit fox abundance has declined precipitously from historical levels, causing concern about population persistence. We analyzed genetic samples from museum specimens and contemporary scats to evaluate temporal changes in (a) genetic diversity and (b) N-e for kit foxes in western Utah, and (c) discuss our findings with respect to population risk and conservation. The N-e of kit foxes in western Utah has decreased substantially. When compared to established conservation thresholds for N-e (e.g., the 50/500 rule), observed levels suggest the population may be at risk of inbreeding depression and local extinction. In contrast, we found no significant decrease in genetic diversity associated with declining N-e. We detected evidence of low levels of immigration into the population and suspect genetic diversity may have been maintained by this previously undescribed gene flow from adjacent populations. Low or intermittent immigration may serve to temper the potential short-term negative consequences of low N-e. We recommend that kit fox conservation efforts focus on evaluating and maintaining landscape connectivity. We demonstrate how historical specimens can provide a baseline of comparison for contemporary populations, highlighting the importance of natural history collections to conservation during a period of declining funding and support.</t>
  </si>
  <si>
    <t>10.1002/ece3.4660</t>
  </si>
  <si>
    <t>WOS:000454107200054</t>
  </si>
  <si>
    <t>Artificial lighting at night alters aquatic-riparian invertebrate food webs</t>
  </si>
  <si>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</si>
  <si>
    <t>10.1002/eap.1821</t>
  </si>
  <si>
    <t>WOS:000454685500010</t>
  </si>
  <si>
    <t>Ant assemblages of Brazil nut trees Bertholletia excelsa in forest and pasture habitats in the Southwestern Brazilian Amazon</t>
  </si>
  <si>
    <t>In the Southwestern Brazilian Amazon, the Brazil nut tree Bertholletia excelsa is the most conspicuous remnant element of original forest ecosystems in human-modified landscapes. They often exist in pastures that have very different environmental characteristics than forests. In our study, we surveyed the ant fauna of Brazil nut trees in forest and pasture habitats in the Southwestern Brazilian Amazon. Specifically, we addressed the following questions: (i) How do arboreal ant assemblages of Brazil nut tree crowns change based on habitat type? (ii) What is the contribution of forest ant species from Brazil nut tree crowns to ant assemblages in pasture Brazil nut tree crowns? (iii) What features of pasture Brazil nut trees lead to a greater number of arboreal ant species? We selected 20 trees in each habitat type (forest and pasture) and collected ant samples both at the soil surface and at tree crowns, sampling a total of 184 ant species. Species composition was primarily determined by sampling layer. We found that the number of ant species was 63% lower in pasture than in forest tree crowns. The dissimilarity between the ant assemblages of tree crown and soil surface remained almost the same in both habitats. There was relatively little overlap in species composition in the forest tree crowns versus the pasture tree crowns, with species replacement component highly contributing to the differences. We conclude that scattered Brazil nut trees plays limited role on the conservation of its associated biodiversity in human-modified landscapes such as pastures.</t>
  </si>
  <si>
    <t>10.1007/s10531-018-1657-0</t>
  </si>
  <si>
    <t>WOS:000454777600005</t>
  </si>
  <si>
    <t>Severity of impacts of an introduced species corresponds with regional eco-evolutionary experience</t>
  </si>
  <si>
    <t>Invasive plant impacts vary widely across introduced ranges. We tested the hypothesis that differences in the eco-evolutionary experience of native communities with the invader correspond with the impacts of invasive species on native vegetation, with impacts increasing with ecological novelty. We compared plant species richness and composition beneath Pinus contorta to that in adjacent vegetation and other P. contorta stands across a network of sites in its native (Canada and USA) and non-native (Argentina, Chile, Finland, New Zealand, Scotland, Sweden) ranges. At sites in North America and Europe, within the natural distribution of the genus Pinus, P. contorta was not associated with decreases in diversity. In the Southern Hemisphere, where there are no native Pinaceae, plant communities beneath P. contorta were less diverse than in other regions and compared to uninvaded native vegetation. Effects on native vegetation were particularly pronounced where P. contorta was a more novel life form and exhibited higher growth rates. Our results support the hypothesis that the eco-evolutionary experience of the native vegetation, and thus the novelty of the invader, determines the magnitude of invader impacts on native communities. Understanding the eco-evolutionary context of invasions will help to better understand and predict where invasion impacts will be greatest and to prioritize invasive species management.</t>
  </si>
  <si>
    <t>10.1111/ecog.04014</t>
  </si>
  <si>
    <t>WOS:000454810100002</t>
  </si>
  <si>
    <t>The impacts of land use intensification on the assembly of drosophilidae (Diptera)</t>
  </si>
  <si>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</si>
  <si>
    <t>10.1016/j.gecco.2018.e00432</t>
  </si>
  <si>
    <t>WOS:000454994500001</t>
  </si>
  <si>
    <t>Genetic influences on male and female variance in reproductive success and implications for the recovery of severely endangered mountain caribou</t>
  </si>
  <si>
    <t>Small and declining populations of large mammals are vulnerable to stochastic events and can be at high risk of extinction. Population viability is also susceptible to the detrimental effects of low genetic diversity and inbreeding. The objective of this study was to do an assessment of three endangered caribou subpopulations using non-invasive genetic sampling to assess demographic population changes by combining capture-recapture modeling, familial pedigree networks, individual fitness and inbreeding coefficients. Three subpopulations of the Central Mountain caribou ecotype (Rangifer tarandus caribou) in Jasper National Park, Canada, were systematically surveyed over a 10-year period and fecal samples collected for DNA analyses. For the Tonquin, population size declined at a rate of 0.86 (95% CI 0.82, 0.91), the number of females decreased from 41 in 2006 to only 14 in 2015. The Brazeau and Maligne subpopulations also declined over the same period, from 22 to 11 individuals (11 and 5 females) in 2006, to 12 and 3 individuals (6 and 1 females) in 2015. The pedigree network confirmed limited interbreeding among subpopulations, varied fitness levels in both males and females, and evidence of inbreeding avoidance among high-fitness individuals. All population parameters pointed to a rapid population decline and low population sizes, putting them at high risk of extinction. The varying reproductive fitness observed amongst males and females was significant and should be considered in future population augmentation or reintroduction efforts. Improved connectivity among and with neighbouring subpopulations should also be considered to sustain or enhance genetic diversity. (C) 2018 Published by Elsevier B.V.</t>
  </si>
  <si>
    <t>10.1016/j.gecco.2018.e00451</t>
  </si>
  <si>
    <t>WOS:000454994500011</t>
  </si>
  <si>
    <t>Responses of paddy soil bacterial community assembly to different long-term fertilizations in southeast China</t>
  </si>
  <si>
    <t>Recent works have shown that long-term fertilization has a critical influence on soil microbial communities; however, the underlying ecological assemblage of microbial community as well as its linkage with soil fertility and crop yield are still poorly understood. In this study, using analysis of high-throughput sequencing of 16S rRNA gene amplicons, we investigate mean pairwise phylogenetic distance (MPD), nearest relative index (NRI), taxonomic compositions and network topological properties to evaluate the assembly of the soil microbial community developed in 30-year fertilized soils. The phylogenetic signal indicates that environmental filtering was a more important assembly process that structure the microbial community than the stochastic process. Increase of soil fertility indexes, such as cation exchange capacity (CEC), soil organic matter (SOM) and available P (AP), driven by balanced fertilizations and strawreturning amendment, result in the decrease of environmental filtering on the bacterial community assembly. Network parameters show that the amendment of straw returning provides with more niches, which lead to more complex phylotype co-occurrence. Increase of crop yield under balanced fertilizations might due to the increase of soilmicrobial function traits, which is associated with decreasing influence of environmental filtering. The significantly increased bacterial genera, Candidatus Koribacter, Candidatus Solibacter, and Fimbriimonas, in straw returning treatments, might be the key species in the competition caused by long-term environmental filtering. These results are helpful for a unified understanding of the ecological processes formicrobial communities in different fertilized agroecosystem and the development of sustainable agriculture. (c) 2018 Elsevier B. V. All rights reserved.</t>
  </si>
  <si>
    <t>10.1016/j.scitotenv.2018.11.359</t>
  </si>
  <si>
    <t>WOS:000455039600061</t>
  </si>
  <si>
    <t>Pollution from azithromycin-manufacturing promotes macrolide-resistance gene propagation and induces spatial and seasonal bacterial community shifts in receiving river sediments</t>
  </si>
  <si>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</si>
  <si>
    <t>10.1016/j.envint.2018.12.050</t>
  </si>
  <si>
    <t>WOS:000455532500056</t>
  </si>
  <si>
    <t>Soil constraints for arbuscular mycorrhizal fungi spore community in degraded sites of rupestrian grassland: Implications for restoration</t>
  </si>
  <si>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</si>
  <si>
    <t>10.1016/j.ejsobi.2018.12.003</t>
  </si>
  <si>
    <t>WOS:000455693400008</t>
  </si>
  <si>
    <t>Modeling microbial communities from atrazine contaminated soils promotes the development of biostimulation solutions</t>
  </si>
  <si>
    <t>Microbial communities play a vital role in biogeochemical cycles, allowing the biodegradation of a wide range of pollutants. The composition of the community and the interactions between its members affect degradation rate and determine the identity of the final products. Here, we demonstrate the application of sequencing technologies and metabolic modeling approaches towards enhancing biodegradation of atrazine-a herbicide causing environmental pollution. Treatment of agriculture soil with atrazine is shown to induce significant changes in community structure and functional performances. Genome-scale metabolic models were constructed for Arthrobacter, the atrazine degrader, and four other non-atrazine degrading species whose relative abundance in soil was changed following exposure to the herbicide. By modeling community function we show that consortia including the direct degrader and non-degrader differentially abundant species perform better than Arthrobacter alone. Simulations predict that growth/degradation enhancement is derived by metabolic exchanges between community members. Based on simulations we designed endogenous consortia optimized for enhanced degradation whose performances were validated in vitro and biostimulation strategies that were tested in pot experiments. Overall, our analysis demonstrates that understanding community function in its wider context, beyond the single direct degrader perspective, promotes the design of biostimulation strategies.</t>
  </si>
  <si>
    <t>10.1038/s41396-018-0288-5</t>
  </si>
  <si>
    <t>WOS:000455747900020</t>
  </si>
  <si>
    <t>Parasites of fish Poecilia velifera and their potential as bioindicators of wetland restoration progress</t>
  </si>
  <si>
    <t>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t>
  </si>
  <si>
    <t>10.1186/s10152-019-0522-1</t>
  </si>
  <si>
    <t>WOS:000456027800001</t>
  </si>
  <si>
    <t>Goat grazing reduces diversity and leads to functional, taxonomic, and phylogenetic homogenization in an arid shrubland</t>
  </si>
  <si>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</si>
  <si>
    <t>10.1002/ldr.3208</t>
  </si>
  <si>
    <t>WOS:000456201900006</t>
  </si>
  <si>
    <t>Eucalyptus plantations as hybrid ecosystems: Implications for species conservation in the Brazilian Atlantic forest</t>
  </si>
  <si>
    <t>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t>
  </si>
  <si>
    <t>10.1016/j.foreco.2018.10.063</t>
  </si>
  <si>
    <t>WOS:000456902500014</t>
  </si>
  <si>
    <t>Historical logging alters soil fungal community composition and network in a tropical rainforest</t>
  </si>
  <si>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</si>
  <si>
    <t>10.1016/j.foreco.2018.11.005</t>
  </si>
  <si>
    <t>WOS:000456902500024</t>
  </si>
  <si>
    <t>The succession of soil Collembola communities in spruce forests of the High Tatra Mountains five years after a windthrow and clear-cut logging</t>
  </si>
  <si>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</si>
  <si>
    <t>10.1016/j.foreco.2018.11.023</t>
  </si>
  <si>
    <t>WOS:000456902500051</t>
  </si>
  <si>
    <t>Higher Abundance of Marine Predators and Changes in Fishers' Behavior Following Spatial Protection within the World's Biggest Shark Fishery</t>
  </si>
  <si>
    <t>Fisheries are complex social-ecological systems, where managers struggle to balance the socio-economic interests of fishing communities with the biology and ecology of fisheries species. Spatial closures are a popular measure to address conservation and fisheries management goals, including the protection of shark populations. However, very little research has been published on the effectiveness of shark-specific closures to protect sharks, or their impacts on fisher behavior. Situated within the global center of tropical marine biodiversity, Indonesia's shark fishery contributes more to the international shark fin trade than any other nation. Here we evaluate the effect of shark-specific closures on sharks and other species of interest, as well as shark fishers' responses to losing access to their former fishing grounds. We assessed shark diversity and abundance in an open access zone (OAZ) and two No-Take Zones (NTZs) of a Marine Protected Area within the recently established shark sanctuary in Raja Ampat, Indonesia, where sharks have high monetary value as a tourism attraction. Shark abundance was significantly higher in the privately managed NTZs than in the OAZ. Across all management zones, neither zone size, depth nor reef complexity explained variations in shark abundance, suggesting that governance is the main driver of successful shark conservation areas. These trends were also reflected in species targeted by small-scale reef fisheries, including snappers, emperor, groupers, tunas, mackerels, and large-bodied wrasse and parrotfish. Interviews with shark fishers who lost access to their primary fishing grounds when the shark sanctuary was established showed that while most fishers (88%) knew that sharks were protected in Raja Ampat, many were unsure about the purpose of the sanctuary. Few fishers felt that the agencies implementing fishing bans understood their livelihood needs. We found that shark fishers adapted to the loss of former fishing grounds by shifting fishing effort to other locations or diversifying their livelihoods, including illegal petrol transport. While conserving sharks for tourism can be effective, it may inadvertently result in displacing fishing effort to unprotected regions. We propose that effective shark conservation in Indonesia will need to combine strategic spatial protection with efforts to support livelihood security and diversification.</t>
  </si>
  <si>
    <t>10.3389/fmars.2016.00043</t>
  </si>
  <si>
    <t>WOS:000457358000042</t>
  </si>
  <si>
    <t>Feral horse impacts on threatened plants and animals in sub-alpine and montane environments in Victoria, Australia</t>
  </si>
  <si>
    <t>Feral herbivores are a major driver of biodiversity loss globally and can alter the structure, composition and functioning of ecosystems. The direct impacts of feral herbivores on plant communities are well studied, but the direct and indirect effect they have on wildlife is not well understood. In Victoria (south-eastern Australia), a large feral Horse (Equus caballus) population coincides with highly sensitive and nationally endangered Alpine Sphagnum Bogs and Associated Fens communities, and several threatened animal species. We assessed the impact of feral horses on this ecological community and the Alpine Water Skink (Eulamprus kosciuskoi) and the Broad-toothed Rat (Mastacomys fuscus) at 20 sites with varying levels of horse disturbance. We used scat counts to determine an index of feral horse abundance and quantified impacts associated with their presence in the landscape. Active searches were used for Alpine Water Skink and scat and runway surveys for Broad-toothed Rat. We also measured the vegetation structure and the abundance of different vegetation types (life forms). Our results suggest that feral horses are associated with vegetation types and characteristics that negatively influence the presence or abundance of Alpine Water Skink and Broad-toothed Rat. Sites with high horse activity had more low-growing forbs, and the abundance of Alpine Water Skink was negatively related to this vegetation type. Grasses, sedges, rushes and shrubs were also less dense and lower in height in high horse activity sites, and Broad-toothed Rat was less likely to be present in areas with these habitat attributes. We recommend that feral horses are controlled to protect these threatened vertebrate species and their Sphagnum bog habitat.</t>
  </si>
  <si>
    <t>10.1111/emr.12352</t>
  </si>
  <si>
    <t>WOS:000457491300009</t>
  </si>
  <si>
    <t>Adaptive shifts of bacterioplankton communities in response to nitrogen enrichment in a highly polluted river</t>
  </si>
  <si>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</si>
  <si>
    <t>10.1016/j.envpol.2018.11.002</t>
  </si>
  <si>
    <t>WOS:000457511900031</t>
  </si>
  <si>
    <t>Effects of of fire severity on the composition and functional traits of litter-dwelling macroinvertebrates in a temperate forest</t>
  </si>
  <si>
    <t>High severity fires are likely to become more prevalent with global climate change, so it is critical that we understand their effects on forest ecosystems. Leaf litter dependent fauna are likely to be particularly vulnerable to habitat loss resulting from fire, which often destroys their leaf litter habitat. We hypothesised that, as fire severity increased: (1) richness and abundance of macroinvertebrate litter fauna would decline; (2) species composition would change; and (3) species responses would depend on morphological and trophic traits, with proportions of larger, winged and predatory species increasing with fire severity. To test the effects of fire severity on the composition and functional traits of litter-dwelling macroinvertebrates, we collected macro invertebrates using litterbags and standardised hand searches of logs at unbumt, low severity (ground burnt) and high severity (crown burnt) burnt eucalyptus forests (n = 7) in south eastern Australia, three years after fire. Litter-dwelling macroinvertebrates were larger, less abundant and less species-rich at high severity burnt than unburnt sites and species composition differed from unburnt and low severity burnt sites. Fire severity did not affect the proportion of winged species or individuals. Thus, we suggest small bodied species may struggle to recolonize through limited dispersal ability or may be limited by the drier post-fire environment. Increases in large scale, high severity fires may therefore result in assemblages dominated by larger macroinvertebrate species, but will also be associated with lower species richness.</t>
  </si>
  <si>
    <t>10.1016/j.foreco.2018.12.030</t>
  </si>
  <si>
    <t>WOS:000457657100026</t>
  </si>
  <si>
    <t>The Port of Trieste (Northern Adriatic Sea) - A Case Study of the Ecosystem Approach to Management</t>
  </si>
  <si>
    <t>This study is a rare example of the ecosystem approach to management that has been carried out for the purpose of providing practical support to decision-makers in managing a Site of National Interest (SIN) where activities such as fishing, aquaculture and swimming are restricted. Benthic ecosystem functioning was assessed to verify whether it would be possible to exclude the less contaminated part from the SIN and its legislative constraints. At five macrosites subjected to diversified industrialization and anthropization, we evaluated the structural characteristics of the sediments, both heterotrophic and phototrophic communities, and the main processes of production, transformation and consumption of organic matter at seven stations, plus a reference site. Along the north-eastern boundary of the bay, the port, shipbuilding and iron foundry areas, characterized by high levels of contaminants, low macrozoobenthic diversity, major organic contents (up to 51.1 mgC g(-1)) and higher numbers of hydrocarbon degrading bacteria (up to 5,464 MPN g(dry)(-1)). differed significantly (R-ANOSIM = 0.463, rho = 2.9%) from the other areas (stations). Oxygen consumption (-15.22 +/- 1.59 mgC m(-2)) prevailed over primary production and the trophic state was net heterotrophic. In contrast, on the other side of the harbor (residential area/center bay), contamination levels were below the legal limits and both the microalgal and macrobenthic communities displayed higher biodiversity. Higher macrofaunal abundances (up to 753 +/- 174.7 ind.m(-2)), primary production rates (up to 58.60 +/- 8.41 mgC m(-2)) and exoenzymatic activities were estimated. nMDS and SIMPROF analyses performed on benthic communities significantly separated the most contaminated stations from the other ones. Overall, by applying this holistic approach, a better environmental situation was highlighted along the southern boundary of the bay and according to these results this part of the bay could be excluded from the SIN. However, further sampling is required along a finer sampling grid in the less contaminated side of the port in order to confirm these first results. Our work is one of the first case studies where such an ecosystem approach has been applied to a port area, in order to provide practical support to decision-makers involved in the spatial planning of harbor zones.</t>
  </si>
  <si>
    <t>10.3389/fmars.2017.00336</t>
  </si>
  <si>
    <t>WOS:000457690600334</t>
  </si>
  <si>
    <t>Deep-Sea Mega-Epibenthic Assemblages from the SW Portuguese Margin (NE Atlantic) Subjected to Bottom-Trawling Fisheries</t>
  </si>
  <si>
    <t>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t>
  </si>
  <si>
    <t>10.3389/fmars.2017.00350</t>
  </si>
  <si>
    <t>WOS:000457690600348</t>
  </si>
  <si>
    <t>Response of Benthic Macrofauna to Eutrophication in a Mesocosm Experiment: Ecosystem Resilience Prevents Hypoxic Conditions</t>
  </si>
  <si>
    <t>A benthic-pelagic mesocosm experiment was performed to study how the benthic macrofaunal community responds to a eutrophication gradient. The novel experimental setup allowed the induction of an eutrophication gradient in the water column and the detailed documentation of the response of the benthos in terms of biodiversity and ecosystem processes. Nine mesocosms were deployed in the facilities of the Hellenic Center for Marine Research in Crete in the eastern Mediterranean. The mesocosms were 4 m deep, contained 1.5 m(3) coastal water, and included 85 liters of undisturbed sediment at the bottom. No water or sediment exchange was allowed. The experimental design included a Control and two eutrophication levels (Low and High) for the 58-day duration of the experiment. Macrofaunal samples were collected at the end of the experiment from each mesocosm and compared to the ones collected at the beginning of the experiment from the sediment collection area. Results show that the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and maintaining ecosystem health despite the highly eutrophic conditions and significant changes in sediment geochemical variables. In the oligotrophic eastern Mediterranean, healthy benthic ecosystems may use existing ecosystem processes to buffer the negative effects caused by eutrophication.</t>
  </si>
  <si>
    <t>10.3389/fmars.2017.00391</t>
  </si>
  <si>
    <t>WOS:000457690600389</t>
  </si>
  <si>
    <t>Calcium Carbonate Production, Coral Cover and Diversity along a Distance Gradient from Stone Town: A Case Study from Zanzibar, Tanzania</t>
  </si>
  <si>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</si>
  <si>
    <t>10.3389/fmars.2017.00412</t>
  </si>
  <si>
    <t>WOS:000457690600408</t>
  </si>
  <si>
    <t>Chronic effects of brine discharge form large-scale seawater reverse osmosis desalination facilities on benthic bacteria</t>
  </si>
  <si>
    <t>Seawater desalination facilities continuously discharge hyper-saline brine into the coastal environment which often flows as a concentrated plume over the seafloor, hence possibly impacting benthic micro-organisms. Yet, the effects of brine discharge from desalination plants on benthic bacteria, key players in biodegradation of organic material and nutrient recycling is unknown. In this study, we tested the chronic (years) effects of brine discharge from three large-scale desalination facilities on the abundance, metabolic activity and community composition of benthic bacteria. To this end, four sampling campaigns were carried at the outfall areas of the Ashkelon, Sorek and Hadera desalination facilities. The effects of the brine were compared to corresponding reference stations which were not influenced by the brine (i.e., water temperature and salinity). Our sampling data indicate that bacterial abundance and activity that includes bacterial growth efficiency were 1.3-2.6-fold higher at the outfall area than the reference station. Concomitant analysis pointed out that the bacterial community structure at the brine discharge area was also different than the reference station, yet varied between each desalination facility. Our results demonstrate that the impact of brine effluent from desalination facilities on benthic bacteria are site-specific and localized (&lt;1.4 Km(2)) around the discharge point. Namely, that the effects on benthic bacteria are prominent at the brine mixing zone and change according to the discharge method used to disperse the brine as well as local stressors (e.g., eutrophication and elevated water temperature). Our results contribute new insights on the effects of desalination-brine to benthic microbes, while providing scientifically-based aspects on the ecological impacts of brine dispersion for decision makers. (C) 2018 Elsevier Ltd. All rights reserved.</t>
  </si>
  <si>
    <t>10.1016/j.watres.2018.12.046</t>
  </si>
  <si>
    <t>WOS:000458224000045</t>
  </si>
  <si>
    <t>Spartina alterniflora invasion alters soil bacterial communities and enhances soil N2O emissions by stimulating soil denitrification in mangrove wetland</t>
  </si>
  <si>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</si>
  <si>
    <t>10.1016/j.scitotenv.2018.10.277</t>
  </si>
  <si>
    <t>WOS:000458626800024</t>
  </si>
  <si>
    <t>Exposure to tetracycline perturbs the microbiome of soil oligochaete Enchytraeus crypticus</t>
  </si>
  <si>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</si>
  <si>
    <t>10.1016/j.scitotenv.2018.11.154</t>
  </si>
  <si>
    <t>WOS:000458630100054</t>
  </si>
  <si>
    <t>Effects of elevated ground-level ozone on paddy soil bacterial community and assembly mechanisms across four years</t>
  </si>
  <si>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</si>
  <si>
    <t>10.1016/j.scitotenv.2018.11.130</t>
  </si>
  <si>
    <t>WOS:000458630100133</t>
  </si>
  <si>
    <t>Effects of cadmium exposure on the composition and diversity of the intestinal microbial community of common carp (Cyprinus carpio L.)</t>
  </si>
  <si>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</si>
  <si>
    <t>10.1016/j.ecoenv.2018.12.066</t>
  </si>
  <si>
    <t>WOS:000459217600010</t>
  </si>
  <si>
    <t>Above and belowground community strategies respond to different global change drivers</t>
  </si>
  <si>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</si>
  <si>
    <t>10.1038/s41598-019-39033-4</t>
  </si>
  <si>
    <t>WOS:000459399400009</t>
  </si>
  <si>
    <t>Responses of soil bacterial communities, enzyme activities, and nutrients to agricultural-to-natural ecosystem conversion in the Loess Plateau, China</t>
  </si>
  <si>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</si>
  <si>
    <t>10.1007/s11368-018-2110-4</t>
  </si>
  <si>
    <t>WOS:000459805400035</t>
  </si>
  <si>
    <t>Long-term understory vegetation dynamics of mixed aspen forests in Rocky Mountain National Park, USA</t>
  </si>
  <si>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</si>
  <si>
    <t>10.1111/jvs.12712</t>
  </si>
  <si>
    <t>WOS:000459812100012</t>
  </si>
  <si>
    <t>Sixteen years of simulated summer and winter warming have contrasting effects on soil mite communities in a sub-Arctic peat bog</t>
  </si>
  <si>
    <t>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t>
  </si>
  <si>
    <t>10.1007/s00300-018-02454-4</t>
  </si>
  <si>
    <t>WOS:000459821700014</t>
  </si>
  <si>
    <t>Instability of insular tree communities in an Amazonian mega-dam is driven by impaired recruitment and altered species composition</t>
  </si>
  <si>
    <t>Mega-dams create highly fragmented archipelagos, affecting biodiversity and ecosystem functioning in remnant forest isolates. This study assessed the long-term impact of dam-induced fragmentation on insular tropical tree communities, with the aim of generating robust recommendations to mitigate some of the detrimental biodiversity impacts associated with future dam development. We inventoried adult and sapling trees across 89 permanent plots, located on 36 islands and in three mainland continuous forest sites in the Balbina Dam, Brazilian Amazon. We examined differences in recruitment, structure, and composition of sapling and adult tree communities, in relation to plot-, patch- and landscape-scale attributes including area, isolation, and fire severity. Islands harboured significantly lower sapling (mean +/- 95% CI 48.6 +/- 3.8) and adult (5 +/- 0.2) tree densities per 0.01 ha, than nearby mainland continuous forest (saplings, 65.7 +/- 7.5; adults, 5.6 +/- 0.3). Insular sapling and adult tree communities were more dissimilar than in mainland sites, and species compositions showed a directional shift away from mainland forests, induced by fire severity, island area, and isolation. Insular sapling recruitment declined with increasing fire severity; tree communities with higher community-weighted mean wood density showed the greatest recruitment declines. Our results suggest that insular tree communities are unstable, with rare species becoming extinction-prone due to reduced tree recruitment and density on islands, potentially leading to future losses in biodiversity and ecosystem functioning across Balbina's &gt;3,500 reservoir islands. Policy implications. In Balbina, fire and reduced habitat area and connectivity were drivers of tree community decay after only 28 years of insularization, despite strict protection provided by the similar to 940,000 ha Uatuma Biological Reserve. Given that many dams are planned for lowland, moderately undulating Amazonia, we recommend that dam development strategy explicitly considers (a) dam location, aiming to minimize creation of small (&lt;10 ha) and isolated islands, (b) maintaining reservoir water levels during droughts to reduce fire risk, and (c) including aggregate island area in environmental impact and offset calculations. Ideally, we recommend that alternatives to hydropower be sought in lowland tropical regions, due to the far-reaching biodiversity losses and ecosystem disruption caused by river impoundment.</t>
  </si>
  <si>
    <t>10.1111/1365-2664.13313</t>
  </si>
  <si>
    <t>WOS:000459941400027</t>
  </si>
  <si>
    <t>Intensive tropical land use massively shifts soil fungal communities</t>
  </si>
  <si>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</si>
  <si>
    <t>10.1038/s41598-019-39829-4</t>
  </si>
  <si>
    <t>WOS:000460123600075</t>
  </si>
  <si>
    <t>Patterns of taxonomic and functional diversity of dung beetles in a human-modified variegated landscape in Brazilian Cerrado</t>
  </si>
  <si>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</si>
  <si>
    <t>10.1007/s10841-018-00118-6</t>
  </si>
  <si>
    <t>WOS:000460143000007</t>
  </si>
  <si>
    <t>Harvesting effects on wild bee communities in bioenergy grasslands depend on nesting guild</t>
  </si>
  <si>
    <t>Conversion of annual crops to native perennial grasslands for bioenergy production may help conserve wild bees by enhancing nest and food resources. However, bee response to the disturbance of biomass harvesting may depend on their nesting location, thus their vulnerability to nest destruction, and the response of the forb community on which they forage. Moreover, because bees have long foraging ranges, effects of local harvesting may depend on the amount of natural habitat in the surrounding landscape. We performed a large-scale one- and two-year experiment in Michigan and Wisconsin, USA, respectively, to examine how grassland harvesting, landscape context, and study year affect the forb community, above- and belowground-nesting bee species richness, community composition, trap nest emergence, and visitation rate. In Wisconsin, harvesting increased forb richness, cover, and evenness compared to unharvested control sites. Harvesting negatively affected aboveground-nesting bee richness and emergence from trap nests, possibly because of nest destruction during the previous harvest. By contrast, harvesting positively affected belowground-nesting bee richness, possibly because of the greater food resource availability and reduced thatch allowing greater access to nesting sites in the soil. Harvesting also affected bee community composition, reflecting the increase in belowground-nesting species at harvested sites. Despite harvesting effects on forb and bee communities, there was no effect on flower visitation rate, indicating little effect on pollination function. We did not find a harvest by landscape context interaction, which, in combination with the negative harvesting effect on trap nest emergence, suggests that harvesting can affect local population growth rather than simply affecting forager aggregation in different resource environments. For bees, there was no harvest by study year interaction, indicating a consistent response over a short timescale. Similarly, in Michigan, belowground-nesting species also responded positively to harvesting, which was more pronounced in sandier soils that are preferred for nesting. However, other components of the Michigan bee and forb communities were not significantly affected by biomass harvesting. Overall, our study demonstrates that harvesting grasslands can positively affect the similar to 80% of bee species that nest belowground by enhancing nest and/or forage resources, but that conserving aboveground nesters may require leaving some area unharvested.</t>
  </si>
  <si>
    <t>10.1002/eap.1828</t>
  </si>
  <si>
    <t>WOS:000460170200003</t>
  </si>
  <si>
    <t>Equal but different: Natural ecotones are dissimilar to anthropic edges</t>
  </si>
  <si>
    <t>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t>
  </si>
  <si>
    <t>10.1371/journal.pone.0213008</t>
  </si>
  <si>
    <t>WOS:000460371700019</t>
  </si>
  <si>
    <t>The impact of urbanisation on community structure, gene abundance and transcription rates of microbes in upland swamps of Eastern Australia</t>
  </si>
  <si>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</si>
  <si>
    <t>10.1371/journal.pone.0213275</t>
  </si>
  <si>
    <t>WOS:000460371700031</t>
  </si>
  <si>
    <t>Nutrient Enrichment Alters Salt Marsh Fungal Communities and Promotes Putative Fungal Denitrifiers</t>
  </si>
  <si>
    <t>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t>
  </si>
  <si>
    <t>10.1007/s00248-018-1223-z</t>
  </si>
  <si>
    <t>WOS:000460479100008</t>
  </si>
  <si>
    <t>Effects of polyethylene microplastics on the gut microbial community, reproduction and avoidance behaviors of the soil springtail, Folsomia candida</t>
  </si>
  <si>
    <t>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t>
  </si>
  <si>
    <t>10.1016/j.envpol.2019.01.097</t>
  </si>
  <si>
    <t>WOS:000460844800096</t>
  </si>
  <si>
    <t>Microbial communities are sensitive indicators for freshwater sediment copper contamination</t>
  </si>
  <si>
    <t>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t>
  </si>
  <si>
    <t>10.1016/j.envpol.2019.01.104</t>
  </si>
  <si>
    <t>WOS:000460844800111</t>
  </si>
  <si>
    <t>Post-spruce beetle timber salvage drives short-term surface fuel increases and understory vegetation shifts</t>
  </si>
  <si>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</si>
  <si>
    <t>10.1016/j.foreco.2019.01.048</t>
  </si>
  <si>
    <t>WOS:000461270600033</t>
  </si>
  <si>
    <t>The tea leaf microbiome shows specific responses to chemical pesticides and biocontrol applications</t>
  </si>
  <si>
    <t>The plant microbiome is known to be influenced by certain biotic as well as abiotic factors. Nevertheless, the drivers for specific changes in microbial community composition and structure are largely unknown. In the present study, the effects of chemical and biological treatments for plant protection on the indigenous microbiome of Camellia sinensis (L.) Kuntze were contrasted. Assessment of bacteria-specific ribosomal RNA gene fragment amplicons from a representative set of samples showed an increased microbial diversity in treated plants when compared to untreated samples. Moreover, distinct microbial fingerprints were found for plants subjected to a conventional pesticide treatment with lime sulfur as well as for plants that were biologically treated with a Piriformospora indica spore solution. The bacterial community of pesticide-treated plants was augmented by 11 taxa assigned to Proteobacteria and Actinobacteria. In contrast, plants from biological control treatments were augmented by 10 taxa representing a more diversified community enrichment and included members of Actionobactetia, Proteobacteria, Bacteroidetes, Planctomycetes, and Verrucomicrobia. Complementary, molecular quantification of fungi in the samples showed a significantly lower number of internal transcribed spacer copies in plants subjected to biological control treatments, indicating the highest efficiency against fungal pathogens. The overall results show that leaves that are used for tea production show distinct microbiome shifts that are elicited by common pest and pathogen management practices.These shifts in the microbial population indicate nontarget effects of the applied treatments. (C) 2019 Elsevier B.V. All rights reserved.</t>
  </si>
  <si>
    <t>10.1016/j.scitotenv.2019.02.319</t>
  </si>
  <si>
    <t>WOS:000461676600005</t>
  </si>
  <si>
    <t>Effects of Long-Term Nitrogen Fertilizer Application on Rhizosphere Microorganisms under Different Soil Types</t>
  </si>
  <si>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</si>
  <si>
    <t>10.15244/pjoes/89583</t>
  </si>
  <si>
    <t>WOS:000461800200073</t>
  </si>
  <si>
    <t>Dune soil communities primarily associated with climate factors, not exotic plant presence</t>
  </si>
  <si>
    <t>AimsSoil communities are shaped by multiple biotic and environmental components. We assessed the role of multiple factors in shaping soil bacterial and nematode communities in an ongoing plant invasion in western Michigan sand dunes. We aimed to determine which factors were important for structuring soil communities.MethodsWe surveyed seven sites containing the exotic plant, Leymus arenarius, in western Michigan, USA sand dunes. We sampled the plant community and collected soil cores to assess bacterial and nematode communities. We assessed bacterial functional diversity using Biolog Ecoplates. Nematode communities were assessed based on morphological identification.ResultsTemperature was a strong determinant of bacterial functional diversity and community composition. Precipitation and Ammophila density were also correlated with bacterial function composition. Nematode communities were shaped by a combination of temperature, precipitation, Ammophila density, and to a lesser degree soil organic matter and Leymus density. Soil bacteria and bacterivorous nematode assemblages were not significantly associated in their responses to the environment.ConclusionsSoil communities of bacteria and nematodes in this early successional dune system are affected strongly by changes in climatic factors, rather than exotic plant presence.</t>
  </si>
  <si>
    <t>10.1007/s11104-019-03944-y</t>
  </si>
  <si>
    <t>WOS:000462031100033</t>
  </si>
  <si>
    <t>The role of habitat and daily activity patterns in explaining the diversity of mountain Neotropical dung beetle assemblages</t>
  </si>
  <si>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</si>
  <si>
    <t>10.1111/aec.12675</t>
  </si>
  <si>
    <t>WOS:000462095600012</t>
  </si>
  <si>
    <t>Long-term effects of oxytetracycline exposure in zebrafish: A multi-level perspective</t>
  </si>
  <si>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</si>
  <si>
    <t>10.1016/j.chemosphere.2019.01.147</t>
  </si>
  <si>
    <t>WOS:000462109200039</t>
  </si>
  <si>
    <t>Structural landscape changes in urban and peri-urban agricultural systems of two West African cities and their relations to ecosystem services provided by woody plant communities</t>
  </si>
  <si>
    <t>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t>
  </si>
  <si>
    <t>10.1007/s11252-018-0811-5</t>
  </si>
  <si>
    <t>WOS:000462225000016</t>
  </si>
  <si>
    <t>Elevation shapes the reassembly of Anthropocene lizard communities</t>
  </si>
  <si>
    <t>Human impacts, especially land-use change, are precipitating biodiversity loss. Yet anthropogenic drivers are layered atop natural biogeographic gradients. We ask whether the effects of anthropogenic habitat conversion depend on climatic context. We studied the structure of Anolis lizard communities in intact and human-modified habitats across natural climate gradients in the northern Dominican Republic. Using community-wide mark-resight methods to control for detection bias, we show that the effects of habitat conversion reverse with elevation (and thus macroclimate temperature). Deforestation reduces abundance and biomass in lowland communities but has no such effect at high elevations. In contrast, forest loss results in no compositional change in the lowlands, but complete community turnover between habitats in the highlands. These contrasting community-level patterns emerge from consistent responses of individual species based on their thermal niches. Community reorganization in the highlands stems from thermal niche tracking and habitat switching by abundant lowland species. We find no support for the hypothesis that climate generalists outperform specialists to succeed in anthropogenic habitats. Instead, warm-climate specialists dominate anthropogenic habitats, even in cool macroclimates. Human impacts interact with preexisting environmental gradients to reorganize biodiversity. Leveraging a biogeographic perspective will provide insight into the future communities of life on Earth.</t>
  </si>
  <si>
    <t>10.1038/s41559-019-0819-0</t>
  </si>
  <si>
    <t>WOS:000462542100027</t>
  </si>
  <si>
    <t>Fine-Scale Effects of Boat Moorings on Soft Sediment Communities Masked in Large-Scale Comparisons</t>
  </si>
  <si>
    <t>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t>
  </si>
  <si>
    <t>10.3389/fmars.2019.00101</t>
  </si>
  <si>
    <t>WOS:000462713800001</t>
  </si>
  <si>
    <t>A century of change in North Sea plankton communities explored through integrating historical datasets</t>
  </si>
  <si>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</si>
  <si>
    <t>10.1093/icesjms/fsy148</t>
  </si>
  <si>
    <t>WOS:000462735600012</t>
  </si>
  <si>
    <t>Natural habitat fragments obscured the distance effect on maintaining the diversity of insect pollinators and crop productivity in tropical agricultural landscapes</t>
  </si>
  <si>
    <t>In tropical regions, habitat change and fragmentation partly occur due to urbanization. This change of land-use can affect many ecosystem services and their providers, such as pollination and pollinators. Within agricultural systems, monoculture systems and pesticide application are the most detrimental to pollinators and insect communities. In this study, we investigated the effect of distance from natural habitat on the diversity of insect pollinators and cucumber productivity. As the independent variable, distance from natural habitats was classified into two different groups i.e. agricultural area near to (less than 200m) and far from (more than 1km) the natural habitat. We found that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An expected result was the positive correlation between pollinator abundance (i.e. Xylocopa spp.) and the productivity of cucumber. Our findings suggest that the diversity of pollinators in tropical agricultural landscape is influenced more by a landscape composition of high natural habitat fragments than spatial distance between cropland and natural habitats.</t>
  </si>
  <si>
    <t>10.1016/j.heliyon.2019.e01425</t>
  </si>
  <si>
    <t>WOS:000463067400024</t>
  </si>
  <si>
    <t>Climate-land-use interactions shape tropical mountain biodiversity and ecosystem functions</t>
  </si>
  <si>
    <t>Agriculture and the exploitation of natural resources have transformed tropical mountain ecosystems across the world, and the consequences of these transformations for biodiversity and ecosystem functioning are largely unknown(1-3). Conclusions that are derived from studies in non-mountainous areas are not suitable for predicting the effects of land-use changes on tropical mountains because the climatic environment rapidly changes with elevation, which may mitigate or amplify the effects of land use(4,5). It is of key importance to understand how the interplay of climate and land use constrains biodiversity and ecosystem functions to determine the consequences of global change for mountain ecosystems. Here we show that the interacting effects of climate and land use reshape elevational trends in biodiversity and ecosystem functions on Africa's largest mountain, Mount Kilimanjaro (Tanzania). We find that increasing land-use intensity causes larger losses of plant and animal species richness in the arid lowlands than in humid submontane and montane zones. Increases in land-use intensity are associated with significant changes in the composition of plant, animal and microorganism communities; stronger modifications of plant and animal communities occur in arid and humid ecosystems, respectively. Temperature, precipitation and land use jointly modulate soil properties, nutrient turnover, greenhouse gas emissions, plant biomass and productivity, as well as animal interactions. Our data suggest that the response of ecosystem functions to land-use intensity depends strongly on climate; more-severe changes in ecosystem functioning occur in the arid lowlands and the cold montane zone. Interactions between climate and land use explained-on average-54% of the variation in species richness, species composition and ecosystem functions, whereas only 30% of variation was related to single drivers. Our study reveals that climate can modulate the effects of land use on biodiversity and ecosystem functioning, and points to a lowered resistance of ecosystems in climatically challenging environments to ongoing land-use changes in tropical mountainous regions.</t>
  </si>
  <si>
    <t>10.1038/s41586-019-1048-z</t>
  </si>
  <si>
    <t>WOS:000463384900045</t>
  </si>
  <si>
    <t>Well-managed grassland heterogeneity promotes butterfly conservation in a corridor network</t>
  </si>
  <si>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</si>
  <si>
    <t>10.1016/j.jenvman.2019.03.021</t>
  </si>
  <si>
    <t>WOS:000464296400042</t>
  </si>
  <si>
    <t>Soil bacterial community structure and extracellular enzyme activities under different land use types in a long-term reclaimed wetland</t>
  </si>
  <si>
    <t>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t>
  </si>
  <si>
    <t>10.1007/s11368-019-02262-1</t>
  </si>
  <si>
    <t>WOS:000464836300035</t>
  </si>
  <si>
    <t>A comparison of biotic groups as dry-phase indicators of ecological quality in intermittent rivers and ephemeral streams</t>
  </si>
  <si>
    <t>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t>
  </si>
  <si>
    <t>10.1016/j.ecolind.2018.09.061</t>
  </si>
  <si>
    <t>WOS:000464891000019</t>
  </si>
  <si>
    <t>Spatial synchrony of zooplankton during the impoundment of amazonic reservoir</t>
  </si>
  <si>
    <t>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t>
  </si>
  <si>
    <t>10.1016/j.ecolind.2018.11.040</t>
  </si>
  <si>
    <t>WOS:000464891100065</t>
  </si>
  <si>
    <t>Four decades of plant community change along a continental gradient of warming</t>
  </si>
  <si>
    <t>Many studies of individual sites have revealed biotic changes consistent with climate warming (e.g., upward elevational distribution shifts), but our understanding of the tremendous variation among studies in the magnitude of such biotic changes is minimal. In this study, we resurveyed forest vegetation plots 40 years after the initial surveys in three protected areas along a west-to-east gradient of increasingly steep recent warming trends in eastern Canada (Quebec). Consistent with the hypothesis that climate warming has been an important driver of vegetation change, we found an increasing magnitude of changes in species richness and composition from west to east among the three parks. For the two mountainous parks, we found no significant changes in elevational species' distributions in the easternmost park (raw mean = +11.4 m at Forillon Park) where warming has been minimal, and significant upward distribution shifts in the centrally located park (+38.9 m at Mont-Megantic), where the recent warming trend has been marked. Community Temperature Indices (CTI), reflecting the average affinities of locally co-occurring species to temperature conditions across their geographic ranges (Species Temperature Indices), did not change over time as predicted. However, close examination of the underpinnings of CTI values suggested a high sensitivity to uncertainty in individual species' temperature indices, and so a potentially limited responsiveness to warming. Overall, by testing a priori predictions concerning variation among parks in the direction and magnitude of vegetation changes, we have provided stronger evidence for a link between climate warming and biotic responses than otherwise possible and provided a potential explanation for large variation among studies in warming-related biotic changes.</t>
  </si>
  <si>
    <t>10.1111/gcb.14568</t>
  </si>
  <si>
    <t>WOS:000465103600006</t>
  </si>
  <si>
    <t>A citizen science approach to evaluating US cities for biotic homogenization</t>
  </si>
  <si>
    <t>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t>
  </si>
  <si>
    <t>10.7717/peerj.6879</t>
  </si>
  <si>
    <t>WOS:000466325000010</t>
  </si>
  <si>
    <t>Short-Term Response of Two Beneficial Invertebrate Groups to Wildfire in an Arid Grassland System, United States</t>
  </si>
  <si>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</si>
  <si>
    <t>10.1016/j.rama.2018.11.011</t>
  </si>
  <si>
    <t>WOS:000466561700018</t>
  </si>
  <si>
    <t>IMPACTS OF SMALL IMPOUNDMENTS ON AN INTERMITTENT HEADWATER STREAM COMMUNITY</t>
  </si>
  <si>
    <t>The impacts of small impoundments on headwater streams have received little attention despite their potential to have local and broad-scale ecological impacts. These impoundments might alter stream hydrology, geomorphology, and facilitate the spread of invasive species. Given that prairie stream communities have adapted to highly variable conditions, they might resist disturbances associated with small impoundments. To test the resistance of aquatic communities to the disturbances associated with small impoundments, we surveyed intermittent headwater prairie streams in both unimpounded and impounded watersheds. We observed greater fish density and species richness in unimpounded watersheds and two species occupying a greater proportion of sites in unimpounded than impounded watersheds. In contrast to fish communities, we observed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t>
  </si>
  <si>
    <t>10.1894/0038-4909-63.1.34</t>
  </si>
  <si>
    <t>WOS:000466718100005</t>
  </si>
  <si>
    <t>Short-term effects in a reduced flow stretch: The case of the Antas River in South Brazil</t>
  </si>
  <si>
    <t>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t>
  </si>
  <si>
    <t>10.1002/rra.3415</t>
  </si>
  <si>
    <t>WOS:000467309600007</t>
  </si>
  <si>
    <t>Removal of intertidal grazers by human harvesting leads to alteration of species interactions, community structure and resilience to climate change</t>
  </si>
  <si>
    <t>Extreme fluctuations in abiotic conditions can induce a biological stress response (e.g. bleaching) detrimental to an organism's health. In some instances, organisms can recover if conditions are alleviated, such as through co-occurrence with other species that confer protection. Biodiverse, multitrophic communities are increasingly recognised as important promoters of species persistence and resilience under environmental change. On intertidal shores, the role of grazers as top-down determinants of algal community structure is well recognised. Similarly, the harvesting of grazers for human consumption is increasingly prevalent with potential to greatly alter the community dynamics. Here, we assess how differences in harvesting pressure of grazers under three management regimes (no-take; managed access; open-access) alters the trophic interactions between grazers, and algal communities. Grazer density and body size frequencies were different among regimes leading to changes in the photosynthetic performance and recovery of crustose coralline algae (CCA) post-bleaching, as well as their presence altering the strength of interactions between species. The exclusion of grazers from patches using cages led to different emergent communities and reduced negative correlations between taxa. The absence of larger grazers (&gt; 9 cm) at the managed access site led to macroalgal overgrowth of bleached CCA negatively affecting its recovery, whereas no-take or open-access led to a moderated algal growth and a shift from competitive to facilitative interactions between algal species. Given that CCA play an important role in the population growth and development of other species, the choice of management measure should be carefully considered before implementation, depending on objectives.</t>
  </si>
  <si>
    <t>10.1016/j.marenvres.2019.03.003</t>
  </si>
  <si>
    <t>WOS:000467511000006</t>
  </si>
  <si>
    <t>Species sorting and mass effect along forest succession: Evidence from taxonomic, functional, and phylogenetic diversity of amphibian communities</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</si>
  <si>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</si>
  <si>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10.1002/ece3.5110</t>
  </si>
  <si>
    <t>WOS:000467584200014</t>
  </si>
  <si>
    <t>Nutrient enrichment homogenizes taxonomic and functional diversity of benthic macroinvertebrate assemblages in shallow lakes</t>
  </si>
  <si>
    <t>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t>
  </si>
  <si>
    <t>10.1002/lno.11096</t>
  </si>
  <si>
    <t>WOS:000467593600013</t>
  </si>
  <si>
    <t>Invasive lumbricid earthworms in northeastern North American forests and consequences for leaf-litter fauna</t>
  </si>
  <si>
    <t>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t>
  </si>
  <si>
    <t>10.1007/s10530-019-01959-1</t>
  </si>
  <si>
    <t>WOS:000467649500020</t>
  </si>
  <si>
    <t>Humans and scavenging raptors facilitate Argentine ant invasion in Donana National Park: no counter-effect of biotic resistance</t>
  </si>
  <si>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</si>
  <si>
    <t>10.1007/s10530-019-01971-5</t>
  </si>
  <si>
    <t>WOS:000467649500029</t>
  </si>
  <si>
    <t>Legacy effects of invasive grass impact soil microbes and native shrub growth</t>
  </si>
  <si>
    <t>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t>
  </si>
  <si>
    <t>10.1017/inp.2018.32</t>
  </si>
  <si>
    <t>WOS:000467922300004</t>
  </si>
  <si>
    <t>IMPACTS OF XANTHIUM STRUMARIUM L. INVASION ON VASCULAR PLANT DIVERSITY IN POTHWAR REGION (PAKISTAN)</t>
  </si>
  <si>
    <t>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t>
  </si>
  <si>
    <t>10.13133/2239-3129/14411</t>
  </si>
  <si>
    <t>WOS:000467951700005</t>
  </si>
  <si>
    <t>Faecal bacterial communities from Mediterranean loggerhead sea turtles (Caretta caretta)</t>
  </si>
  <si>
    <t>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t>
  </si>
  <si>
    <t>10.1111/1758-2229.12683</t>
  </si>
  <si>
    <t>WOS:000468000600008</t>
  </si>
  <si>
    <t>Riparian vegetation recovery in a 23 year chronosequence of clear-cuts along boreal headwater streams</t>
  </si>
  <si>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</si>
  <si>
    <t>10.1016/j.foreco.2019.04.010</t>
  </si>
  <si>
    <t>WOS:000468256600008</t>
  </si>
  <si>
    <t>An integrated insight into the response of bacterial communities to anthropogenic contaminants in a river: A case study of the Wonderfonteinspruit catchment area, South Africa</t>
  </si>
  <si>
    <t>Bacterial communities in human-impacted rivers and streams are exposed to multiple anthropogenic contaminants, which can eventually lead to biodiversity loss and function. The Wonderfonteinspruit catchment area is impacted by operational and abandoned gold mines, farms, and formal and informal settlements. In this study, we used 16S rRNA gene high-throughput sequencing to characterize bacterial communities in the lower Wonderfonteinspruit and their response to various contaminant sources. The results showed that composition and structure of bacterial communities differed significantly (P&lt;0.05) between less (downstream) and more (upstream) polluted sites. The taxonomic and functional gene dissimilarities significantly correlated with each other, while downstream sites had more distinct functional genes. The relative abundance of Proteobacteria, Bacteroidetes and Actinobacteria was higher at upstream sites, while Acidobacteria, Cyanobacteria, Firmicutes and Verrucomicrobia were prominent at downstream sites. In addition, upstream sites were rich in genera pathogenic and/or potentially pathogenic to humans. Multivariate and correlation analyses suggest that bacterial diversity was significantly (P&lt;0.05) impacted by pH and heavy metals (cobalt, arsenic, chromium, nickel and uranium). A significant fraction (similar to 14%) of the compositional variation was explained by a combination of anthropogenic inputs, of which mining (similar to 6%) was the main contributor to bacterial community variation. Network analysis indicated that bacterial communities had non-random inter-and intra-phyla associations and that the main taxa showed both positive and negative linkages to environmental parameters. Our results suggest that species sorting, due to environmental parameters, was the main process that structured bacterial communities. Furthermore, upstream sites had higher relative abundances of genes involved in xenobiotic degradation, suggesting stronger removal of polycyclic aromatic hydrocarbons and other organic compounds. This study provides insights into the influences of anthropogenic land use on bacterial community structure and functions in the lower Wonderfonteinspruit.</t>
  </si>
  <si>
    <t>10.1371/journal.pone.0216758</t>
  </si>
  <si>
    <t>WOS:000468451000022</t>
  </si>
  <si>
    <t>Plant-hummingbird interaction networks in urban areas: Generalization and the importance of trees with specialized flowers as a nectar resource for pollinator conservation</t>
  </si>
  <si>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</si>
  <si>
    <t>10.1016/j.biocon.2018.12.012</t>
  </si>
  <si>
    <t>WOS:000468703700022</t>
  </si>
  <si>
    <t>Ocean Acidification Regulates the Activity, Community Structure, and Functional Potential of Heterotrophic Bacterioplankton in an Oligotrophic Gyre</t>
  </si>
  <si>
    <t>Ocean acidification (OA), a consequence of increased global carbon dioxide (CO2) emissions, is considered a major threat to marine ecosystems. Its effects on bacterioplankton activity, diversity, and community composition have received considerable attention. However, the direct impact of OA on heterotrophic bacterioplankton is often masked by the significant response of phytoplankton due to the close coupling of heterotrophic bacterioplankton and autotrophs. Here we investigated the responses of a heterotrophic bacterioplankton assemblage to high pCO(2) (790-ppm) treatment in warm tropical western Pacific waters by conducting a microcosm experiment in dark for 12 days. Heterotrophic bacterioplankton abundance and production were enhanced by OA over the first 6 days of incubation, while the diversity and species richness were negatively affected. Bacterioplankton community composition in the high pCO(2) treatment changed faster than that in the control. The molecular ecological network analysis showed that the elevated CO2 changed the overall connections among the bacterial community and resulted in a simple network under high CO2 condition. Species-specific responses to OA were observed and could be attributed to the different life strategies and to the ability of a given species to adapt to environmental conditions. In addition, high-throughput functional gene array analysis revealed that genes related to carbon and nitrogen cycling were positively affected by acidification. Together, our findings suggest that OA has direct effects on heterotrophic bacterioplankton in a low-latitude warm ocean and may therefore affect global biogeochemical cycles.</t>
  </si>
  <si>
    <t>10.1029/2018JG004707</t>
  </si>
  <si>
    <t>WOS:000469076200018</t>
  </si>
  <si>
    <t>Foraging behavioural traits of tropical insectivorous birds lead to dissimilar communities in contrasting forest habitats</t>
  </si>
  <si>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</si>
  <si>
    <t>10.2981/wlb.00483</t>
  </si>
  <si>
    <t>WOS:000469183600001</t>
  </si>
  <si>
    <t>Adaptation to agricultural pesticides may allow mosquitoes to avoid predators and colonize novel ecosystems</t>
  </si>
  <si>
    <t>Human activities such as the application of agrochemicals may detrimentally disturb natural ecosystems, generating novel selection pressures. Here we examine how pesticides may influence community composition using the aquatic communities within bromeliad phytotelmata, and how adaptive responses to pesticides may influence community-level patterns. We first quantified the composition of macroinvertebrate communities from pesticide-free and pesticide-exposed locations. Complementary manipulative experiments where bromeliads were transplanted between pesticide-free and pesticide-exposed sites were then performed. Finally, pesticide bioassays on the most common predators (Mecistogaster modesta damselflies) and prey (Wyeomyia abebela mosquitoes) assessed a potential evolutionary mechanism that may influence community compositional differences. Our field survey revealed differences in W. abebela and M. modesta abundances between pesticide-free and pesticide-exposed areas. Our transplant experiment suggested compositional differences were not due to physical differences between bromeliads from different locations. Pesticide bioassays revealed that M. modesta from pesticide-free locations had higher innate pesticide tolerances than W. abebela from pesticide-free areas, but M. modesta larvae showed no evidence of adapted resistance as none were found where pesticides were used. Conversely, W. abebela larvae from pesticide-exposed locations had higher pesticide tolerances than individuals from pesticide-free sites, suggesting an adaptive response. This evolved resistance to pesticides may, therefore, allow W. abebela to colonize habitats free of the dominant predator in the system, explaining the higher W. abebela abundances in pesticide-exposed areas than in pesticide-free locations. We suggest that the total effect of novel stressors is driven by interactions between ecological and evolutionary processes.</t>
  </si>
  <si>
    <t>10.1007/s00442-019-04403-2</t>
  </si>
  <si>
    <t>WOS:000469243000019</t>
  </si>
  <si>
    <t>Invasive plant removal increases insect herbivory pressure on a native tree due to an increase in resource quality</t>
  </si>
  <si>
    <t>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t>
  </si>
  <si>
    <t>10.1007/s11258-019-00942-z</t>
  </si>
  <si>
    <t>WOS:000470753000008</t>
  </si>
  <si>
    <t>The effect of dissolved nickel and copper on the adult coral Acropora muricata and its microbiome</t>
  </si>
  <si>
    <t>The potential impacts of mining activities on tropical coastal ecosystems are poorly understood. In particular, limited information is available on the effects of metals on scleractinian corals which are foundation species that form vital structural habitats supporting other biota. This study investigated the effects of dissolved nickel and copper on the coral Acropora muricata and its associated microbiota. Corals collected from the Great Barrier Reef were exposed to dissolved nickel (45, 90, 470, 900 and 9050 mu g Ni/L) or copper (4, 11, 32 and 65 mu g Cu/L) in flow through chambers at the National Sea Simulator, Townsville, Qld, Australia. After a 96-h exposure DNA metabarcoding (16S rDNA and 185 rDNA) was undertaken on all samples to detect changes in the structure of the coral microbiome. The controls remained healthy throughout the study period. After 36 h, bleaching was only observed in corals exposed to 32 and 65 mu g Cu/L and very high nickel concentrations (9050 mu g Ni/L). At 96 h, significant discolouration of corals was only observed in 470 and 900 mu g Ni/L treatments, the highest concentrations tested. While high concentrations of nickel caused bleaching, no changes in the composition of their microbiome communities were observed. In contrast, exposure to copper not only resulted in bleaching, but altered the composition of both the eukaryote and bacterial communities of the coral's microbiomes. Our findings showed that these effects were only evident at relatively high concentrations of nickel and copper, reflecting concentrations observed only in extremely polluted environments. Elevated metal concentrations have the capacity to alter the microbiomes which are inherently linked to coral health. Crown Copyright (C) 2019 Published by Elsevier Ltd. All rights reserved.</t>
  </si>
  <si>
    <t>10.1016/j.envpol.2019.04.030</t>
  </si>
  <si>
    <t>WOS:000471088200085</t>
  </si>
  <si>
    <t>Exploring changes in bacterial communities to assess the influence of fish farming on marine sediments</t>
  </si>
  <si>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</si>
  <si>
    <t>10.1016/j.aquaculture.2019.03.051</t>
  </si>
  <si>
    <t>WOS:000471111300055</t>
  </si>
  <si>
    <t>Diversity and Coding Potential of the Microbiota in the Photic and Aphotic Zones of Tropical Man-Made Lake with Intensive Aquaculture Activities: a Case Study on Temengor Lake, Malaysia</t>
  </si>
  <si>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</si>
  <si>
    <t>10.1007/s00248-018-1283-0</t>
  </si>
  <si>
    <t>WOS:000471204100003</t>
  </si>
  <si>
    <t>Dynamics of soil properties and fungal community structure in continuous-cropped alfalfa fields in Northeast China</t>
  </si>
  <si>
    <t>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t>
  </si>
  <si>
    <t>10.7717/peerj.7127</t>
  </si>
  <si>
    <t>WOS:000471213800007</t>
  </si>
  <si>
    <t>Insect communities in big sagebrush habitat are altered by wildfire and post-fire restoration seeding</t>
  </si>
  <si>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</si>
  <si>
    <t>10.1111/icad.12329</t>
  </si>
  <si>
    <t>WOS:000471318500005</t>
  </si>
  <si>
    <t>Seasonality overwhelms aquacultural activity in determining the composition and assembly of the bacterial community in Lake Taihu, China</t>
  </si>
  <si>
    <t>Aquaculture accounts for an extremely valuable and rapidly expanding sector of global food production, yet its environmental impacts on aquatic ecosystems have attracted much concern. In this study, we collected water samples from eastern Lake Taihu, China. We targeted sites varying in their intensity of aquacultural activities and sampled them over multiple seasons. For each sample, we measured physicochemical variables, and we sequenced the 16S rRNA gene of the respective bacterial communities using an Illumina second-generation sequencing platform. Marked differences in diversity and bacterial community composition were observed between seasons, whereas we observed relatively weak differences between sites. Remarkable differences in the abundance of the bacterial community were observed at the phylum and genus levels across the different seasons. Stochastic processes dominated the assembly of bacterial communities in the aquaculture-influenced systems, and the assembly processes of bacterial community differed between seasons. Our observations highlight the effect of seasonality on bacterial communities and provide a more complete knowledge base for the proper assessment of the effects of aquacultural activities on freshwater ecosystems. (C) 2019 Elsevier B.V. All rights reserved.</t>
  </si>
  <si>
    <t>10.1016/j.scitotenv.2019.05.256</t>
  </si>
  <si>
    <t>WOS:000471657600045</t>
  </si>
  <si>
    <t>Soil fungal responses to experimental warming and drying in a Mediterranean shrubland</t>
  </si>
  <si>
    <t>Implications of a drying and warming climate have been investigated for aboveground vegetation across a range of biomes yet below-ground effects on microorganisms have received considerably less attention, especially in Mediterranean Type Ecosystems (MTE) that are predicted to be negatively impacted by climate change. We experimentally reduced rainfall and increased temperature across two contrasting study sites (deep sand dune vs shallows and swale) to test how projected future climate conditions may impact soil fungal composition, richness and diversity. We also assessed fungal OTU warming responses and putative functions of 100 most abundant OTUs and 120 OTUs that either increased or decreased based on their presence/absence across treatments. We found a significant effect of study site, treatment and canopy species on fungal composition. Soil fungal diversity increased under warming treatment in swale plots as compared to control plots indicating a positive effect of warming on fungal diversity. In dunes, significantly more OTUs responded to drought than warming treatment. Among the most abundant soil fungal putative functional groups were endophytes, ericoid mycorrhizas, yeasts and ectomycorrhizas consistent with previous studies. Plant pathogens were found to increase across dunes and swales, while ericoid mycorrhizae decreased. In summary, our study revealed that it is critical to understand belowground microbial patterns as a result of climate change treatments for our ability to better predict how ecosystems may respond to global environmental changes in the future. (C) 2019 Elsevier B.V. All rights reserved.</t>
  </si>
  <si>
    <t>10.1016/j.scitotenv.2019.05.222</t>
  </si>
  <si>
    <t>WOS:000471657600054</t>
  </si>
  <si>
    <t>A single pulse of diffuse contaminants alters the size distribution of natural phytoplankton communities</t>
  </si>
  <si>
    <t>The presence of a multitude of bioactive organic pollutants collectively classified as pharmaceuticals and personal care products (PPCPs) in freshwaters is of concern, considering that ecological assessments of their potential impacts on natural systems are still scarce. In this field experiment we tested whether a single pulse exposure to a mixture of 12 pharmaceuticals and personal care products, which are commonly found in European inland waters, can influence the size distributions of natural lake phytoplankton communities. Size is one of the most influential determinants of community structure and functioning, particularly in planktonic communities and food webs. Using an in-situ microcosm approach, phytoplankton communities in two lakes with different nutrient levels (mesotrophic and eutrophic) were exposed to a concentration gradient of the PPCPs mixture at five levels. We tested whether sub-lethal PPCPs doses affect the scaling of organisms' abundances with their size, and the slope of these size spectra, which describe changes in the abundances of small relative to large phytoplankton. Our results showed that a large proportion (approximately 80%) of the dataset followed a power-law distribution, thus suggesting evidence of scale invariance of abundances, as expected in steady state ecosystems. PPCPs were however found to induce significant changes in the size spectra and community structure of natural phytoplankton assemblages. The two highest treatment levels of PPCPs were associated with decreased abundance of the most dominant size class (nano-phytoplankton: 2-5 mu m), leading to a flattening of the size spectra slope. These results suggest that a pulse exposure to PPCPs induce changes that potentially lead to unsteady ecosystem states and cascading effects in the aquatic food webs, by favoring larger non-edible algae at the expense of small edible species. We propose higher susceptibility due to higher surface to volume ratio in small species as the likely cause of these structural changes. (C) 2019 The Authors. Published by Elsevier B.V.</t>
  </si>
  <si>
    <t>10.1016/j.scitotenv.2019.05.229</t>
  </si>
  <si>
    <t>WOS:000471657600059</t>
  </si>
  <si>
    <t>Does artificial light at night change the impact of silver nanoparticles on microbial decomposers and leaf litter decomposition in streams?</t>
  </si>
  <si>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</si>
  <si>
    <t>10.1039/c9en00081j</t>
  </si>
  <si>
    <t>WOS:000471722600026</t>
  </si>
  <si>
    <t>Effects of environmentally relevant concentrations of mixtures of TiO2, ZnO and Ag ENPs on a river bacterial community</t>
  </si>
  <si>
    <t>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t>
  </si>
  <si>
    <t>10.1016/j.chemosphere.2019.05.110</t>
  </si>
  <si>
    <t>WOS:000471736000060</t>
  </si>
  <si>
    <t>Effects of carbon nanotubes and derivatives of graphene oxide on soil bacterial diversity</t>
  </si>
  <si>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</si>
  <si>
    <t>10.1016/j.scitotenv.2019.05.162</t>
  </si>
  <si>
    <t>WOS:000471888900034</t>
  </si>
  <si>
    <t>Habitat fragmentation is associated with dietary shifts and microbiota variability in common vampire bats</t>
  </si>
  <si>
    <t>Host ecological factors and external environmental factors are known to influence the structure of gut microbial communities, but few studies have examined the impacts of environmental changes on microbiotas in free-ranging animals. Rapid land-use change has the potential to shift gut microbial communities in wildlife through exposure to novel bacteria and/or by changing the availability or quality of local food resources. The consequences of such changes to host health and fitness remain unknown and may have important implications for pathogen spillover between humans and wildlife. To better understand the consequences of land-use change on wildlife microbiotas, we analyzed long-term dietary trends, gut microbiota composition, and innate immune function in common vampire bats (Desmodus rotundus) in two nearby sites in Belize that vary in landscape structure. We found that vampire bats living in a small forest fragment had more homogenous diets indicative of feeding on livestock and shifts in microbiota heterogeneity, but not overall composition, compared to those living in an intact forest reserve. We also found that irrespective of sampling site, vampire bats which consumed relatively more livestock showed shifts in some core bacteria compared with vampire bats which consumed relatively less livestock. The relative abundance of some core microbiota members was associated with innate immune function, suggesting that future research should consider the role of the host microbiota in immune defense and its relationship to zoonotic infection dynamics. We suggest that subsequent homogenization of diet and habitat loss through livestock rearing in the Neotropics may lead to disruption to the microbiota that could have downstream impacts on host immunity and cross-species pathogen transmission.</t>
  </si>
  <si>
    <t>10.1002/ece3.5228</t>
  </si>
  <si>
    <t>WOS:000472622400031</t>
  </si>
  <si>
    <t>Triclosan Alters Microbial Communities in Freshwater Microcosms</t>
  </si>
  <si>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</si>
  <si>
    <t>10.3390/w11050961</t>
  </si>
  <si>
    <t>WOS:000472680400091</t>
  </si>
  <si>
    <t>Bioindicators or sediment relationships: Evaluating ecological responses from sandy beach nematodes</t>
  </si>
  <si>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</si>
  <si>
    <t>10.1016/j.ecss.2019.04.035</t>
  </si>
  <si>
    <t>WOS:000472813500020</t>
  </si>
  <si>
    <t>Effect of recreational-fisheries management on fish biodiversity in gravel pit lakes, with contrasts to unmanaged lakes</t>
  </si>
  <si>
    <t>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t>
  </si>
  <si>
    <t>10.1111/jfb.13989</t>
  </si>
  <si>
    <t>WOS:000472976300005</t>
  </si>
  <si>
    <t>Effects of woody species encroachment and fire on vegetation and the soil seed bank in dry grasslands of Transylvania</t>
  </si>
  <si>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</si>
  <si>
    <t>10.1111/avsc.12435</t>
  </si>
  <si>
    <t>WOS:000473236900005</t>
  </si>
  <si>
    <t>Fungal community assembly in soils and roots under plant invasion and nitrogen deposition</t>
  </si>
  <si>
    <t>Fungal community composition in the Anthropocene is driven by rapid changes in environmental conditions caused by human activities. This study examines the relative importance of two global change drivers - atmospheric nitrogen (N) deposition and annual grass invasion - on structuring fungal communities in a California chaparral ecosystem, with emphasis on arbuscular mycorrhizal fungi. We used molecular markers, functional groupings, generalized linear statistics and joint distribution modeling, to examine how environmental variables structure taxonomic and functional composition of fungal communities. Invasive grasses had a lower richness and relative abundance of symbiotic fungi (both AMF and other fungi) compared to native shrubs. We found a higher richness and abundance of rhizophilic (e.g. Glomeraceae) and edaphophilic (e.g. Gigasporaceae) AMF with increasing soil NO3. Our findings suggest that invasive persistence may decrease the presence of multiple soil symbionts that native species depend on for pathogen protection and increased access to soil resources. (C) 2019 The Author(s). Published by Elsevier Ltd.</t>
  </si>
  <si>
    <t>10.1016/j.funeco.2019.01.002</t>
  </si>
  <si>
    <t>WOS:000473841600013</t>
  </si>
  <si>
    <t>Exposure to microplastics lowers arsenic accumulation and alters gut bacterial communities of earthworm Metaphire californica</t>
  </si>
  <si>
    <t>Ubiquitous contamination of microplastics and arsenic in soil ecosystems can induce many health issues to nontarget soil organisms, and will also cause many potential threats to the gut bacterial communities of soil fauna. However, the changes in the gut bacterial communities of soil fauna after exposure to both microplastics and arsenic remain unknown. In this study, the toxicity and effects on the gut microbiota of earthworm Metaphire californica caused by the combined exposure of microplastics and arsenic were examined by using arsenic species analysis and high throughput sequencing of gut microbiota. Results showed that total arsenic and arsenic species in the earthworm gut and body tissues after exposure to combination of microplastics with arsenate (As(V)) were significantly different from that treated with As(V) alone. Microplastics lessened the accumulation of total arsenic and the transformation rate of As(V) to arsenite (As(lll)). Microplastics alleviated the effect of arsenic on the gut microbiota possibly via adsorbing/binding As(V) and lowering arsenic bioavailability, thus prevented the reduction of As(V) and accumulation of total arsenic in the gut which resulted in a lower toxicity on the earthworm. The study broadens our understanding of the ecotoxicity of microplastics with other pollutants on the soil animals and on their gut microbiota. (C) 2019 Elsevier Ltd. All rights reserved.</t>
  </si>
  <si>
    <t>10.1016/j.envpol.2019.04.054</t>
  </si>
  <si>
    <t>WOS:000474329700013</t>
  </si>
  <si>
    <t>The combined effects of an extreme heatwave and wildfire on tallgrass prairie vegetation</t>
  </si>
  <si>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</si>
  <si>
    <t>10.1111/jvs.12750</t>
  </si>
  <si>
    <t>WOS:000474629200010</t>
  </si>
  <si>
    <t>Effects of Land Cover Pattern Along Urban-Rural Gradient on Bird Diversity in Wetlands</t>
  </si>
  <si>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</si>
  <si>
    <t>10.3390/d11060086</t>
  </si>
  <si>
    <t>WOS:000474935000002</t>
  </si>
  <si>
    <t>Effect of River Ecological Restoration on Biofilm Microbial Community Composition</t>
  </si>
  <si>
    <t>Across the world, there have been increasing attempts to restore good ecological condition to degraded rivers through habitat restoration. Microbial communities developing as biofilms play an important role in river ecosystem functioning by driving organic matter decomposition and ecosystem respiration. However, little is known about the structure and function of microbial communities in riverine systems and how these change when habitat restoration is implemented. Here, we compared the biofilm bacterial community composition using 16S rRNA genes targeted high-throughput Illumina Miseq sequencing in three river types, degraded urban rivers, urban rivers undergoing habitat restoration and forested rivers (our reference conditions). We aimed to determine: (i) the biofilm bacterial community composition affected by habitat restoration (ii) the difference in bacterial diversity in restored rivers, and (iii) correlations between environmental variables and bacterial community composition. The results showed that both water quality and biofilm bacterial community structure were changed by habitat restoration. In rivers where habitat had been restored, there was an increase in dissolved oxygen, a reduction in organic pollutants, a reduction in bacterial diversity and a related developing pattern of microbial communities, which is moving towards that of the reference conditions (forested rivers). River habitat management stimulated the processing of organic pollutants through the variation in microbial community composition, however, a big difference in bacterial structure still existed between the restored rivers and the reference forest rivers. Thus, habitat restoration is an efficient way of modifying the biofilm microbial community composition for sustainable freshwater management. It will, however, take a much longer time for degraded rivers to attain a similar ecosystem quality as the pristine forest sites than the seven years of restoration studied here.</t>
  </si>
  <si>
    <t>10.3390/w11061244</t>
  </si>
  <si>
    <t>WOS:000475346300132</t>
  </si>
  <si>
    <t>Impacts of long-term elevated atmospheric CO2 concentrations on communities of arbuscular mycorrhizal fungi</t>
  </si>
  <si>
    <t>The ecological impacts of long-term elevated atmospheric CO2 (eCO(2)) levels on soil microbiota remain largely unknown. This is particularly true for the arbuscular mycorrhizal (AM) fungi, which form mutualistic associations with over two-thirds of terrestrial plant species and are entirely dependent on their plant hosts for carbon. Here, we use high-resolution amplicon sequencing (Illumina, HiSeq) to quantify the response of AM fungal communities to the longest running (&gt;15 years) free-air carbon dioxide enrichment (FACE) experiment in the Northern Hemisphere (GiFACE); providing the first evaluation of these responses from old-growth (&gt;100 years) semi-natural grasslands subjected to a 20% increase in atmospheric CO2. eCO(2) significantly increased AM fungal richness but had a less-pronounced impact on the composition of their communities. However, while broader changes in community composition were not observed, more subtle responses of specific AM fungal taxa were with populations both increasing and decreasing in abundance in response to eCO(2). Most population-level responses to eCO(2) were not consistent through time, with a significant interaction between sampling time and eCO(2) treatment being observed. This suggests that the temporal dynamics of AM fungal populations may be disturbed by anthropogenic stressors. As AM fungi are functionally differentiated, with different taxa providing different benefits to host plants, changes in population densities in response to eCO(2) may significantly impact terrestrial plant communities and their productivity. Thus, predictions regarding future terrestrial ecosystems must consider changes both aboveground and belowground, but avoid relying on broad-scale community-level responses of soil microbes observed on single occasions.</t>
  </si>
  <si>
    <t>10.1111/mec.15160</t>
  </si>
  <si>
    <t>WOS:000476143300001</t>
  </si>
  <si>
    <t>Temperature and surface runoff affect the community of periphytic diatoms and have distinct effects on functional groups: evidence of a mesocosms experiment</t>
  </si>
  <si>
    <t>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t>
  </si>
  <si>
    <t>10.1007/s10750-019-03992-6</t>
  </si>
  <si>
    <t>WOS:000476499300003</t>
  </si>
  <si>
    <t>Relationship of bird richness, abundance and assemblage to the built environment in a small island tropical urban setting: a Suva, Fiji case study</t>
  </si>
  <si>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</si>
  <si>
    <t>10.1007/s11252-019-00861-x</t>
  </si>
  <si>
    <t>WOS:000476523200008</t>
  </si>
  <si>
    <t>Stream Benthic Macroinvertebrate Assemblages Reveal the Importance of a Recently Established Freshwater Protected Area in a Tropical Watershed</t>
  </si>
  <si>
    <t>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t>
  </si>
  <si>
    <t>10.2984/73.3.1</t>
  </si>
  <si>
    <t>WOS:000476584900001</t>
  </si>
  <si>
    <t>Connectivity and zebra mussel invasion offer short-term buffering of eutrophication impacts on floodplain lake landscape biodiversity</t>
  </si>
  <si>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</si>
  <si>
    <t>10.1111/ddi.12938</t>
  </si>
  <si>
    <t>WOS:000476676000012</t>
  </si>
  <si>
    <t>Community signals of the effect of Didymosphenia geminata (Lingbye) M. Schmidt on benthic diatom communities in Chilean rivers</t>
  </si>
  <si>
    <t>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t>
  </si>
  <si>
    <t>10.1186/s40693-019-0084-2</t>
  </si>
  <si>
    <t>WOS:000476833500001</t>
  </si>
  <si>
    <t>Ecological filtering in scrub fragments restructures the taxonomic and functional composition of native bee assemblages</t>
  </si>
  <si>
    <t>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t>
  </si>
  <si>
    <t>10.1002/ecy.2654</t>
  </si>
  <si>
    <t>WOS:000477642200007</t>
  </si>
  <si>
    <t>Shared mycorrhizae but distinct communities of other root-associated microbes on co-occurring native and invasive maples</t>
  </si>
  <si>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</si>
  <si>
    <t>10.7717/peerj.7295</t>
  </si>
  <si>
    <t>WOS:000477791200001</t>
  </si>
  <si>
    <t>What land use better preserves taxonomic and functional diversity of birds in a grassland biome?</t>
  </si>
  <si>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</si>
  <si>
    <t>10.5751/ACE-01293-140101</t>
  </si>
  <si>
    <t>WOS:000478087900001</t>
  </si>
  <si>
    <t>Stressor dominance and sensitivity-dependent antagonism: Disentangling the freshwater effects of an insecticide among co-occurring agricultural stressors</t>
  </si>
  <si>
    <t>Pesticide concentrations are correlated with regional declines in stream invertebrate diversity. Experimental studies have identified that pesticides can have strong and persistent negative effects on aquatic ecosystems. These effects may occur at concentrations orders of magnitude lower than laboratory toxicity studies predict. Synergism among stressors is one explanation for observed laboratory-field differences. However, the true effect of pesticides on stream invertebrates remains uncertain, given interactions between stressors and natural environmental conditions. We experimentally examined multiple-stressor effects on stream invertebrate assemblages and leaf litter breakdown using 24 independent ~900 L re-circulating outdoor mesocosms in a semi-orthogonal design. Two pulses of the pesticide malathion (C10H19O6PS2) were delivered at low and high concentrations (Pulse 1: low at 0.1 and high at 1 mu g/L; Pulse 2: at 2.5 and 25 mu g/L). These were crossed with a treatment combining stressors commonly associated with agricultural development; nitrogen, phosphorus and sediment (kaolinite). Malathion degradation was rapid (&lt;24 hr half-life) in all treatments, likely because of photolysis, hydrolysis, the presence of biofilms and sorptive processes. There were significant differences in invertebrate assemblages between treatments, where malathion contributed to 48% and 87% of deviance during Pulse 1 and 2 respectively. Malathion had strong negative effects during Pulse 2, with declines occurring between control and high pesticide treatments in Ephemeroptera, Plecoptera and Trichoptera abundances (Cohen's d = 3.08), invertebrate richness (d = 3.57) and total abundance (d = 3.31). Despite the dominant effects of malathion on invertebrates, agricultural stressors inhibited rates of leaf litter breakdown (p &lt; 0.05), and weakly mitigated malathion toxicity in mesocosms (e.g. PERMANOVA, P approximate to 0.1). Malathion breakdown analysis indicated sediment addition reduced malathion concentrations through alkaline hydrolysis and sorption. Experimental assays on common taxa supported sediment-malathion interactions resulted in antagonism. Synthesis and applications. Pesticide effects were not synergistic with the stressors tested here. Indeed, sensitivity-dependent stressor antagonisms were observed, reinforcing a mechanistic understanding of stressor effects and interactions is important. Among aquatic stressors examined, malathion had dominant effects on invertebrate assemblages, despite rapid degradation. Our results suggest that pesticide effects may be underestimated within ecosystems, where pesticides can have severe community-wide effects, but rapid pesticide breakdown and sorptive processes may conceal causal links.</t>
  </si>
  <si>
    <t>10.1111/1365-2664.13430</t>
  </si>
  <si>
    <t>WOS:000478601300016</t>
  </si>
  <si>
    <t>Biotic heterogeneity among scarab beetle communities in an anthropized landscape in the Central Valleys of Oaxaca, Mexico</t>
  </si>
  <si>
    <t>In the tropics, changes in land use are a major concern given that the transformation of natural ecosystems to degraded environments for human use occurs rapidly and is associated with deforestation, fragmentation, isolation, among other impacts. Scarab beetles are well represented in tropical and warm temperate ecosystems due to their high diversity, numerous ecological functions, sensitivity to habitat disturbances, and responses to anthropized areas, so they are considered as a model group to study the consequences of environmental disturbance in tropical regions. We present an analysis of the scarab beetle diversity in an anthropized landscape with five different land uses in the Central Valleys of the state of Oaxaca, Mexico, with an emphasis on the dissimilarity in species composition. The organisms were collected with dung-, carrion- and fruit-baited traps during five sampling periods. We identified 2766 individuals belonging to 40 species, the majority being coprophagous or copro-necrophagous. The most abundant species was Phanaeus nimrod, with 624 individuals, although the most abundant species changed according to land uses. Beta diversity was high (80% on average), and between four sites dissimilarity was 100%. Species replacement was more important than differences in richness for the total beta diversity calculated with incidence data; and balanced variation in abundance was more important than the abundance gradient in the case of analyses with abundances. The landscape presented high scarab beetle diversity, mainly due to a high species replacement and the balanced variation in abundance, indicating that a high biotic heterogeneity has been maintained, or even enhanced following landscape modification.</t>
  </si>
  <si>
    <t>10.1007/s10841-019-00169-3</t>
  </si>
  <si>
    <t>WOS:000479056100010</t>
  </si>
  <si>
    <t>Effect of shifts in habitats and flow regime associated to water diversion for agriculture on the macroinvertebrate community of a small watershed</t>
  </si>
  <si>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</si>
  <si>
    <t>10.1007/s10452-019-09703-6</t>
  </si>
  <si>
    <t>WOS:000479119600013</t>
  </si>
  <si>
    <t>Successional changes of microalgae community in response to commercial probiotics in the intensive shrimp (Litopenaeus vannamei Boone) culture systems</t>
  </si>
  <si>
    <t>Probiotics with antimicrobial properties can be used to regulate the microflora, control the pathogenic algae, and improve the mineralization of organic substances in the aquaculture environment. However, the efficacy of the probiotics on the succession of microalgae in the shrimp (Litopenaeus vannamei Boone) culture remains inadequate. A field experiment in mesocosm was performed to explore the impacts of probiotics on the succession of microalgae and nutrient enrichment of the shrimp culture systems. The enormous changes in the microalgae community structure (MCSs) was significantly influenced by probiotic colonization. Probiotics shifted MCSs into three seral phases and their sequential replacements of the dominant taxa were identified by cluster analysis. Moreover, each seral stage of the keystone species turnover in MCSs represents distinguished ecological functions. At the final seral stage probiotics significantly constrained the succession of the most competitive species of Cyanobacteria (Oscillatoria and Anabaena) which was disagreed with the normal seral stage. Similarly, the probiotics increased and maintained the sequel of the nutritional value of Nannochloropsis and Chlorella from Chlorophyta and Oocystics and Navicula from the Bacillariophyta. Furthermore, the probiotic-based ponds had a higher shrimp survival rate compared to the control. Nutrients concentration of nitrite (NO2-) and nitrate (NO3-) were lower in treatments than in the control. Consequently, chemical oxygen demand (COD), nitrite (NO2-), water temperature (WT), total ammonium nitrogen (TAN) and dissolved oxygen (DO) were strongly explanatory variables controlled the sequel of MCSs. These findings imply that the probiotics have potential in the succession, redistribution of beneficial microalgae, inhibit the growth of harmful Cyanobacteria and sustain the MCSs stability in shrimp aquaculture activities.</t>
  </si>
  <si>
    <t>10.1016/j.aquaculture.2019.734257</t>
  </si>
  <si>
    <t>WOS:000480233600076</t>
  </si>
  <si>
    <t>Epigaeic ant diversity and distribution in the Sandstone Sourveld in KwaZulu-Natal, South Africa</t>
  </si>
  <si>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</si>
  <si>
    <t>10.1111/aje.12615</t>
  </si>
  <si>
    <t>WOS:000480296300011</t>
  </si>
  <si>
    <t>High-throughput absolute quantification sequencing reveals the effect of different fertilizer applications on bacterial community in a tomato cultivated coastal saline soil</t>
  </si>
  <si>
    <t>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t>
  </si>
  <si>
    <t>10.1016/j.scitotenv.2019.06.105</t>
  </si>
  <si>
    <t>WOS:000480316300062</t>
  </si>
  <si>
    <t>Effects of the introduction of an omnivorous fish on the biodiversity and functioning of an upland Amazonian lake</t>
  </si>
  <si>
    <t>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t>
  </si>
  <si>
    <t>10.1590/1809-4392201804131</t>
  </si>
  <si>
    <t>WOS:000480634100009</t>
  </si>
  <si>
    <t>Grazing effects on woody and herbaceous plant biodiversity on a limestone mountain in northern Tunisia</t>
  </si>
  <si>
    <t>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t>
  </si>
  <si>
    <t>10.7717/peerj.7296</t>
  </si>
  <si>
    <t>WOS:000480647100001</t>
  </si>
  <si>
    <t>The effects of grassland ecosystem afforestation on avian phylogenetic diversity, taxonomic diversity and evolutionary distinctiveness</t>
  </si>
  <si>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</si>
  <si>
    <t>10.1016/j.actao.2019.103449</t>
  </si>
  <si>
    <t>WOS:000480669800009</t>
  </si>
  <si>
    <t>Understanding Fish Assemblage Structure in Lentic Ecosystems: Relative Effects of Abiotic Factors and Management Legacies</t>
  </si>
  <si>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</si>
  <si>
    <t>10.1002/nafm.10304</t>
  </si>
  <si>
    <t>WOS:000481873200001</t>
  </si>
  <si>
    <t>Benthic community history in the Changjiang (Yangtze River) mega-delta: Damming, urbanization, and environmental control</t>
  </si>
  <si>
    <t>The coastal environment of the Changjiang delta has been influenced by recent anthropogenic activities such as dam construction and increased sewage and fertilizer inputs. Previous work examined the compositional shift of marine plankton to assess ecological impacts of these activities on marine ecosystems in the Changjiang discharge area. Here we used benthic marine ostracodes collected in the Changjiang estuary and the adjacent East China Sea in the 1980s and the 2010s, respectively, to investigate temporal changes of the benthic community and controlling factors for the benthic fauna. Our results revealed more shoreward distribution of some well-known offshore ostracode species in the 2010s compared with the 1980s and a relatively more important role for environmental processes (e.g., bottom-water temperature, bottom-water salinity, and eutrophic conditions of surface water) than spatial processes (e.g., the flow of ocean currents) in structuring ostracode compositions. The temporal changes in the ostracode community are likely attributable to the combined effects of reduced fresh water and sediment discharge and eutrophic conditions of the Changjiang due to the many dams constructed along the Changjiang and population expansion in the Changjiang Basin. Results of redundancy analysis and variation partitioning suggest that ocean currents facilitated environmental filtering of ostracode species such that they could disperse to preferred environmental conditions. These findings highlight the potential uses of marine microfossils to better understand ecological impacts on benthic ecosystems in vulnerable Asian mega-deltas and provide insights into the integration of metacommunity concepts in disentangling dynamics of marine benthic communities.</t>
  </si>
  <si>
    <t>10.1017/pab.2019.21</t>
  </si>
  <si>
    <t>WOS:000482047300006</t>
  </si>
  <si>
    <t>Respiration induced by substrate and bacteria diversity after application of diuron, hexazinone, and sulfometuron-methyl alone and in mixture</t>
  </si>
  <si>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</si>
  <si>
    <t>10.1080/03601234.2019.1620043</t>
  </si>
  <si>
    <t>WOS:000482338000003</t>
  </si>
  <si>
    <t>Deepwater ocean outfalls: A sustainable solution for sewage discharge for mega-coastal cities (Sydney, Australia): Influence of deepwater ocean outfalls on shelf benthic infauna</t>
  </si>
  <si>
    <t>In the early 1990s, a cliff-face disposal-system discharging approximately 940 ML/day, or 80% of sewage generated by the City of Sydney (Australia) (population 3.3 million) was replaced by three deepwater ocean outfalls. An 18-year benthic infauna monitoring study was undertaken to address earlier concerns of long-term accumulation from sewage discharges and potential adverse effects on the marine environment. Assessment of outfall community structure indicated organic input from discharges has not resulted in sediment anoxia. The current post-commissioning investigation detected a gradual change in community structure from north to south in the study area, which was also displayed in taxonomic turnover south of the Malabar outfall. Temporal fluctuation in community structure detected at the three outfall and three reference locations in the current study was also noted in the pre-commissioning study at these locations. Evidence provided by this study indicated the Sydney deepwater ocean outfalls do not cause significant ecological impact.</t>
  </si>
  <si>
    <t>10.1016/j.marpolbul.2019.06.016</t>
  </si>
  <si>
    <t>WOS:000482493000081</t>
  </si>
  <si>
    <t>Persistent contaminants as potential constraints on the recovery of urban river food webs from gross pollution</t>
  </si>
  <si>
    <t>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t>
  </si>
  <si>
    <t>10.1016/j.watres.2019.114858</t>
  </si>
  <si>
    <t>WOS:000483006400009</t>
  </si>
  <si>
    <t>Biological consequences of environmental pollution in running water ecosystems: A case study in zooplankton</t>
  </si>
  <si>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</si>
  <si>
    <t>10.1016/j.envpol.2019.06.055</t>
  </si>
  <si>
    <t>WOS:000483405400059</t>
  </si>
  <si>
    <t>Municipal wastewater effluent affects fish communities: A multi-year study involving two wastewater treatment plants</t>
  </si>
  <si>
    <t>Although effluent from municipal wastewater treatment plants (WWTPs) is a major stressor in receiving environments, relatively few studies have addressed how its discharge affects natural fish communities. Here, we assessed fish community composition over three years along a gradient of effluent exposure from two distinct WWTPs within an International Joint Commission Area of Concern on the Great Lakes (Hamilton Harbour, Canada). We found that fish communities changed with distance from both WWTPs, and were highly dissimilar between sites that were closest to and furthest from the wastewater outfall. Despite differences in the size and treatment technology of the WWTPs and receiving habitats downstream, we found that the sites nearest the outfalls had the highest fish abundances and contained a common set of signature fish species (i.e., round goby Neogobius melanostomus, green sunfish Lepomis cyanellus). Non-native and stress tolerant species were also more abundant near one of the studied WWTPs when compared to the reference site, and the number of young-of-the-year fish collected did not vary along the effluent exposure gradients. Overall, we show that fish are attracted to wastewater outfalls raising the possibility that these sites may act as an ecological trap. Crown Copyright (C) 2019 Published by Elsevier Ltd. All rights reserved.</t>
  </si>
  <si>
    <t>10.1016/j.envpol.2019.06.075</t>
  </si>
  <si>
    <t>WOS:000483405400084</t>
  </si>
  <si>
    <t>Fungal communities do not recover after removing invasive Alliaria petiolata (garlic mustard)</t>
  </si>
  <si>
    <t>The negative impacts of non-native invasive plants on native plants has prompted intensive eradication efforts, but whether eradication can restore soil microbial communities that are also sensitive to invasion is generally not considered. Some invasive plants, like Alliaria petiolata (garlic mustard), specifically alter soils in ways that promote the invasion process. Garlic mustard disrupts mycorrhizas, increases fungal pathogen loads, and elevates soil nutrient availability and soil pH; thus, the fungal community and soil property responses to garlic mustard eradication may be key to restoring ecosystem function in invaded forests. We conducted a garlic mustard eradication experiment at eight temperate, deciduous forests. 1 and 3 years after initiating annual garlic mustard removal (hand pulling), we collected soil samples and characterized fungal community structure using DNA metabarcoding alongside a suite of edaphic properties. We found that fungal richness, the number of shared fungal species, fungal biomass, and the relative abundance of fungal guilds became less similar to invaded plots by year three of eradication and more similar to uninvaded reference plots. However, fungal community composition did not resemble uninvaded communities by the third year of eradication and remained comparable to invaded communities. Soil chemical and physical properties also remained similar to invaded conditions. Overall soil abiotic-biotic restoration was not observed after 3 years of garlic mustard removal. Garlic mustard eradications may therefore not achieve management goals until soil physical, chemical, and biological properties become more similar to uninvaded forested areas or at least more dissimilar to invaded conditions that can promote invasion.</t>
  </si>
  <si>
    <t>10.1007/s10530-019-02031-8</t>
  </si>
  <si>
    <t>WOS:000483692300007</t>
  </si>
  <si>
    <t>Combining functional traits and phylogeny to disentangling Amazonian butterfly assemblages on anthropogenic gradients</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</si>
  <si>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</si>
  <si>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10.1002/ecs2.2837</t>
  </si>
  <si>
    <t>WOS:000483832300015</t>
  </si>
  <si>
    <t>Rapid diversity and structure degradation over time through continued coffee cultivation in remnant Ethiopian Afromontane forests</t>
  </si>
  <si>
    <t>Tropical deforestation and effects on biodiversity and ecosystem services are relatively well studied, but the extent and impact of forest degradation remains much more cryptic. Most of the remaining Ethiopian moist Afromontane forests are currently being degraded due to forest management for coffee production. So far, effects of degradation on biodiversity and forest structure have been estimated by comparing forests with different management regimes in terms of coffee cultivation intensity. Here, we performed an analysis at two time points (2009 and 2017), through the resurveying of 32 plots located in moist Afromontane forest remnants managed for coffee production, to evaluate how rapidly further degradation occurs. In contrast to space-for-time substitutions, our study allows for an accurate assessment of changes in biodiversity and forest structure due to coffee cultivation, without confounding effects of local environmental conditions. We found reductions in woody vegetation richness (-23%) and diversity (-14%), and a further degradation of forest structure, as quantified by tree and shrub density (-31%). Overall tree and shrub height increased over time (+11%). No changes were found in basal area, dominant tree height and woody community composition over an eight-year period. Our findings indicate a continuation in loss of woody vegetation diversity and related ecosystem services due to an intensive low thinning regime where the smallholder coffee farmers removed predominantly intermediate and suppressed trees from the understorey and maintain the tallest trees in the upperstorey. To halt further forest degradation, implementation of REDD+ and coffee certification programs could provide options, however their effectiveness remains to be tested in the field.</t>
  </si>
  <si>
    <t>10.1016/j.biocon.2019.05.014</t>
  </si>
  <si>
    <t>WOS:000483908400002</t>
  </si>
  <si>
    <t>Climate-driven changes in macrobenthic communities in the Mediterranean Sea: A 10-year study in the Bay of Banyuls-sur-Mer</t>
  </si>
  <si>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</si>
  <si>
    <t>10.1002/ece3.5569</t>
  </si>
  <si>
    <t>WOS:000484120700001</t>
  </si>
  <si>
    <t>Echolocation and roosting ecology determine sensitivity of forest-dependent bats to coffee agriculture</t>
  </si>
  <si>
    <t>Species differ in vulnerability to anthropogenic land use changes. Knowledge of the mechanisms driving differential sensitivity can inform conservation strategies but is generally lacking for species-rich taxa in the tropics. The diverse bat fauna of Southeast Asia is threatened by rapid loss of forest and expanding agricultural activities, but the associations between species, traits, vulnerability to agriculture, and the underlying drivers have yet to be elucidated. We studied the responses of speciose insectivorous bat assemblages to robusta coffee cultivation in Sumatra, Indonesia. We compared abundance, species richness, and assemblage structures of bats between forests and coffee farms based on trapping data and evaluated the influence of vegetation complexity on assemblage composition and species-level reactions. Bat abundance and species richness were significantly lower in coffee farms than in forests. Bat assemblage structure differed between land uses, and the overall variation can be largely explained by vegetation simplification. Species sensitive to coffee agriculture were associated with more complex vegetation structure, whereas tolerant species were associated with simpler vegetation structure. Sensitive and tolerant species differed in the type, frequency, and bandwidth of echolocation calls and roost use. Species sensitive to coffee use broadband and high-pitched frequency-modulated calls, which are efficient at detecting insects in complex vegetation, and roost in plant structures that may be lost as vegetation is simplified. In contrast, tolerant species used lower pitched constant-frequency calls and roost in caves. We advocate for greater use of trait analyses in studies seeking to clarify the influence of agriculture on diverse tropical bat faunas. in Indonesian is available with online material.</t>
  </si>
  <si>
    <t>10.1111/btp.12694</t>
  </si>
  <si>
    <t>WOS:000484746900001</t>
  </si>
  <si>
    <t>Forest fragmentation and impacts of intensive agriculture: Responses from different tree functional groups</t>
  </si>
  <si>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</si>
  <si>
    <t>10.1371/journal.pone.0212725</t>
  </si>
  <si>
    <t>WOS:000484987900003</t>
  </si>
  <si>
    <t>Effects of Mercury (Hg) on Soil Nematodes: A Microcosm Approach</t>
  </si>
  <si>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</si>
  <si>
    <t>10.1007/s00244-019-00652-7</t>
  </si>
  <si>
    <t>WOS:000485315400010</t>
  </si>
  <si>
    <t>Evaluating the efficacy of small-scale marine protected areas for preserving reef health: A case study applying emerging monitoring technology</t>
  </si>
  <si>
    <t>Marine protected areas (MPAs) are widely used as management tools to conserve species and ecosystems at risk from human impact. Coastal managers often focus MPA designation on biogenic reef environments due to their value and sensitivity to damage. However, difficulties in enforcement and a lack of capacity to adequately monitor MPAs often make it hard for managers to assess the effectiveness of MPAs, particularly in under-resourced, low-income coastal countries. Reef community data were collected at three long-term managed reserves within the Western Visayas region of the central Philippines in order to assess the state of reef community structure inside and outside of these small-scale locally managed MPAs. In addition, 3D structural data were captured using recently developed 'Structure from Motion' photogrammetry techniques, demonstrating how multiple quantitative metrics of physical structural complexity and health can be recorded in such analyses. These community-run MPAs were shown to be effective even when small (10-20 ha). Mean fish biomass density was five times greater within present-day protected sites, alongside significantly increased levels of fish diversity, richness, and size. No significant structural differences were observed inside and outside of MPAs; however, average reef rugosity, height, and roughness were significantly higher in unfished reefs compared to blast-fished reefs. Reef substrate complexity, coral composition, and level of management, were also shown to structure fish community assemblages, with the link between reef structure and fish richness/abundance disrupted outside of MPAs. The Structure from Motion technique allows a greater range of quantitative morphometrics to be assessed than traditional methods and at relatively low cost. The technique is rapid, non-destructive and can be archived, increasing the value of data for managers wishing to quantify reef health and efficiently monitor benthic changes through time. We discuss both the limitations and benefits of this technology's future use.</t>
  </si>
  <si>
    <t>10.1002/aqc.3215</t>
  </si>
  <si>
    <t>WOS:000485570200001</t>
  </si>
  <si>
    <t>Long-term stacking coal promoted soil bacterial richness associated with increased soil organic matter in coal yards of power plants</t>
  </si>
  <si>
    <t>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t>
  </si>
  <si>
    <t>10.1007/s11368-019-02307-5</t>
  </si>
  <si>
    <t>WOS:000485945000002</t>
  </si>
  <si>
    <t>Response of shorebird habitat selection to coastal reclamation and urbanization in an extensively developed delta: A case study in Macao, China</t>
  </si>
  <si>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</si>
  <si>
    <t>10.1016/j.ocecoaman.2019.104871</t>
  </si>
  <si>
    <t>WOS:000486105500032</t>
  </si>
  <si>
    <t>Resilience of Natural Phytoplankton Communities to Pulse Disturbances from Micropollutant Exposure and Vertical Mixing</t>
  </si>
  <si>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</si>
  <si>
    <t>10.1002/etc.4536</t>
  </si>
  <si>
    <t>WOS:000486765900001</t>
  </si>
  <si>
    <t>Species-specific effects of arsenic on the soil collembolan gut microbiota</t>
  </si>
  <si>
    <t>It is well established that arsenic (As) pollution has a severe threat to food security and soil non-target organisms, however, its influences on soil fauna gut microbiota are poorly understood. The gut microbiota of soil fauna play an important role in host health and nutrient cycling. Here, we used dietary exposure to investigate the effects of As on the mortality and gut microbiota of two model soil collembolans (Folsomia candida and Onychiurus yodai) and determine the accumulation of As in collembolan body tissues. The results showed that, although As exposure did not induce the mortality of the two species, dose dependence of As accumulation was indeed detected in their body tissues. Oral As exposure (500 mu g g(-1) yeast) significantly altered the community structure (P &lt; 0.05) of F. candida gut microbiota and reduced its diversity (by more than 20%; P &lt; 0.05) compared to the control; however, no significant effects were observed in O. yodai gut microbiota. The two collembolan species possess significantly different gut microbiota (P &lt; 0.05), which may partly explain the differences of the two collembolan gut microbiota response to As exposure. We further found that the genera Ochrobactrum, Geobacter and Staphylococcus were sensitive to As exposure in F. candida (P &lt; 0.05), but these bacteria were low abundance and not altered in O. yodai. Moreover, the relative abundance of these bacteria was significantly correlated with As bioaccumulation in F. candida body tissues (P &lt; 0.05, R-2 &gt; 0.6). Higher As bioaccumulation factor was also found in O. yodai body tissues compared to the F. candida. These results indicate that collembolan gut microbiota present a species-specific response to As and may be a more sensitive indicator than the mortality of collembolan.</t>
  </si>
  <si>
    <t>10.1016/j.ecoenv.2019.109538</t>
  </si>
  <si>
    <t>WOS:000487178000015</t>
  </si>
  <si>
    <t>Can invasive habitat-forming species play the same role as native ones? The case of the exotic marine macroalga Rugulopteryx okamurae in the Strait of Gibraltar</t>
  </si>
  <si>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</si>
  <si>
    <t>10.1007/s10530-019-02049-y</t>
  </si>
  <si>
    <t>WOS:000487812700007</t>
  </si>
  <si>
    <t>Agriculture erases climate constraints on soil nematode communities across large spatial scales</t>
  </si>
  <si>
    <t>Anthropogenic conversion of natural to agricultural land reduces aboveground biodiversity. Yet, the overall consequences of land-use changes on belowground biodiversity at large scales remain insufficiently explored. Furthermore, the effects of conversion on different organism groups are usually determined at the taxonomic level, while an integrated investigation that includes functional and phylogenetic levels is rare and absent for belowground organisms. Here, we studied the Earth's most abundant metazoa-nematodes-to examine the effects of conversion from natural to agricultural habitats on soil biodiversity across a large spatial scale. To this aim, we investigated the diversity and composition of nematode communities at the taxonomic, functional, and phylogenetic level in 16 assemblage pairs (32 sites in total with 16 in each habitat type) in mainland China. While the overall alpha and beta diversity did not differ between natural and agricultural systems, all three alpha diversity facets decreased with latitude in natural habitats. Both alpha and beta diversity levels were driven by climatic differences in natural habitats, while none of the diversity levels changed in agricultural systems. This indicates that land conversion affects soil biodiversity in a geographically dependent manner and that agriculture could erase climatic constraints on soil biodiversity at such a scale. Additionally, the functional composition of nematode communities was more dissimilar in agricultural than in natural habitats, while the phylogenetic composition was more similar, indicating that changes among different biodiversity facets are asynchronous. Our study deepens the understanding of land-use effects on soil nematode diversity across large spatial scales. Moreover, the detected asynchrony of taxonomic, functional, and phylogenetic diversity highlights the necessity to monitor multiple facets of soil biodiversity in ecological studies such as those investigating environmental changes.</t>
  </si>
  <si>
    <t>10.1111/gcb.14821</t>
  </si>
  <si>
    <t>WOS:000487894500001</t>
  </si>
  <si>
    <t>Recovery of subalpine grasslands 15 years after landscape level fires</t>
  </si>
  <si>
    <t>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t>
  </si>
  <si>
    <t>10.1071/BT19020</t>
  </si>
  <si>
    <t>WOS:000488042400006</t>
  </si>
  <si>
    <t>Effects of environmental attributes on the biodiversity of ants under different land uses</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</si>
  <si>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</si>
  <si>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10.5902/1980509833811</t>
  </si>
  <si>
    <t>WOS:000488284300015</t>
  </si>
  <si>
    <t>Annual temperature variation influences the vulnerability of montane bird communities to land-use change</t>
  </si>
  <si>
    <t>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t>
  </si>
  <si>
    <t>10.1111/ecog.04611</t>
  </si>
  <si>
    <t>WOS:000488801500001</t>
  </si>
  <si>
    <t>The Influence of Riparian Corridor Land Use on the Pesqueria River's Macroinvertebrate Community (NE Mexico)</t>
  </si>
  <si>
    <t>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t>
  </si>
  <si>
    <t>10.3390/w11091930</t>
  </si>
  <si>
    <t>WOS:000488834400193</t>
  </si>
  <si>
    <t>Above-below surface interactions mediate effects of seagrass disturbance on meiobenthic diversity, nematode and polychaete trophic structure</t>
  </si>
  <si>
    <t>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t>
  </si>
  <si>
    <t>10.1038/s42003-019-0610-4</t>
  </si>
  <si>
    <t>WOS:000488881700005</t>
  </si>
  <si>
    <t>LDPE microplastic films alter microbial community composition and enzymatic activities in soil</t>
  </si>
  <si>
    <t>Concerns regarding microplastic contamination have spread from aquatic environments to terrestrial systems with a growing number of studies have been reported. Notwithstanding, the potential effects on soil ecosystems remain largely unexplored. In this study, the effects of polyethylene microplastics on soil enzymatic activities and the bacterial community were evaluated, and the microbiota colonizing on microplastics were also investigated. Microplastic amendment (2000 fragments per kg soil) significantly increased the urease and catalase activities in soil after 15 days, and no discernible alteration of invertase activities was detected. Results from high-throughput sequencing of 165 rRNA revealed that the alpha diversities (richness, evenness, and diversity) of the microbiota in soil were not obviously changed by the PE amendment, whereas the diversity indexes of microbiota on plastic fragments were significantly lower than those in the control and amended soils. Different taxonomic composition was observed in between the control and amended soils after 90 days of incubation. Bacterial assemblages with distinct community structure colonized the PE microplastics. Additionally, several taxa including plastic-degrading bacteria and pathogens were more abundant on microplastics. Simultaneously, the predicted functional profiles showed that the pathways of amino acid metabolism and xenobiotics biodegradation and metabolism were higher on the microplastics. These results indicated that micro plastics in soil, compared with those in aquatic environments, can also act as a distinct microbial habitat, potentially altering the ecological functions of soil ecosystems. (C) 2019 Elsevier Ltd. All rights reserved.</t>
  </si>
  <si>
    <t>10.1016/j.envpol.2019.112983</t>
  </si>
  <si>
    <t>WOS:000488887500091</t>
  </si>
  <si>
    <t>Diverse land-uses shape new bird communities in a changing rural region</t>
  </si>
  <si>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</si>
  <si>
    <t>10.1007/s10531-019-01833-5</t>
  </si>
  <si>
    <t>WOS:000488929900006</t>
  </si>
  <si>
    <t>Soil biota composition and the performance of a noxious weed across its invaded range</t>
  </si>
  <si>
    <t>The success of invasive plant species is driven, in part, by feedback with soil ecosystems. Yet, how variation in belowground communities across latitudinal gradients affects invader distributions remains poorly understood. To determine the effect of soil communities on the performance of the noxious weed Cirsium arvense across its invaded range, we grew seedlings for 40 days in soils collected across a 699 km linear distance from both inside and outside established populations. We also described the mesofaunal and bacterial communities across all soil samples. We found that C. arvense typically performed better when grown in soils sourced from northern populations than from southern locations where it has a longer invasion history. We also found evidence that C. arvense performed best in soils sourced from outside invaded patches, although this was not consistent across all sites. The bacterial community showed a significant increase in the magnitude of compositional change in invaded sites at higher latitudes, while the mesofaunal community showed the opposite pattern. Bacterial community composition was significantly correlated with C. arvense performance, although mesofaunal community composition was not. Our results demonstrate that the interactions between an invasive plant and associated soil communities change across the invaded range, and the bacterial community in particular may affect variation in plant performance. Observed patterns may be caused by C.arvense presence and time since invasion allowing for an accumulation of species-specific pathogens in southern soils, while the naivete of northern soils to invasion results in a more responsive bacterial community. Although these interactions are difficult to predict, such effects could possibly facilitate the establishment of this exotic species to novel locations.</t>
  </si>
  <si>
    <t>10.1111/ecog.04562</t>
  </si>
  <si>
    <t>WOS:000489884000005</t>
  </si>
  <si>
    <t>Diversity, composition and biomass of native vascular plants regenerating under Acacia mangium Will. plantations in northern Amazonia</t>
  </si>
  <si>
    <t>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t>
  </si>
  <si>
    <t>10.1007/s40415-019-00539-w</t>
  </si>
  <si>
    <t>WOS:000490293100009</t>
  </si>
  <si>
    <t>Antibiotics as chemical warfare across multiple taxonomic domains and trophic levels in brown food webs</t>
  </si>
  <si>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</si>
  <si>
    <t>10.1098/rspb.2019.1536</t>
  </si>
  <si>
    <t>WOS:000490560600006</t>
  </si>
  <si>
    <t>No lines in the sand: Impacts of intense mechanized maintenance regimes on sandy beach ecosystems span the intertidal zone on urban coasts</t>
  </si>
  <si>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</si>
  <si>
    <t>10.1016/j.ecolind.2019.105457</t>
  </si>
  <si>
    <t>WOS:000490577900025</t>
  </si>
  <si>
    <t>Monitoring of marine nematode communities through 18S rRNA metabarcoding as a sensitive alternative to morphology</t>
  </si>
  <si>
    <t>Nematodes are suitable indicators for environmental perturbations because their distribution is closely linked to sediment characteristics. To evaluate whether DNA-based approaches can complement or even outperform morphology-based monitoring, careful evaluation of both approaches is needed using field samples that clearly differ in environmental parameters. We compared metabarcoding, targeting the 18S rRNA and COI genes, with morphological identification of the nematode communities in three different land use areas (aquaculture, industry and nature reserve) in Vietnamese mangroves. The areas differed in heavy metal and nitrate content and granulometry. We additionally generated reference Sanger sequences from these areas in order to improve the genus and species level assignments of the metabarcode data. We compared nematode densities, species and genus composition and diversity estimates, and nematode specific indices in relation to the environmental differences between areas. Our results show that multivariate patterns were similar between the three approaches, while the 18S rRNA metabarcoding dataset best described changes in diversity and community composition in relation to the environmental differences in our sites. The taxonomic composition of the samples was strikingly different depending on the method and less taxa were detected using DNA based methods than the morphology-based method. We show that this is mainly attributed to a lack of entries in the reference databases. The 18S rRNA metabarcoding approach provides a reliable and fast way to screen for environmental changes. Nevertheless, when we also want to understand those changes, the ecological and biological information linked to taxonomy remain essential. We therefore advocate that the addition of new reference sequences from vouchered specimens to reference databases should be an essential part of every metabarcoding study.</t>
  </si>
  <si>
    <t>10.1016/j.ecolind.2019.105554</t>
  </si>
  <si>
    <t>WOS:000490757500018</t>
  </si>
  <si>
    <t>Lichens as indicators of environmental quality in southern Brazil: An integrative approach based on community composition and functional parameters</t>
  </si>
  <si>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</si>
  <si>
    <t>10.1016/j.ecolind.2019.105587</t>
  </si>
  <si>
    <t>WOS:000490757500049</t>
  </si>
  <si>
    <t>Effects of agricultural landscapes and land uses in highly biodiverse tropical streams of the Ecuadorian Choco</t>
  </si>
  <si>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</si>
  <si>
    <t>10.1080/20442041.2018.1527597</t>
  </si>
  <si>
    <t>WOS:000490984200003</t>
  </si>
  <si>
    <t>Effects of 2,2-dichloroacetamide (DCAcAm), an emerging disinfection by-product in drinking water, on the intestinal microbiota of adult zebrafish</t>
  </si>
  <si>
    <t>The presence of disinfection by-products (DBPs) increases the mutagenicity of water and may pose adverse health effects. Gut microbiota exerts a fundamental role on host physiology, and how extrinsic perturbations influence its composition has been increasingly examined. However, the effect of DBPs on gut microbiota is still poorly understood. In the present study, adult zebrafish were exposed to different concentrations of dichloroacetamide (DCAcAm, an emerging nitrogenous DBP) for 30 days. Sequencing of 16S rRNA amplicons revealed a significant change in the richness and diversity of microbiota in the gut of DCAcAm-exposed zebrafish. At the phylum level, the abundance of Proteobacteria decreased and the abundance of Fusobacteria and Firmicutes increased significantly in the gut after exposure to 100 and 500 mu g/L DCAcAm. At the genus level, the abundances of several bacteria which are considered pathogens or opportunistic pathogens in fish and closely related to fish metabolism, disease and inflammation (Aeromonas, Stenotrophomonas, Bacteroides and Ralstonia) increased in the DCAcAm-treated groups. Our results reveal that DBPs in drinking water potentially affect gut microbiota composition, which may contribute to the toxicity assessment of DBPs in future and provide new insight into the complex interactions between the DBPs in drinking water and host health.</t>
  </si>
  <si>
    <t>10.2166/wh.2019.081</t>
  </si>
  <si>
    <t>WOS:000491466900003</t>
  </si>
  <si>
    <t>Cocoa agroforestry and tree diversity in relation to past land use in the Northern Ecuadorian Amazon</t>
  </si>
  <si>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</si>
  <si>
    <t>10.1007/s11056-019-09707-y</t>
  </si>
  <si>
    <t>WOS:000491493800002</t>
  </si>
  <si>
    <t>Soil bacterial communities in the Brazilian Cerrado: Response to vegetation type and management</t>
  </si>
  <si>
    <t>Pasture degradation in the Brazilian Cerrado, the second largest biome in South America, is a widespread problem that leads to serious environmental consequences. Thus pasture restoration is crucial, not only because of the economic importance of meat production in Brazil, but also for mitigation of soil erosion and the effects of climate change. Furthermore, ecosystem productivity depends on nutrient cycling and organic matter transformation in soils, highlighting the need to better understand the biological functioning of soil in natural and managed systems. Soil microbiota can be analyzed to monitor changes in soil functions, thereby serving as an indicator of ecological restoration. In the present study, we used a barcoded pyrosequencing approach to assess soil bacterial communities under three different conditions: a native cerrado area, an active pasture, and a degraded pasture that was planted with native tree species. In the three study areas, Acidobacteria was dominant phylum (20-38%), followed by Proteobacteria (8-13%), AD3 (4-12%), Verrucomicrobia (3-11%), and Firmicutes (3-8%). However, the results demonstrated a clear differentiation of soil microbial communities under native vegetation cover and pasture regardless of rainfall seasonality. The higher abundance of AD3 in the native cerrado area was an important variable differentiating natural and managed areas. Comparing the two pasture areas, the pasture under restoration treatment differed from the active pasture in terms of abundance of the most dominant phyla in the rainy period but not in the dry period. Proteobacteria was lower in the degraded pasture planted with native trees than in the active pasture, while the relative abundance of Acidobacteria showed the opposite trend. Changes in the abundance of main bacterial phyla even in the initial phases of the restoration process, point out for the relevance of microbiological parameters as additional indicators in the monitoring of degradation recovery.</t>
  </si>
  <si>
    <t>10.1016/j.actao.2019.103463</t>
  </si>
  <si>
    <t>WOS:000491685600002</t>
  </si>
  <si>
    <t>Ecological processes mediate the effects of the invasive bloom-forming diatom Didymosphenia geminata on stream algal and invertebrate assemblages</t>
  </si>
  <si>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</si>
  <si>
    <t>10.1007/s10750-019-04080-5</t>
  </si>
  <si>
    <t>WOS:000491797500001</t>
  </si>
  <si>
    <t>Impact of cage farming of cobia (Rachycentron canadum) on the benthic macrofauna in a tropical region</t>
  </si>
  <si>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</si>
  <si>
    <t>10.1016/j.aquaculture.2019.734314</t>
  </si>
  <si>
    <t>WOS:000491992200045</t>
  </si>
  <si>
    <t>Habitat alteration by invasive European green crab (Carcinus maenas) causes eelgrass loss in British Columbia, Canada</t>
  </si>
  <si>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</si>
  <si>
    <t>10.1007/s10530-019-02072-z</t>
  </si>
  <si>
    <t>WOS:000492419000012</t>
  </si>
  <si>
    <t>Responses of soil bacterial compositions to concentrations of nitrogen forms in the process of Moso bamboo invasion</t>
  </si>
  <si>
    <t>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t>
  </si>
  <si>
    <t>10.1111/1440-1703.12052</t>
  </si>
  <si>
    <t>WOS:000492689300001</t>
  </si>
  <si>
    <t>Effect of different grazing intensities on bacterial community composition and diversity in rhizosphere and non-rhizosphere soils in desert steppe of China</t>
  </si>
  <si>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</si>
  <si>
    <t>10.4067/S0718-58392019000400531</t>
  </si>
  <si>
    <t>WOS:000492756200004</t>
  </si>
  <si>
    <t>Pine invasion decreases density and changes native tree communities in woodland Cerrado</t>
  </si>
  <si>
    <t>Background: Invasive plants can negatively impact native communities, but the majority of the effects of these invasions have been demonstrated only for temperate ecosystems. Tropical ecosystems, including the Cerrado, a biodiversity hotspot, are known to be invaded by numerous non-native species, but studies of their impacts are largely lacking. Aims: Our research aimed at quantifying how Pinus spp. presence and density affected Cerrado plant communities. Methods: We sampled areas invaded and non-invaded by Pinus spp. to determine if pine invasion affected native tree richness, diversity, evenness, and density. We also evaluated if community composition differed between invaded and non-invaded sites. Results: We found invaded plots had lower native tree densities than non-invaded plots and that Pinus spp. invasions changed native tree communities by reducing native species abundances. Conclusion: Invasive pines had negative impacts on the native Cerrado tree community by reducing native plant density and changing species abundances. Reduced density and abundance at early invasion stages can result in reduction in biodiversity in the long term.</t>
  </si>
  <si>
    <t>10.1080/17550874.2019.1675097</t>
  </si>
  <si>
    <t>WOS:000492811100001</t>
  </si>
  <si>
    <t>Evaluating toxicity risk in sediments after remediation at a Superfund megasite using a Triad approach</t>
  </si>
  <si>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</si>
  <si>
    <t>10.1007/s10661-019-7870-9</t>
  </si>
  <si>
    <t>WOS:000492928800005</t>
  </si>
  <si>
    <t>Impact of Zirconium on Freshwater Periphytic Microorganisms</t>
  </si>
  <si>
    <t>The majority of studies on biofilms have focused on autotrophic and bacterial taxa, without considering the potential effects on biofilm grazers. In this work, we investigated the effects of realistic environmental concentrations of zirconium (Zr) on periphyton algal growth and micromeiofauna biodiversity. Glass slides were submerged in a pond for four weeks to colonize biofilms and exposed for four weeks in aquaria to targeted Zr concentrations of 0, 1, and 10 nM, which were monitored over time (average measured concentrations were 0.2 +/- 0.1, 0.5 +/- 0.3, and 2.9 +/- 0.3 nM Zr). The four-week exposure to the highest concentration (3 nM) affected the micromeiofauna structure of biofilms and modified the autotrophic biofilm structure by increasing the proportion of green algae and decreasing the abundance of cyanobacteria and brown algae. Rotifers and the ciliate Aspidisca cicada appeared to be the most sensitive organisms among the observed micromeiofauna. A toxic effect of Zr on rotifers could explain such results. Indirect effects, such as reduced food availability given the reduced algal growth in the presence of Zr, could also play a role in the changes of micromeiofauna community structure. These results are among the few published data on the effects of Zr.</t>
  </si>
  <si>
    <t>10.3390/environments6100111</t>
  </si>
  <si>
    <t>WOS:000493177500004</t>
  </si>
  <si>
    <t>Assembly of root-associated microbiomes of typical rice cultivars in response to lindane pollution</t>
  </si>
  <si>
    <t>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t>
  </si>
  <si>
    <t>10.1016/j.envint.2019.104975</t>
  </si>
  <si>
    <t>WOS:000493550200032</t>
  </si>
  <si>
    <t>Application of Environmental DNA Metabarcoding to Spatiotemporal Finfish Community Assessment in a Temperate Embayment</t>
  </si>
  <si>
    <t>Environmental DNA (eDNA) metabarcoding was used to characterize finfish communities in the nearshore estuarine environment. Monthly sampling was conducted June - August 2017 at two sites with structured habitats: a natural rock reef and a shellfish aquaculture farm within the same coastal embayment of Long Island Sound (LIS), CT, United States. Seventeen common and 25 rare finfish taxa were detected using eDNA metabarcoding. Incomplete status of reference sequence databases for finfish species was identified as a methodological challenge. Confidence in molecular identification was improved appreciably through the use of publicly available data obtained from local trawling and seining surveys. Comparison between eDNA metabarcoding and trawling surveys on 6/27/2017, the only day when both data types were available, revealed more finfish species detected by eDNA metabarcoding. The high sensitivity of eDNA metabarcoding detected finfish species rarely observed in traditional surveys and showed the potential for this methodology to augment existing literature for finfish species distribution patterns and invasive species detection. Non-metric multidimensional scaling (NMS) analysis of finfish communities achieved a low-stress, 2D solution, and revealed greater variation between samples collected from different months than samples collected from the two habitats. Similarly, permutational analysis of variance (PERMANOVA) found both month and the interaction term (month x site) significant, with the latter identifying site as significant only in July and August. Different finfish assemblages were significantly associated with each axis, axes representing temporal and spatial variations, respectively. Additionally, polycarbonate and nylon filters were compared to optimize the sampling method; finfish communities retrieved using the two types of filters were statistically indistinguishable by NMS analysis, although the filtration time for nylon filters was shorter. If the objective is to detect rare species, nylon filters are recommended over polycarbonate filters because of higher capture rates of rare taxa. Our study demonstrates the potential for applying eDNA metabarcoding as a stand-alone method to conduct finfish surveys with high sensitivity.</t>
  </si>
  <si>
    <t>10.3389/fmars.2019.00674</t>
  </si>
  <si>
    <t>WOS:000493728100001</t>
  </si>
  <si>
    <t>Direct evidence of native ant displacement by the Argentine ant in island ecosystems</t>
  </si>
  <si>
    <t>Ecological impacts associated with ant introductions have received considerable attention, but most studies that report on these impacts contrast species assemblages between invaded and uninvaded sites. Given the low inferential power of this type of space-for-time comparison, alternative approaches are needed to evaluate claims that ant invasions drive native species loss. Here, we use long-term data sets from two different Argentine ant eradication programs on the California Channel Islands to examine how the richness and composition of native ant assemblages change before and after invasion (but prior to the initiation of treatments). At four different sites on two different islands, pre-invasion native ant assemblages closely resembled those at uninvaded (control) sites in terms of species richness, species composition, and the presence of multiple indicator species. Invader arrival coincided with large (&gt; 75%) and rapid (within 1 year) declines in species richness, shifts in species composition, and the loss of indicator species. These impacts will hopefully be reversed by the recolonization of formerly invaded areas by native ant species following Argentine ant treatment, and long-term studies of native ant recovery at these sites are ongoing. Unchecked spread of the Argentine ant on other islands in this archipelago, however, poses a grave threat to native ants, which include a number of endemic taxa.</t>
  </si>
  <si>
    <t>10.1007/s10530-019-02121-7</t>
  </si>
  <si>
    <t>WOS:000495307000001</t>
  </si>
  <si>
    <t>Community reassembly after river regulation: rapid loss of fish diversity and the emergence of a new state</t>
  </si>
  <si>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</si>
  <si>
    <t>10.1007/s10750-019-04117-9</t>
  </si>
  <si>
    <t>WOS:000495710400005</t>
  </si>
  <si>
    <t>Keeping up with introduced marine species at a remote biodiversity hotspot: awareness, training and collaboration across different sectors is key</t>
  </si>
  <si>
    <t>Despite being a well-recognized issue, the introduction of non-native marine species is an underestimated topic in highly biodiverse developing countries. The Indonesian archipelago sits at the center of the Coral Triangle, extending over several biogeographic regions with unique benthic communities, where the extent of non-native species presence is largely unknown. It is also at the center of maritime traffic between Australasia and Asia, and therefore at risk of introduction of species that are carried on the hulls and ballast water of vessels. In the present study, we aimed to raise awareness on marine biological invasions across the Indonesian archipelago by fostering discussions among scientists, educating science students, generating media articles for the public and actively involving island communities. We also aimed to test the suitability of a range of methods commonly used in bioinvasion research (settlement arrays, DNA barcoding and environmental DNA metabarcoding, vessel surveys) to establish a baseline for biofouling species and potential threats, while developing much needed capacity for monitoring and application to other areas. We recorded 66 different non-coral specimens in the fouling communities of a remote group of islands of the Indonesian archipelago, represented mainly by the taxa Porifera, Tunicata and Mollusca, which are known to include notorious invasive species. None of the identified species was known to be invasive in the region but several were cryptogenic and/or were considered to have a very broad global distribution range that can potentially include part, or all, of the Indonesian archipelago. One species, the ascidian Didemnum molle, was found to quickly settle and spread on available blank substrates. While settlement plates (monitored every 5 months) proved suitable for early detection of potential incursions of these organisms, benthic surveys, DNA barcoding and eDNA metabarcoding provide valuable complementary baseline biodiversity information. A combination of sampling methods is therefore recommended for similar studies in understudied high biodiversity areas. Results from vessel surveys highlights the importance of civil society education in helping prevent bioinvasions. This study represents the first marine biological invasions baseline, awareness and capacity development training carried in the Indonesian archipelago. The lessons taken from the variety of methods explored in a simultaneously scientific and educational setting should prove useful and motivate similar work in other areas of the world.</t>
  </si>
  <si>
    <t>10.1007/s10530-019-02126-2</t>
  </si>
  <si>
    <t>WOS:000496257300003</t>
  </si>
  <si>
    <t>Bird response to woody pastoral management of ancient chestnut orchards: A case study from the southern Alps</t>
  </si>
  <si>
    <t>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t>
  </si>
  <si>
    <t>10.1016/j.foreco.2019.117560</t>
  </si>
  <si>
    <t>WOS:000496607200023</t>
  </si>
  <si>
    <t>Effects of decabromodiphenyl ether on activity, abundance, and community composition of phosphorus mineralizing bacteria in eutrophic lake sediments</t>
  </si>
  <si>
    <t>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t>
  </si>
  <si>
    <t>10.1016/j.scitotenv.2019.133785</t>
  </si>
  <si>
    <t>WOS:000496802200038</t>
  </si>
  <si>
    <t>Macroinvertebrate functional feeding group alterations in response to habitat degradation of headwater Austral streams</t>
  </si>
  <si>
    <t>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t>
  </si>
  <si>
    <t>10.1016/j.scitotenv.2019.133910</t>
  </si>
  <si>
    <t>WOS:000496802200108</t>
  </si>
  <si>
    <t>The impact of antibiotic exposure in water and zebrafish gut microbiomes: A 16S rRNA gene-based metagenomic analysis</t>
  </si>
  <si>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</si>
  <si>
    <t>10.1016/j.ecoenv.2019.109771</t>
  </si>
  <si>
    <t>WOS:000496901100019</t>
  </si>
  <si>
    <t>Urban legacies: Aquatic stressors and low aquatic biodiversity persist despite implementation of regenerative stormwater conveyance systems</t>
  </si>
  <si>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</si>
  <si>
    <t>10.1086/706072</t>
  </si>
  <si>
    <t>WOS:000496957900011</t>
  </si>
  <si>
    <t>A multimetric approach to evaluate offshore mussel aquaculture effects on the taxonomical and functional diversity of macrobenthic communities</t>
  </si>
  <si>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</si>
  <si>
    <t>10.1016/j.marenvres.2019.104774</t>
  </si>
  <si>
    <t>WOS:000497258600014</t>
  </si>
  <si>
    <t>Ground beetle (Coleoptera, Carabidae) life history traits as indicators of habitat recovering processes in postindustrial areas</t>
  </si>
  <si>
    <t>The recovery of postindustrial ecosystems is difficult to predict and depends on numerous factors. Afforestation whereby trees are planted without improvement of soil properties is a popular means of landfill reclamation in Europe, to inhibit the effect of soil erosion. This slows down or completely prevents effective recolonization of many natural ecosystem components. The aim of the study was to test a method using the life-history traits of ground beetle assemblages as a predictor of the effectiveness of ecological restoration in afforested areas. The study was conducted on 45 sampling transects located in three ecosystem types: afforested landfills, landfills where spontaneous succession took place and reference forests. The following carabid life history traits were analysed: body size, dispersal power, food preferences, breeding type, and habitat preferences. In total, 2036 specimens belonging to 36 Carabidae species were collected. Non-metric multidimensional scaling was used to classify ground beetle assemblages according to ecosystem types (analysis of dissimilarity showed significant distance differences, p &lt; .001). We noted shifts in life history traits towards early succession in assemblages of afforested areas. Generalized linear mixed models of afforested sites revealed significantly higher abundance of herbivorous, open-area species with medium body size, high dispersal power and a spring breeding cycle. In contrast, sites where spontaneous succession occured were dominated by carabids whose life history traits were similar to those of assemblages inhabiting the reference forests, i.e. medium body-sized predators with low dispersal power and an autumn breeding cycle. We conclude that an approach based on ground beetle life-history traits can be a useful tool indicating the direction and effectiveness of ecosystem recovery in postindustrial areas and can be used as a measurable criterion for assessment of restoration activities.</t>
  </si>
  <si>
    <t>10.1016/j.ecoleng.2019.105615</t>
  </si>
  <si>
    <t>WOS:000497646800002</t>
  </si>
  <si>
    <t>Forest type interacts with milkweed invasion to affect spider communities</t>
  </si>
  <si>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</si>
  <si>
    <t>10.1111/icad.12346</t>
  </si>
  <si>
    <t>WOS:000497768200007</t>
  </si>
  <si>
    <t>Scale and season determine the magnitude of invasion impacts on plant communities</t>
  </si>
  <si>
    <t>Global synthesis of studies on impacts of invasions on plant communities is often inhibited by inconsistent results owing to plethora of methodological pitfalls. In this regard, the selection of suitable spatial scale, season of sampling and choice of diversity metrics are crucial considerations. Here we report the impacts of a global invader, Leucanthemum vulgare Lam., on plant communities selected along an altitudinal gradient (landscape scale) in Kashmir Himalaya. The environmentally similar but spatially isolated invaded and uninvaded plots were selected and then sampled at multiple spatial (quadrat and plot) and temporal (spring, summer and autumn seasons) scales during years 2016-2017. Invasion by L. vulgare had a significantly negative impact on structure and composition of the invaded communities. Invasion decreased species richness at all the spatial scales due to its effects on species abundance (density), species abundance distribution and intraspecific association. However, the magnitude of the effect was dependent on the spatial scale, being more severe at the larger scale. Renyi diversity profiles indicated that L. vulgare invasion decreased species diversity during all the three seasons, but the intensity of the invasion impact was dependent on the season, with summer being the highest. Non-multidimensional scaling analysis showed that L. vulgare significantly altered species composition of the invaded communities with higher compositional dissimilarity during the summer season. Our study suggests that the selection of suitable spatial scale and season of sampling matter in the standard measurement of magnitude of plant invasion impacts. We propose a way forward to improve methodological and analytic tools for undertaking studies on impacts of invasions on plant communities.</t>
  </si>
  <si>
    <t>10.1016/j.flora.2019.151481</t>
  </si>
  <si>
    <t>WOS:000497966600008</t>
  </si>
  <si>
    <t>Effects of Warming and Nitrogen Addition on the Soil Bacterial Community in a Subtropical Chinese Fir Plantation</t>
  </si>
  <si>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</si>
  <si>
    <t>10.3390/f10100861</t>
  </si>
  <si>
    <t>WOS:000498395600038</t>
  </si>
  <si>
    <t>Spread of the non-native redclaw crayfish Cherax quadricarinatus (von Martens, 1868) into natural waters of the Pilbara region of Western Australia, with observations on potential adverse ecological effects</t>
  </si>
  <si>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</si>
  <si>
    <t>10.3391/bir.2019.8.4.17</t>
  </si>
  <si>
    <t>WOS:000498658800017</t>
  </si>
  <si>
    <t>Diatoms as indicators of the effects of river impoundment at multiple spatial scales</t>
  </si>
  <si>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</si>
  <si>
    <t>10.7717/peerj.8092</t>
  </si>
  <si>
    <t>WOS:000498840700007</t>
  </si>
  <si>
    <t>Are primary forests irreplaceable for sustaining Neotropical landscapes' biodiversity and functioning? Contributions for restoration using ecological indicators</t>
  </si>
  <si>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</si>
  <si>
    <t>10.1002/ldr.3467</t>
  </si>
  <si>
    <t>WOS:000499603300001</t>
  </si>
  <si>
    <t>Prokaryotic and eukaryotic microbial community responses to N and P nutrient addition in oligotrophic Mediterranean coastal waters: Novel insights from DNA metabarcoding and network analysis</t>
  </si>
  <si>
    <t>The effects of the abrupt input of high quantities of dissolved inorganic nitrogen and phosphorus on prokaryotic and eukaryotic microbial plankton were investigated in an attempt to simulate the nutrient disturbances caused by eutrophication and climate change. Two nutrient levels were created through the addition of different quantities of dissolved nutrients in a mesocosm experiment. During the developed blooms, compositional differences were found within bacteria and microbial eukaryotes, and communities progressed towards species of faster metabolisms. Regarding the different nutrient concentrations, different microbial species were associated with each nutrient treatment and community changes spanned from the phylum to the operational taxonomic unit (OTU) level. Network analyses revealed important differences in the biotic connections developed: more competitive relationships were established in the more intense nutrient disturbance and networks of contrasting complexity were formed around species of different ecological strategies. This work highlights that sudden disturbances in water column chemistry lead to the development of entirely different microbial food webs with distinct ecological characteristics.</t>
  </si>
  <si>
    <t>10.1016/j.marenvres.2019.104752</t>
  </si>
  <si>
    <t>WOS:000500180400002</t>
  </si>
  <si>
    <t>Variations in soil bacterial taxonomic profiles and putative functions in response to straw incorporation combined with N fertilization during the maize growing season</t>
  </si>
  <si>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</si>
  <si>
    <t>10.1016/j.agee.2019.106578</t>
  </si>
  <si>
    <t>WOS:000500210500018</t>
  </si>
  <si>
    <t>Complex agroforestry systems against biotic homogenization: The case of plants in the herbaceous stratum of cocoa production systems</t>
  </si>
  <si>
    <t>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t>
  </si>
  <si>
    <t>10.1016/j.agee.2019.106664</t>
  </si>
  <si>
    <t>WOS:000500216600002</t>
  </si>
  <si>
    <t>Conversion of Cerrado savannas into exotic pastures: The relative importance of vegetation and food resources for dung beetle assemblages</t>
  </si>
  <si>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</si>
  <si>
    <t>10.1016/j.agee.2019.106709</t>
  </si>
  <si>
    <t>WOS:000500217500004</t>
  </si>
  <si>
    <t>The response of candy barrel cactus to zinc contamination is modulated by its rhizospheric microbiota</t>
  </si>
  <si>
    <t>In order to better understand the mechanism of tolerance to zinc contamination, a potentially toxic element, it is relevant to analyze its effects on the rhizospheric microbiota of plants with a high tolerance to environmental stress such as cacti species. In this work, the risk for soil contamination with zinc, its effect on bacterial diversity, microbial carbon, abundance of diazotrophs in the soil, and on the photosynthetic efficiency and absorption of zinc in Echinocactus platyacanthus were determined. The soil was characterized physicochemically and placed in experimental pots with E. platyacanthus which were then contaminated with different concentrations of Zn+2. Changes in the rhizospheric bacterial community was analyzed before and after 30 days of contamination with zinc. In this study we found that even when zinc is considered a low toxic metal, their presence in soil selects bacterial groups in the rizosphere involved in stress resistance by heavy metals. Also, at high concentrations it can have negative effects on the rhizospheric community of E. platyacanthus, which could generate serious disturbances in the ecosystem reflected in the loss of bacterial groups that participate in essential functions within the biogeochemical cycles, mainly N cycle. That said, the plant E. platyacanthus was not affected negatively, managing to accumulate a large concentration of metal in its stem and root and can therefore be considered as a plant with phytoaccumulation potential.</t>
  </si>
  <si>
    <t>10.1016/j.rhisph.2019.100177</t>
  </si>
  <si>
    <t>WOS:000500518800005</t>
  </si>
  <si>
    <t>Response of a coastal Baltic Sea diatom-dominated phytoplankton community to experimental heat shock and changing salinity</t>
  </si>
  <si>
    <t>Climate change has been altering the ocean environment, affecting as a consequence the biological communities including microorganisms. We performed a mesocosm experiment to test whether biodiversity loss caused by one stressor would influence plankton community sensitivity to a subsequent stressor, as envisioned in Vinebrooke's multiple stressor concept. A natural Baltic Sea diatom-dominated phytoplankton assemblage was used as a model system where we examined whether a preceding heat shock would affect the community's response to changing salinity. Initially, the community was treated by a short-term temperature increase of 6 degrees C, which resulted in a loss of species compared to the control. Thereafter, the control and the heat-shocked communities were subject to a salinity change (- 5 psu, control, + 5 psu). The species Skeletonema dohrnii, Thalassiosira anguste-lineata, Thalassiosira nordenskioeldii, Chaetoceros socialis and Ditylum brightwellii were major components of the control and heat-shocked assemblages (&gt; 80% of the total biomass). We examined the effect on species composition and biodiversity (morphospecies and operational taxonomic units (OTUs) related to phytoplankton) and on phytoplankton biomass. In addition, we explored the single species response of five dominant diatoms on these environmental perturbations. Our results showed that increased salinity significantly reduced the OTUs richness both in the control and the less diverse heated community as well as the phytoplankton biomass in the heated community. On the other hand, decreased salinity significantly increased species richness and phytoplankton biomass in both communities and OTUs richness in the control community. The five dominant diatoms reached their highest biomass under decreased salinity and responded negatively to increased salinity (lower biomass than ambient salinity). Contrary to Vinebrooke's multiple stressor concept, there was no indication that the heat treatment had altered the community's sensitivity to the salinity stress in our study system.</t>
  </si>
  <si>
    <t>10.1007/s00442-019-04502-0</t>
  </si>
  <si>
    <t>WOS:000500533700019</t>
  </si>
  <si>
    <t>An artificial neural network and Random Forest identify glyphosate-impacted brackish communities based on 16S rRNA amplicon MiSeq read counts</t>
  </si>
  <si>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</si>
  <si>
    <t>10.1016/j.marpolbul.2019.110530</t>
  </si>
  <si>
    <t>WOS:000501387300029</t>
  </si>
  <si>
    <t>Epifaunal and infaunal responses to submarine mine tailings in a Norwegian fjord</t>
  </si>
  <si>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</si>
  <si>
    <t>10.1016/j.marpolbul.2019.110560</t>
  </si>
  <si>
    <t>WOS:000501387300057</t>
  </si>
  <si>
    <t>Linking stream microbial community functional genes to dissolved organic matter and inorganic nutrients</t>
  </si>
  <si>
    <t>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t>
  </si>
  <si>
    <t>10.1002/lno.11356</t>
  </si>
  <si>
    <t>WOS:000501685900001</t>
  </si>
  <si>
    <t>Eutrophication reduces the nutritional value of phytoplankton in boreal lakes</t>
  </si>
  <si>
    <t>Eutrophication (as an increase in total phosphorus [TP]) increases harmful algal blooms and reduces the proportion of high-quality phytoplankton in seston and the content of omega-3 long-chain polyunsaturated fatty acids (eicosapentaenoic acid [EPA] and docosahexaenoic acid [DHA]) in fish. However, it is not well-known how eutrophication affects the overall nutritional value of phytoplankton. Therefore, we studied the impact of eutrophication on the production (as concentration; mu g L-1) and content (mu g mg C-1) of amino acids, EPA, DHA, and sterols, i.e., the nutritional value of phytoplankton in 107 boreal lakes. The lakes were categorized in seven TP concentration categories ranging from ultra-oligotrophic (&lt; 5 mu g L-1) to highly eutrophic (&gt; 50 mu g L-1). Phytoplankton total biomass increased with TP as expected, but in contrast to previous studies, the contribution of high-quality phytoplankton did not decrease with TP. However, the high variation reflected instability in the phytoplankton community structure in eutrophic lakes. We found that the concentration of amino acids increased in the epilimnion whereas the concentration of sterols decreased with increasing TP. In terms of phytoplankton nutritional value, amino acids, EPA, DHA, and sterols showed a significant quadratic relationship with the lake trophic status. More specifically, the amino acid contents were the same in the oligo- and mesotrophic lakes, but substantially lower in the eutrophic lakes (TP &gt; 35 mu g L-1/1.13 mu mol L-1). The highest EPA and DHA content in phytoplankton was found in the mesotrophic lakes, whereas the sterol content was highest in the oligotrophic lakes. Based on these results, the nutritional value of phytoplankton reduces with eutrophication, although the contribution of high-quality algae does not decrease. Therefore, the results emphasize that eutrophication, as excess TP, reduces the nutritional value of phytoplankton, which may have a significant impact on the nutritional value of zooplankton, fish, and other aquatic animals at higher food web levels.</t>
  </si>
  <si>
    <t>10.1016/j.envres.2019.108836</t>
  </si>
  <si>
    <t>WOS:000502685500016</t>
  </si>
  <si>
    <t>From exotic to invasive in record time: The extreme impact of Rugulopteryx okamurae (Dictyotales, Ochrophyta) in the strait of Gibraltar</t>
  </si>
  <si>
    <t>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t>
  </si>
  <si>
    <t>10.1016/j.scitotenv.2019.135408</t>
  </si>
  <si>
    <t>WOS:000504672800064</t>
  </si>
  <si>
    <t>A Preliminary inventory of alien and cryptogenic species in Monastir Bay, Tunisia: spatial distribution, introduction trends and pathways</t>
  </si>
  <si>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</si>
  <si>
    <t>10.12681/mms.20229</t>
  </si>
  <si>
    <t>WOS:000504749700015</t>
  </si>
  <si>
    <t>Invasive cattail reduces fish diversity and abundance in the emergent marsh of a Great Lakes coastal wetland</t>
  </si>
  <si>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</si>
  <si>
    <t>10.1016/j.jglr.2019.09.013</t>
  </si>
  <si>
    <t>WOS:000504780900021</t>
  </si>
  <si>
    <t>Under temperate climate, the conversion of grassland to arable land affects soil nutrient stocks and bacteria in a short term</t>
  </si>
  <si>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</si>
  <si>
    <t>10.1016/j.scitotenv.2019.135494</t>
  </si>
  <si>
    <t>WOS:000505924300193</t>
  </si>
  <si>
    <t>From Genes to Nitrogen Removal: Determining the Impacts of Poultry Industry Wastewater on Tidal Creek Denitrification</t>
  </si>
  <si>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</si>
  <si>
    <t>10.1021/acs.est.9b03560</t>
  </si>
  <si>
    <t>WOS:000506723200017</t>
  </si>
  <si>
    <t>Negative correlations between native macrophyte diversity and water hyacinth abundance are stronger in its introduced than in its native range</t>
  </si>
  <si>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</si>
  <si>
    <t>10.1111/ddi.13014</t>
  </si>
  <si>
    <t>WOS:000506904800001</t>
  </si>
  <si>
    <t>Invertebrate communities of Prairie-Pothole wetlands in the age of the aquatic Homogenocene</t>
  </si>
  <si>
    <t>Simplification of communities is a common consequence of anthropogenic modification. However, the prevalence and mechanisms of biotic homogenization among wetland systems require further examination. Biota of wetlands in the North American Prairie Pothole Region are adapted to high spatial and temporal variability in ponded-water duration and salinity. Recent climate change, however, has resulted in decreased hydrologic variability. Land-use changes have exacerbated this loss of variability. We used aquatic-macroinvertebrate data from 16 prairie-pothole wetlands sampled between 1992 and 2015 to explore homogenization of wetland communities. Macroinvertebrate communities of small wetlands that continued to cycle between wet and dry phases experienced greater turnover and supported unique taxa compared to larger wetlands that shifted towards less dynamic permanently ponded, lake-like regimes. Temporal turnover in beta-diversity was lowest in these permanently ponded wetlands. Additionally, wetlands that shifted to permanently ponded regimes also experienced a shift from palustrine to lacustrine communities. While increased pond permanence can increase species and overall beta-diversity in local areas previously lacking lake communities, homogenization of wetland communities at a larger, landscape scale can result in an overall loss of biodiversity as the diverse communities of many wetland systems become increasingly similar to those of lakes.</t>
  </si>
  <si>
    <t>10.1007/s10750-019-04154-4</t>
  </si>
  <si>
    <t>WOS:000507094100001</t>
  </si>
  <si>
    <t>Variations in the Compositions of Soil Bacterial and Fungal Communities Due to Microhabitat Effects Induced by Simulated Nitrogen Deposition of a Bamboo Forest in Wetland</t>
  </si>
  <si>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</si>
  <si>
    <t>10.3390/f10121098</t>
  </si>
  <si>
    <t>WOS:000507288400050</t>
  </si>
  <si>
    <t>Dynamics of Cyanobacteria and Related Environmental Drivers in Freshwater Bodies Affected by Mitten Crab Culturing: A Study of Lake Guchenghu, China</t>
  </si>
  <si>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</si>
  <si>
    <t>10.3390/w11122468</t>
  </si>
  <si>
    <t>WOS:000507378600041</t>
  </si>
  <si>
    <t>Land use effect on butterfly alpha and beta diversity in the Eastern Himalaya, India</t>
  </si>
  <si>
    <t>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t>
  </si>
  <si>
    <t>10.1016/j.ecolind.2019.105605</t>
  </si>
  <si>
    <t>WOS:000507381800001</t>
  </si>
  <si>
    <t>Changes in the integrated functional stability of microbial community under chemical stresses and the impacting factors in field soils</t>
  </si>
  <si>
    <t>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t>
  </si>
  <si>
    <t>10.1016/j.ecolind.2019.105919</t>
  </si>
  <si>
    <t>WOS:000507381800069</t>
  </si>
  <si>
    <t>Effects of native and exotic congeners on diversity of invertebrate natural enemies, available spider biomass, and pest control services in residential landscapes</t>
  </si>
  <si>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</si>
  <si>
    <t>10.1007/s10531-020-01932-8</t>
  </si>
  <si>
    <t>WOS:000507800300001</t>
  </si>
  <si>
    <t>Response of bacterial communities and plant-mediated soil processes to nitrogen deposition and precipitation in a desert steppe</t>
  </si>
  <si>
    <t>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t>
  </si>
  <si>
    <t>10.1007/s11104-020-04424-4</t>
  </si>
  <si>
    <t>WOS:000508718600001</t>
  </si>
  <si>
    <t>Subsidized or stressed? Shifts in freshwater benthic microbial metagenomics along a gradient of alkaline coal mine drainage</t>
  </si>
  <si>
    <t>Chemical pollution mixtures enter aquatic environments and interact with microorganisms in eclectic ways with disparate consequences for microbial ecosystem services. Can using a thermodynamic framework help to determine the net influence of a chemical mixture on the functional capacity of benthic microbial communities? We examined this question by comparing benthic stream microbial communities exposed to a gradient of neutral-alkaline coalmine effluent. Using a combination of approaches (metagenomics, quantitative polymerase chain reaction [qPCR], and functional assays), we show that functional genes and pathways of microbial communities growing in mine effluent differed in composition, but not diversity. The majority of functional genes and pathways that changed decreased at sites exposed to mine effluent, resulting in lower abundances of nitrogenase and methanogen genes and fermentation pathways. However, selenate reductase gene abundance increased with water and sediment concentration of an ecologically important contaminant at mined sites: selenium. Denitrification genes nosZ and nirK differed between sites: metagenome-based nosZ increased with dissolved nitrate concentration and qPCR-based nirK had a hump-shaped pattern across the mining gradient. Osmoprotectant gene abundance did not change. Extracellular enzyme assays and alkaline phosphatase gene relative abundance suggested that mined stream microbial communities may be constrained by phosphorus bioavailability. Subsidies and stressors related to changes in a set of functional genes and pathways, but differences were not consistently predictable using thermodynamic expectations. This suggests that pairing hypotheses for expected subsidies and stressors with post hoc explorations can yield valuable directions for future study of how microbial functional capacity responds to pollutant mixtures.</t>
  </si>
  <si>
    <t>10.1002/lno.11301</t>
  </si>
  <si>
    <t>WOS:000508766900020</t>
  </si>
  <si>
    <t>Responses of wetland soil bacterial community and edaphic factors to two-year experimental warming and Spartina alterniflora invasion in Chongming Island</t>
  </si>
  <si>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</si>
  <si>
    <t>10.1016/j.jclepro.2019.119502</t>
  </si>
  <si>
    <t>WOS:000508829800082</t>
  </si>
  <si>
    <t>Land use affects lowland stream ecosystems through dissolved oxygen regimes</t>
  </si>
  <si>
    <t>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t>
  </si>
  <si>
    <t>10.1038/s41598-019-56046-1</t>
  </si>
  <si>
    <t>WOS:000508903300022</t>
  </si>
  <si>
    <t>Habitat conversion affects beta diversity in frugivorous butterfly assemblages</t>
  </si>
  <si>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</si>
  <si>
    <t>10.1080/01650521.2019.1710335</t>
  </si>
  <si>
    <t>WOS:000509445400001</t>
  </si>
  <si>
    <t>Long-term warming affects ecosystem functioning through species turnover and intraspecific trait variation</t>
  </si>
  <si>
    <t>Effects of climate change on natural ecosystems can be mediated by ecological processes, but also by rapid evolutionary adaptations and/or non-heritable trait changes in organisms. So far, most studies testing the importance of inter- versus intraspecific changes for how communities and their functioning responds to climate change are either short-term laboratory experiments in highly controlled (artificial) environments, or long-term field surveys suffering from lack of experimental manipulation. Here, we quantified how community composition and functioning has changed in response to long-term warming, including the potential direct and indirect effects via immediate and delayed physiological, non-heritable plastic, ecological, evolutionary and eco-evolutionary responses. We used a site-for-time approach, sampling sites in an artificially heated basin and a nearby area to quantify how &gt;30 years of experimental warming in situ affects benthic grazer communities and traits of grazer taxa, as well as their contribution to a key ecosystem function: grazing on filamentous algae. The community composition shifted with warming, because a non-native species was highly common, and taxa with higher mobility, became more common in the heated areas compared to the control sites. Warming altered community functioning but the underlying mechanisms varied between traits: increased metabolism was caused by intraspecific trait change, while increased grazing rate was mainly driven by species turnover. Our results suggest that both population- and community-level processes mediate the responses of natural communities to long-term environmental change, and that the ongoing warming of coastal waters is likely to alter the functioning of key marine ecosystems.</t>
  </si>
  <si>
    <t>10.1111/oik.06698</t>
  </si>
  <si>
    <t>WOS:000510044800013</t>
  </si>
  <si>
    <t>Hotspots of stream tadpole diversity in forest and agricultural landscapes in Ranomafana, Madagascar</t>
  </si>
  <si>
    <t>Logging and human-induced conversion of natural forests into agricultural areas are major drivers of biodiversity loss in the tropics. Anuran larvae can be highly diverse, can reach high biomass and can play important roles in tropical streams; yet, compared to the adult frog communities, relatively little is known about how larval communities respond to disturbance. Information on larvae is highly relevant for amphibian conservation because larvae represent direct evidence of breeding and thus provide a good indicator of species persistence in disturbed habitats. We studied tadpole assemblages in Ranomafana, southeastern part of Madagascar, in streams in a disturbed forest (previously logged forest), at forest edge (streams embedded in matrix nearby forest blocks), and compared these to communities in a primary forest. We sampled tadpoles at the microhabitat level (pools and riffles) in 9 streams. We recorded 27 species with a maximum of 17 species/stream recorded at edge. The three habitats harbored different assemblages, but, as could be expected, more similarities existed among forest habitats than between forest and non-forest habitats. The most and the least diverse communities were recorded at edge and in the disturbed forest, respectively. Assemblages were dominated by one generalist species, and changes in communities were mostly driven by changes in forest specialists, which either decreased in disturbed forest or were replaced by edge specialists outside forest. Although species richness varied, relative abundances were maintained among habitats, suggesting potential compensatory mechanisms in tadpole biomass. Community structure changed at the microhabitat level: pool environments usually harbored relatively higher species richness and abundance than riffles. Our study highlights the relevance of edge habitats for maintaining amphibian diversity and the pronounced negative effects of past logging activities on tadpole communities. Given the diverse roles of tadpoles in streams, changes in community structure potentially affect critical stream ecosystem processes. The study has strong implications for designing buffer zones around protected areas.</t>
  </si>
  <si>
    <t>10.1007/s11355-020-00407-w</t>
  </si>
  <si>
    <t>WOS:000510112000001</t>
  </si>
  <si>
    <t>Impact on Macro-Benthic Communities of Hydraulic Dredging for Razor Clam Ensis minor in the Tyrrhenian Sea</t>
  </si>
  <si>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</si>
  <si>
    <t>10.3389/fmars.2020.00014</t>
  </si>
  <si>
    <t>WOS:000510205200001</t>
  </si>
  <si>
    <t>Plant community and phylogenetic shifts in acid seep springs over 49 years following Microstegium vimineum invasion</t>
  </si>
  <si>
    <t>Community composition and diversity can change following exotic invasion. We tested the extent to which acid seep spring communities in southern Illinois had changed in composition and community heterogeneity based on three species surveys over 49 years. We also investigated the extent of changes in taxonomic and phylogenetic diversity since the invasion of Microstegium vimineum, an exotic grass. Floristic surveys of ten acid seep springs in southern Illinois were conducted in summer 2017 and compared to two previous surveys from 1968 and 2008. We investigated changes among acid seep springs and between surveys in species composition and community heterogeneity with multivariate ordination based on site dissimilarity, and univariate analyses comparing changes in taxonomic diversity (species richness and exotic species richness) and phylogenetic diversity [net relatedness (NRI) and nearest taxon indices (NTI)] determined from a species phylogeny based upon two plastid sequences (rbcL and matK). Acid seep spring communities became more compositionally similar to each other following woody plant encroachment and M. vimineum invasion. Total species richness declines were observed between surveys while exotic species richness increased. While NRI did not exhibit any temporal patterns, NTI significantly increased over time indicating that a decrease in phylogenetic diversity accompanied exotic invasion over almost half a century within these plant communities.</t>
  </si>
  <si>
    <t>10.1007/s11258-020-01002-7</t>
  </si>
  <si>
    <t>WOS:000510295800001</t>
  </si>
  <si>
    <t>Contrasting effects of urbanization on arboreal and ground-dwelling land snails: role of trophic interactions and habitat fragmentation</t>
  </si>
  <si>
    <t>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t>
  </si>
  <si>
    <t>10.1007/s11252-020-00930-6</t>
  </si>
  <si>
    <t>WOS:000510369400001</t>
  </si>
  <si>
    <t>Biotic and abiotic changes in subtropical seasonal deciduous forest associated with invasion by Hovenia dulcis Thunb. (Rhamnaceae)</t>
  </si>
  <si>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</si>
  <si>
    <t>10.1007/s10530-019-02089-4</t>
  </si>
  <si>
    <t>WOS:000511569700011</t>
  </si>
  <si>
    <t>Different response of bacterial community to the changes of nutrients and pollutants in sediments from an urban river network</t>
  </si>
  <si>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</si>
  <si>
    <t>10.1007/s11783-019-1207-3</t>
  </si>
  <si>
    <t>WOS:000511884800001</t>
  </si>
  <si>
    <t>Swine farming elevated the proliferation of Acinetobacter with the prevalence of antibiotic resistance genes in the groundwater</t>
  </si>
  <si>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</si>
  <si>
    <t>10.1016/j.envint.2020.105484</t>
  </si>
  <si>
    <t>WOS:000512533700064</t>
  </si>
  <si>
    <t>Spatial and temporal changes in the dung beetle diversity of a protected, but fragmented, landscape of the northernmost Neotropical rainforest</t>
  </si>
  <si>
    <t>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t>
  </si>
  <si>
    <t>10.1016/j.ecolind.2019.105968</t>
  </si>
  <si>
    <t>WOS:000512603300001</t>
  </si>
  <si>
    <t>Response mechanisms of sediment microbial communities in different habitat types in a shall ow lake</t>
  </si>
  <si>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</si>
  <si>
    <t>10.1002/ecs2.2948</t>
  </si>
  <si>
    <t>WOS:000512727700040</t>
  </si>
  <si>
    <t>Patterns of biodiversity response along a gradient of forest use in Eastern Amazonia, Brazil</t>
  </si>
  <si>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</si>
  <si>
    <t>10.7717/peerj.8486</t>
  </si>
  <si>
    <t>WOS:000512761400007</t>
  </si>
  <si>
    <t>Benthic Marine Ciliate Assemblages from Southern Brazil and Their Relationship with Seasonality and Urbanization Level</t>
  </si>
  <si>
    <t>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t>
  </si>
  <si>
    <t>10.3390/d12010016</t>
  </si>
  <si>
    <t>WOS:000513019300013</t>
  </si>
  <si>
    <t>Changes in land cover resulting from the introduction of non-native pine modifies litter traits of temperate forests in Patagonia</t>
  </si>
  <si>
    <t>Aims Changes in land cover resulting from the introduction of non-native pine plantations and subsequent pine invasion is increasingly affecting forest areas in the Southern Hemisphere, and having negative impacts on diverse ecosystem components. We studied the abundance, biophysical attributes, and flammability of litter in temperate forests modified by the introduction of the non-native Pinus radiata, and later by its post-fire invasion from adjacent sites. We also evaluated the short-term effects on litter of mechanical removal of P. radiata from post-fire invasion sites. Location North-western Patagonia, Argentina. Methods We measured abundance, depth, moisture content and determined species composition of litter samples collected at native forest, plantation, and post-fire invasion and removal sites. We also performed flammability tests on leaf litter samples of the dominant species from each habitat type. In all cases, litter traits from the modified habitats were compared with those obtained from native forest (reference system). Results Moisture content and litter species composition were notably affected by the alteration of habitat. A decrease in species richness and changes in the identity and abundance of the dominant species were the most remarkable shifts recorded in the modified habitats. While pine needles were mainly associated with parameters indicative of high leaf litter flammability, the opposite was found for leaves of the dominant native trees. The removal of invasive pines from early post-fire invasion did not reveal any biophysical changes in litter that would indicate a tendency towards the conditions found in native forest litter. Conclusions Pine needles as a novel element in litter found in pine-dominated habitats have a prominent impact on litter traits associated with alterations in key ecosystem properties in comparison with the reference system. For a short-term recovery of burned, invaded areas, additional ecological practices other than the removal of invasive trees should be conducted to successfully drive successional changes towards conditions similar to those found in native vegetation.</t>
  </si>
  <si>
    <t>10.1111/jvs.12847</t>
  </si>
  <si>
    <t>WOS:000513103300001</t>
  </si>
  <si>
    <t>Amphibian Host and Skin Microbiota Response to a Common Agricultural Antimicrobial and Internal Parasite</t>
  </si>
  <si>
    <t>Holistic approaches that simultaneously characterize responses of both microbial symbionts and their hosts to environmental shifts are imperative to understanding the role of microbiotas on host health. Using the northern leopard frog (Lithobates pipiens) as our model, we investigated the effects of a common trematode (family Echinostomatidae), a common agricultural antimicrobial (Sulfadimethoxine; SDM), and their interaction on amphibian skin microbiota and amphibian health (growth metrics and susceptibility to parasites). In the trematode-exposed individuals, we noted an increase in alpha diversity and a shift in microbial communities. In the SDM-treated individuals, we found a change in the composition of the skin microbiota similar to those induced by the trematode treatment. Groups treated with SDM, echinostomes, or a combination of SDM and echinostomes, had higher relative abundances of OTUs assigned to Flavobacterium and Acinetobacter. Both of these genera have been associated with infectious disease in amphibians and the production of anti-pathogen metabolites. Similar changes in microbial community composition between SDM and trematode exposed individuals may have resulted from stress-related disruption of host immunity. Despite changes in the microbiota, we found no effect of echinostomes and SDM on host health. Given the current disease- and pollution-related threats facing amphibians, our study highlights the need to continue to evaluate the influence of natural and anthropogenic stressors on host-associated microbial communities.</t>
  </si>
  <si>
    <t>10.1007/s00248-019-01351-5</t>
  </si>
  <si>
    <t>WOS:000513239900016</t>
  </si>
  <si>
    <t>Functional losses in ground spider communities due to habitat structure degradation under tropical land-use change</t>
  </si>
  <si>
    <t>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t>
  </si>
  <si>
    <t>10.1002/ecy.2957</t>
  </si>
  <si>
    <t>WOS:000513288600001</t>
  </si>
  <si>
    <t>Cultivating the Macroalgal Holobiont: Effects of Integrated Multi-Trophic Aquaculture on the Microbiome of Ulva rigida (Chlorophyta)</t>
  </si>
  <si>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</si>
  <si>
    <t>10.3389/fmars.2020.00052</t>
  </si>
  <si>
    <t>WOS:000513494900001</t>
  </si>
  <si>
    <t>Effect of the veterinary ionophore monensin on the structure and activity of a tropical soil bacterial community</t>
  </si>
  <si>
    <t>Monensin (MON) is a coccidiostat used as a growth promoter that can reach the environment through fertilization with manure from farm animals. To verify whether field-relevant concentrations of this drug negatively influence the structure and activity of tropical soil bacteria, plate counts, CO2 efflux measurements, phospholipid fatty acids (PLFA) and community-level physiological profiling (CLPP) profiles were obtained for soil microcosms exposed to 1 or 10 mg kg(-1) of MON across 11 days. Although 53% (1 mg kg(-1)) to 40% (10 mg kg(-1)) of the MON concentrations added to the microcosms dissipated within 5days, a subtle concentration-dependent decrease in the number of culturable bacteria (&lt;1 log CFU g(-1)), reduced (-20 to -30%) or exacerbated (+25%) soil CO2 effluxes, a marked shift of non-bacterial fatty acids, and altered respiration of amines (1.22-fold decrease) and polymers (1.70-fold increase) were noted in some of the treatments. These results suggest that MON quickly killed some microorganisms and that the surviving populations were selected and metabolically stimulated. Consequently, MON should be monitored in agronomic and environmental systems as part of One Health efforts.</t>
  </si>
  <si>
    <t>10.1080/03601234.2019.1673612</t>
  </si>
  <si>
    <t>WOS:000513845600001</t>
  </si>
  <si>
    <t>Artificial light at night alter the impact of arsenic on microbial decomposers and leaf litter decomposition in streams</t>
  </si>
  <si>
    <t>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t>
  </si>
  <si>
    <t>10.1016/j.ecoenv.2019.110014</t>
  </si>
  <si>
    <t>WOS:000514011400021</t>
  </si>
  <si>
    <t>Ecosystem effects of the world's largest invasive animal</t>
  </si>
  <si>
    <t>The keystone roles of mega-fauna in many terrestrial ecosystems have been lost to defaunation. Large predators and herbivores often play keystone roles in their native ranges, and some have established invasive populations in new biogeographic regions. However, few empirical examples are available to guide expectations about how mega-fauna affect ecosystems in novel environmental and evolutionary contexts. We examined the impacts on aquatic ecosystems of an emerging population of hippopotamus (Hippopotamus amphibus) that has been growing in Colombia over the last 25 yr. Hippos in Africa fertilize lakes and rivers by grazing on land and excreting wastes in the water. Stable isotopes indicate that terrestrial sources contribute more carbon in Colombian lakes containing hippo populations, and daily dissolved oxygen cycles suggest that their presence stimulates ecosystem metabolism. Phytoplankton communities were more dominated by cyanobacteria in lakes with hippos, and bacteria, zooplankton, and benthic invertebrate communities were similar regardless of hippo presence. Our results suggest that hippos recapitulate their role as ecosystem engineers in Colombia, importing terrestrial organic matter and nutrients with detectable impacts on ecosystem metabolism and community structure in the early stages of invasion. Ongoing range expansion may pose a threat to water resources.</t>
  </si>
  <si>
    <t>10.1002/ecy.2991</t>
  </si>
  <si>
    <t>WOS:000514046800001</t>
  </si>
  <si>
    <t>Shale gas development has limited effects on stream biology and geochemistry in a gradient-based, multiparameter study in Pennsylvania</t>
  </si>
  <si>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</si>
  <si>
    <t>10.1073/pnas.1911458117</t>
  </si>
  <si>
    <t>WOS:000514096400050</t>
  </si>
  <si>
    <t>Long-term nutrient inputs shift soil microbial functional profiles of phosphorus cycling in diverse agroecosystems</t>
  </si>
  <si>
    <t>Microorganisms play an important role in soil phosphorus (P) cycling and regulation of P availability in agroecosystems. However, the responses of the functional and ecological traits of P-transformation microorganisms to long-term nutrient inputs are largely unknown. This study used metagenomics to investigate changes in the relative abundance of microbial P-transformation genes at four long-term experimental sites that received various inputs of N and P nutrients (up to 39 years). Long-term P input increased microbial P immobilization by decreasing the relative abundance of the P-starvation response gene (phoR) and increasing that of the low-affinity inorganic phosphate transporter gene (pit). This contrasts with previous findings that low-P conditions facilitate P immobilization in culturable microorganisms in short-term studies. In comparison, long-term nitrogen (N) input significantly decreased soil pH, and consequently decreased the relative abundances of total microbial P-solubilizing genes and the abundances of Actinobacteria, Gammaproteobacteria, and Alphaproteobacteria containing genes coding for alkaline phosphatase, and weakened the connection of relevant key genes. This challenges the concept that microbial P-solubilization capacity is mainly regulated by N:P stoichiometry. It is concluded that long-term N inputs decreased microbial P-solubilizing and mineralizing capacity while P inputs favored microbial immobilization via altering the microbial functional profiles, providing a novel insight into the regulation of P cycling in sustainable agroecosystems from a microbial perspective.</t>
  </si>
  <si>
    <t>10.1038/s41396-019-0567-9</t>
  </si>
  <si>
    <t>WOS:000514576800008</t>
  </si>
  <si>
    <t>Does a sum of toxic units exceeding 1 imply adverse impacts on macroinvertebrate assemblages? A field study in a northern Japanese river receiving treated mine discharge</t>
  </si>
  <si>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</si>
  <si>
    <t>10.1007/s10661-019-8047-2</t>
  </si>
  <si>
    <t>WOS:000514583700001</t>
  </si>
  <si>
    <t>Ecological assessment of groundwater ecosystems disturbed by recharge systems using organic matter quality, biofilm characteristics, and bacterial diversity</t>
  </si>
  <si>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</si>
  <si>
    <t>10.1007/s11356-019-06971-5</t>
  </si>
  <si>
    <t>WOS:000514849100067</t>
  </si>
  <si>
    <t>Recent invasion of Didymosphenia geminata (Lyngbye) M. Schmidt in a Patagonian regulated river promotes changes in composition and density of macroinvertebrate community</t>
  </si>
  <si>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</si>
  <si>
    <t>10.1007/s10530-020-02230-8</t>
  </si>
  <si>
    <t>WOS:000515971700005</t>
  </si>
  <si>
    <t>Diversity loss and changes in saproxylic beetle assemblages following a high-severity fire in Araucaria-Nothofagus forests</t>
  </si>
  <si>
    <t>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t>
  </si>
  <si>
    <t>10.1007/s10841-020-00223-5</t>
  </si>
  <si>
    <t>WOS:000516400900001</t>
  </si>
  <si>
    <t>Large-scale cascaded dam constructions drive taxonomic and phylogenetic differentiation of fish fauna in the Lancang River, China</t>
  </si>
  <si>
    <t>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t>
  </si>
  <si>
    <t>10.1007/s11160-019-09580-0</t>
  </si>
  <si>
    <t>WOS:000517112600009</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</si>
  <si>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</si>
  <si>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</si>
  <si>
    <t>10.1002/ldr.3475</t>
  </si>
  <si>
    <t>WOS:000517653400006</t>
  </si>
  <si>
    <t>Community rescue in experimental phytoplankton communities facing severe herbicide pollution</t>
  </si>
  <si>
    <t>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t>
  </si>
  <si>
    <t>10.1038/s41559-020-1134-5</t>
  </si>
  <si>
    <t>WOS:000517742500006</t>
  </si>
  <si>
    <t>Biological corridors as important habitat structures for maintaining bees in a tropical fragmented landscape</t>
  </si>
  <si>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</si>
  <si>
    <t>10.1007/s10841-019-00205-2</t>
  </si>
  <si>
    <t>WOS:000517845300015</t>
  </si>
  <si>
    <t>Bee community response to local and landscape factors along an urban-rural gradient</t>
  </si>
  <si>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</si>
  <si>
    <t>10.1007/s11252-020-00956-w</t>
  </si>
  <si>
    <t>WOS:000518343900001</t>
  </si>
  <si>
    <t>Higher fish biomass inside than outside marine protected areas despite typhoon impacts in a complex reefscape</t>
  </si>
  <si>
    <t>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t>
  </si>
  <si>
    <t>10.1016/j.biocon.2019.108354</t>
  </si>
  <si>
    <t>WOS:000518695100011</t>
  </si>
  <si>
    <t>When the winners are the losers: Invasive alien bird species outcompete the native winners in the biotic homogenization process</t>
  </si>
  <si>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</si>
  <si>
    <t>10.1016/j.biocon.2019.108314</t>
  </si>
  <si>
    <t>WOS:000518695100058</t>
  </si>
  <si>
    <t>Conservation value of tropical forests: Distance to human settlements matters more than management in Central Africa</t>
  </si>
  <si>
    <t>Tropical forests in Central Africa host unique biodiversity threatened by human degradation of habitats and defaunation. Forests allocated to conservation, production and community management are expected to have different conservation values. Here, we aimed to identify the determinants of the conservation value of tropical forests in southeastern Cameroon, by disentangling the effects of forest allocations, proximity to human settlements, and local habitat. We inventoried two taxonomical groups: mammal species with camera traps (3464 independent detection events) and dung beetle species with pitfall traps (4475 individuals). We used an integrated analytical approach, examining both species richness and composition. For both mammals and dung beetles, species richness decreased from the protected area to the community forests, and the logging concession showed intermediate richness. Species richness of both groups was negatively correlated to the proximity to human settlements and disturbance, with a decreasing gradient of body mass and the loss of the most threatened species. The replacement (i.e., spatial turnover) of both mammal and dung beetle species among forest allocations suggest an integration of conservation initiatives to a large number of different sites, with a priority on protected and remote areas of high biodiversity. These results confirm the high conservation value of protected areas and their essential role in conservation strategies, ecologically connected with well-managed production forests with variable conservation value mainly depending on accessibility. Community forests located close to villages are much more degraded but not totally defaunated and still provide bushmeat to local populations.</t>
  </si>
  <si>
    <t>10.1016/j.biocon.2019.108351</t>
  </si>
  <si>
    <t>WOS:000518695100076</t>
  </si>
  <si>
    <t>Grassland management for meadow birds in the Netherlands is unfavourable to pollinators</t>
  </si>
  <si>
    <t>Agricultural intensification and loss of semi-natural grassland have contributed to biodiversity decline, including pollinator species, in pastures around the world. To reverse the decline, agri-environmental schemes have been implemented, varying widely in effectiveness. In addition, many countries, including the Netherlands, have established nature reserves in which semi-natural grasslands are restored and are often managed for specific groups of species, e.g. meadow birds or plants. The effects of such measures on insect biodiversity are not well known but recent reports on the dramatic decline of insect biomass in nature reserves have put even more attention to the impact of land use and management on biodiversity. This study compares pollinator abundance and species richness in three common semi-natural grassland management types in the Netherlands: (1) hay meadows, (2) herb-rich grasslands and (3) meadow bird grasslands. Pollinator abundance and species richness were assessed in eleven study areas, each with all three management types present. Standardized transects, insect sampling within a standard 20 min time frame and plot-based flower surveys were used in spring and summer to assess the relationships between management regime, floral abundance and diversity and pollinator communities. The results show that meadow bird grasslands have lower pollinator abundance and diversity and a less unique pollinator assemblage than both other types. Moreover, flower abundance has a positive effect on pollinator abundance and flower diversity has a positive effect on pollinator species richness. These results indicate that meadow-bird grasslands are a comparatively unfavourable habitat for bees, hoverflies and butterflies, which may be explained by a lack of flowers as well as unsuitable mowing practices. Measures benefitting both insectivorous birds and flower-visiting insects, such as rotational mowing, could remediate this imbalance. (C) 2019 The Authors. Published by Elsevier GmbH on behalf of Gesellschaft fur Okologie.</t>
  </si>
  <si>
    <t>10.1016/j.baae.2019.12.002</t>
  </si>
  <si>
    <t>WOS:000519552700007</t>
  </si>
  <si>
    <t>Soil exposed to silver nanoparticles reveals significant changes in community structure and altered microbial transcriptional profiles</t>
  </si>
  <si>
    <t>Anthropogenic activities can disrupt soil ecosystems, normally resulting in reduced soil microbial health. Regulatory agencies need to determine the effects of uncharacterized substances on soil microbial health to establish the safety of these chemicals if they end up in the environment. Previous work has focused on measuring traditional ecotoxicologial endpoints within the categories of microbial biomass, activity, and community structure/diversity. Because these tests can be labor intensive, lengthy to conduct, and cannot measure changes in individual gene functions, we wanted to establish whether metatranscriptomics could be used as a more sensitive endpoint and provide a perspective on community function that is more informative than taxonomic identification of microbes alone. We spiked a freshly collected sandy loam soil (Vulcan, Alberta, Canada) with 0, 60, 145, 347, 833, and 2000 mg kg(-1) of silver nanoparticles (AgNPs), a known antagonist of microorganisms due to its propensity for dissolution of toxic silver ions. Assessments performed in our previous work using traditional tests demonstrated the toxicity of AgNPs on soil microbial processes. We expanded this analysis with genomics-based tests by measuring changes in community taxonomic structure and function using 16S rDNA profiling and metatranscriptomics. In addition to identifying bacterial taxa affected by AgNPs, we found that genes involved in heavy metal resistance (e.g., the CzcA efflux pump) and other toxicity response pathways were highly upregulated in the presence of silver. Dose-response analysis using BMDExpress2 software successfully modeled many physiologically relevant genes responding to low concentrations of AgNPs. We found that the transcriptomic point of departure (BMD50) was lower than the IC50s calculated using the traditional tests in our previous work. These results suggest that dose-response modeling of metatranscriptomic gene expression is a useful tool in soil microbial health assessment. Summary: Genomics-based endpoints for the assessment of soil microbial health can be used to perform quantitative dose-response modeling, and soil-based RNAseq adds functional insights. Crown Copyright (C) 2019 Published by Elsevier Ltd. All rights reserved.</t>
  </si>
  <si>
    <t>10.1016/j.envpol.2019.113816</t>
  </si>
  <si>
    <t>WOS:000519655100047</t>
  </si>
  <si>
    <t>Temporal effects of repeated application of biogas slurry on soil antibiotic resistance genes and their potential bacterial hosts</t>
  </si>
  <si>
    <t>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t>
  </si>
  <si>
    <t>10.1016/j.envpol.2019.113652</t>
  </si>
  <si>
    <t>WOS:000519655100096</t>
  </si>
  <si>
    <t>Effect of Land Use on the Benthic Diatom Community of the Danube River in the Region of Budapest</t>
  </si>
  <si>
    <t>(1) Urbanization significantly influences the ecosystems of rivers in various ways, including the so-called loading effect of wastewater production. Benthic diatoms are used in ecological status assessments of waters. Beside species composition, traits can be used as indicators. We aimed to evaluate how the loading of the large city of Budapest manifests in the physico-chemical variables of the River Danube and what species composition and trait response this loading results in for the benthic diatom communities. (2) Weekly samplings were performed at points upstream and downstream of Budapest on both riverbanks. Samples were compared, based on general physical-chemical variables and the concentration of thirty-four elements, as well as species composition and seven traits of species of diatom communities. Ecological status was assessed using the Specific Pollution Sensitivity Index (IPS). (3) Only a few measured environmental variables showed differences between the sampling points, suggesting that the nutrient loading has significantly decreased due to the installation of several efficiently working wastewater treatment plants since the introduction of the European Union Water Framework Directive. In contrast, the species composition and traits of species showed the effect of land use. Benthic diatoms indicate the environmental changes caused by land use in the longer-term, while chemical measurements reflect instantaneous status.</t>
  </si>
  <si>
    <t>10.3390/w12020479</t>
  </si>
  <si>
    <t>WOS:000519846500170</t>
  </si>
  <si>
    <t>Impact of mining on the floristic association of gold mined sites in Southwest Nigeria</t>
  </si>
  <si>
    <t>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t>
  </si>
  <si>
    <t>10.1186/s12898-020-00276-9</t>
  </si>
  <si>
    <t>WOS:000520453200001</t>
  </si>
  <si>
    <t>Effect of cadmium contamination on the rhizosphere bacterial diversity of Echinocactus platyacanthus</t>
  </si>
  <si>
    <t>To better understand the mechanism of tolerance to heavy metals, it is relevant to analyze the effects of Cd contamination on the rhizospheric microbiota of plants with high tolerance to environmental stress such as cacti species. In this work, the effects of soil contamination with Cd on bacterial diversity, microbial carbon, abundance of diazotrophs in the soil, and on the photosynthetic efficiency and absorption of Cd of the candy barrel cactus (Echinocactus platyacanthus) were evaluated. Experimental pots sown with E. platyacanthus were contaminated with different concentrations of Cd+2. Changes in rhizospheric soil community were evaluated after 30 days of contamination. In general, soil contamination with Cd significantly changes the structure of the rizospheric bacterial community which could have serious effects on the functioning of this community, especially in N mobilization. Despite the plant not showing signs of physiological stress reflected in the photosynthetic yield, revealing its high resistance to contamination with Cd, a slight increase in the electron transport rate at low Cd concentration was observed. This increase correlates with an increase in abundance of diazotrophs and microbial C, suggesting an interesting response by the entire system to the presence of low Cd concentration in the soil. In this work, we have demonstrated that the factors analyzed here can be indicators of the quality and health of the soil, being a complement to explaining the behavior of metals in the soil matrix, and thus be able to understand the mechanism of tolerance to Cd contamination in soil.</t>
  </si>
  <si>
    <t>10.1016/j.rhisph.2020.100187</t>
  </si>
  <si>
    <t>WOS:000521128100007</t>
  </si>
  <si>
    <t>Forb community responses to an extensive drought in two contrasting land-use types of a semi-arid Lowveld savanna</t>
  </si>
  <si>
    <t>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t>
  </si>
  <si>
    <t>10.2989/10220119.2020.1726464</t>
  </si>
  <si>
    <t>WOS:000521279400005</t>
  </si>
  <si>
    <t>Meiobenthos as food for farmed shrimps in the earthen ponds: Implications for sustainable feeding</t>
  </si>
  <si>
    <t>Shrimp farming in earthen pond is one of the largest seafood growing industries among coastal mariculture, but it has faced environmental issues in recent years, e.g. overloading of supplementary feed cause deterioration of pond environments. In order to assess the impact of pond shrimp farming on the benthic environment, we investigated the changes in environmental variables and meiobenthic community structure during January to August in the earthen ponds rearing Marsupenaeus japonicas and Litopenaeus vannamei. Water and sediment samples were taken in January (before aquaculture), May (early stage) and August (late stage). We found sedimentary redox potential showed values below -150 mV in all ponds in the early and late rearing stages, indicating overall reduced and anoxic conditions. Sedimentary bulk organic matter (total nitrogen and organic carbon) accumulated along with the feeding addition during the rearing period. We found meiobenthic community structure to change over different rearing stages mainly because of an increase in nematode densities that was associated with shrimp farming activity in the studied ponds. We also investigated the functional roles of pond biota and supplementary feed by studying the benthic food web in these ponds by means of natural stable isotope ratios of carbon and nitrogen and fatty acid biomarkers in the early (May) and late (August) rearing stages. Pond biota (i.e. microalgae and meiobenthos) contributed abundantly to the diets of the two shrimp species. In the early stage, meiobenthos shared similar diets with shrimps (with both feeding on primary organic sources) and they could thus potentially compete for resources. At late rearing stages, meiobenthos represented however a functional link between primary producers and shrimps, serving as nutritional food sources for shrimp and providing them high amounts of polyunsaturated fatty acids (PUFAs). We found that the supplementary feed was not substantially consumed by the two shrimp species, which might pose an overfeeding threat to deteriorate the pond environment.</t>
  </si>
  <si>
    <t>10.1016/j.aquaculture.2020.735094</t>
  </si>
  <si>
    <t>WOS:000521282400054</t>
  </si>
  <si>
    <t>River damming affects seedling communities of a floodplain forest in the Central Amazon</t>
  </si>
  <si>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</si>
  <si>
    <t>10.1590/0102-33062019abb0263</t>
  </si>
  <si>
    <t>WOS:000521733100019</t>
  </si>
  <si>
    <t>The invader Carpobrotus edulis promotes a specific rhizosphere microbiome across globally distributed coastal ecosystems</t>
  </si>
  <si>
    <t>The importance of plant-microbe interactions to the success of invasive plants has rarely been studied at a global scale. Carpobrotus edulis (L) N. E. Br is an aggressive invader in many areas around the world, forming dense mats in coastal environments. In an approach at a large geographical scale, over a wide latitudinal and climatic range, we tested the ability of C edulis to alter the local bacterial and fungal community structure and microbial activity in eight invaded coastal locations. The factors invasiveness and geographical location had a significant effect on the soil microbiota, the microbial community composition and structure from the rhizosphere of native and C. edulis plants being distinct in every location. The effect of the invader on all the chemical, physico-chemical, and microbiological properties studied depended on the invaded location. The soil bacterial and fungal community composition and structure were related to the soil available nutrients and mean annual rainfall, and those of the soil bacterial community were also linked to the soil respiration and latitude. Overall, our results reveal that the ability of the invader C. edulis to alter soil microbial community structure harboring a specific microbiome was widespread across a large invaded range - leading to concurring changes in the rhizosphere microbial functioning, such as nutrient cycling. (C) 2020 Elsevier B.V. All rights reserved.</t>
  </si>
  <si>
    <t>10.1016/j.scitotenv.2020.137347</t>
  </si>
  <si>
    <t>WOS:000521936300120</t>
  </si>
  <si>
    <t>Stand-alone or co-occurring invasive plant species do not modify the diversity of the soil N2-fixing bacterial community</t>
  </si>
  <si>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</si>
  <si>
    <t>10.1080/17550874.2020.1729887</t>
  </si>
  <si>
    <t>WOS:000523145900001</t>
  </si>
  <si>
    <t>Long-term monitoring reveals among-year consistency in the ecological impacts of insecticides on animal communities in paddies</t>
  </si>
  <si>
    <t>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t>
  </si>
  <si>
    <t>10.1016/j.ecolind.2020.106227</t>
  </si>
  <si>
    <t>WOS:000523335900063</t>
  </si>
  <si>
    <t>Multiple benthic indicators suggest low sewage impact from an ocean outfall in a high-energy sandy shore (South Brazil)</t>
  </si>
  <si>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</si>
  <si>
    <t>10.1016/j.ecolind.2020.106207</t>
  </si>
  <si>
    <t>WOS:000523335900067</t>
  </si>
  <si>
    <t>Benthic hydrozoan assemblages as potential indicators of environmental health in a mediterranean marine protected area</t>
  </si>
  <si>
    <t>The comparative study of marine benthic hydrozoan assemblages can improve our understanding of environmental and ecological conditions in marine protected areas (MPAs) such as the large Mediterranean MPA of Datca-Bozburun, where important prospects for future intensive tourism development exist. The analysis of such assemblages may help managers detect changes in important parameters of ecosystem health within this MPA. In this study we compared the hydrozoan assemblages occurring on hard (rocky) and soft (Posidonia meadows) bottoms from stations belonging to three different conditions: i) small marinas (medium anthropogenic impact), ii) yacht stopovers (low impact), and iii) unspoiled sites (no impact) in the southern part of the Datea Peninsula during summer and winter 2015 and 2016. Significant differences in the structure, species composition and richness of benthic hydrozoans among the sampling sites were detected. In both seasons, hydroid assemblages in medium-impact sites significantly differed from little-impact and no-impact sites in terms of qualitative composition. Large structural species were widely represented in all hard-bottomed sampling sites, but small inconspicuous taxa with diverse life histories were much less abundant at the medium impacted sites. Species richness and diversity in Posidonia meadows was much higher in little- and no-impact sites, where highly specific hydroid epibionts were abundant.</t>
  </si>
  <si>
    <t>10.12681/mms.20593</t>
  </si>
  <si>
    <t>WOS:000524248700004</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</si>
  <si>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</si>
  <si>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</si>
  <si>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10.1016/j.pecon.2019.12.004</t>
  </si>
  <si>
    <t>WOS:000524750600004</t>
  </si>
  <si>
    <t>Bacterial community responses to tourism development in the Xixi National Wetland Park, China</t>
  </si>
  <si>
    <t>A large number of urban wetland parks have been established, but knowledge about the effects of tourism development on the microbial diversity and ecosystem functioning remains limited. This study aimed to clarify the responses of bacterial communities to tourism development targeted the Xixi National Wetland Park, China. By analyzing the diversity, composition, assembly pattern, and environmental drivers of bacterial communities, we found that tourism development considerably affected the water quality, which further decreased the alpha-diversity but increased the beta-diversity in open areas for landscaping and recreation. Specifically, there was higher Simpson dissimilarity across functional wetland areas, indicating that species replacement mainly explained beta-diversity patterns of bacterial communities. RDA analysis and ecological processes quantification further suggested that TOC and TC were the major factors in the open areas driving bacterial communities in water and sediment, respectively. Also, typical anti-disturbance taxa (Gammaproteobacteria) and potential pathogens (Bacillus) were enriched in the wetlands under more anthropogenic disturbances. Findings of the present study highlighted the effects of tourism development on bacterial communities resulted in obvious spatial variation in the Xixi National Wetland Park. This study gives us useful information for ecological assessments of urban wetlands, and further can provide references in making appropriate strategies to manage wetland ecosystems. (C) 2020 Elsevier B.V. All rights reserved.</t>
  </si>
  <si>
    <t>10.1016/j.scitotenv.2020.137570</t>
  </si>
  <si>
    <t>WOS:000525736600020</t>
  </si>
  <si>
    <t>Disturbance is more important than seeding or grazing in determining soil microbial communities in a semiarid grassland</t>
  </si>
  <si>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</si>
  <si>
    <t>10.1111/rec.13156</t>
  </si>
  <si>
    <t>WOS:000525768600001</t>
  </si>
  <si>
    <t>Diet contributes to urban-induced alterations in gut microbiota: experimental evidence from a wild passerine</t>
  </si>
  <si>
    <t>Urban sprawl increasingly affects the ecology of natural populations, including host-microbiota interactions, with observed differences in the gut microbiota between urban and rural hosts. While different mechanisms could explain this pattern, dietary uptake constitutes a likely candidate. To assess the contribution of diet in explaining urban-rural variation in gut microbiota, we performed an aviary experiment in which urban and rural house sparrows were fed with mimics of urban or rural diets. Before the experiment, rural sparrows hosted more diverse gut communities, with a higher relative abundance of Enterococcaceae and Staphylococcaceae and lower abundance of genes involved in xenobiotic degradation and lipid metabolism than their urban counterparts. The experimental diets significantly altered gut microbiota alpha- and beta-diversity and taxonomic composition, with the strongest shifts occurring in individuals exposed to contrasting diets. Overall, diet-induced shifts resembled initial differences between free-ranging urban and rural hosts. Furthermore, rural diet had a positive impact on urban host body mass but only in hosts with the highest initial gut diversity. Overall, our results indicate that diet constitutes an important factor contributing to differences in gut microbiota along the urbanization gradient and provide new insights on possible fitness consequences of a reduced gut diversity in urban settings.</t>
  </si>
  <si>
    <t>10.1098/rspb.2019.2182</t>
  </si>
  <si>
    <t>WOS:000525806200008</t>
  </si>
  <si>
    <t>Linkages between nutrient ratio and the microbial community in rhizosphere soil following fertilizer management</t>
  </si>
  <si>
    <t>To unravel the linkages between ecological ratios (C:N:P) and the microbial community in rhizosphere soil in response to fertilizer management, soil samples were collected from a proso millet (Panicum miliaceum L.) field under different fertilizer management systems, including nitrogen fertilizer (NF), phosphorus fertilizer (PF), combined N and P (NP) fertilizer, and organic fertilizer (OF); no fertilizer (CK) was used as a control. Furthermore, 16S rRNA and ITS gene sequencing were applied to represent the bacterial and fungal diversity in the soil. Moreover, the elemental properties, including the carbon (C), nitrogen (N), and phosphorus (P) contents, in the microbial biomass and rhizosphere soil were evaluated. The results showed that the C, N, and P contents and microbial biomass (MBC, MBN and MBP, respectively) in the rhizosphere soil were augmented following fertilizer management. Increases in the alpha diversity indices (Shannon and Chao 1) of soil bacteria and fungi were observed in response to the fertilizers, and the responses were more closely related to the soil C:N and N:P ratios than to the C:P ratio. Additionally, with high relative abundances ( &gt; 1%) across all soil samples, the composition of soil microbial phyla levels revealed different trends following fertilizer management. The abundances of Actinobacteria and Gemmatimonadetes increased, while the abundances of Acidobacteria and Nitrospirae decreased (P &lt; 0.05) following fertilizer management. Among the fungal taxa, the abundances of Ascomycota and Mortierellomycota responded positively to fertilizer. These results were largely influenced by changes in the C:N and N:P ratios in both the soil and microbial biomass. Overall, significantly increased C:N and decreased N:P ratios in the soil reflected the N deficiency that would limit increased microbial biomass and diversity. Together, all of these results indicated that interactions between ecological ratios (C:N:P) and microbial community composition play vital roles in resource imbalance in dynamic environments. Thus, N status should be an important factor for sustainable agricultural management. Moreover, the synergistic effects were better with the combination of C, N, and P or with organic fertilizer than with C, N and P separately.</t>
  </si>
  <si>
    <t>10.1016/j.envres.2020.109261</t>
  </si>
  <si>
    <t>WOS:000526178000065</t>
  </si>
  <si>
    <t>Response of soil environment factors and microbial communities to phytoremediation with Robinia pseudoacacia in an open-cut magnesite mine</t>
  </si>
  <si>
    <t>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t>
  </si>
  <si>
    <t>10.1002/ldr.3599</t>
  </si>
  <si>
    <t>WOS:000526561900001</t>
  </si>
  <si>
    <t>Down the up staircase: Equatorward march of a cold-water ascidian and broader implications for invasion ecology</t>
  </si>
  <si>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</si>
  <si>
    <t>10.1111/ddi.13055</t>
  </si>
  <si>
    <t>WOS:000527070200001</t>
  </si>
  <si>
    <t>Invasion Impact Analysis of Broussonetia papyrifera in Pakistan</t>
  </si>
  <si>
    <t>Phytosociological studies help to understand extent of biological invasion. The current study assessed impact of Broussonetia papyrifera invasion on native vegetation in Pothwar region of Pakistan. The approach used for study was random samplings with two categorical factors; invaded and non-invaded (control) under same habitat conditions. Differences in number of species (S), abundance (N), species richness (R), evenness (J'), Shannon diversity index (H') and Simpson index of dominance (lambda) were compared between invaded and control plots by t-test series. Control plots harbored by average of 1.28 more species per 10 m(2). The control category was diverse (H' = 2.15) than invaded category (H' = 1.65). The higher value of species richness in control plots shows heterogeneous nature of communities and vice versa in invaded plots. The lower value of index of dominance in invaded plots shows less sample diversity than control ones. This decrease in number of species directly affects a-diversity in invaded plots. At multivariate scale, ordination (nMDS) and ANOSIM showed significant magnitude of differences between invaded and control plots in all sites. The decrease in diversity indices in invaded indicated that plant communities become less productive due to Paper mulberry invasion. This makes B. papyrifera candidate of consideration for appropriate control measures.</t>
  </si>
  <si>
    <t>10.15244/pjoes/111320</t>
  </si>
  <si>
    <t>WOS:000527787100029</t>
  </si>
  <si>
    <t>Changes in midge assemblages (Diptera Chironomidae) in an alpine lake from the Italian Western Alps: the role and importance of fish introduction</t>
  </si>
  <si>
    <t>Introduction of exotic species is one of the major human impacts for decline in autochthonous biodiversity. In freshwater lentic environments, alien fish introduction heavily shapes macrobenthic invertebrate structure, with special regard for Chironomidae (Diptera) community. These effects could be more evident in alpine lakes whose environments are considered as remote and undisturbed, but extremely susceptible and vulnerable to both natural and anthropogenic impacts. In this context, modern and subfossil chironomid assemblages were studied in a high-altitude lake (Balma Lake, Piedmont, Italy) which was not previously investigated and subject to brook trout introduction for recreational fishing at the end of the twentieth century (after 1970). Seasonal samplings (summer, autumn) were performed in five littoral and three deep sites, while a core sample was extracted from the deepest point of the lake. The analysis highlighted significant differences in subfossil chironomid communities before and after fish introduction and between subfossil and modern communities, with notable decrease in recent diversities. Dissimilarities were mainly related to Corynocera oliveri, Zavrelimyia, Micropsectra, Metriocnemus, and Heterotrissocladius marcidus type. Therefore, this study highlights the importance and effects of anthropic environmental events, such as fish introduction, in climate reconstructions and their interpretation, especially regarding the last 100/200-year period, when human environmental issues have become more significant.</t>
  </si>
  <si>
    <t>10.1007/s10750-020-04257-3</t>
  </si>
  <si>
    <t>WOS:000528124600002</t>
  </si>
  <si>
    <t>Palm distribution patterns in the southwestern Brazilian Amazon: Impact of a large hydroelectric dam</t>
  </si>
  <si>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</si>
  <si>
    <t>10.1016/j.foreco.2020.118032</t>
  </si>
  <si>
    <t>WOS:000528190400013</t>
  </si>
  <si>
    <t>Drought intensify the effects of warming on root-colonizing arbuscular mycorrhizal fungal community in subtropical Chinese fir plantation</t>
  </si>
  <si>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</si>
  <si>
    <t>10.1016/j.foreco.2020.118078</t>
  </si>
  <si>
    <t>WOS:000528191300022</t>
  </si>
  <si>
    <t>Benthic invertebrate communities structure in headwater streams with different states of the riparian vegetation conservation</t>
  </si>
  <si>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</si>
  <si>
    <t>10.1007/s42974-020-00011-w</t>
  </si>
  <si>
    <t>WOS:000528294500001</t>
  </si>
  <si>
    <t>Impact of chronic exposure to trichlorfon on intestinal barrier, oxidative stress, inflammatory response and intestinal microbiome in common carp (Cyprinus carpio L.)</t>
  </si>
  <si>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</si>
  <si>
    <t>10.1016/j.envpol.2019.113846</t>
  </si>
  <si>
    <t>WOS:000528534600074</t>
  </si>
  <si>
    <t>Comparative characterization of microbial communities that inhabit arsenic-rich and antimony-rich contaminated sites: Responses to two different contamination conditions</t>
  </si>
  <si>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</si>
  <si>
    <t>10.1016/j.envpol.2020.114052</t>
  </si>
  <si>
    <t>WOS:000528537600037</t>
  </si>
  <si>
    <t>Succession of macrofaunal communities and environmental properties along a gradient of smooth cordgrass Spartina alterniflora invasion stages</t>
  </si>
  <si>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</si>
  <si>
    <t>10.1016/j.marenvres.2019.104862</t>
  </si>
  <si>
    <t>WOS:000528612000001</t>
  </si>
  <si>
    <t>Impacts of a shallow shipwreck on a coral reef: A case study from St. Brandon's Atoll, Mauritius, Indian Ocean</t>
  </si>
  <si>
    <t>Shallow shipwrecks, can have severe ecological and toxicological impacts on coral atolls. In 2012, a tuna longliner ran aground on the reef crest of St Brandon's Atoll, Mauritius, broke up into three pieces which was moved by currents and storms into the lagoon. In the months following the grounding, the coral around the wreck became dead and black. Down-current from the wreck, a dense bloom of filamentous algae (Ulva sp.) attached to coral occurred. To determine the ecological effects of the wreck on the system, the marine biota around the wreck, in the algal bloom, and fish reference zones were counted in 2014. Metal concentrations in reference and affected coral was determined using inductively coupled plasma mass spectrometry (ICP/MS). A pronounced difference was seen in the metal concentration pattern between coral from the wreck- and algal zones, and the coral reference zone. While the wreck zone contained the highest abundance of fish, the fish reference zone had the highest species diversity but with fewer fish. We also counted eleven Critically Endangered hawksbill sea turtles Eretmochelys imbricata and significantly more sea cucumbers in the algal zone than the reference zones. The effects of shipwrecks on coral reefs must be considered a threat over periods of years and should be studied further.</t>
  </si>
  <si>
    <t>10.1016/j.marenvres.2020.104916</t>
  </si>
  <si>
    <t>WOS:000528612000002</t>
  </si>
  <si>
    <t>High CO2 and warming affect microzooplankton food web dynamics in a Baltic Sea summer plankton community</t>
  </si>
  <si>
    <t>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t>
  </si>
  <si>
    <t>10.1007/s00227-020-03683-0</t>
  </si>
  <si>
    <t>WOS:000529324500001</t>
  </si>
  <si>
    <t>Warming Effects on Periphyton Community and Abundance in Different Seasons Are Influenced by Nutrient State and Plant Type: A Shallow Lake Mesocosm Study</t>
  </si>
  <si>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</si>
  <si>
    <t>10.3389/fpls.2020.00404</t>
  </si>
  <si>
    <t>WOS:000530138700001</t>
  </si>
  <si>
    <t>Laboratory bioassay exploring the effects of anti-aging skincare products on free-living marine nematodes: a case study of collagen</t>
  </si>
  <si>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</si>
  <si>
    <t>10.1007/s11356-020-07655-1</t>
  </si>
  <si>
    <t>WOS:000530470700100</t>
  </si>
  <si>
    <t>Influence of sediment organic carbon on toxicity depends on organism's trophic ecology</t>
  </si>
  <si>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</si>
  <si>
    <t>10.1016/j.envpol.2020.114134</t>
  </si>
  <si>
    <t>WOS:000531106500014</t>
  </si>
  <si>
    <t>The effects of cattle ranching on the communities of necrophagous flies (Diptera: Calliphoridae, Mesembrinellidae and Sarcophagidae) in Northeastern Brazil</t>
  </si>
  <si>
    <t>Most of the ongoing decline in biodiversity, worldwide, is due to human activities, in particular, the expansion of agriculture. In this context, we highlight the need for studies of the taxonomic groups that can provide insights into the dynamics of the ecological communities facing anthropogenic impacts. For this, we evaluated the effects of the environmental changes caused by cattle ranching on five phytophysiognomies (Cerrado Savanna, Amazon Forest, Palm Forest, Marshland, and Mangrove) in the state of Maranhao, Brazil. We tested the hypothesis that the species composition, abundance, and richness of the families Calliphoridae, Mesembrinellidae, and Sarcophagidae (Diptera) are affected by ranching in each of the phytophysiognomies. Specimens were collected at 90 sites, including 45 anthropic sites (cattle ranches) and 45 preserved habitats, using traps baited with bovine lung. We collected 15,023 calliphorids (11 species), 10,772 sarcophagids (52 species), and 241 mesembrinellids (one species). The results indicated significant differences between anthropic and preserved habitats in the species composition, abundance, and richness of sarcophagids, in particular in the Amazon Forest, where the highest species richness was recorded in the anthropic environments. In the case of the calliphorids and mesembrinellids, by contrast, significant differences were found in species composition and abundance in only in four of the five phytophysiognomies analyzed (excluding the Cerrado Savanna), while species richness only varied in the palm forest and marshland. In all cases, lower values were recorded in the anthropic environments. These results indicate that the insects of the families Sarcophagidae, Calliphoridae, and Mesembrinellidae respond differentially to the anthropic activity (cattle ranching) and can be used to evaluate this type of anthropogenic impact systematically. In addition, the Amazon Forest was the phytophysiognomy most impacted by this activity in the Brazilian state of Maranhao.</t>
  </si>
  <si>
    <t>10.1007/s10841-020-00246-y</t>
  </si>
  <si>
    <t>WOS:000532908200001</t>
  </si>
  <si>
    <t>Effects of land use on streams: traditional and functional analyses of benthic diatoms</t>
  </si>
  <si>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</si>
  <si>
    <t>10.1007/s10750-020-04294-y</t>
  </si>
  <si>
    <t>WOS:000533060700003</t>
  </si>
  <si>
    <t>Morphological traits mediate fish occurrences in oil palm-impacted tropical streams</t>
  </si>
  <si>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</si>
  <si>
    <t>10.1111/fwb.13500</t>
  </si>
  <si>
    <t>WOS:000533444100011</t>
  </si>
  <si>
    <t>The effects of urbanization on bee communities depends on floral resource availability and bee functional traits</t>
  </si>
  <si>
    <t>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t>
  </si>
  <si>
    <t>10.1371/journal.pone.0225852</t>
  </si>
  <si>
    <t>WOS:000533930800073</t>
  </si>
  <si>
    <t>The effect of long-term brine discharge from desalination plants on benthic foraminifera</t>
  </si>
  <si>
    <t>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t>
  </si>
  <si>
    <t>10.1371/journal.pone.0227589</t>
  </si>
  <si>
    <t>WOS:000534354100033</t>
  </si>
  <si>
    <t>Do environmental concentrations of zinc oxide nanoparticle pose ecotoxicological risk to aquatic fungi associated with leaf litter decomposition?</t>
  </si>
  <si>
    <t>Ecotoxicological risk of ZnO nanoparticles at environmental levels is a key knowledge gap for predicting how freshwater ecosystems will respond to nanoparticle pollution. A microcosm experiment was conducted to explore the chronic effects of ZnO nanoparticle at environmental concentrations (30, 300, 3000 ng L-1) on aquatic fungi associated with the decomposing process of poplar leaf litter (45 days). ZnO nanoparticles led to 9-33% increases in fungal biomass after acute exposure (5 days), but 33-50% decreases after chronic exposure (45 days), indicating that the hormetic effect of ZnO nanoparticles at the environmental level may occur during acute exposure. Besides, ZnO nanoparticles had negative effects on microbial enzyme activity, especially on day 10, when the activities of N-acetylglucosaminidase, glycine-aminopeptidase, aryl-sulfatase, polyphenol oxidase, and peroxidase were significantly inhibited. After chronic exposure, the fungal community structure was significantly impacted by ZnO nanoparticles at 300 ng L-1 due to the reduced proportion of Anguillospora, which eventually caused a significant decrease in litter decomposition rate. Therefore, ZnO nanoparticles may pose ecotoxicological effects on aquatic fungi even at a very low concentration and eventually negatively affect freshwater functioning. (C) 2020 Elsevier Ltd. All rights reserved.</t>
  </si>
  <si>
    <t>10.1016/j.watres.2020.115840</t>
  </si>
  <si>
    <t>WOS:000534606400029</t>
  </si>
  <si>
    <t>Urbanization alters the composition, but not the diversity and structure, of Neotropical savanna woody plant communities</t>
  </si>
  <si>
    <t>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t>
  </si>
  <si>
    <t>10.1007/s12224-020-09366-4</t>
  </si>
  <si>
    <t>WOS:000534700300001</t>
  </si>
  <si>
    <t>Effects of temperature, diet and genotype-induced variations on the gut microbiota of abalone</t>
  </si>
  <si>
    <t>Abalone is one of the most commercially important seafood, while its fisheries and aquaculture activities are carried out in 20 countries worldwide. Gut microbiota plays critical roles in the physiological functions of aquatic animals, and it is influenced by numerous factors. Previous studies about the gut microbiota of abalone usually focused on analyzing bacterial taxonomy or the impact of a single abiotic factor. However, the effect of abiotic factors, combined with biotic factors (i.e., genotype), on gut microbiota of abalone has not been systematically explored. In China, the hybrid Haliotis discus hannai. x H. fulgens. has potential for large-scale farming in southern China by its fast growth rate and tolerance to higher temperature. In this study, we analyzed the effects of diet, temperature and genotypes on gut microbiota of abalones using 16S rRNA gene sequencing data. The experiments indicate that the top three dominant genera keep consistent across various temperatures, diets and genotypes. The alpha-diversity of the microbial community was affected by temperature, genotype and diet. On the whole, the alpha-diversity of the gut microbiota of H. discus hannai was higher than that of the hybrid under the same temperature or diet. For beta-diversity, the microbial samples exhibited clear groups under abiotic gradients of temperature and diet. Some of the identified temperature-specific and diet-specific OTUs and KEGG Orthologs are related with degradation of carrageenan, laminaran and agar; metabolism of carbohydrate; biosynthesis of secondary metabolites and antibiotics, etc. According to permutational multivariate ANOVA, temperature and diet could explain almost 52% of bacterial structure variation. The gut microbiota of the two abalone genotypes have different responses to environmental gradients of temperature and diet. The gut microbiota of H. discus hannai is more sensitive to temperature, while the hybrid is more sensitive to diet, which might be the potential explanation of its tolerance to higher temperature in breeding. This study makes the first attempt to correlate the structural variation of gut microbiota in abalone by considering both abiotic and biotic factors.</t>
  </si>
  <si>
    <t>10.1016/j.aquaculture.2020.735269</t>
  </si>
  <si>
    <t>WOS:000535436900009</t>
  </si>
  <si>
    <t>Assessing Chromium Contamination in Red Soil: Monitoring the Migration of Fractions and the Change of Related Microorganisms</t>
  </si>
  <si>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</si>
  <si>
    <t>10.3390/ijerph17082835</t>
  </si>
  <si>
    <t>WOS:000535744100220</t>
  </si>
  <si>
    <t>Vegetation alleviate the negative effects of graphene oxide on benzo [a]pyrene dissipation and the associated soil bacterial community</t>
  </si>
  <si>
    <t>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t>
  </si>
  <si>
    <t>10.1016/j.chemosphere.2020.126725</t>
  </si>
  <si>
    <t>WOS:000536175700091</t>
  </si>
  <si>
    <t>Landscape-scale patterns and drivers of novel mammal communities in a human-modified protected area</t>
  </si>
  <si>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</si>
  <si>
    <t>10.1007/s10980-020-01040-6</t>
  </si>
  <si>
    <t>WOS:000536430700002</t>
  </si>
  <si>
    <t>Microplastics affect sedimentary microbial communities and nitrogen cycling</t>
  </si>
  <si>
    <t>Microplastics are ubiquitous in estuarine, coastal, and deep sea sediments. The impacts of microplastics on sedimentary microbial ecosystems and biogeochemical carbon and nitrogen cycles, however, have not been well reported. To evaluate if microplastics influence the composition and function of sedimentary microbial communities, we conducted a microcosm experiment using salt marsh sediment amended with polyethylene (PE), polyvinyl chloride (PVC), polyurethane foam (PUF) or polylactic acid (PLA) microplastics. We report that the presence of microplastics alters sediment microbial community composition and nitrogen cycling processes. Compared to control sediments without microplastic, PUF- and PLA-amended sediments promote nitrification and denitrification, while PVC amendment inhibits both processes. These results indicate that nitrogen cycling processes in sediments can be significantly affected by different microplastics, which may serve as organic carbon substrates for microbial communities. Considering this evidence and increasing microplastic pollution, the impact of plastics on global ecosystems and biogeochemical cycling merits critical investigation. Plastic pollution has infiltrated every ecosystem, but few studies have quantified the biogeochemical or ecological effects of plastic. Here the authors show that microplastics in ocean sediment can significantly alter microbial community structure and nitrogen cycling.</t>
  </si>
  <si>
    <t>10.1038/s41467-020-16235-3</t>
  </si>
  <si>
    <t>WOS:000537242500013</t>
  </si>
  <si>
    <t>Co-selection of antibiotic-resistant bacteria in a paddy soil exposed to As (III) contamination with an emphasis on potential pathogens</t>
  </si>
  <si>
    <t>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t>
  </si>
  <si>
    <t>10.1016/j.scitotenv.2020.138367</t>
  </si>
  <si>
    <t>WOS:000537430800008</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</si>
  <si>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</si>
  <si>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</si>
  <si>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10.1007/s10531-020-01999-3</t>
  </si>
  <si>
    <t>WOS:000537639100001</t>
  </si>
  <si>
    <t>A multidiversity approach to investigate the impact of mining exploitation on spider diversity in the abandoned mine district of Montevecchio-Ingurtosu (Sardinia, Italy)</t>
  </si>
  <si>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</si>
  <si>
    <t>10.1007/s11356-020-09553-y</t>
  </si>
  <si>
    <t>WOS:000538978000005</t>
  </si>
  <si>
    <t>Soft-bottom community responses in a marine area influenced by recurrent dumping activities and freshwater discharges</t>
  </si>
  <si>
    <t>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t>
  </si>
  <si>
    <t>10.1016/j.marpolbul.2020.111259</t>
  </si>
  <si>
    <t>WOS:000539160000066</t>
  </si>
  <si>
    <t>Variation of soil nitrate and bacterial diversity along soil profiles in manure disposal maize field and adjacent woodland</t>
  </si>
  <si>
    <t>Purpose Intensified livestock system produced large amount of bio-waste, and improper disposal of livestock manure has led to severe environmental consequences. However, knowledge about the time-dependent changes of manure-derived nitrate and soil bacterial diversity along the soil profiles is limited. Materials and methods Vertical variation of soil bacterial diversity and composition in a manure-amended maize field and adjacent non-manured woodland was investigated using high-throughput sequencing technique in spring and autumn along a 1-m profile depth. The soil is classified as aquic inceptisol with a bulk density of 1.31 g cm(-3), and a sandy loam texture. Results The results showed that significant higher amount of nitrate (up to 172.13 mg kg(-1)) was detected along the soil profile loaded with cattle manure compared with the adjacent non-manured woodland. Soil delta N-15-NO(3)(-)composition from maize field fall between + 5 and 25 parts per thousand, while those from woodland fall between - 5 and 15 parts per thousand. No significant difference in bacterial richness between the two land uses was found, while clear separation of bacterial structure was detected even to the deep soil layers. Canonical correspondence analysis showed that soil organic matter, C/N ratio, nitrate content, pH, and moisture were the major factors influencing the variance of bacterial community composition. Bacterial networks in the maize field harbor more modules than those in the adjacent woodland. Negative standardized effect size measure of mean nearest taxon distance in the soils tended to be more phylogenetically clustered than expected by chance, and was more likely to be clustered along the depth. Conclusions These findings suggested that soil bacterial beta diversity was strongly affected by multi-nutrient properties in terms of high livestock manure load, and had important implications for assessing the environmental impacts on belowground biodiversity in sandy loam soils.</t>
  </si>
  <si>
    <t>10.1007/s11368-020-02679-z</t>
  </si>
  <si>
    <t>WOS:000539202000001</t>
  </si>
  <si>
    <t>A non-invasive method to monitor marine pollution from bacterial DNA present in fish skin mucus</t>
  </si>
  <si>
    <t>Marine coastal contamination caused by human activity is a major issue worldwide. The implementation of effective pollution monitoring programs, especially in coastal areas, is important and urgent. The use of biological, physiological, or biochemical measurements to monitor the impacts of pollution has garnered increasing interest, particularly for the development of new non-invasive tools to assess water pollution. Fish skin mucus is in direct contact with the marine environment, making it a favourable microenvironment for the formation of biofilm bacterial communities. In this study, we developed a non-invasive technique, sampling fish skin mucus to determine and analyse bacterial community composition using next-generation sequencing. We hypothesised that bacterial communities associated with the skin mucus of a common harbour benthic blennioid triplefin fish, Forsterygion capito, would reflect conditions of different marine environments. We detected clear differences in bacterial community alpha-diversity between contaminated and reference sites. Beta-diversity analysis also revealed differences in the bacterial community structure of the skin mucus of fish inhabiting different geographical areas. The relative abundance of different bacterial orders varied among sites, as determined by linear discriminant analysis (LDA) and effect size (LEfSe) analyses. The observed variation in bacterial community compositions correlated more strongly with variation in hydrocarbons than to various metal concentrations. Using advanced DNA sequencing technologies, we have developed a novel non-invasive, low-cost and effective tool to monitor the impacts of pollution through analysis of the bacterial communities associated with fish skin mucus. (c) 2020 Elsevier Ltd. All rights reserved.</t>
  </si>
  <si>
    <t>10.1016/j.envpol.2020.114438</t>
  </si>
  <si>
    <t>WOS:000539426400009</t>
  </si>
  <si>
    <t>Long-term effects of copper exposure to agricultural soil function and microbial community structure at a controlled and experimental field site</t>
  </si>
  <si>
    <t>The long-term effect of heavy metals on soil microbial communities and their function is relatively unknown and little work has been done in field settings. To address this gap, we revisited a field-based experiment, 12 years after the application of copper (Cu) to agricultural soils, with treatment concentrations ranging from 0 to 3310 mg Cu kg(-1) soil. We measured the long-term effects of Cu exposure to soils using multiple functionality assessments and environmental DNA-based community analyses. The assessment results revealed that soils that received moderate to high Cu doses had still not recovered functionality 12-years post exposure. However, plots that received doses of 200 mg kg(-1) Cu or less appeared to have a functionality index not dissimilar to control plots. Environmental DNA analyses of the microbial communities revealed a high level of beta diversity in low Cu treatment plots, whereas communities within high Cu treatment plots had similar community structures to one another (low beta diversity), indicating that specific Cu-tolerant or dormant taxa are selected for in high-Cu environments. Interestingly, high Cu plots had higher within-sample taxa counts (alpha diversity) compared with controls and low Cu plots. We hypothesise that taxa in high Cu plots activated dormancy mechanisms, such that their genetic signal remained present, whilst the functionality of the soil was reduced. Many species identified in high Cu plots are known to have associated dormancy mechanisms and survive in high stress environments. Understanding how these mechanisms collectively contribute to contaminant outcomes is of great importance for the goals of predicting and managing microbial communities and their function. As we found that Cu concentrations above 200 mg kg(-1) can cause significant functionality loss and a selective pressure on microbial communities, it is recommended that Cu concentrations above 200 mg kg(-1) are avoided in agricultural soils. (c) 2020 Elsevier Ltd. All rights reserved.</t>
  </si>
  <si>
    <t>10.1016/j.envpol.2020.114411</t>
  </si>
  <si>
    <t>WOS:000539426400016</t>
  </si>
  <si>
    <t>Pollution adaptive responses of root -associated microbiomes induced the promoted but different attenuation of soil residual lindane: Differences between maize and soybean</t>
  </si>
  <si>
    <t>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t>
  </si>
  <si>
    <t>10.1016/j.scitotenv.2020.139170</t>
  </si>
  <si>
    <t>WOS:000540001400015</t>
  </si>
  <si>
    <t>Differences in the microbiota of native and non -indigenous gelatinous zooplankton organisms in a low saline environment</t>
  </si>
  <si>
    <t>The translocation of non-indigenous species (NIS) around the world, especially in marine systems, is increasingly being recognized as a matter of concern. Species translocations have been shown to lead to wide ranging changes in food web structure and functioning. In addition to the direct effects of NIS, they could facilitate the accumulation or translocation of bacteria as part of their microbiomes. The Baltic Sea harbours many non-indigenous species, with most recent detection of the jellyfish Blackfordia virginica and the comb jelly Mnemiopsis leidyi in the low saline southwestern Baltic Sea. In this study, we used a multidisciplinary approach and investigated three gelatinous zooplankton species that co-occur in the same environment and feed on similar zooplankton food sources but show different histories of origin. The aim was to conduct a comparative microbiome analysis of indigenous and non-indigenous gelatinous zooplankton species in the low-saline southwestern Baltic Sea. Next-generation 16S rRNA marker gene sequencing of the V1/V2 region was employed to study the bacterial microbiome compositions. All tested species showed significant differences in their microbiome compositions (one way ANOSIM, R = 1, P &lt; 0.008) with dissimilarities ranging from 85 to 92%. The indigenous jellyfish Aurelia aurita showed the highest bacterial operational taxonomic unit (OTU) richness. The overall differentiation between microbiomes was driven by eight indicator OTUs, which included Mycoplasma and Vibrio species. These bacteria can be problematic, as they include known pathogenic strains that are relevant to human health and aquaculture activities. Our results suggest that the impact assessment of NIS should consider potential pathogenic bacteria, enriched in the environment due to invasion, as potential risks to aquaculture activities.</t>
  </si>
  <si>
    <t>10.1016/j.scitotenv.2020.139471</t>
  </si>
  <si>
    <t>WOS:000540272000004</t>
  </si>
  <si>
    <t>Ichthyological Differentiation and Homogenization in the Panuco Basin, Mexico</t>
  </si>
  <si>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</si>
  <si>
    <t>10.3390/d12050187</t>
  </si>
  <si>
    <t>WOS:000541083200012</t>
  </si>
  <si>
    <t>Changes in reef fish assemblages following multiple bleaching events in the world's warmest sea (Kish Island, the Persian Gulf)</t>
  </si>
  <si>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</si>
  <si>
    <t>10.1007/s00338-020-01945-3</t>
  </si>
  <si>
    <t>WOS:000541203300001</t>
  </si>
  <si>
    <t>Fire and distance from unburned forest influence bird assemblages in Southern Andean Yungas of Northwest Argentina: a case study</t>
  </si>
  <si>
    <t>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t>
  </si>
  <si>
    <t>10.1186/s42408-020-00074-0</t>
  </si>
  <si>
    <t>WOS:000542625800001</t>
  </si>
  <si>
    <t>Effect of Polyvinyl Chloride Microplastics on Bacterial Community and Nutrient Status in Two Agricultural Soils</t>
  </si>
  <si>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</si>
  <si>
    <t>10.1007/s00128-020-02900-2</t>
  </si>
  <si>
    <t>WOS:000542848400002</t>
  </si>
  <si>
    <t>InvasiveNicotiana glaucashifts the soil microbial community composition and functioning of harsh and disturbed semiarid Mediterranean environments</t>
  </si>
  <si>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</si>
  <si>
    <t>10.1007/s10530-020-02299-1</t>
  </si>
  <si>
    <t>WOS:000543692500002</t>
  </si>
  <si>
    <t>Invertebrate communities in a modified isolated raised bog compared to an intact raised bog in New Zealand</t>
  </si>
  <si>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</si>
  <si>
    <t>10.19189/MaP.2019.MEH.StA.1879</t>
  </si>
  <si>
    <t>WOS:000544887400001</t>
  </si>
  <si>
    <t>Differentiating microbial taxonomic and functional responses to physical disturbance in bulk and rhizosphere soils</t>
  </si>
  <si>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</si>
  <si>
    <t>10.1002/ldr.3679</t>
  </si>
  <si>
    <t>WOS:000545377000001</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</si>
  <si>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</si>
  <si>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</si>
  <si>
    <t>10.1111/rec.13171</t>
  </si>
  <si>
    <t>WOS:000545787600001</t>
  </si>
  <si>
    <t>Environmental contamination alters the intestinal microbial community of the livebearer killifish Phalloceros caudimaculatus</t>
  </si>
  <si>
    <t>Intestinal microbiota perform important functions for the health of fishes. Knowing the microbial composition and evaluating the possible effects caused by anthropogenic pollution in the intestinal microbiota of fish populations might represent an important step in defining microbial biomarkers for water pollution. This study evaluated the impact of environmental contamination on the gut microbiota of the livebearer killifish Phalloceros caudimacu- latus . The 16S survey using the V4 region of the 16S rRNA gene was used to characterize and compare the microbiota of two P. caudimaculatus populations from streams with different levels of environmental contami- nation in Rio Grande, RS, Brazil. Twelve bacterial operational taxonomic units (OTUs) (around one-third of the total) were shared between both fish populations. They represent the core microbiota of the gut in this species. The dominant phyla were Protebacteria and Firmicutes, with more than 80% of relative abundance. The dominant genus was Burkholderia with more than 35% of the relative abundance irrespective of the environmental con- dition. We detected a lower microbial diversity (Shannon index and observed OTUs) in fish from the polluted stream compared to the reference stream. The PERMANOVA analysis showed that the intestinal microbial communities from fish living in the polluted stream were distinct from those found in the reference stream (p &lt; 0.05). Finally, we identified Luteolibacter , Methylocaldum and Rhodobacter genera, which correlated strongly with the polluted stream. These taxa might represent potential microbial biomarkers of exposure to environmental contaminants in the guts of fish. Confirmation of these findings in other polluted environments might allow the development of a microbiota-based screening approach for environmental evaluation in ecotoxicological studies in aquatic ecosystems.</t>
  </si>
  <si>
    <t>10.1016/j.heliyon.2020.e04190</t>
  </si>
  <si>
    <t>WOS:000545793800013</t>
  </si>
  <si>
    <t>Environmental concentrations of pharmaceuticals alter metabolism, denitrification, and diatom assemblages in artificial streams</t>
  </si>
  <si>
    <t>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t>
  </si>
  <si>
    <t>10.1086/708893</t>
  </si>
  <si>
    <t>WOS:000545804200005</t>
  </si>
  <si>
    <t>Limited effects of Sargassum horneri, an invasive alga, on temperate reef fish assemblages</t>
  </si>
  <si>
    <t>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t>
  </si>
  <si>
    <t>10.3354/meps13321</t>
  </si>
  <si>
    <t>WOS:000545931200009</t>
  </si>
  <si>
    <t>Structure, distribution patterns and ecological responses to hydrological changes in benthic macroinvertebrate assemblages in a regulated semi-arid river: baseline for biomonitoring studies</t>
  </si>
  <si>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</si>
  <si>
    <t>10.1071/MF19283</t>
  </si>
  <si>
    <t>WOS:000547956500001</t>
  </si>
  <si>
    <t>Determination of compositional differences of lichens on Pinus brutia in different environmental conditions</t>
  </si>
  <si>
    <t>Aim: Epiphytic lichens are biological indicators, which can give information about the environmental changes of the ecosystem. The differences in richness and community compositions of lichens can indicate the environmental quality of their location. This study was done in order to examine the possible differences in richness and in community composition of lichens that may have occurred in the research area, Kursunlu Waterfall Nature Park and surroundings. Methodology: Kursunlu Waterfall Nature Park and surroundings was divided into 4 sections; natural area near brook, natural pine forest area, planted pine forest area and agricultural greenhouses area. The study was planned to focus on epiphytic lichens living on Pinus brutia Ten. trees. European Guideline, which is a standardized method to assess lichen diversity (LDV) on tree bark for monitoring environmental stress, was used for monitoring quality of four different environmental conditions with lichens. In order to determine the differences of lichen community composition of these four conditions, some statistical analyses were performed. Results: Lichen richness of planted pine forest area was found poorer and statistically different than the other areas . In addition, the lichen community composition of natural pine forest area was found significantly different than the agricultural greenhouse area and the natural area near brook, partly different than the planted pine forest area. Statistical evaluations indicate that the natural pine forest area had natural or semi-natural habitat characteristics and there was no or less eutrophication in this region. Also it showed that other areas were affected by the presence of human damage and eutrophic pollution load in the environment. This eutrophic pollution load was related to non-ecological agriculture applications around the park. Interpretation: This study proves that epiphytic lichens change their community composition by adapting to changes in environmental conditions. Also this study showed that lichens are strong indicators of environmental quality.</t>
  </si>
  <si>
    <t>10.22438/jeb/41/4/MRN-1301</t>
  </si>
  <si>
    <t>WOS:000548278200011</t>
  </si>
  <si>
    <t>Ecotoxic response of nematodes to ivermectin, a potential anti-COVID-19 drug treatment</t>
  </si>
  <si>
    <t>At the end of March 2020, ivermectin was confirmed as a drug for COVID-19 treatment. A significant amount of ivermectin could deposit into sediments of the semi-closed Mediterranean Sea, where three European COVID-19 epicenters are located: Italy, Spain, and France. Meiobenthic nematodes were exposed to three ivermectin doses (1.8 ng.g(-1), 9 ng.g(-1), and 18 ng.g(-1)) for 10 days. Ivermectin caused a great reduction in abundance. However, the diversity indices decreased only at high doses. Ivermectin disadvantaged the 1B-Cr-Id functional type (non-selective deposit feeders and nematodes with circular or indistinct amphids) and benefited the 2A-REL-Sp type (epistrate feeders and nematodes with rounded or elongated loop amphids). Thus, Trophic Diversity and Amphideal Diversity index values increased with sedimentary ivermectin enrichment. Large amphideal foveas were more efficient for 2A-REL-Sp nematodes to avoid ivermectin. The responses of the functional type 2A-REL-Sp and corresponding taxa predict post-COVID-19 environmental concerns and the bioaccumulation of ivermectin in seafoods.</t>
  </si>
  <si>
    <t>10.1016/j.marpolbul.2020.111375</t>
  </si>
  <si>
    <t>WOS:000548531100021</t>
  </si>
  <si>
    <t>Changes in soil fungal community composition depend on functional group and forest disturbance type</t>
  </si>
  <si>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</si>
  <si>
    <t>10.1111/nph.16749</t>
  </si>
  <si>
    <t>WOS:000548718000001</t>
  </si>
  <si>
    <t>Impact of adjacent land use on the ecological condition of riparian habitats: The relation between condition and vegetation properties</t>
  </si>
  <si>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</si>
  <si>
    <t>10.1111/avsc.12508</t>
  </si>
  <si>
    <t>WOS:000549761000001</t>
  </si>
  <si>
    <t>The effects of atrazine on the microbiome of the eastern oyster: Crassostrea virginica</t>
  </si>
  <si>
    <t>Long-standing evidence supports the importance of maintaining healthy populations of microbiota for the survival, homeostasis, and complete development of marine mollusks. However, the long-term ecological effects of agricultural runoff on these populations remains largely unknown. Atrazine (6-Chloro-n-ethyl-n '-(1-methylethyl)-triazine-2,4-diamine), a prevalent herbicide in the United States, is often used along tributaries of the Chesapeake Bay where oyster breeding programs are concentrated. To investigate any potential effects atrazine maybe having on mollusk-prokaryote interactions, we used 16S rRNA gene amplicons to evaluate how microbial compositions shift in response to exposure of environmentally relevant concentrations of atrazine previously found within the Chesapeake Bay. The dominant bacterial genera found within all groups included those belonging to Pseudoalteromonas, Burkholderia, Bacteroides, Lactobacillis, Acetobacter, Allobaculum, Ruminococcus, and Nocardia. Our results support previously published findings of a possible core microbial community in Crassostrea virginica. We also report a novel finding: oysters exposed to atrazine concentrations as low as 3 mu g/L saw a significant loss of a key mutualistic microbial species and a subsequent colonization of a pathogenic bacteria Nocardia. We conclude that exposure to atrazine in the Chesapeake Bay may be contributing to a significant shift in the microbiomes of juvenile oysters that reduces fitness and impedes natural and artificial repopulation of the oyster species within the Bay.</t>
  </si>
  <si>
    <t>10.1038/s41598-020-67851-4</t>
  </si>
  <si>
    <t>WOS:000550000300038</t>
  </si>
  <si>
    <t>Loss of phytoplankton functional and taxonomic diversity induced by river regulation in a large tropical river</t>
  </si>
  <si>
    <t>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t>
  </si>
  <si>
    <t>10.1007/s10750-020-04355-2</t>
  </si>
  <si>
    <t>WOS:000551021500001</t>
  </si>
  <si>
    <t>Current vegetation structure and composition of woody species in community-derived categories of land degradation in a semiarid rangeland in Kunene region, Namibia</t>
  </si>
  <si>
    <t>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t>
  </si>
  <si>
    <t>10.1002/ldr.3688</t>
  </si>
  <si>
    <t>WOS:000552347700001</t>
  </si>
  <si>
    <t>Phosphate fertiliser alters carboxylates and bacterial communities in sweet potato (Ipomoea batatas(L.) Lam.) rhizosheaths</t>
  </si>
  <si>
    <t>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t>
  </si>
  <si>
    <t>10.1007/s11104-020-04646-6</t>
  </si>
  <si>
    <t>WOS:000554433400002</t>
  </si>
  <si>
    <t>Sediment Microbial Diversity in Urban Piedmont North Carolina Watersheds Receiving Wastewater Input</t>
  </si>
  <si>
    <t>Urban streams are heavily influenced by human activity. One way that this occurs is through the reintroduction of treated effluent from wastewater treatment plants. We measured the microbial community composition of water, sediment, and soil at sites upstream and downstream from two Charlotte treatment facilities. We performed 16S rRNA gene sequencing to assay the microbial community composition at each site at four time points between the late winter and mid-summer of 2016. Despite the location of these streams in an urban area with many influences and disruptions, the streams maintain distinct water, sediment, and soil microbial profiles. While there is an overlap of microbial species in upstream and downstream sites, there are several taxa that differentiate these sites. Some taxa characteristics of human-associated microbial communities appear elevated in the downstream sediment communities. In the wastewater treatment plant and to a lesser extent in the downstream community, there are high abundance amplicon sequence variants (ASVs) which are less than 97% similar to any sequence in reference databases, suggesting that these environments contain an unexplored biological novelty. Taken together, these results suggest a need to more fully characterize the microbial communities associated with urban streams, and to integrate information about microbial community composition with mechanistic models.</t>
  </si>
  <si>
    <t>10.3390/w12061557</t>
  </si>
  <si>
    <t>WOS:000554632600001</t>
  </si>
  <si>
    <t>Variation in the diversity of semiaquatic bugs (Insecta: Heteroptera: Gerromorpha) in altered and preservedveredas</t>
  </si>
  <si>
    <t>Veredasenvironments play a critical role on the perennialization of streams in theCerradoBiome, but alterations to their physiognomies are becoming increasingly more common, which directly affects abiotic variation and the structure of biological communities. Our study evaluates the effect of abiotic variations and environmental alterations upon the abundance, richness, and composition of species of semiaquatic bugs, where we test whether there are significant differences in conserved and altered veredas. Species richness was higher on alteredveredasand there was no difference in abundance between altered and preservedveredas. The composition of conservedveredaswas more homogeneous. Five species were associated with alteredveredasand one toconservedareas. There were abiotic changes in the veredas that affected the abundance, richness, and/or composition of Gerromorpha. Ease of access to soil usage and to water for farming activities and pasture might be the main factors contributing to the alteration ofveredasin this region. Gerromorpha community structure was modified by the environmental passive in areas ofveredas, thus allowing to measure the degree of alterations to these systems, being a useful tool for monitoring and conservation.</t>
  </si>
  <si>
    <t>10.1007/s10750-020-04364-1</t>
  </si>
  <si>
    <t>WOS:000554859000001</t>
  </si>
  <si>
    <t>Long-Term Effects of Copper Nanopesticides on Soil and Sediment Community Diversity in Two Outdoor Mesocosm Experiments</t>
  </si>
  <si>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</si>
  <si>
    <t>10.1021/acs.est.0c00510</t>
  </si>
  <si>
    <t>WOS:000555003500041</t>
  </si>
  <si>
    <t>Differences in the insect fauna associated to a monocultural pasture and a silvopasture in Southeastern Brazil</t>
  </si>
  <si>
    <t>A major challenge for global agriculture is the reduction of the environmental impacts caused by meat and dairy production, and the conversion of monocultural pastures to silvopastoral systems has emerged as an important ally in this process. In order to understand the effects of this conversion we analysed 4 years of sampling of the insect fauna from a conventional monocultural pasture and a silvopastoral system in Minas Gerais, Brazil. We aimed to determine whether the changes caused by the conversion affected the abundance, richness and diversity of the insect orders found in the two systems. Total abundance, richness and diversity did not differ between the two systems, but we detected a significant difference in community composition. Several insect orders showed differences in either abundance, richness or diversity between the two systems, and several families of Hymenoptera, which contains pollinators and natural enemies, showed important increases in the silvopasture. Conversion of monocultural pastures to silvopastures can have important consequences on insect fauna involved in essential ecosystem functions, and the implementation of silvopastures at larger scales has the potential to benefit biodiversity conservation and ecosystem service provision at the landscape scale.</t>
  </si>
  <si>
    <t>10.1038/s41598-020-68973-5</t>
  </si>
  <si>
    <t>WOS:000555519800027</t>
  </si>
  <si>
    <t>Effect of water warming on the structure of biofilm-dwelling communities</t>
  </si>
  <si>
    <t>Water warming, either resulting from global or local drivers, is of growing concern for aquatic environments. Changes in thermal regimes may alter the functioning and the trophic dynamics of river ecosystems as most aquatic biota like micro-algae, invertebrates, or fish are poikilotherms. Because biofilms integrate basal and intermediate components of aquatic food webs, examination of their responses to warming should contribute to a better understanding of the effects of ongoing climate change on river ecosystems. In this study, we considered sites that were or were not exposed directly to thermal effluents from a nuclear power plant as in situ la-boratories of the effect of climate change and water warming. To compare the structure of algal and in-vertebrate communities dwelling in epilithic biofilms subjected to different thermal regimes in the Garonne River, sets of concrete tiles were placed in the river and the biofilm growing on these standard substrates was sampled after two months of colonisation. The site located within the thermal plume directly downstream of the thermal effluents showed warmer average water temperature (mean Delta T of about 1.5 degrees C over the study period) and greater daily temperature fluctuations in comparison to the control site. Algal and invertebrate biomass did not differ significantly, but the structure of communities differed markedly between sites. At the heated site, the proportion of cyanobacteria was higher, while there were fewer micro-crustaceans and larvae of insects and bivalves. However, the population of chironomids showed a greater proportion of relatively large individuals. Interestingly, nematodes were more abundant, and their communities comprised more species at the heated site. Their feeding-types were also more diverse showing a greater proportion of algivores, large-sized omnivorous and predatory species. Changes in the abundance and age structure further showed that some bacterivore species, such as Eumonhystera vulgaris, thrived especially well at the heated site, whereas another bacterivore, Monhystrella paramacrura, thrived well at the control site. In the context of climate change, our results highlight that warmer and more fluctuating water temperatures have the potential to alter the body-size spectrum, species composition, distribution of feeding specialisations and age structure within biofilm-dwelling communities.</t>
  </si>
  <si>
    <t>10.1016/j.ecolind.2020.106622</t>
  </si>
  <si>
    <t>WOS:000555551000014</t>
  </si>
  <si>
    <t>Adaptive Variations of Sediment Microbial Communities and Indication of Fecal-Associated Bacteria to Nutrients in a Regulated Urban River</t>
  </si>
  <si>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</si>
  <si>
    <t>10.3390/w12051344</t>
  </si>
  <si>
    <t>WOS:000555915200123</t>
  </si>
  <si>
    <t>Soil Microbial Community and Litter Quality Controls on Decomposition Across a Tropical Forest Disturbance Gradient</t>
  </si>
  <si>
    <t>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t>
  </si>
  <si>
    <t>10.3389/ffgc.2020.00081</t>
  </si>
  <si>
    <t>WOS:000556782800001</t>
  </si>
  <si>
    <t>Short-Term Exposure to High-Temperature Water Causes a Shift in the Microbiome of the Common Aquarium SpongeLendenfeldia chondrodes</t>
  </si>
  <si>
    <t>Marine sponges harbor diverse microbiomes that contribute to their energetic and metabolic needs. Although numerous studies on sponge microbial diversity exist, relatively few focused on sponge microbial community changes under different sources of environmental stress. In this study, we assess the impact of elevated seawater temperature on the microbiome of culturedLendenfeldia chondrodes, a coral reef sponge commonly found in marine aquaria.Lendenfeldia chondrodesexhibits high thermal tolerance showing no evidence of tissue damage or bleaching at 5 degrees C above control water temperature (26 degrees C). High-throughput sequencing of the bacterial 16S rRNA V4 region revealed a response of the microbiome ofL. chondrodesto short-term exposure to elevated seawater temperature. Shifts in abundance and richness of the dominant bacterial phyla found in the microbiome of this species, namely Proteobacteria, Cyanobacteria, Planctomycetes, and Bacteroidetes, characterized this response. The observed resilience ofL. chondrodesand the responsiveness of its microbiome to short-term increases in seawater temperature suggest that this holobiont may be capable of acclimating to anthropogenic-driven sublethal environmental stress via a re-accommodation of its associated bacterial community. This sheds a new light on the potential for resilience of some sponges to increasing surface seawater temperatures and associated projected regime shifts in coral reefs.</t>
  </si>
  <si>
    <t>10.1007/s00248-020-01556-z</t>
  </si>
  <si>
    <t>WOS:000557138100003</t>
  </si>
  <si>
    <t>Effects of Two Invasive Weeds on Arthropod Community Structure on the Central Plateau of New Zealand</t>
  </si>
  <si>
    <t>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t>
  </si>
  <si>
    <t>10.3390/plants9070919</t>
  </si>
  <si>
    <t>WOS:000557639400001</t>
  </si>
  <si>
    <t>Soil microarthropod communities of urban green spaces in Baltimore, Maryland, USA</t>
  </si>
  <si>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</si>
  <si>
    <t>10.1016/j.ufug.2020.126676</t>
  </si>
  <si>
    <t>WOS:000558625400006</t>
  </si>
  <si>
    <t>Characterizing deepwater oxygen variability and seafloor community responses using a novel autonomous lander</t>
  </si>
  <si>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</si>
  <si>
    <t>10.5194/bg-17-3943-2020</t>
  </si>
  <si>
    <t>WOS:000558639800005</t>
  </si>
  <si>
    <t>Increased inheritance of structure and function of bacterial communities and pathogen propagation in plastisphere along a river with increasing antibiotics pollution gradient</t>
  </si>
  <si>
    <t>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t>
  </si>
  <si>
    <t>10.1016/j.envpol.2020.114641</t>
  </si>
  <si>
    <t>WOS:000558886200004</t>
  </si>
  <si>
    <t>Environmental drivers of shifts on microbial traits in sites disturbed by a large-scale tailing dam collapse</t>
  </si>
  <si>
    <t>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t>
  </si>
  <si>
    <t>10.1016/j.scitotenv.2020.139453</t>
  </si>
  <si>
    <t>WOS:000559769500004</t>
  </si>
  <si>
    <t>Assessing the response of micro-eukaryotic diversity to the Great Acceleration using lake sedimentary DNA</t>
  </si>
  <si>
    <t>Long-term time series have provided evidence that anthropogenic pressures can threaten lakes. Yet it remains unclear how and the extent to which lake biodiversity has changed during the Anthropocene, in particular for microbes. Here, we used DNA preserved in sediments to compare modern micro-eukaryotic communities with those from the end of the 19th century, i.e., before acceleration of the human imprint on ecosystems. Our results obtained for 48 lakes indicate drastic changes in the composition of microbial communities, coupled with a homogenization of their diversity between lakes. Remote high elevation lakes were globally less impacted than lowland lakes affected by local human activity. All functional groups (micro-algae, parasites, saprotrophs and consumers) underwent significant changes in diversity. However, we show that the effects of anthropogenic changes have benefited in particular phototrophic and mixotrophic species, which is consistent with the hypothesis of a global increase of primary productivity in lakes. Sedimentary DNA can be used to infer how organisms responded to changing environmental conditions over millennia. Here, the authors use sedimentary DNA of micro-eukaryotes in low-elevation (human-impacted) and high-elevation (more pristine) lakes to show how human influences have altered lake community composition in the Anthropocene.</t>
  </si>
  <si>
    <t>10.1038/s41467-020-17682-8</t>
  </si>
  <si>
    <t>WOS:000560366500006</t>
  </si>
  <si>
    <t>Human practices promote presence and abundance of disease-transmitting mosquito species</t>
  </si>
  <si>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</si>
  <si>
    <t>10.1038/s41598-020-69858-3</t>
  </si>
  <si>
    <t>WOS:000561136100012</t>
  </si>
  <si>
    <t>DNA metabarcoding reveals the responses of prokaryotes and eukaryotes microbiota to warming: Are the patterns similar between taxonomic and trophic groups?</t>
  </si>
  <si>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</si>
  <si>
    <t>10.1016/j.ecolind.2020.106452</t>
  </si>
  <si>
    <t>WOS:000561438700033</t>
  </si>
  <si>
    <t>Assessing avian diversity and community composition along a successional gradient in traditional Lacandon Maya agroforests</t>
  </si>
  <si>
    <t>Evidence regarding the ability of agroforests to conserve biological diversity has been mixed; they tend to maintain avian communities with species richness similar to that of undisturbed forest ecosystems but generally do not completely preserve community composition. Using a combination of occupancy modeling and non-metric multidimensional scaling on point-count data, we assessed changes in avian community diversity and composition along a successional gradient in traditional Lacandon Maya agroforests and compared them to protected areas in the region. Bird species richness and diversity in Lacandon agroforests peaked in early secondary forest stages. These agroforests' mean Shannon-Weiner diversity was 5% higher than that of nearby protected areas, but their species richness was similar. Community composition in Lacandon agroforests changed throughout succession, with earlier stages supporting communities distinctly characterized by generalist species, while subsequent, less-intensively managed stages tended to support more forest-dwellers. The bird community observed in even the most mature secondary forest stages in Lacandon agroforests differed from that of undisturbed rain forest ecosystems. These results demonstrate the potential of traditional Lacandon agroforestry management to conserve avian biodiversity while ensuring food sovereignty for farmers. However, because the community composition of early-successional stages was different than later stages, shortening fallow cycles and reducing forest cover to increase agricultural production will limit the species this system can support. This study illustrates the value of incorporating traditional agroecosystems into conservation planning as well as maintaining protected areas, because the latter serve as refugia for species that require undisturbed forest habitat in an agroecological matrix. Abstract in Spanish is available with online material.</t>
  </si>
  <si>
    <t>10.1111/btp.12832</t>
  </si>
  <si>
    <t>WOS:000561842000001</t>
  </si>
  <si>
    <t>Microbial diversity of the glass spongeVazella pourtalesiiin response to anthropogenic activities</t>
  </si>
  <si>
    <t>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t>
  </si>
  <si>
    <t>10.1007/s10592-020-01305-2</t>
  </si>
  <si>
    <t>WOS:000562340600001</t>
  </si>
  <si>
    <t>Response of soil characteristics and bacterial communities to nitrogen fertilization gradients in a coastal salt-affected agroecosystem</t>
  </si>
  <si>
    <t>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t>
  </si>
  <si>
    <t>10.1002/ldr.3705</t>
  </si>
  <si>
    <t>WOS:000562345100001</t>
  </si>
  <si>
    <t>Biodiversity, trait composition and ecological functioning: impacts of coastal urbanisation on subtropical mudflats</t>
  </si>
  <si>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</si>
  <si>
    <t>10.1071/MF19242</t>
  </si>
  <si>
    <t>WOS:000562536400001</t>
  </si>
  <si>
    <t>Soil bacterial communities remain altered after 30 years of agriculture abandonment in Pampa grasslands</t>
  </si>
  <si>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</si>
  <si>
    <t>10.1007/s00442-020-04736-3</t>
  </si>
  <si>
    <t>WOS:000562937400002</t>
  </si>
  <si>
    <t>Anthropogenic-driven transformations of dragonfly (Insecta: Odonata) communities of low elevation mountain wetlands during the last century</t>
  </si>
  <si>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</si>
  <si>
    <t>10.1111/icad.12439</t>
  </si>
  <si>
    <t>WOS:000564265100001</t>
  </si>
  <si>
    <t>Evaluating Heathland Restoration Belowground Using Different Quality Indices of Soil Chemical and Biological Properties</t>
  </si>
  <si>
    <t>Reversion of agricultural land to heathland and acid grassland is a priority for the conservation of these rare habitats. Restoration processes require interventions to reverse the effects of fertilization and acidity amelioration undertaken during decades of agricultural production. Belowground assessments of restoration success are few, and we have examined the utility of soil indices as a rationalized tool for land managers and restoration practitioners to assess the efficacy of restoration practice. To achieve this, we assessed a large number of variables, many of which might be near redundant, that could be optimized for such indices. We used a 14-year field experiment contrasting acidified pasture (treated with elemental sulphur), control (untreated) pasture, and adjacent native heathland and acid grassland sites. Based on biotic and abiotic parameters, several 'heathland restoration indices' (resembling soil quality indices) were generated using a minimum dataset identified through principal component analysis and a linear scoring system. For comparison we also conducted alternative analyses of all parameters, using nonmetric multidimensional scaling plots and analyses of similarity (ANOSIM). Use of heathland restoration indices showed that elemental sulphur application had changed the soil chemical conditions, along with the vegetation assemblage, to be comparable to that of native acid grassland, but not the belowground biology. ANOSIM on full datasets confirmed this finding. An index based on key variables, rather than an analysis of all biotic and abiotic parameters, can be valuable to land managers and stakeholders in acid grassland and heathland restoration.</t>
  </si>
  <si>
    <t>10.3390/agronomy10081140</t>
  </si>
  <si>
    <t>WOS:000564640700001</t>
  </si>
  <si>
    <t>Elevated Magnesium Concentrations Altered Freshwater Assemblage Structures in a Mesocosm Experiment</t>
  </si>
  <si>
    <t>Magnesium (Mg) is a mining-related contaminant in the Alligators Rivers Region of tropical northern Australia. A mesocosm experiment was used to assess Mg toxicity to aquatic freshwater assemblages. Twenty-five 2700-L tubs were arranged, stratified randomly, on the bed of Magela Creek, a seasonally flowing, sandy stream channel in the Alligator Rivers Region of northern Australia. The experiment comprised 5 replicates of 4 nominal Mg treatments, 2.5, 7.5, 23, and 68 mg L-1, and a control. Phytoplankton biomass, and diatom, zooplankton, and macroinvertebrate assemblages present in the treatment tubs were sampled before and after Mg addition. A significant negative relationship between phytoplankton biomass and Mg was observed 4 wk after Mg addition as measured by chlorophyll a concentrations (r(2) = 0.97,p = 0.01). This result was supported by reductions in some major phytoplankton groups in response to increasing Mg concentrations, in the same experiment and from independent field studies. There was a significant negative relationship between zooplankton assemblage similarity (to control) and Mg concentrations (r(2) = 0.96,p = 0.002). Seven weeks after Mg addition, macroinvertebrate assemblages were dominated by 3 microcrustacean groups (Ostracoda, Cladocera, and Copepoda), each reaching maximum abundance at intermediate Mg concentrations (i.e., unimodal responses). The responses of phytoplankton and zooplankton were used to derive assemblage effect concentrations (Mg concentrations resulting inx% of the assemblage change [ECx]). Magnesium concentrations resulting in assemblage EC01 values were &lt;3 mg L-1. Together with candidate guideline values from other laboratory- and field-based lines of evidence, the mesocosm EC01 values were incorporated into a weight-of-evidence framework for a robust regulatory approach to environmental protection.Environ Toxicol Chem2020;00:1-15. (c) 2020 Commonwealth of Australia. Published by Wiley Periodicals LLC on behalf of SETAC.</t>
  </si>
  <si>
    <t>10.1002/etc.4817</t>
  </si>
  <si>
    <t>WOS:000565234100001</t>
  </si>
  <si>
    <t>Stream microbial communities and ecosystem functioning show complex responses to multiple stressors in wastewater</t>
  </si>
  <si>
    <t>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t>
  </si>
  <si>
    <t>10.1111/gcb.15302</t>
  </si>
  <si>
    <t>WOS:000565359900001</t>
  </si>
  <si>
    <t>Effects ofAgeratina adenophoraInvasion on the Understory Community and Soil Phosphorus Characteristics of Different Forest Types in Southwest China</t>
  </si>
  <si>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</si>
  <si>
    <t>10.3390/f11080806</t>
  </si>
  <si>
    <t>WOS:000565601200001</t>
  </si>
  <si>
    <t>Prokaryotic and microeukaryotic communities in an experimental rice plantation under long-term use of pesticides</t>
  </si>
  <si>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</si>
  <si>
    <t>10.1007/s11356-020-10614-5</t>
  </si>
  <si>
    <t>WOS:000565841700006</t>
  </si>
  <si>
    <t>Environmental stability impacts the differential sensitivity of marine microbiomes to increases in temperature and acidity</t>
  </si>
  <si>
    <t>Ambient conditions shape microbiome responses to both short- and long-duration environment changes through processes including physiological acclimation, compositional shifts, and evolution. Thus, we predict that microbial communities inhabiting locations with larger diel, episodic, and annual variability in temperature and pH should be less sensitive to shifts in these climate-change factors. To test this hypothesis, we compared responses of surface ocean microbes from more variable (nearshore) and more constant (offshore) sites to short-term factorial warming (+3 degrees C) and/or acidification (pH -0.3). In all cases, warming alone significantly altered microbial community composition, while acidification had a minor influence. Compared with nearshore microbes, warmed offshore microbiomes exhibited larger changes in community composition, phylotype abundances, respiration rates, and metatranscriptomes, suggesting increased sensitivity of microbes from the less-variable environment. Moreover, while warming increased respiration rates, offshore metatranscriptomes yielded evidence of thermal stress responses in protein synthesis, heat shock proteins, and regulation. Future oceans with warmer waters may enhance overall metabolic and biogeochemical rates, but they will host altered microbial communities, especially in relatively thermally stable regions of the oceans.</t>
  </si>
  <si>
    <t>10.1038/s41396-020-00748-2</t>
  </si>
  <si>
    <t>WOS:000566052200001</t>
  </si>
  <si>
    <t>The Relative Effects of Willow Invasion, Willow Control and Hydrology on Wetland Zooplankton Assemblages</t>
  </si>
  <si>
    <t>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t>
  </si>
  <si>
    <t>10.1007/s13157-020-01359-5</t>
  </si>
  <si>
    <t>WOS:000566053400002</t>
  </si>
  <si>
    <t>Organic Contaminant Mixture Significantly Changes Microbenthic Community Structure and Increases the Expression of PAH Degradation Genes</t>
  </si>
  <si>
    <t>Studying the effects of chemical contaminants on the structure and function of microbial and meiofauna communities have traditionally focused on specific effects of single contaminants on single species. This has left the complex interactions between mixtures of contaminants and its non-specific toxicity effects on the functions and structure of sediment microbial communities mostly overlooked. In order to improve our insights on such questions, we performed an experiment where Baltic Sea sediments were spiked with an ecologically relevant mixture of seven organic contaminants below specific toxicity levels and used 16S and 18S rRNA metabarcoding from RNA extracts to monitor changes in active microbial and meiofauna diversity and community structure in the spiked treatment compared to controls. In addition, we investigated the effects of exposure to this contaminant mixture on potential nitrification rates and on the expression of key-genes in the microbial nitrification and PAH degradation pathways with qPCR. There were significant differences in both eukaryotic and microbial community structures in sediments spiked with a mixture of organic contaminants. Nematoda showed a significant increase in overall relative abundance to the added contaminants (5.5 +/- 1.1% higher in spiked), particularly taxa of the genusLeptolaimus(increased from 10.2 +/- 5.4% in the controls to 32.5 +/- 10.2% in the spiked treatment). Conversely, a significant decrease in relative abundance from 18.2 +/- 5.6% in control to 7 +/- 3.4% in of the genusParaplectanawas also detected. Additionally, while the abundance of active PAH degraders was significantly higher in spiked sediments than in the controls, no significant effect of our organic mixture was found on nitrification rates or the expression ofAmoA(bacterial ammonia oxidizer gene). Our data indicate that mixtures of organic contaminants can have significant effects on microbenthic community structure even when its individual components are present at concentrations below its specific toxicity. In addition, we suggest that eRNA-based metabarcoding can offer important insights in microbenthic community structure and activities, and further empathizes the potential of meiofauna as bio-indicators of chemical contamination in benthic ecosystems.</t>
  </si>
  <si>
    <t>10.3389/fenvs.2020.00128</t>
  </si>
  <si>
    <t>WOS:000566221800001</t>
  </si>
  <si>
    <t>Exposure of CuO nanoparticles and their metal counterpart leads to change in the gut microbiota and resistome of collembolans</t>
  </si>
  <si>
    <t>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t>
  </si>
  <si>
    <t>10.1016/j.chemosphere.2020.127347</t>
  </si>
  <si>
    <t>WOS:000566446500081</t>
  </si>
  <si>
    <t>Significant dose effects of fertilizers on soil diazotrophic diversity, community composition, and assembly processes in a long-term paddy field fertilization experiment</t>
  </si>
  <si>
    <t>Although diazotrophs are major participants in biological nitrogen fixation (BNF) processes, the variations in community structure and assembly processes in response to long-term fertilization with different fertilizer application are still ambiguous, especially under various doses with balance or not. Using nifH amplicon sequencing, we investigated the soil diazotrophic communities in a paddy field which received 20-year fertilization including control (CK), balanced fertilization (three doses of nitrogen (N), phosphorus (P), and potassium (K) at same ratio (NPK, 2(NPK), and 3(NPK)), unbalanced fertilization (three ratios, (2 N)PK, N(2P)K, and NP(2K)), and manure (M). Our results showed that the diazotrophic diversity increased with the long-term fertilization, but it was tapering-off with doses increment. However, the community dissimilarities increased with fertilizer doses. These variations were attributed to the trade-off between the variation of soil pH and nutrients. The increasing of fertilizer doses induced the transformation of community assembly processes, which changed from mainly dominated by deterministic processes in CK, NPK, NP(2K) and M to stochastic processes in the other treatments. Our findings suggest that the long-term fertilization, especially different fertilizer doses, strongly affect soil diazotrophic diversity, community structure, and assembly processes, which could help to improve the sustainable agricultural management in the future.</t>
  </si>
  <si>
    <t>10.1002/ldr.3736</t>
  </si>
  <si>
    <t>WOS:000566530700001</t>
  </si>
  <si>
    <t>Density and diversity of macroinvertebrates in Colombian Andean streams impacted by mining, agriculture and cattle production</t>
  </si>
  <si>
    <t>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t>
  </si>
  <si>
    <t>10.7717/peerj.9619</t>
  </si>
  <si>
    <t>WOS:000569546800002</t>
  </si>
  <si>
    <t>Recolonization patterns of benthic assemblages after relict sand dredging in the central Tyrrhenian sea</t>
  </si>
  <si>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</si>
  <si>
    <t>10.1111/maec.12615</t>
  </si>
  <si>
    <t>WOS:000570195200001</t>
  </si>
  <si>
    <t>Microplastics negatively affect soil fauna but stimulate microbial activity: insights from a field-based microplastic addition experiment</t>
  </si>
  <si>
    <t>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t>
  </si>
  <si>
    <t>10.1098/rspb.2020.1268</t>
  </si>
  <si>
    <t>WOS:000570238200002</t>
  </si>
  <si>
    <t>Shifts in aquatic insect composition in a tropical forest stream after three decades of climatic warming</t>
  </si>
  <si>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</si>
  <si>
    <t>10.1111/gcb.15325</t>
  </si>
  <si>
    <t>WOS:000570554900001</t>
  </si>
  <si>
    <t>Widespread Pig Farming Practice Linked to Shifts in Skin Microbiomes and Disease in Pond-Breeding Amphibians</t>
  </si>
  <si>
    <t>Farming practices may reshape the structure of watersheds, water quality, and the health of aquatic organisms. Nutrient enrichment from agricultural pollution increases disease pressure in many host-pathogen systems, but the mechanisms underlying this pattern are not always resolved. For example, nutrient enrichment should strongly influence pools of aquatic environmental bacteria, which has the potential to alter microbiome composition of aquatic animals and their vulnerability to disease. However, shifts in the host microbiome have received little attention as a link between nutrient enrichment and diseases of aquatic organisms. We examined nutrient enrichment through the widespread practice of integrated pig-fish farming and its effects on microbiome composition of Brazilian amphibians and prevalence of the globally distributed amphibian skin pathogen Batrachochytrium dendrobatidis (Bd). This farming system drove surges in fecal coliform bacteria, disturbing amphibian skin bacterial communities such that hosts recruited higher proportions of Bd-facilitative bacteria and carried higher Bd prevalence. Our results highlight previously overlooked connections between global trends in land use change, microbiome dysbiosis, and wildlife disease. These interactions may be particularly important for disease management in the tropics, a region with both high biodiversity and continually intensifying anthropogenic pressures on aquatic wildlife habitats.</t>
  </si>
  <si>
    <t>10.1021/acs.est.0c03219</t>
  </si>
  <si>
    <t>WOS:000572834700033</t>
  </si>
  <si>
    <t>Coral cover a stronger driver of reef fish trophic biomass than fishing</t>
  </si>
  <si>
    <t>An influential paradigm in coral reef ecology is that fishing causes trophic cascades through reef fish assemblages, resulting in reduced herbivory and thus benthic phase shifts from coral to algal dominance. Few long-term field tests exist of how fishing affects the trophic structure of coral reef fish assemblages, and how such changes affect the benthos. Alternatively, benthic change itself may drive the trophic structure of reef fish assemblages. Reef fish trophic structure and benthic cover were quantified almost annually from 1983 to 2014 at two small Philippine islands (Apo, Sumilon). At each island a No-Take Marine Reserve (NTMR) site and a site open to subsistence reef fishing were monitored. Thirteen trophic groups were identified. Large planktivores often accounted for &gt;50% of assemblage biomass. Significant NTMR effects were detected at each island for total fish biomass, but for only 2 of 13 trophic components: generalist large predators and large planktivores. Fishing-induced changes in biomass of these components had no effect on live hard coral (HC) cover. In contrast, HC cover affected biomass of 11 of 13 trophic components significantly. Positive associations with HC cover were detected for total fish biomass, generalist large predators, piscivores, obligate coral feeders, large planktivores, and small planktivores. Negative associations with HC cover were detected for large benthic foragers, detritivores, excavators, scrapers, and sand feeders. These associations of fish biomass to HC cover were most clear when environmental disturbances (e.g., coral bleaching, typhoons) reduced HC cover, often quickly (1-2 yr), and when HC recovered, often slowly (5-10 yr). As HC cover changed, the biomass of 11 trophic components of the fish assemblage changed. Benthic and fish assemblages were distinct at all sites from the outset, remaining so for 31 yr, despite differences in fishing pressure and disturbance history. HC cover alone explained similar to 30% of the variability in reef fish trophic structure, whereas fishing alone explained 24%. Furthermore, HC cover affected more trophic groups more strongly than fishing. Management of coral reefs must include measures to maintain coral reef habitats, not just measures to reduce fishing by NTMRs.</t>
  </si>
  <si>
    <t>10.1002/eap.2224</t>
  </si>
  <si>
    <t>WOS:000574574400001</t>
  </si>
  <si>
    <t>Effects of co-contamination of heavy metals and total petroleum hydrocarbons on soil bacterial community and function network reconstitution</t>
  </si>
  <si>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</si>
  <si>
    <t>10.1016/j.ecoenv.2020.111083</t>
  </si>
  <si>
    <t>WOS:000574852400002</t>
  </si>
  <si>
    <t>When roads cross streams: fish assemblage responses to fluvial fragmentation in lowland Amazonian streams</t>
  </si>
  <si>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</si>
  <si>
    <t>10.1590/1982-0224-2020-0031</t>
  </si>
  <si>
    <t>WOS:000575501400001</t>
  </si>
  <si>
    <t>The Plastisphere of Biodegradable Plastics Is Characterized by Specific Microbial Taxa of Alpine and Arctic Soils</t>
  </si>
  <si>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</si>
  <si>
    <t>10.3389/fenvs.2020.562263</t>
  </si>
  <si>
    <t>WOS:000575916200001</t>
  </si>
  <si>
    <t>Effects of mining and reduced turnover of Ephemeroptera (Insecta) in streams of the Eastern Brazilian Amazon</t>
  </si>
  <si>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</si>
  <si>
    <t>10.1007/s10841-020-00275-7</t>
  </si>
  <si>
    <t>WOS:000576348300001</t>
  </si>
  <si>
    <t>Belowground fungal community diversity, composition and ecological functionality associated with winter wheat in conventional and organic agricultural systems</t>
  </si>
  <si>
    <t>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t>
  </si>
  <si>
    <t>10.7717/peerj.9732</t>
  </si>
  <si>
    <t>WOS:000576881000007</t>
  </si>
  <si>
    <t>Strong impacts of signal crayfish invasion on upland stream fish and invertebrate communities</t>
  </si>
  <si>
    <t>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t>
  </si>
  <si>
    <t>10.1111/fwb.13631</t>
  </si>
  <si>
    <t>WOS:000577739600001</t>
  </si>
  <si>
    <t>Linking life history strategies and historical baseline information shows effects of altered flow regimes and impoundments on freshwater mussel assemblages</t>
  </si>
  <si>
    <t>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t>
  </si>
  <si>
    <t>10.1111/fwb.13591</t>
  </si>
  <si>
    <t>WOS:000577751400009</t>
  </si>
  <si>
    <t>Profiling of bacterial assemblages in the marine cage farm environment, with implications on fish, human and ecosystem health</t>
  </si>
  <si>
    <t>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t>
  </si>
  <si>
    <t>10.1016/j.ecolind.2020.106785</t>
  </si>
  <si>
    <t>WOS:000578967500066</t>
  </si>
  <si>
    <t>Agriculture impairs stream ecosystem functioning in a tropical catchment</t>
  </si>
  <si>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</si>
  <si>
    <t>10.1016/j.scitotenv.2020.140950</t>
  </si>
  <si>
    <t>WOS:000579365600004</t>
  </si>
  <si>
    <t>Spatial variability of inhalable fungal communities in airborne PM2.5 across Nanchang, China</t>
  </si>
  <si>
    <t>Although fungi are ubiquitous in the atmosphere and have important effect on human health, their spatial variability about diversity and taxonomic composition, remain poorly understood. Considering the differences of environmental conditions, distinct airborne fungal communities were expected in the urban, suburban and forest areas. To test this hypothesis, PM2.5 samples were consecutively collected for 14 days across Nanchang, China. The results showed that fungal diversities of samples from forest were higher than that from the other two areas. Even though the airborne fungal communities at one sampling site fluctuated during the short-term period, the compositions in the forest significantly diverged from the other two areas (Anosim and Adonis: p &lt; 0.01). Canonical correspondence analysis (CCA) and mantel test (p &lt; 0.01) indicated that these disparities among sampling sites were partly drove by air pollutants. High concentrations of air particles (PM2.5 and PM10) and gaseous pollutants (NO2 and CO) associated with human activities were accompanied by high relative abundances of several genera such as Alternaria, Penicillium and Coprinellus. Likewise, Pearson correlation analysis showed that rainfall and relative humidity enhanced the relative abundances of 13 genera like Malassezia and Schizophyllum. Notably, part of these genera was potential allergens and pathogens to human, and it seemed that there were higher health risks in urban and suburban. This study furthers our understanding of the variation of airborne fungal community in different land-use types and different treatments may be applied to deal with the potential threat of airborne fungi. (C) 2020 Elsevier B.V. All rights reserved.</t>
  </si>
  <si>
    <t>10.1016/j.scitotenv.2020.141171</t>
  </si>
  <si>
    <t>WOS:000579371300064</t>
  </si>
  <si>
    <t>Decreasing predation rates and shifting predator compositions along a land-use gradient in Madagascar's vanilla landscapes</t>
  </si>
  <si>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</si>
  <si>
    <t>10.1111/1365-2664.13766</t>
  </si>
  <si>
    <t>WOS:000579736300001</t>
  </si>
  <si>
    <t>The effects of human disturbance on the species composition, species diversity and functional diversity of a Miombo woodland in northern Malawi</t>
  </si>
  <si>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</si>
  <si>
    <t>10.1111/aje.12798</t>
  </si>
  <si>
    <t>WOS:000579835700001</t>
  </si>
  <si>
    <t>Evidences of human impact on megabenthic assemblages of bathyal sediments in the Alboran Sea (western Mediterranean)</t>
  </si>
  <si>
    <t>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t>
  </si>
  <si>
    <t>10.1016/j.dsr.2020.103369</t>
  </si>
  <si>
    <t>WOS:000579905100008</t>
  </si>
  <si>
    <t>Effects of fire frequency on savanna butterfly diversity and composition: A preliminary study</t>
  </si>
  <si>
    <t>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t>
  </si>
  <si>
    <t>10.4102/koedoe.v62i1.1617</t>
  </si>
  <si>
    <t>WOS:000580335200001</t>
  </si>
  <si>
    <t>Gradients of flow regulation shape community structures of stream fishes and insects within a catchment subject to typhoon events</t>
  </si>
  <si>
    <t>Alterations in natural flow regimes caused by dams can significantly alter the aquatic habitats of stream organisms. However, few studies have characterized flow regulation to assess its impacts on stream fauna in the context of interannually variable extreme floods. This study aims to understand the variation in stream animals along flow regulation gradients due to hydropower dams in a catchment experiencing typhoons. We observed freshwater fishes and stream insects at fully regulated sites (receiving residual flow), moderately regulated sites (receiving hydropower outflow), and nonregulated site (tributary) in the Mimi River catchment in southern Japan, in summer and winter from 2010 to 2018. We computed indicators of hydrologic alteration (IHA) in each calendar/water (July to June) year from 2007 to 2017 and selected subsets of IHA based on principal component analysis (PCA) and variance inflation factor. The largest variance was mainly explained by minimum discharge levels (e.g., 30-day annual minimum) and flow variability among IHAs, distinguishing the moderately regulated and nonregulated sites from fully regulated sites because of residual flow and suppressed high pulses in the fully regulated sites. Generalized additive models revealed that annual maxima of specific discharge were most significant predictors of fish and insectmetrics while its effects were generally inconsistent between summer and winter. Non-metric multidimensional scaling revealed that insect communities were clustered into the regulation extents in both seasons. The differences in winter fauna between the regulated and nonregulated sites, characterized by Ephemeroptera-Plecoptera-Trichoptera abundance, were associated with maximum discharge and high pulse numbers. Fish community variation did not correspond to flow regime gradients. Our findings on mechanistic ecohydrological consequences of various flow regulations, supported by long-term observations, will be useful for river managers attempting to compensate for alterations in flow regime and ecological integrity. (C) 2020 Elsevier B.V. All rights reserved.</t>
  </si>
  <si>
    <t>10.1016/j.scitotenv.2020.141398</t>
  </si>
  <si>
    <t>WOS:000581049800076</t>
  </si>
  <si>
    <t>Ecological causal assessment of benthic condition in the oil sands region, Athabasca River, Canada</t>
  </si>
  <si>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</si>
  <si>
    <t>10.1016/j.scitotenv.2020.141393</t>
  </si>
  <si>
    <t>WOS:000581793800021</t>
  </si>
  <si>
    <t>Artificial light at night at the terrestrial-aquatic interface: Effects on predators and fluxes of insect prey</t>
  </si>
  <si>
    <t>The outcomes of species interactions-such as those between predators and prey-increasingly depend on environmental conditions that are modified by human activities. Light is among the most fundamental environmental parameters, and humans have dramatically altered natural light regimes across much of the globe through the addition of artificial light at night (ALAN). The consequences for species interactions, communities and ecosystems are just beginning to be understood. Here we present findings from a replicated field experiment that simulated over-the-water lighting in the littoral zone of a small lake. We evaluated responses by emergent aquatic insects and terrestrial invertebrate communities, and riparian predators (tetragnathid spiders). On average ALAN plots had 51% more spiders than control plots that were not illuminated. Mean individual spider body mass was greater in ALAN plots relative to controls, an effect that was strongly sex-dependent; mean male body mass was 34% greater in ALAN plots while female body mass was 176% greater. The average number of prey items captured in spider webs was 139% greater on ALAN mesocosms, an effect attributed to emergent aquatic insects. Non-metric multidimensional scaling and a multiple response permutation procedure revealed significantly different invertebrate communities captured in pan traps positioned in ALAN plots and controls. Control plots had taxonomic-diversity values (as H') that were 58% greater than ALAN plots, and communities that were 83% more-even. We attribute these differences to the aquatic family Caenidae which was the dominant family across both light treatments, but was 818% more abundant in ALAN plots. Our findings show that when ALAN is located in close proximity to freshwater it can concentrate fluxes of emergent aquatic insects, and that terrestrial predators in the littoral zone can compound this effect and intercept resource flows, preventing them from entering the terrestrial realm.</t>
  </si>
  <si>
    <t>10.1371/journal.pone.0240138</t>
  </si>
  <si>
    <t>WOS:000581809800029</t>
  </si>
  <si>
    <t>Restructuring of a meiobenthic assemblage after sediment contamination with an antibacterial compound: Case study of ciprofloxacin</t>
  </si>
  <si>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</si>
  <si>
    <t>10.1016/j.ecoenv.2020.111084</t>
  </si>
  <si>
    <t>WOS:000582219300004</t>
  </si>
  <si>
    <t>Sheep herding in small grasslands promotes dung beetle diversity in a mountain forest landscape</t>
  </si>
  <si>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</si>
  <si>
    <t>10.1007/s10841-020-00277-5</t>
  </si>
  <si>
    <t>WOS:000582321100001</t>
  </si>
  <si>
    <t>Long-term change in the avifauna of undisturbed Amazonian rainforest: ground-foraging birds disappear and the baseline shifts</t>
  </si>
  <si>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</si>
  <si>
    <t>10.1111/ele.13628</t>
  </si>
  <si>
    <t>WOS:000582442300001</t>
  </si>
  <si>
    <t>Monitoring elasmobranch assemblages in a data-poor country from the Eastern Tropical Pacific using baited remote underwater video stations</t>
  </si>
  <si>
    <t>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t>
  </si>
  <si>
    <t>10.1038/s41598-020-74282-8</t>
  </si>
  <si>
    <t>WOS:000582678400005</t>
  </si>
  <si>
    <t>Simulated future conditions of ocean warming and acidification disrupt the microbiome of the calcifying foraminifera Marginopora vertebralis across life stages</t>
  </si>
  <si>
    <t>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t>
  </si>
  <si>
    <t>10.1111/1758-2229.12900</t>
  </si>
  <si>
    <t>WOS:000582953500001</t>
  </si>
  <si>
    <t>Changes in land use affect anuran helminths in the South Brazilian grasslands</t>
  </si>
  <si>
    <t>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t>
  </si>
  <si>
    <t>10.1017/S0022149X20000905</t>
  </si>
  <si>
    <t>WOS:000583503400001</t>
  </si>
  <si>
    <t>Drivers of total and pathogenic soil-borne fungal communities in grassland plant species</t>
  </si>
  <si>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</si>
  <si>
    <t>10.1016/j.funeco.2020.100987</t>
  </si>
  <si>
    <t>WOS:000583820500005</t>
  </si>
  <si>
    <t>Benthic monitoring of oil and gas offshore platforms in the North Sea using environmental DNA metabarcoding</t>
  </si>
  <si>
    <t>Since 2010, considerable efforts have been undertaken to monitor the environmental status of European marine waters and ensuring the development of methodological standards for the evaluation of this status. However, the current routine biomonitoring implicates time-consuming and costly manual sorting and morphological identification of benthic macrofauna. Environmental DNA (eDNA) metabarcoding represents an alternative to the traditional monitoring method with very promising results. Here, we tested it further by performing eDNA metabarcoding of benthic eukaryotic communities in the vicinity of two offshore oil and gas platforms in the North Sea. Three different genetic markers (18S V1V2, 18S V9 and COI) were used to assess the environmental pressures induced by the platforms. All markers showed patterns of alpha and beta diversity consistent with morphology-based macrofauna analyses. In particular, the communities' structure inferred from metabarcoding and morphological data significantly changed along distance gradients from the platforms. The impact of the operational discharges was also detected by the variation of biotic index values, AMBI index showing the best correlation between morphological and eDNA data sets. Finally, the sediment physicochemical parameters were used to build a local de novo pressure index that served as benchmark to test the potential of a taxonomy-free approach. Our study demonstrates that metabarcoding approach outperforms morphology-based approach and can be used as a cost and time-saving alternative solution to the traditional morphology-based monitoring in order to monitor more efficiently the impact of industrial activities on marine biodiversity.</t>
  </si>
  <si>
    <t>10.1111/mec.15698</t>
  </si>
  <si>
    <t>WOS:000584468900001</t>
  </si>
  <si>
    <t>Temperature but not nutrient addition affects abundance and assemblage structure of colonizing aquatic insects</t>
  </si>
  <si>
    <t>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t>
  </si>
  <si>
    <t>10.1002/ecy.3209</t>
  </si>
  <si>
    <t>WOS:000584609600001</t>
  </si>
  <si>
    <t>Elevated nitrate simplifies microbial community compositions and interactions in sulfide-rich river sediments</t>
  </si>
  <si>
    <t>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t>
  </si>
  <si>
    <t>10.1016/j.scitotenv.2020.141513</t>
  </si>
  <si>
    <t>WOS:000585694600042</t>
  </si>
  <si>
    <t>Effect of Anthropogenic Disturbance on Floristic Homogenization in the Floodplain Landscape: Insights from the Taxonomic and Functional Perspectives</t>
  </si>
  <si>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</si>
  <si>
    <t>10.3390/f11101036</t>
  </si>
  <si>
    <t>WOS:000586156300001</t>
  </si>
  <si>
    <t>The Structure of Riparian Vegetation in Agricultural Landscapes Influences Spider Communities and Aquatic-Terrestrial Linkages</t>
  </si>
  <si>
    <t>Riparian habitats are important ecotones connecting aquatic and terrestrial ecosystems, but are often highly degraded by human activities. Riparian buffers might help support impacted riparian communities, and improve trophic connectivity. We sampled spider communities from riparian habitats in an agricultural catchment, and analyzed their polyunsaturated fatty acid (PUFA) content to quantify trophic connectivity. Specific PUFAs are exclusively produced by stream algae, and thus are used to track uptake of aquatic resources by terrestrial consumers. Riparian spiders were collected from 10 site pairs situated along agricultural streams, and from five forest sites (25 sites total). Each agricultural site pair comprised an unshaded site with predominantly herbaceous vegetation cover, and a second with a woody riparian buffer. Spider communities differed between site types, with web-building spiders dominating woody buffered sites and free-living spiders associated with more open habitats. PUFA concentrations were greatest overall in free-living spiders, but there was also evidence for increased PUFA uptake by some spider groups when a woody riparian buffer was present. Our results reveal the different roles of open and wooded riparian habitats in supporting terrestrial consumers and aquatic-terrestrial connectivity, and highlight the value of incorporating patches of woody vegetation within riparian networks in highly modified landscapes.</t>
  </si>
  <si>
    <t>10.3390/w12102855</t>
  </si>
  <si>
    <t>WOS:000586967400001</t>
  </si>
  <si>
    <t>Climate and land cover shape the fungal community structure in topsoil</t>
  </si>
  <si>
    <t>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t>
  </si>
  <si>
    <t>10.1016/j.scitotenv.2020.141721</t>
  </si>
  <si>
    <t>WOS:000587300800057</t>
  </si>
  <si>
    <t>Rainbow darter (Etheostoma caeruleum) from a river impacted by municipal wastewater effluents have altered gut content microbiomes</t>
  </si>
  <si>
    <t>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t>
  </si>
  <si>
    <t>10.1016/j.scitotenv.2020.141724</t>
  </si>
  <si>
    <t>WOS:000587300800059</t>
  </si>
  <si>
    <t>Distinct fungal plastisphere across different river functional zones: A watershed scale study</t>
  </si>
  <si>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</si>
  <si>
    <t>10.1016/j.scitotenv.2020.141879</t>
  </si>
  <si>
    <t>WOS:000588243900072</t>
  </si>
  <si>
    <t>The effects of Bidens alba invasion on soil bacterial communities across different coastal ecosystem land-use types in southern China</t>
  </si>
  <si>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</si>
  <si>
    <t>10.1371/journal.pone.0238478</t>
  </si>
  <si>
    <t>WOS:000588374000022</t>
  </si>
  <si>
    <t>Effects of Ocean Acidification and Microplastics on Microflora Community Composition in the Digestive Tract of the Thick Shell Mussel Mytilus coruscus Through 16S RNA Gene Sequencing</t>
  </si>
  <si>
    <t>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t>
  </si>
  <si>
    <t>10.1007/s00128-020-03022-5</t>
  </si>
  <si>
    <t>WOS:000588584500001</t>
  </si>
  <si>
    <t>Romans Shape Today's Vegetation and Soils: Two Millennia of Land-Use Legacy Dynamics in Mediterranean Grasslands</t>
  </si>
  <si>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</si>
  <si>
    <t>10.1007/s10021-020-00581-w</t>
  </si>
  <si>
    <t>WOS:000588605500001</t>
  </si>
  <si>
    <t>Bacterial community response to petroleum contamination in brackish tidal marsh sediments in the Yangtze River Estuary, China</t>
  </si>
  <si>
    <t>The brackish tidal marsh in the Baimaosha area of the Yangtze River Estuary was severely contaminated by 400 tons of heavy crude petroleum from a tanker that sank in Decem-ber 2012. The spill accident led to severe environmental damage owing to its high toxicity, persistence and wide distribution. Microbial communities play vital roles in petroleum degradation in marsh sediments. Therefore, taxonomic analysis, high-throughput sequenc-ing and 16S rRNA functional prediction were used to analyze the structure and function of microbial communities among uncontaminated (CK), lightly polluted (LP), heavily polluted (HP), and treated (TD) sediments. The bacterial communities responded with increased richness and decreased diversity when exposed to petroleum contamination. The dominant class changed from Deltaproteobacteria to Gammaproteobacteria after petroleum contam-ination. The phylum Firmicutes increased dramatically in oil-enriched sediment by 75.78%, 346.19% and 267.26% in LP, HP and TD, respectively. One of the suspected oil-degrading genera, Dechloromonas, increased the most in oil-contaminated sediment, by 540.54%, 711.27% and 656.78% in LP, HP and TD, respectively. Spore protease, quinate dehydrogenase ( quinone) and glutathione-independent formaldehyde dehydrogenase, three types of identified en-zymes, increased enormously with the increasing petroleum concentration. In conclusion, petroleum contamination altered the community composition and microorganism struc-ture, and promoted some bacteria to produce the corresponding degrading enzymes. Addi-tionally, the suspected petroleum-degrading genera should be considered when restoring oil-contaminated sediment. (C) 2020 The Research Center for Eco-Environmental Sciences, Chinese Academy of Sciences. Published by Elsevier B.V.</t>
  </si>
  <si>
    <t>10.1016/j.jes.2020.06.015</t>
  </si>
  <si>
    <t>WOS:000589890700017</t>
  </si>
  <si>
    <t>How does conversion from forest to pasture affect the taxonomic and functional structure of the fish assemblages in Amazonian streams?</t>
  </si>
  <si>
    <t>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t>
  </si>
  <si>
    <t>10.1111/eff.12589</t>
  </si>
  <si>
    <t>WOS:000591709800001</t>
  </si>
  <si>
    <t>Response of soil fauna to simulated global change factors depends on ambient climate conditions</t>
  </si>
  <si>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</si>
  <si>
    <t>10.1016/j.pedobi.2020.150672</t>
  </si>
  <si>
    <t>WOS:000591875500006</t>
  </si>
  <si>
    <t>Urbanization has changed the distribution pattern of zooplankton species diversity and the structure of functional groups</t>
  </si>
  <si>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</si>
  <si>
    <t>10.1016/j.ecolind.2020.106944</t>
  </si>
  <si>
    <t>WOS:000591880800010</t>
  </si>
  <si>
    <t>Habitat and seasonal variations in bacterial community structure and diversity in sediments of a Shallow lake</t>
  </si>
  <si>
    <t>Benthic bacteria are drivers of aquatic ecosystem material circulation and energy flow, and are sensitive to environmental changes. In this study, a total of 79 sediment samples were collected from four representative habitat types (duck farm, fish farm, lotus pond and residential area) and one reference site (conservation district) of Baiyangdian Lake, North China, in three seasons (winter, spring and summer). The physical and chemical properties and the levels of contaminants in sediment were determined. Bacterial communities were studied by 16S rRNA high-throughput sequencing techniques. The result showed that, Proteobacteria, Chloroflexi, Bacteroidetes, Firmicutes and Actinobacteria were the dominant species at the phylum level in Baiyangdian. Sulfuricurvum, Thiobacillus Dechloromonas, Sulfurovum, Nitrospira and Desulfatiglans were the dominant species at the genus level. The dominant genus was different among different habitats. Proteobacteria exhibited the highest relative abundance in all seasons, and the relative abundance of dominant bacteria was highest in winter. The main functional group from the sampling sites were contamination tolerance bacteria, such as sulfur-oxidizing, sulfate-reducing and nitrifying bacteria. Sulfur-oxidizing bacteria were found mainly in duck farms and residential areas, whereas sulfate-reducing bacteria and nitrifying bacteria occurred in lotus ponds. Habitat type was the most important factor influencing the bacterial community composition, evenness and diversity. Sediment pH and the amount of active phosphorus played the most important role in the composition of the bacterial community, and the heavy metals (Zn, Mn and Cr) and organic pollutants (polycyclic aromatic hydrocarbons, PAH) also had moderate influence. As Baiyangdian Lake is the central of Xiong'an New Area, the water quality management has become the hottest topic. Plenty of researches about environmental variables and aquatic species were taken, but lacking report of bacteria. This study provide basic information of bacterial community composition in this area, and help to understand the response of the bacterial community to habitat and seasonal change, which provide a scientific basis for the recovery and reconstruction of the degraded ecosystem.</t>
  </si>
  <si>
    <t>10.1016/j.ecolind.2020.106959</t>
  </si>
  <si>
    <t>WOS:000591903100004</t>
  </si>
  <si>
    <t>No apparent effect of invasive alien goldenrod on soil microbial communities or soil fauna feeding activity</t>
  </si>
  <si>
    <t>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t>
  </si>
  <si>
    <t>10.1016/j.actao.2020.103669</t>
  </si>
  <si>
    <t>WOS:000592556800015</t>
  </si>
  <si>
    <t>Biomonitoring of the Application of Monoculture and Integrated Multi-Trophic Aquaculture (IMTA) Using Macrobenthic Structures at Tembelas Island, Kepulauan Riau Province, Indonesia</t>
  </si>
  <si>
    <t>Sustainable aquaculture needs to be considered when it comes to the utilization of water resources. The aim of this study was to apply biomonitoring using macrobenthic structures on both spatial and temporal applications of monoculture and integrated multi-trophic aquaculture (IMTA) at Tembelas Island, Kepulauan Riau Province, Indonesia. Samples of sediment were taken from three fish farm locations, namely from an IMTA site, a monoculture site, and a reference site. Macrobenthic organisms obtained through rinsing, sieving, and sorting were then identified under a stereo-microscope. Diversity of the macrobenthic assemblages was analyzed with a Shannon-Wiener index (H'). Equitability was expressed through Pielou's evenness index. Finally, Bray-Curtis' non-metric multi-dimensional scaling (NMDS) was used for similarities derived from log (X+1) transformed macrobenthic abundance to provide a visual representation of differences in their structure between sites over time. Results showed polychaetes exhibited differences in both variation and abundance of genera between the farm and reference site. The assemblage of macrobenthos at the IMTA site consisted of 9 genera of gastropods, 3 genera of bivalves, 5 genera of polychaetes, and 2 genera of crustaceans. At the monoculture site, 12 genera of gastropods, 4 genera of bivalves, 8 genera of polychaetes, 1 genera of crustaceans, and 1 genera of ophiuroid were observed. A relatively high abundance was observed at the reference site, with 27 genera of gastropods, 11 genera of bivalves, 3 genera of polychaetes, and 1 genera of crustacean. The favorable water conditions and possible absence of waste input from aquaculture resulting in a more suitable habitat for macrobenthic life may explain this relative abundance. Some of them were recognised as opportunistic taxa, i.e., Capitella sp., Heteromastus sp., and Lumbrinereis sp. Based on the diversity and evenness indices and the MNDS ordination, it can be concluded that the application of IMTA systems results in a suppressed or reduced potential impact on environmental disturbance due to aquacultural activities.</t>
  </si>
  <si>
    <t>10.3390/jmse8110942</t>
  </si>
  <si>
    <t>WOS:000593235000001</t>
  </si>
  <si>
    <t>Diel Variability and Influence of Artificial Light on Fish and Macroinvertebrate Communities in Gulf of Mexico Seagrass Beds</t>
  </si>
  <si>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</si>
  <si>
    <t>10.1007/s12237-020-00865-3</t>
  </si>
  <si>
    <t>WOS:000593411000001</t>
  </si>
  <si>
    <t>All that glitters is litter? Ecological impacts of conventional versus biodegradable glitter in a freshwater habitat</t>
  </si>
  <si>
    <t>Biodegradable plastics are becoming increasingly popular due to global concerns about plastic pollution. In this study, the impacts of glitter manufactured of conventional, non-biodegradable polyethylene terephthalate (PET) versus glitter of alternative materials (modified regenerated cellulose (MRC), mica or synthetic mica) on the biodiversity and ecosystem functioning of freshwater, lotic habitats were compared using a semi-natural mes-ocosm experiment. After 36 days, there was no effect of glitter on overall assemblage structure or diversity indices, however there was a two-fold increase in the abundance of New Zealand mud snails (Potamopyrgus antipodarum) in response to MRC glitter. In addition, the root length of common duckweed (Lemna minor) and phytoplankton biomass (based on chlorophyll content) were significantly reduced by exposure to any type of glitter. On the contrary, the chlorophyll content in the sediment (indicating microphytobenthos biomass) was significantly greater in those exposed to synthetic mica glitter. Organic matter content of sediment did not differ amongst any of the treatments. However initially, on days 8 and 15, NO32- concentration in the control treatment were significantly greater than in all glitter treatments, but this observation disappeared over time. Overall, results indicate that both conventional and alternative glitters can cause ecological impacts in aquatic ecosystems.</t>
  </si>
  <si>
    <t>10.1016/j.jhazmat.2020.124070</t>
  </si>
  <si>
    <t>WOS:000593842200002</t>
  </si>
  <si>
    <t>Short-term exposure to norfloxacin induces oxidative stress, neurotoxicity and microbiota alteration in juvenile large yellow croaker Pseudosciaena crocea</t>
  </si>
  <si>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</si>
  <si>
    <t>10.1016/j.envpol.2020.115397</t>
  </si>
  <si>
    <t>WOS:000593966000012</t>
  </si>
  <si>
    <t>The earthworm microbiome is resilient to exposure to biocidal metal nanoparticles</t>
  </si>
  <si>
    <t>Environmental pollution can disrupt the interactions between animals and their symbiotic bacteria, which can lead to adverse effects on the host even in the absence of direct chemical toxicity. It is therefore crucial to understand how environmental pollutants affect animal microbiomes, especially for those chemicals that are designed to target microbes. Here, we study the effects of two biocidal nano particles (NPs) (Ag and CuO) on the soil bacterial community and the resident gutmicrobiome of the earthworm Eisenia fetida over a 28-day period using metabarcoding techniques. Exposures to NPs were conducted following OECD test guidelines and effects on earthworm reproduction and juvenile biomass were additionally recorded in order to compare effects on the host to effects on microbiomes. By employing a full concentration series, we were able to link pollutants to microbiome effects in high resolution. Multivariate analysis, differential abundance analysis and species sensitivity distribution analysis showed that Ag-NPs are more toxic to soil bacteria than CuO-NPs. In contrast to the strong effects of CuO-NPs and Ag-NPs on the soil bacterial community, the earthworm gut microbiome is largely resilient to exposure to biocidal NPs. Despite this buffering effect, CuO-NPs did negatively affect the relative abundance of some earthworm symbionts, including 'Candidatus Lumbricincola'. Changes in the soil bacterial community and the earthworm microbiome occur at total copper concentrations often found or modelled to occur in agricultural fields, demonstrating that soil bacterial communities and individual taxa in the earthworm microbiome may be at risk from environmental copper exposure including in nanomaterial form. (c) 2020 Elsevier Ltd. All rights reserved.</t>
  </si>
  <si>
    <t>10.1016/j.envpol.2020.115633</t>
  </si>
  <si>
    <t>WOS:000593967100026</t>
  </si>
  <si>
    <t>Response of Soil Bacterial Community to Application of Organic and Inorganic Phosphate Based Fertilizers under Vicia faba L. Cultivation at Two Different Phenological Stages</t>
  </si>
  <si>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</si>
  <si>
    <t>10.3390/su12229706</t>
  </si>
  <si>
    <t>WOS:000594610000001</t>
  </si>
  <si>
    <t>Artisanal mining impacts small mammals while chainsaw milling is a more sustainable practice in Ghana</t>
  </si>
  <si>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</si>
  <si>
    <t>10.1007/s10531-020-02089-0</t>
  </si>
  <si>
    <t>WOS:000595373400001</t>
  </si>
  <si>
    <t>Native plant turnover and limited exotic spread explain swamp biotic differentiation with urbanization</t>
  </si>
  <si>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</si>
  <si>
    <t>10.1111/avsc.12550</t>
  </si>
  <si>
    <t>WOS:000598108300001</t>
  </si>
  <si>
    <t>Response of benthic macroinvertebrates to different hydropower off-stream diversion schemes</t>
  </si>
  <si>
    <t>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t>
  </si>
  <si>
    <t>10.1002/eco.2267</t>
  </si>
  <si>
    <t>WOS:000598308300001</t>
  </si>
  <si>
    <t>DNA-Based Arthropod Diversity Assessment in Amazonian Iron Mine Lands Show Ecological Succession Towards Undisturbed Reference Sites</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</si>
  <si>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</si>
  <si>
    <t>10.3389/fevo.2020.590976</t>
  </si>
  <si>
    <t>WOS:000598483400001</t>
  </si>
  <si>
    <t>Microplastic Addition Alters the Microbial Community Structure and Stimulates Soil Carbon Dioxide Emissions in Vegetable-Growing Soil</t>
  </si>
  <si>
    <t>Microplastic pollution has become an increasingly pervasive issue worldwide, but little is known about its effects on the soil environment. A soil microcosm experiment was conducted using low-density polyethylene microplastics to estimate the effect of microplastic pollution on soil nutrient cycling and the soil microbial community structure. The results showed that microplastic addition significantly promoted soil carbon dioxide emissions but not soil nitrous oxide emissions. Soil pH, dissolved organic carbon, ammonia nitrogen, the contents of total phospholipid fatty acid (PLFA), and the ratios of gram-positive bacteria to gram-negative bacteria and saturated to monounsaturated PLFAs significantly increased. In addition, nitrate nitrogen and the ratios of fungi to bacteria, total iso-branched fatty acids to total anteiso-branched fatty acids, and cyclopropyl to precursor significantly decreased with increasing microplastic addition. The addition of microplastics decreased the abundance of ammonia oxidizing bacteria and nitrite reductase (nirS) but had little effect on the functional genes of ammonia oxidizing archaea, nitrite reductase (nirK), and nitrous oxide reductase. A principal coordinate analysis of the bacterial 16S ribosomal RNA gene and fungal internal transcribed spacer in the microplastic addition treatments revealed that the bacterial and fungal communities formed an obvious cluster. The average abundance of some microbial species with tolerance and degradability to microplastics, such as Nocardioidaceae, Amycolatopsis, Aeromicrobium, Cytophagaceae, Betaproteobacteria, Rhodoplanes, and Mortierella, in the microplastic addition treatments was significantly higher than that of the control treatment. The results suggested that microplastics have obvious influences on microbial communities and may affect global carbon and nitrogen cycles. Environ Toxicol Chem 2020;00:1-14. (c) 2020 SETAC</t>
  </si>
  <si>
    <t>10.1002/etc.4916</t>
  </si>
  <si>
    <t>WOS:000598655000001</t>
  </si>
  <si>
    <t>Contrasting fungal responses to wildfire across different ecosystem types</t>
  </si>
  <si>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</si>
  <si>
    <t>10.1111/mec.15767</t>
  </si>
  <si>
    <t>WOS:000598777100001</t>
  </si>
  <si>
    <t>Changes in beta diversity and species functional traits differ between saplings and mature trees in an old-growth forest</t>
  </si>
  <si>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</si>
  <si>
    <t>10.1002/ece3.6913</t>
  </si>
  <si>
    <t>WOS:000599688800001</t>
  </si>
  <si>
    <t>Assessing mining impacts: The influence of background geochemical conditions on diatom and macroinvertebrate communities in subarctic streams</t>
  </si>
  <si>
    <t>Mining has changed landscapes locally in northern Fennoscandia and there is an increasing pressure for exploitation of the remaining mineral deposits of the region. Mineral deposits, even if unmined, can strongly influence stream water chemistry, stream biological communities and the ability of organisms to tolerate stressors. Using data sampled from six mining areas with three active (gold and chrome), two closed (gold) and one planned mine (phosphate), we examined how mineral deposits and mining influence water chemistry and diatom and macroinvertebrate communities in subarctic streams in Finnish Lapland. We supplemented the data by additional samples compiled from databases and further assessed how variation in background geological conditions influences bioassessments of the impacts arising from mining. We found that water specific conductivity was elevated in our study streams draining through catchments with a high mineral potential. Mining effects were mainly seen as increased concentration of nitrogen. Influence of mineral deposits was detected in composition of diatom and macroinvertebrate communities, but communities in streams in areas with a high mineral potential were as diverse as those in streams in areas with a low mineral potential. Mining impacts were better detected for diatoms using a reference condition based on sites with a high than low mineral potential, while for macroinvertebrates, the responses were generally less evident, likely because of only minor effects of mining on water chemistry. Community composition and frequencies of occurrence of macroinvertebrate taxa were, however, highly similar between mine-influenced streams and reference streams with a high potential for minerals indicating that the communities are strongly structured by the natural influence of mineral deposits. Incorporating geochemistry into the reference condition would likely improve bioassessments of both taxonomic groups. Replicated monitoring in potentially impacted sites and reference sites would be the most efficient framework for detecting environmental impacts in streams draining through mineral-rich catchments.</t>
  </si>
  <si>
    <t>10.1016/j.jenvman.2020.111532</t>
  </si>
  <si>
    <t>WOS:000599706600001</t>
  </si>
  <si>
    <t>Wild bee community recovery in restored grassland-wetland complexes of prairie North America</t>
  </si>
  <si>
    <t>Agricultural intensification is a widespread driver of global pollinator decline that subsequently threatens the associated provisioning of ecosystem services. In North America's Prairie Pothole Region, wetlands surrounded by grassland were once abundant on the landscape, but now generally exist within a matrix of agriculture. We assessed whether restoration of these grassland-wetland complexes from cropland could be used as a potential tool for mitigating wild bee decline, using a 25-year restoration chronosequence. We also monitored the development of bee nesting and food resources to better establish the mechanisms that drive return to a restored habitat. Our objective was to assess whether restoration of grassland-wetland complexes can return bee communities to a reference state (i.e. remnant native grassland-wetland habitats), and to ascertain the timeline over which these changes occur. We found bee diversity increased following restoration and approximated reference sites after 1-4 years, while the diversity of non-Bombus species analyzed separately resembled reference sites after around 5-10 years. Floral diversity also increased following restoration from cropland but remained slightly lower than reference sites through time. Changes to bee species composition were driven more by floral species composition than time since restoration. Our results suggest that restored grassland-wetland complexes are able to provide food and nesting resources to bees within agriculturally dominated landscapes, and that restoration can recover wild bee communities to a reference state. On a broader scale, they underscore the utility of retaining patches of non-cropped and restored land within agroecosystems as a pathway for mitigating pollinator decline.</t>
  </si>
  <si>
    <t>10.1016/j.biocon.2020.108829</t>
  </si>
  <si>
    <t>WOS:000599921200012</t>
  </si>
  <si>
    <t>The Effect of Laver-Farming on the Distribution of Copepod Community in the West Coast of Korea</t>
  </si>
  <si>
    <t>To understand the effect of farms on copepod communities in the coastal marine environment, this study investigated the environmental variables and copepod communities in June 2016 in the coastal region adjacent to the Geum River estuary. Copepod communities were more abundant in laver farms than in areas not covered by laver farms, due to the availability of various food sources and low predation risks. Although laver farms had low abundance (cells/mL) of phytoplankton, they were observed to have high species diversity. This provides an environment in which a variety of food items is available for copepod communities. Moreover, fishes were more abundant in the areas not occupied by farms than in laver farms. the complex habitat structure created by abundant laver, as well as frequent human interference in laver farms, has a negative impact on the distribution of fish communities. However, the abundance of copepod communities in laver farms is important for a continuous supplement to the diet of fishes in the marine environment, where food sources are likely to be depleted. Thus, the positive effects of laver farms on copepod communities can greatly contribute to the population growth of fishes and to the sustainability of copepod communities in the coastal marine environment. However, the artificial disturbances that frequently occur in laver farms are likely to lead to eutrophication and various types of water pollution in the coastal marine environment, so proper control and management of human activity are required.</t>
  </si>
  <si>
    <t>10.2112/S1102-008.1</t>
  </si>
  <si>
    <t>WOS:000600072400009</t>
  </si>
  <si>
    <t>Agricultural land-use change alters the structure and diversity of Amazon riparian forests</t>
  </si>
  <si>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</si>
  <si>
    <t>10.1016/j.biocon.2020.108862</t>
  </si>
  <si>
    <t>WOS:000600455000005</t>
  </si>
  <si>
    <t>Microbial communities in rare earth mining soil after in-situ leaching mining</t>
  </si>
  <si>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t>
  </si>
  <si>
    <t>10.1016/j.scitotenv.2020.142521</t>
  </si>
  <si>
    <t>WOS:000600537400046</t>
  </si>
  <si>
    <t>Thallium shifts the bacterial and fungal community structures in thallium mine waste rocks</t>
  </si>
  <si>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</si>
  <si>
    <t>10.1016/j.envpol.2020.115834</t>
  </si>
  <si>
    <t>WOS:000600553000112</t>
  </si>
  <si>
    <t>Effects of Ocean Acidification on Coral Endolithic Bacterial Communities in Isopora palifera and Porites lobata</t>
  </si>
  <si>
    <t>Endolithic microbes in coral reefs may act as a nutrient source for their coral hosts. Increasing atmospheric CO2 concentrations are causing ocean acidification (OA), which may affect marine organisms and ecosystems, especially calcifying organisms such as reef-building corals. However, knowledge of how OA affects marine microbes remains limited, and little research has been done on how coral endolithic communities respond to shifting environmental baselines. In this study, the endolithic communities of two common shallow water coral species, lsopora palifera and Porites lobata, were examined to investigate the microbial community dynamics under OA treatments. The colonies were placed in an environment with a partial pressure of carbon dioxide (pCO(2)) of 1,000 or 400 ppm (control) for 2 months. Several I. palifera colonies bleached and died at 1,000 ppm pCO(2), but the P. lobata colonies remained unaffected. Inversely, the endolithic community in P. lobata skeletons showed significant changes after OA treatment, whereas no significant dynamics were observed among the I. palifera endoliths. Our findings suggest that the skeletal structures of different coral species may play a key role in corals host and endoliths under future high-OA scenarios.</t>
  </si>
  <si>
    <t>10.3389/fmars.2020.603293</t>
  </si>
  <si>
    <t>WOS:000600718100001</t>
  </si>
  <si>
    <t>Effects of Fertilization Methods on Chemical Properties, Enzyme Activity, and Fungal Community Structure of Black Soil in Northeast China</t>
  </si>
  <si>
    <t>Understanding the influence of fertilizer on soil quality is vital to agricultural management, yet there are few studies, particularly in black soil. In this study, soils under various treatments, namely no fertilizer, bio-organic + humic acid, bio-organic + chemical, and chemical fertilizer, were sampled to identify their major physiochemical properties, and to investigate the fungal community structure using environmental sequencing techniques. Physiochemical properties and fungal community structure were examined at four important stages of the maize life cycle: seedling, jointing, heading period, and maturity. We found that chemical fertilizer in the mature stage increased the soil available phosphorous (AP) content. Organic matter content was greatly affected by bio-organic + chemical fertilizer during the mature stage. Bio-organic + humic acid significantly increased soil phosphatase activity in maturing maize, whilst chemical fertilizers reduced invertase activity. Taken together, our results clearly illustrated that bio-organic + humic and chemical fertilization indirectly alter fungal community structure via changing soil properties (especially AP). Chemical fertilizer markedly heightened the AP content, thereby decreasing specific fungal taxa, particularly Guehomyces. OM was of positive connection with bio-organic + humic acid and Mortierella abundance, respectively, through RDA analysis, which are in agreement with our result that bio-organic + humic acid fertilization to some extent increased Mortierella abundance. Additionally, bio-organic + humic acid decreased the abundance of Fusarium and Humicola, suggesting that bio-organic + humic acid possibly could help control crop disease. These results help to inform our fundamental understanding of the interactions between fertilizers, soil properties, and fungal communities.</t>
  </si>
  <si>
    <t>10.3390/d12120476</t>
  </si>
  <si>
    <t>WOS:000601940800001</t>
  </si>
  <si>
    <t>Consequences of Replacing Native Savannahs With Acacia Plantations for the Taxonomic, Functional, and Phylogenetic α- and β-Diversity of Bats in the Northern Brazilian Amazon</t>
  </si>
  <si>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</si>
  <si>
    <t>10.3389/fevo.2020.609214</t>
  </si>
  <si>
    <t>WOS:000602615400001</t>
  </si>
  <si>
    <t>Long-term effects of Cu(OH)2 nanopesticide exposure on soil microbial communities</t>
  </si>
  <si>
    <t>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t>
  </si>
  <si>
    <t>10.1016/j.envpol.2020.116113</t>
  </si>
  <si>
    <t>WOS:000604429000042</t>
  </si>
  <si>
    <t>Robustness, sensitivity and reproducibility of eDNA metabarcoding as an environmental biomonitoring tool in coastal salmon aquaculture - An inter-laboratory study</t>
  </si>
  <si>
    <t>Environmental DNA metabarcoding of benthic bacterial communities emerged as a very powerful technology to assess environmental disturbance effects of coastal salmon aquaculture. A prerequisite for the implementation of this approach into compliance monitoring regulations is its robustness and reproducibility of obtained results. In the framework of regular compliance monitoring of a Scottish salmon farm, we therefore collected sediment samples along a transect from the salmon cages to reference sites in duplicates (biological replicates). Aliquots of both biological replicate samples were then processed by two different laboratories using independently the same eDNA metabarcoding protocol (technical replicates). Measures of alpha diversity and beta diversity, as well as taxonomic profiles of benthic bacterial communities were highly congruent among technical replicates, which even showed less variations then the biological replicates that were processed within each laboratory. Both technical replicate datasets identified the same bacterial indicator taxon groups and ASVs that are characteristic for the environmental quality (EQ) categories to which each of the samples was assigned based on traditional macroinvertebrate biomonitoring of the same samples. In a supervised machine learning (SML) approach, we could classify all individual samples from one technical replicate dataset into the correct EQ category using all samples of the other technical replicate dataset as a training dataset for the SML algorithm. We conclude that eDNA metabarcoding is sufficiently robust that different laboratories come to the same conclusions regarding officially regulated action criteria for environmental impact assessments in salmon aquaculture.</t>
  </si>
  <si>
    <t>10.1016/j.ecolind.2020.107049</t>
  </si>
  <si>
    <t>WOS:000604863700001</t>
  </si>
  <si>
    <t>EFFECT OF PLANT PROTECTION ON ASSEMBLAGES OF GROUND BEETLES (COLEOPTERA, CARABIDAE) IN SUGAR BEET CROPS IN FOUR-YEAR ROTATION</t>
  </si>
  <si>
    <t>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t>
  </si>
  <si>
    <t>10.17109/AZH.66.Suppl.49.2020</t>
  </si>
  <si>
    <t>WOS:000605457300005</t>
  </si>
  <si>
    <t>The influence of Chinese tallow (Triadica sebifera) leaf litter on water quality and microbial community composition</t>
  </si>
  <si>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</si>
  <si>
    <t>10.1007/s10452-020-09828-z</t>
  </si>
  <si>
    <t>WOS:000605484800001</t>
  </si>
  <si>
    <t>Spartina alterniflora invasions reduce soil fungal diversity and simplify co-occurrence networks in a salt marsh ecosystem</t>
  </si>
  <si>
    <t>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t>
  </si>
  <si>
    <t>10.1016/j.scitotenv.2020.143667</t>
  </si>
  <si>
    <t>WOS:000605623800076</t>
  </si>
  <si>
    <t>Municipal wastewater as an ecological trap: Effects on fish communities across seasons</t>
  </si>
  <si>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</si>
  <si>
    <t>10.1016/j.scitotenv.2020.143430</t>
  </si>
  <si>
    <t>WOS:000605764100008</t>
  </si>
  <si>
    <t>Plant-pollinator networks in Australian urban bushland remnants are not structurally equivalent to those in residential gardens</t>
  </si>
  <si>
    <t>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t>
  </si>
  <si>
    <t>10.1007/s11252-020-01089-w</t>
  </si>
  <si>
    <t>WOS:000606268600001</t>
  </si>
  <si>
    <t>Ocean acidification locks algal communities in a species-poor early successional stage</t>
  </si>
  <si>
    <t>Long-term exposure to CO2-enriched waters can considerably alter marine biological community development, often resulting in simplified systems dominated by turf algae that possess reduced biodiversity and low ecological complexity. Current understanding of the underlying processes by which ocean acidification alters biological community development and stability remains limited, making the management of such shifts problematic. Here, we deployed recruitment tiles in reference (pH(T) 8.137 +/- 0.056 SD) and CO2-enriched conditions (pH(T) 7.788 +/- 0.105 SD) at a volcanic CO2 seep in Japan to assess the underlying processes and patterns of algal community development. We assessed (i) algal community succession in two different seasons (Cooler months: January-July, and warmer months: July-January), (ii) the effects of initial community composition on subsequent community succession (by reciprocally transplanting preestablished communities for a further 6 months), and (iii) the community production of resulting communities, to assess how their functioning was altered (following 12 months recruitment). Settlement tiles became dominated by turf algae under CO2-enrichment and had lower biomass, diversity and complexity, a pattern consistent across seasons. This locked the community in a species-poor early successional stage. In terms of community functioning, the elevated pCO(2) community had greater net community production, but this did not result in increased algal community cover, biomass, biodiversity or structural complexity. Taken together, this shows that both new and established communities become simplified by rising CO2 levels. Our transplant of preestablished communities from enriched CO2 to reference conditions demonstrated their high resilience, since they became indistinguishable from communities maintained entirely in reference conditions. This shows that meaningful reductions in pCO(2) can enable the recovery of algal communities. By understanding the ecological processes responsible for driving shifts in community composition, we can better assess how communities are likely to be altered by ocean acidification.</t>
  </si>
  <si>
    <t>10.1111/gcb.15455</t>
  </si>
  <si>
    <t>WOS:000606348400001</t>
  </si>
  <si>
    <t>Invasive Impatiens glandulifera: A driver of changes in native vegetation?</t>
  </si>
  <si>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</si>
  <si>
    <t>10.1002/ece3.7135</t>
  </si>
  <si>
    <t>WOS:000606980400001</t>
  </si>
  <si>
    <t>How the structure of a phytophilous chironomid assemblage responds to a lake level drawdown for submerged macrophyte control in a tropical reservoir</t>
  </si>
  <si>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</si>
  <si>
    <t>10.23818/limn.39.36</t>
  </si>
  <si>
    <t>WOS:000607495400004</t>
  </si>
  <si>
    <t>The composition of antibiotic resistance genes is not affected by grazing but is determined by microorganisms in grassland soils</t>
  </si>
  <si>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</si>
  <si>
    <t>10.1016/j.scitotenv.2020.143205</t>
  </si>
  <si>
    <t>WOS:000607780900021</t>
  </si>
  <si>
    <t>Macrozoobenthic community responses to sedimentary contaminations by anthropogenic toxic substances in the Geum River Estuary, South Korea</t>
  </si>
  <si>
    <t>We investigated the sedimentary pollution by persistent toxic substances (PTSs) and their potential impacts on the macrobenthic faunal community in the Geum River Estuary, South Korea. Sediment and benthic macrofauna samples were collected from eight sites every two months during the period of February to December in 2015. Target PTSs encompassed metals (Cd, Cr, Cu, Hg, Ni, Pb, and Zn), one metalloid (As), polycyclic aromatic hydrocarbons (PAHs), and alkylphenols (APs). The significant difference to the environment of the inner and outer parts of the estuary (p &lt; 0.05) was found with relatively high concentrations of PTSs in sediment from the inner estuary. The concentrations of Cu and Zn exceeded the sediment quality guidelines of Korea representing a potential risk to aquatic organisms. The primary source of PAHs was by-products of diesel and gasoline combustion (37%), followed by a coke oven (32%) and oil-burning (31%). The macrofaunal community was spatially distinguished between the inner and outer parts of the estuary (p &lt; 0.05), regardless of the season. In the inner part of the estuary, the density of the macrofaunal community was high, clue to the increased opportunistic species and/or some indicator species (organic polluted or enrichment), implying that the given environment was disturbed. Among the environmental parameters analyzed by the distance-based linear model (DistLM), salinity, chlorophyll-a, and nutrient concentrations were found to be key factors controlling the changes in macrofaunal community structure. Such changes in the closed estuary system would indicate that each taxonomic group had to adjust to lower salinities and alternative food sources. Overall, the distribution of PTSs and macrozoobenthic communities in the Geum River Estuary collectively reflected the environmental gradients caused by surrounding activities in the inner part of the estuary together with direct effects by the irregular inflow of freshwater. (C) 2020 Elsevier B.V. All rights reserved.</t>
  </si>
  <si>
    <t>10.1016/j.scitotenv.2020.142938</t>
  </si>
  <si>
    <t>WOS:000608188700007</t>
  </si>
  <si>
    <t>The microbial community, its biochemical potential, and the antimicrobial resistance of Enterococcus spp. in Arctic lakes under natural and anthropogenic impact (West Spitsbergen)</t>
  </si>
  <si>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</si>
  <si>
    <t>10.1016/j.scitotenv.2020.142998</t>
  </si>
  <si>
    <t>WOS:000608188700060</t>
  </si>
  <si>
    <t>Integrative assessment of ecological responses and chemical contamination of urban wastewater outfalls on soft bottom sediments of an estuarine system</t>
  </si>
  <si>
    <t>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t>
  </si>
  <si>
    <t>10.1016/j.marenvres.2020.105234</t>
  </si>
  <si>
    <t>WOS:000608272700002</t>
  </si>
  <si>
    <t>Sea-ice microbial communities in the Central Arctic Ocean: Limited responses to short-term pCO2 perturbations</t>
  </si>
  <si>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</si>
  <si>
    <t>10.1002/lno.11690</t>
  </si>
  <si>
    <t>WOS:000608979000001</t>
  </si>
  <si>
    <t>O'ahu's marine protected areas have limited success in protecting coral reef herbivores</t>
  </si>
  <si>
    <t>Herbivorous fishes and urchins can contribute to reef resilience by removing algae that are competitive with corals, yet herbivorous fishes are frequently targeted by fishers. The deleterious effects of fishing on coral reef herbivore populations are thought to be decreased through the establishment of no-take marine protected areas (MPAs). We conducted surveys to compare the biomass, diversity, and size structure of herbivorous reef fish within three functional guilds (i.e., grazers, scrapers, and browsers) and herbivorous urchin populations inside and outside of four of O'ahu's current MPAs to determine if they were effectively protecting herbivorous fishes and assess any resulting effects on sea urchin competitors. We also characterized the benthos, including the identification of common taxa in algal turfs, to evaluate interactions between herbivory and benthic communities. Urchins and grazing fishes accounted for the majority of herbivore biomass across regions of O'ahu, and the dominance of urchins suggests that they significantly contribute to herbivory. Coral cover was a significant predictor of urchin biomass, but urchins did not have a significant relationship with herbivorous fish biomass or MPA protection. MPA protection and depth had positive effects on herbivorous fish biomass when examined in aggregate. However, these results were largely influenced by a large MPA protection effect in the Hanauma Bay MPA, compared to weaker MPA effects in Kane'ohe Bay, Waikiki, and Pupukea. Hanauma Bay had stark differences in the condition of reef habitats between the MPA and fished areas which may also confound the interpretation of a strongly significant protection effect. Depth and habitat complexity were significant predictors of both grazer biomass and aggregate herbivore community composition, suggesting that these bottom-up factors may have a greater impact on herbivorous fish biomass than protection. Turf communities were speciose and displayed similar trends to herbivore communities across regions, but within-region trends in the Hanauma Bay region suggest that turf species composition is not only dictated by top-down factors. Within-guild fish diversity was low across site and region, suggesting herbivory was dominated by a single or few species. The small size structure and densities of herbivorous fishes in MPAs across all regions limits their population-level functional and reproductive contributions. While MPAs serve as a popular fisheries management tool for coral reef environments, the limited benefits of MPAs for herbivorous fish and urchin populations around O'ahu suggest a general need for improved fisheries management and enforcement, especially prior to the consideration of an expansion of the existing MPA network.</t>
  </si>
  <si>
    <t>10.1007/s00338-021-02054-5</t>
  </si>
  <si>
    <t>WOS:000609348800001</t>
  </si>
  <si>
    <t>Exploring the allochthonous pollution influence on bacterial community and co-occurrence dynamics of River Ganga water through 16S rRNA-tagged amplicon metagenome</t>
  </si>
  <si>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</si>
  <si>
    <t>10.1007/s11356-021-12342-w</t>
  </si>
  <si>
    <t>WOS:000611956800010</t>
  </si>
  <si>
    <t>Soil Mesofauna Community Changes in Response to the Environmental Gradients of Urbanization in Guangzhou City</t>
  </si>
  <si>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</si>
  <si>
    <t>10.3389/fevo.2020.546433</t>
  </si>
  <si>
    <t>WOS:000612325400001</t>
  </si>
  <si>
    <t>Higher fire frequency impaired woody species regeneration in a south-eastern Amazonian forest</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</si>
  <si>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</si>
  <si>
    <t>10.1017/S0266467420000176</t>
  </si>
  <si>
    <t>WOS:000612348400006</t>
  </si>
  <si>
    <t>Similar topologies of individual-based plant-herbivorous networks in forest interior and anthropogenic edges</t>
  </si>
  <si>
    <t>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t>
  </si>
  <si>
    <t>10.1111/aec.13001</t>
  </si>
  <si>
    <t>WOS:000612539900001</t>
  </si>
  <si>
    <t>Response of Soil Properties and Microbial Communities to Increasing Salinization in the Meadow Grassland of Northeast China</t>
  </si>
  <si>
    <t>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t>
  </si>
  <si>
    <t>10.1007/s00248-021-01695-x</t>
  </si>
  <si>
    <t>WOS:000612617900001</t>
  </si>
  <si>
    <t>Responses of soil ammonia-oxidizing bacteria and archaea to short-term warming and nitrogen input in a semi-arid grassland on the Loess Plateau</t>
  </si>
  <si>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</si>
  <si>
    <t>10.1016/j.ejsobi.2020.103267</t>
  </si>
  <si>
    <t>WOS:000612696400001</t>
  </si>
  <si>
    <t>Impacts of Invasive Australian Acacias on Soil Bacterial Community Composition, Microbial Enzymatic Activities, and Nutrient Availability in Fynbos Soils</t>
  </si>
  <si>
    <t>Invasive plants often impact soil conditions, notably through changes in soil chemistry and microbial community composition, potentially leading to altered soil functionality. We determine the impacts of invasive nitrogen-fixing Australian Acacia trees on soil chemistry and function (carbon, nitrogen, and phosphorus cycling) in South Africa's Core Cape Subregion, and whether any differences in soil function are linked to differences in soil chemical properties and bacterial community composition between neighbouring acacia-invaded and uninvaded sites. We do so by using Illumina MiSeq sequencing data together with soil chemistry and soil enzyme activity profiles. Acacias significantly increased levels of soil nitrogen (NO3-, NH4+, and total N), C, and pH. Although we did not find evidence that acacias affected soil bacterial community diversity, we did find them to alter bacterial community composition. Acacias also significantly elevated microbial phosphatase activity, but not beta-glucosidase, whilst having contrasting effects on urease. Changes in soil chemical properties under acacia invasion were found to correlate with changes in enzyme activities for urease and phosphatase. Similarly, changes in soil bacterial community composition were correlated to changes in phosphatase enzymatic activity levels under acacia invasion. Whilst we found evidence for acacias altering soil function by changing soil chemical properties and bacterial community composition, these impacts appear to be specific to local site conditions.</t>
  </si>
  <si>
    <t>10.1007/s00248-021-01683-1</t>
  </si>
  <si>
    <t>WOS:000612908100001</t>
  </si>
  <si>
    <t>Beta-diversity and stressor specific index reveal patterns of macroinvertebrate community response to sediment flushing</t>
  </si>
  <si>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</si>
  <si>
    <t>10.1016/j.ecolind.2020.107256</t>
  </si>
  <si>
    <t>WOS:000613220400005</t>
  </si>
  <si>
    <t>Are neotropical cave-bats good landscape integrity indicators? Some clues when exploring the cross-scale interactions between underground and above-ground ecosystems</t>
  </si>
  <si>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</si>
  <si>
    <t>10.1016/j.ecolind.2020.107258</t>
  </si>
  <si>
    <t>WOS:000613232500004</t>
  </si>
  <si>
    <t>Macrofauna community patterns in a Chiloe Island channel used intensely for aquaculture: the ecological status of its benthic environment</t>
  </si>
  <si>
    <t>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t>
  </si>
  <si>
    <t>10.1186/s40693-021-00098-z</t>
  </si>
  <si>
    <t>WOS:000613240600001</t>
  </si>
  <si>
    <t>Extreme Levels of Ocean Acidification Restructure the Plankton Community and Biogeochemistry of a Temperate Coastal Ecosystem: A Mesocosm Study</t>
  </si>
  <si>
    <t>The oceans' uptake of anthropogenic carbon dioxide (CO2) decreases seawater pH and alters the inorganic carbon speciation - summarized in the term ocean acidification (OA). Already today, coastal regions experience episodic pH events during which surface layer pH drops below values projected for the surface ocean at the end of the century. Future OA is expected to further enhance the intensity of these coastal extreme pH events. To evaluate the influence of such episodic OA events in coastal regions, we deployed eight pelagic mesocosms for 53 days in Raunefjord, Norway, and enclosed 56-61 m(3) of local seawater containing a natural plankton community under nutrient limited post-bloom conditions. Four mesocosms were enriched with CO2 to simulate extreme pCO2 levels of 1978 - 2069 mu atm while the other four served as untreated controls. Here, we present results from multivariate analyses on OA-induced changes in the phyto-, micro-, and mesozooplankton community structure. Pronounced differences in the plankton community emerged early in the experiment, and were amplified by enhanced top-down control throughout the study period. The plankton groups responding most profoundly to high CO2 conditions were cyanobacteria (negative), chlorophyceae (negative), autoand heterotrophic microzooplankton (negative), and a variety of mesozooplanktonic taxa, including copepoda (mixed), appendicularia (positive), hydrozoa (positive), fish larvae (positive), and gastropoda (negative). The restructuring of the community coincided with significant changes in the concentration and elemental stoichiometry of particulate organic matter. Results imply that extreme CO2 events can lead to a substantial reorganization of the planktonic food web, affecting multiple trophic levels from phytoplankton to primary and secondary consumers.</t>
  </si>
  <si>
    <t>10.3389/fmars.2020.611157</t>
  </si>
  <si>
    <t>WOS:000613331600001</t>
  </si>
  <si>
    <t>Riparian forests can mitigate warming and ecological degradation of agricultural headwater streams</t>
  </si>
  <si>
    <t>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benthic macroinvertebrate and fish communities in 11 paired forested and open agricultural headwater stream reaches that differed in their extent of riparian forest cover but had similar water quality. Hydromorphological habitat quality was higher in forested reaches than in open reaches. Riparian forest had a strong effect on the summer water temperature regime, with maximum and mean water temperatures and temperature variation in forested reaches substantially lower than in open reaches. Macrophyte communities differed between forested and open reaches. The mean abundance of bryophytes was higher in forested reaches but the difference to open reaches was only marginally significant, whereas graminoids were significantly more abundant in open reaches. Within-stream dissimilarity of benthic macroinvertebrate community structure was significantly related to the difference in riparian land use between reach pairs. The relative DNA sequence abundance of pollution-sensitive Ephemeroptera, Plecoptera, and Trichoptera species tended to be higher in forested reaches than in open reaches. Finally, fish densities were not significantly different between forested and open reaches, although densities were higher in forested reaches. This unequivocal evidence for the ecological benefits of forested riparian reaches in agricultural headwater streams suggests that riparian forest can partly mitigate the adverse impacts of agricultural diffuse pollution on biota. The strong effect of forests on stream water temperature suggest that riparian forest could also mitigate harmful effects on headwater stream biodiversity and ecosystem functions of the predicted more frequent high summer temperatures.</t>
  </si>
  <si>
    <t>10.1111/fwb.13678</t>
  </si>
  <si>
    <t>WOS:000614875100001</t>
  </si>
  <si>
    <t>Testosterone amendment alters metabolite profiles of the soil microbial community</t>
  </si>
  <si>
    <t>Steroid hormones are prevalent in the environment and have become emerging pollutants, but little is known about their effects on soil microbial community composition and function. In the present study, three representative soils in China were amended with environmentally relevant concentrations of testosterone and responses of soil bacterial community composition and soil function were assessed using high-throughput sequencing and nontargeted metabolomics. Our results showed that testosterone exposure significantly shifted bacterial community structure and metabolic profiles in soils at Ningbo (NB) and Kunming (KM), which may reflect high bioavailability of the hormone. Abundances of several bacterial taxa associated with nutrient cycling were reduced by testosterone and metabolites related to amino acid metabolism were downregulated. A close connection between bacterial taxa and specific metabolites was observed and confirmed by Procrustes tests and a co-occurrence network. These results provide an insight into the effects of steroid hormones on soil microbial community and highlight that nontargeted metabolomics is an effective tool for investigating the impacts of pollutants. (C) 2020 Elsevier Ltd. All rights reserved.</t>
  </si>
  <si>
    <t>10.1016/j.envpol.2020.115928</t>
  </si>
  <si>
    <t>WOS:000615555000017</t>
  </si>
  <si>
    <t>Zebrafish and water microbiome recovery after oxytetracycline exposure</t>
  </si>
  <si>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</si>
  <si>
    <t>10.1016/j.envpol.2020.116371</t>
  </si>
  <si>
    <t>WOS:000615555000098</t>
  </si>
  <si>
    <t>Assessing habitat quality on alpha and beta diversity of Odonata larvae (Insect) in logging areas in Amazon forest</t>
  </si>
  <si>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</si>
  <si>
    <t>10.1007/s10750-021-04524-x</t>
  </si>
  <si>
    <t>WOS:000615752300001</t>
  </si>
  <si>
    <t>Forest-pasture shifting alters the assemblages of seed-removing ants in southwestern Brazilian Amazon</t>
  </si>
  <si>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</si>
  <si>
    <t>10.1007/s10841-021-00295-x</t>
  </si>
  <si>
    <t>WOS:000616455300001</t>
  </si>
  <si>
    <t>Effects of urbanization on the fauna of Odonata on the coast of southern Brazil</t>
  </si>
  <si>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</si>
  <si>
    <t>10.1590/1676-0611-BN-2020-1122</t>
  </si>
  <si>
    <t>WOS:000616618000001</t>
  </si>
  <si>
    <t>Characterizing Community Structure of Benthic Infauna From the Continental Slope of the Southern California Bight</t>
  </si>
  <si>
    <t>Infauna are an ecologically important component of marine benthic ecosystems and are the most common faunal assemblage used to assess habitat quality. Compared to the shallower waters of the continental shelf, less is known about the benthic fauna from the continental slope, especially how the communities are structured by natural gradients and anthropogenic stressors. The present study was conceived to rectify these data gaps and characterize the natural, baseline structure of the benthic infauna of the upper continental slope (200-100 m) of the Southern California Bight. We aggregated benthic infauna, sediment composition, and sediment chemistry data from different surveys across the Southern California Bight region (750 samples from 347 sites) collected between 1972 and 2016. We defined 208 samples to be in reference condition based upon sediment chemistry and proximity to known anthropogenic disturbances. Cluster analysis of the reference samples was used to identify distinct assemblages and the abiotic characteristics associated with each cluster were then used to define habitat characteristics for each assemblage. Three habitats were identified, delineated by geography, depth, and sediment composition. Across the habitats, there were detectable changes in community composition of the non-disturbed fauna through time. However, the uniqueness of the habitats was persistent, as the fauna from each habitat remained taxonomically distinct from irrespective of the decade of their collection. Within each habitat, subtle, assemblage-scale responses to disturbance could be detected, but no consistent patterns could be identified among the component taxa. As with the non-disturbed samples, there were compositional changes in the fauna of the disturbed samples through time. Despite the changes, fauna from disturbed and non-disturbed samples remained taxonomically distinct from each other within each decade of the dataset. After considering both the spatial and temporal patterns in the fauna of slope ecosystem, it became apparent that there was a high degree of stochasticity in the taxonomic organization of all three habitats. This would suggest that the benthic fauna from these communities may be neutrally organized, which in turn poses interesting challenges for future development of condition assessment tools based upon the benthic fauna in these habitats.</t>
  </si>
  <si>
    <t>10.3389/fmars.2021.605858</t>
  </si>
  <si>
    <t>WOS:000616937400001</t>
  </si>
  <si>
    <t>Transgenerational Effects on the Coral Pocillopora damicornis Microbiome Under Ocean Acidification</t>
  </si>
  <si>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</si>
  <si>
    <t>10.1007/s00248-021-01690-2</t>
  </si>
  <si>
    <t>WOS:000617392900002</t>
  </si>
  <si>
    <t>Microbial community structure in the river sediments from upstream of Guanting Reservoir: Potential impacts of reclaimed water recharge</t>
  </si>
  <si>
    <t>This work systematically investigated the microbial community structure in the river sediments from upstream of Guanting Reservoir, Beijing. China. A total of 6 wastewater treatment plants (WWTPs) locate along the main rivers connected to the reservoir. Water and sediment samples were collected at sites near the effluents of WWTPs (regarded as W groups) or at the upstream/downstream rivers (R groups) to reveal the roles of the reclaimed water recharge. Multivariate techniques including typical statistical analysis, redundancy analysis (RDA), nonmetric multidimensional scaling analysis, and molecular ecological network analysis were used to evaluate the results and their relationships. The representative C/N/P water parameters and concentrations of target organic contaminants kept stable for W and R sites, while the microbial community parameters varied greatly for two groups. The microbial population at W sites were higher but with a lower biological diversity (with a lower Shannon index) than that at R sites, indicating WWTPs greatly altered the microbial community structure at the local reach. RDA results revealed that total organic carbon (TOC) and organophosphorus pesticides (OPPs) were two dominant factors affecting the function and composition of microbial communities at the phylum level. The network analysis revealed that the microbes with the most interactions mainly from R sites and they had closer relationships with each other. (C) 2020 Elsevier B.V. All rights reserved.</t>
  </si>
  <si>
    <t>10.1016/j.scitotenv.2020.142609</t>
  </si>
  <si>
    <t>WOS:000617676800035</t>
  </si>
  <si>
    <t>Ground-dwelling ant diversity in Amazonian secondary forests and neighboring pastures</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</si>
  <si>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</si>
  <si>
    <t>10.1007/s42965-021-00146-5</t>
  </si>
  <si>
    <t>WOS:000617844500001</t>
  </si>
  <si>
    <t>Are tree plantations promoting homogenization of mammal assemblages between regions with contrasting environments?</t>
  </si>
  <si>
    <t>Aim The expansion of agriculture is promoting the loss of natural environments and their biotic homogenization. We aimed at understanding whether the replacement of forests and grasslands by tree plantations leads to biotic homogenization of mammal assemblages of two contrasting Neotropical ecoregions or if dispersal or environmental limitations keep their original assemblages clearly differentiated. Location Argentina, Upper Parana Atlantic Forest, Southern Cone Mesopotamian Savannas and Ibera marshes. Taxon Mammals. Methods We conducted two camera-trap surveys, deploying 184 camera-trap stations in continuous forest, fragmented forest and pine plantations in the Atlantic Forest, and 234 in grassland, fragmented forest and pine plantations in the Mesopotamian Savannas. We evaluated the similarity of the assemblages among the environments and regions, generating all possible pairwise comparisons using three similarity indices: Sorensen (species identity), Horn (common species) and Morisita-Horn (dominant species). Using variation partitioning diagrams and redundancy analysis, we evaluated the spatial structure of mammal assemblages and the influence of environmental variables. Results There was a greater similarity in species identity between different environments within each region than between similar environments in different regions. Common and dominant mammal assemblages of tree plantations tended to be similar between regions and were different from assemblages of the natural environments within the same region. Fragmented forest assemblages were very similar among regions. Assemblages were spatially structured but most of the variation between regions was explained by the environmental variables. Main conclusions Each region has a distinct pool of species, which is partially explained by environmental factors, such as the differential representation of native environments in the landscape. However, an expansion of tree plantations and forest fragmentation in the Atlantic Forest could lead to biotic homogenization between regions due to an increase in the abundance of generalist species.</t>
  </si>
  <si>
    <t>10.1111/jbi.14056</t>
  </si>
  <si>
    <t>WOS:000617885000001</t>
  </si>
  <si>
    <t>Urban orchards provide a suitable habitat for epiphytic bryophytes</t>
  </si>
  <si>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</si>
  <si>
    <t>10.1016/j.foreco.2020.118767</t>
  </si>
  <si>
    <t>WOS:000617944100014</t>
  </si>
  <si>
    <t>Mega-dams and extreme rainfall: Disentangling the drivers of extensive impacts of a large flooding event on Amazon Forests</t>
  </si>
  <si>
    <t>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t>
  </si>
  <si>
    <t>10.1371/journal.pone.0245991</t>
  </si>
  <si>
    <t>WOS:000619155900001</t>
  </si>
  <si>
    <t>Plant diversity drives responses of gall-inducing insects to anthropization in Neotropical savannas</t>
  </si>
  <si>
    <t>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t>
  </si>
  <si>
    <t>10.1007/s42965-021-00148-3</t>
  </si>
  <si>
    <t>WOS:000619912500001</t>
  </si>
  <si>
    <t>Protecting the unseen majority: Land cover and environmental factors linked with soil bacterial communities and functions in New Zealand</t>
  </si>
  <si>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</si>
  <si>
    <t>10.20417/nzjecol.45.6</t>
  </si>
  <si>
    <t>WOS:000620350200005</t>
  </si>
  <si>
    <t>Does non-native black locust afforestation affect soil biodiversity at the regional scale? Case study of soil macroinvertebrates across the Chinese Loess Plateau</t>
  </si>
  <si>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</si>
  <si>
    <t>10.1016/j.catena.2021.105171</t>
  </si>
  <si>
    <t>WOS:000620777400033</t>
  </si>
  <si>
    <t>Functional shifts of soil microbial communities associated with Alliaria petiolata invasion</t>
  </si>
  <si>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</si>
  <si>
    <t>10.1016/j.pedobi.2020.150700</t>
  </si>
  <si>
    <t>WOS:000621352900002</t>
  </si>
  <si>
    <t>Composition and interaction frequencies in soil bacterial communities change in association with urban park age in Beijing</t>
  </si>
  <si>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</si>
  <si>
    <t>10.1016/j.pedobi.2020.150699</t>
  </si>
  <si>
    <t>WOS:000621352900004</t>
  </si>
  <si>
    <t>Impact of cigarette butts on bacterial community structure in soil</t>
  </si>
  <si>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</si>
  <si>
    <t>10.1007/s11356-021-13152-w</t>
  </si>
  <si>
    <t>WOS:000622284400015</t>
  </si>
  <si>
    <t>Eleven-year mulching and tillage practices alter the soil quality and bacterial community composition in Northeast China</t>
  </si>
  <si>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</si>
  <si>
    <t>10.1080/03650340.2021.1890719</t>
  </si>
  <si>
    <t>WOS:000623075100001</t>
  </si>
  <si>
    <t>Richness and abundance of stream fish communities in a fragmented neotropical landscape</t>
  </si>
  <si>
    <t>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t>
  </si>
  <si>
    <t>10.1007/s10641-021-01066-y</t>
  </si>
  <si>
    <t>WOS:000623693900001</t>
  </si>
  <si>
    <t>Changes in Rocky Intertidal Community Structure During a Marine Heatwave in the Northern Gulf of Alaska</t>
  </si>
  <si>
    <t>Marine heatwaves are global phenomena that can have major impacts on the structure and function of coastal ecosystems. By mid-2014, the Pacific Marine Heatwave (PMH) was evident in intertidal waters of the northern Gulf of Alaska and persisted for multiple years. While offshore marine ecosystems are known to respond to these warmer waters, the response of rocky intertidal ecosystems to this warming is unclear. Intertidal communities link terrestrial and marine ecosystems and their resources are important to marine and terrestrial predators and to human communities for food and recreation, while simultaneously supporting a growing coastal tourism industry. Given that current climate change projections suggest increased frequency and duration of marine heatwaves, monitoring and understanding the impacts of heatwaves on intertidal habitats is important. As part of the Gulf Watch Alaska Long-Term Monitoring program, we examined rocky intertidal community structure at 21 sites across four regions spanning 1,200 km of coastline: Western Prince William Sound, Kenai Fjords National Park, Kachemak Bay, and Katmai National Park and Preserve. Sites were monitored annually from 2012 to 2019 at mid and low tidal strata. Before-PMH (2012-2014), community structure differed among regions. We found macroalgal foundation species declined during this period mirroring patterns observed elsewhere for subtidal habitat formers during heatwave events. The region-wide shift from an autotroph-macroalgal dominated rocky intertidal to a heterotroph-filter-feeder dominated state concurrent with the changing environmental conditions associated with a marine heatwave event suggests the PMH had Gulf-wide impacts to the structure of rocky intertidal communities. During/after-PMH (2015-2019), similarities in community structure increased across regions, leading to a greater homogenization of these communities, due to declines in macroalgal cover, driven mostly by a decline in the rockweed, Fucus distichus, and other fleshy red algae in 2015, followed by an increase in barnacle cover in 2016, and an increase in mussel cover in 2017. Strong, large-scale oceanographic events, like the PMH, may override local drivers to similarly influence patterns of intertidal community structure.</t>
  </si>
  <si>
    <t>10.3389/fmars.2021.556820</t>
  </si>
  <si>
    <t>WOS:000624478200001</t>
  </si>
  <si>
    <t>A case study of rangeland vegetation changes from 1979 to 2016 in the Middle Atlas Mountains of Morocco</t>
  </si>
  <si>
    <t>This case study assessed changes in vegetation composition of a 0.8 ha rangeland site over the past four decades, in relation to changes in temperature and to an increase in grazing pressure. The frequency and standing crop (biomass) of species and functional groups were sampled in the spring of 1979 and 2016. Mean annual temperature increased, whereas changes in frequency varied between species and functional groups. Species that decreased included perennial plants, whereas species that increased were comprised mostly of annuals and unpalatable herbaceous plants. An NMDS ordination showed significant differences in species composition between 1979 and 2016. Total biomass, as well as the biomass of annual and perennial grasses and forbs did not differ between 1979 and 2016. Shrub biomass, however, decreased by 60% between years. Biomass of the 'graminoids' (e.g. Carex divisa), on the other hand, increased fourfold between 1979 and 2016. Species richness and the Shannon-Weaver diversity index H ' declined in 2016. This, together with a decline in the frequency of palatable species and a shift in species composition, could signal a decline in resilience over the long term. Changes in vegetation were most likely driven by a combination of higher temperatures and increased grazing pressure.</t>
  </si>
  <si>
    <t>10.2989/10220119.2020.1855474</t>
  </si>
  <si>
    <t>WOS:000624936400013</t>
  </si>
  <si>
    <t>Comparison of greenhouse gas fluxes from tropical forests and oil palm plantations on mineral soil</t>
  </si>
  <si>
    <t>In Southeast Asia, oil palm (OP) plantations have largely replaced tropical forests. The impact of this shift in land use on greenhouse gas (GHG) fluxes remains highly uncertain, mainly due to a relatively small pool of available data. The aim of this study is to quantify differences of nitrous oxide (N2O) and methane (CH4) fluxes as well as soil carbon dioxide (CO2) respiration rates from logged forests, oil palm plantations of different ages, and an adjacent small riparian area. Nitrous oxide fluxes are the focus of this study, as these emissions are expected to increase significantly due to the nitrogen (N) fertilizer application in the plantations. This study was conducted in the SAFE (Stability of Altered Forest Ecosystems) landscape in Malaysian Borneo (Sabah) with measurements every 2 months over a 2-year period. GHG fluxes were measured by static chambers together with key soil physicochemical parameters and microbial biodiversity. At all sites, N2O fluxes were spatially and temporally highly variable. On average the largest fluxes (incl. 95 % CI) were measured from OP plantations (45.1 (24.0-78.5)mu g m(-2) h(-1) N2O-N), slightly smaller fluxes from the riparian area (29.4 (2.8-84.7) mu g m(-2)h(-1) N2O-N), and the smallest fluxes from logged forests (16.0 (4.0-36.3) pg m(-2) h(-1) N2O-N). Methane fluxes were generally small (mean +/- SD): -2.6 +/- 17.2 mu g CH4-C m(-2)h(-1) for OP and 1.3 +/- 12.6 mu g CH4-C m(-2)h(-1) for riparian, with the range of measured CH4 fluxes being largest in logged forests (2.2 +/- 48.3 lug CH4-C m(-2) h(-1)). Soil respiration rates were larger from riparian areas (157.7 +/- 106 mg m(-2)h(-1) CO2-C) and logged forests (137.4 +/- 95 mg m(-2) h(-1) CO2-C) than OP plantations (93.3 +/- 70 mg m(-2) h(-1) CO2-C) as a result of larger amounts of decomposing leaf litter. Microbial communities were distinctly different between the different landuse types and sites. Bacterial communities were linked to soil pH, and fungal and eukaryotic communities were linked to land use. Despite measuring a large number of environmental parameters, mixed models could only explain up to 17 % of the variance of measured fluxes for N2O, 3 % of CH4, and 25 % of soil respiration. Scaling up measured N2O fluxes to Sabah using land areas for forest and OP resulted in emissions increasing from 7.6 Mt (95 % confidence interval, -3.0-22.3 Mt) yr(-1) in 1973 to 11.4 Mt (0.2-28.6 Mt) yr(-1) in 2015 due to the increasing area of forest converted to OP plantations over the last similar to 40 years.</t>
  </si>
  <si>
    <t>10.5194/bg-18-1559-2021</t>
  </si>
  <si>
    <t>WOS:000626345300002</t>
  </si>
  <si>
    <t>Effects of atrazine short-term exposure on jumping ability and intestinal microbiota diversity in male Pelophylax nigromaculatus adults</t>
  </si>
  <si>
    <t>Atrazine, a common chemical pesticide, has toxicity to adult and juvenile amphibians in natural ecosystems; however, it is more common to study its effects on larvae instead of adults. This study assessed the impacts of atrazine in water through short-term exposure (7 days) on male black spotted frog (Pelophylax nigromaculatus) adults fed every day. The jumping ability, including jumping height, distance, time, and speed, was measured by 3D motion analysis software, and the intestinal content microbiota was determined by 16S rRNA amplicon sequencing with QIIME software. The results showed that male P. nigromaculatus exposure to 200 and 500 mu g/L atrazine significantly increased jumping distance and jumping time compared to control groups. Conversely, 500 mu g/L atrazine treatments significantly decreased the diversity and changed the composition and structure of intestinal content microflora in male P. nigromaculatus compared to control groups. At the phylum level, Chlamydiae was only detected in the control group, and Actinobacteria, Bacteroidetes, Firmicutes, Fusobacteria, and Proteobacteria were the dominant microflora in the atrazine treatment groups. At the genus level, the abundance of Lactobacillus and Weissella significantly increased in atrazine treatment groups compared to control groups. This study can provide a new framework based on movement behavior and intestinal microbiota to evaluate the response of amphibians to short-term exposure to environmental pollution.</t>
  </si>
  <si>
    <t>10.1007/s11356-021-13234-9</t>
  </si>
  <si>
    <t>WOS:000626391600011</t>
  </si>
  <si>
    <t>Copper and chromium exposure affect chironomid larval microbiota composition</t>
  </si>
  <si>
    <t>Chironomids are aquatic insects that are known to be pollution tolerant. We have recently demonstrated that endogenous chironomid microbiota protects its host from toxic metals. Following these findings, we hypothesized that under different environmental conditions, a different bacterial consortium will evolve. Our aim was to explore the change in chironomid larval microbiota composition triggered by exposure to toxic copper and hexavalent chromium. Chironomid larvae were collected from the environment and treated in the laboratory with copper, hexavalent chromium, and no metal (control). After six days, the microbial composition of the surviving larvae was examined. We found a significant change in larval microbiota composition between the three treatments and for different copper concentrations. The abundance of specific taxa varied significantly between the treatments. At the genus level, the abundance of some genera (e.g. Yersinia, Acinetobacter) increased in the presence of copper, and some genera (e.g. Yersinia, Dysgonomonas, Delftia, Enterococcus) increased in the presence of hexavalent chromium, compared to the control. The change in the larval microbiota composition was rapid and metal-specific. We suggest that each larva hosts a consortium of bacterial species that can proliferate under a specific environmental change and thus, protect the insect under unstable environmental conditions. (C) 2021 Elsevier B.V. All rights reserved.</t>
  </si>
  <si>
    <t>10.1016/j.scitotenv.2021.145330</t>
  </si>
  <si>
    <t>WOS:000627895900092</t>
  </si>
  <si>
    <t>Using meiobenthic taxa, nematofauna biological traits, and bacterial abundance to assess the effects of the polybrominated diphenyl ethers compound: Case study of tetrabromo diphenyl ether BDE-47</t>
  </si>
  <si>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</si>
  <si>
    <t>10.1016/j.scitotenv.2021.145251</t>
  </si>
  <si>
    <t>WOS:000627896100079</t>
  </si>
  <si>
    <t>Size-dependent adverse effects of microplastics on intestinal microbiota and metabolic homeostasis in the marine medaka (Oryzias melastigma)</t>
  </si>
  <si>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</si>
  <si>
    <t>10.1016/j.envint.2021.106452</t>
  </si>
  <si>
    <t>WOS:000630905700001</t>
  </si>
  <si>
    <t>Monoculture and mixture-planting of non-native Douglas fir alters species composition, but promotes the diversity of ground beetles in a temperate forest system</t>
  </si>
  <si>
    <t>Planting non-native tree species, like Douglas fir in temperate European forest systems, is encouraged to mitigate effects of climate change. However, Douglas fir monocultures often revealed negative effects on forest biota, while effects of mixtures with native tree species on forest ecosystems are less well understood. We investigated effects of three tree species (Douglas fir, Norway spruce, native European beech), on ground beetles in temperate forests of Germany. Beetles were sampled in monocultures of each tree species and broadleaf-conifer mixtures with pitfall traps, and environmental variables were assessed around each trap. We used linear mixed models in a two-step procedure to disentangle effects of environment and tree species identity on ground beetle abundance, species richness, functional diversity and species assemblage structure. Contradictory to our expectations, ground beetle abundance and functional diversity was highest in pure Douglas fir stands, while tree mixtures showed intermediate values between pure coniferous and pure beech stands. The main drivers of these patterns were only partially dependent on tree species identity, which highlights the importance of structural features in forest stands. However, our study revealed distinct shifts in assemblage structure between pure beech and pure Douglas fir stands, which were only partially eased through mixture planting. Our findings suggest that effects of planting non-native trees on associated biodiversity can be actively modified by promoting beneficial forest structures. Nevertheless, integrating non-native tree species, even in mixtures with native trees, will invariably alter assemblage structures of associated biota, which can compromise conservation efforts targeted at typical species composition.</t>
  </si>
  <si>
    <t>10.1007/s10531-021-02155-1</t>
  </si>
  <si>
    <t>WOS:000631730500001</t>
  </si>
  <si>
    <t>Climate change alters the haemolymph microbiome of oysters</t>
  </si>
  <si>
    <t>The wellbeing of marine organisms is connected to their microbiome. Oysters are a vital food source and provide ecological services, yet little is known about how climate change such as ocean acidification and warming will affect their microbiome. We exposed the Sydney rock oyster, Saccostrea glomerata, to orthogonal combinations of temperature (24, 28 degrees C) and pCO(2) (400 and 1000 mu atm) for eight weeks and used amplicon sequencing of the 16S rRNA (V3-V4) gene to characterise the bacterial community in haemolymph. Overall, elevated pCO(2) and temperature interacted to alter the microbiome of oysters, with a clear partitioning of treatments in CAP ordinations. Elevated pCO(2) was the strongest driver of species diversity and richness and elevated temperature also increased species richness. Climate change, both ocean acidification and warming, will alter the microbiome of S. glomerata which may increase the susceptibility of oysters to disease.</t>
  </si>
  <si>
    <t>10.1016/j.marpolbul.2021.111991</t>
  </si>
  <si>
    <t>WOS:000632268100005</t>
  </si>
  <si>
    <t>The bacterial community structure and N-cycling gene abundance in response to dam construction in a riparian zone</t>
  </si>
  <si>
    <t>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t>
  </si>
  <si>
    <t>10.1016/j.envres.2021.110717</t>
  </si>
  <si>
    <t>WOS:000632603700006</t>
  </si>
  <si>
    <t>Interactive effects of shading and disturbance on plant invasion in an arid shrubland: Assembly processes and CSR-strategies</t>
  </si>
  <si>
    <t>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t>
  </si>
  <si>
    <t>10.1111/1365-2745.13650</t>
  </si>
  <si>
    <t>WOS:000634556400001</t>
  </si>
  <si>
    <t>Large-scale salmon farming in Norway impacts the epiphytic community of Laminaria hyperborea</t>
  </si>
  <si>
    <t>Large-scale finfish farms are increasingly located in dispersive hard-bottom environments where Laminaria hyperborea forests dominate; however, the interactions between farm effluents and kelp forests are poorly understood. Effects of 2 levels of salmonid fish-farming effluents (high and low) on L. hyperborea epiphytic communities were studied by sampling canopy plants from 12 sites in 2 high-energy dispersive environments. Specifically, we assessed if farm effluents stimulated fast-growing epiphytic algae and faunal species on L. hyperborea stipes- as this can impact the kelp forest community composition- and/or an increased lamina epiphytic growth, which could negatively impact the kelp itself. We found that bryozoan biomass on the stipes was significantly higher at high-effluent farm sites compared to low-effluent farm and reference sites, resulting in a significantly different epiphytic community. Macroalgal biomass also increased with increasing effluent levels, including opportunistic Ectocarpus spp., resulting in a less heterogeneous macroalgae community at high-effluent farm sites. This habitat heterogeneity was further reduced by the high bryozoan biomass at the high-effluent sites. Such changes in the epiphyte community could have implications for the faunal community that relies on the epiphytes for food and refuge. On the kelp lamina, no clear response to farm effluents was found.</t>
  </si>
  <si>
    <t>10.3354/aei00392</t>
  </si>
  <si>
    <t>WOS:000634852000001</t>
  </si>
  <si>
    <t>Invasion of floating fern alters freshwater macroinvertebrate community structure with implications for bottom-up processes</t>
  </si>
  <si>
    <t>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t>
  </si>
  <si>
    <t>10.1007/s10750-021-04571-4</t>
  </si>
  <si>
    <t>WOS:000635029100001</t>
  </si>
  <si>
    <t>Is being green what matters? Functional diversity of cavity-nesting bees and wasps and their interaction networks with parasites in different reforestation types in Amazonia</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</si>
  <si>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</si>
  <si>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10.1111/icad.12495</t>
  </si>
  <si>
    <t>WOS:000635772600001</t>
  </si>
  <si>
    <t>Tracking the changes of wetland soil bacterial community and metabolic potentials under drought and flooding conditions in experimental microcosms</t>
  </si>
  <si>
    <t>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t>
  </si>
  <si>
    <t>10.1007/s11368-021-02920-3</t>
  </si>
  <si>
    <t>WOS:000635886000002</t>
  </si>
  <si>
    <t>Dynamics in plant diversity and composition on Australian alpine summits over time</t>
  </si>
  <si>
    <t>High mountain environments are often characterised by low temperatures and short growing seasons, yet support high plant endemism and biodiversity. While such ecosystems are considered among the most vulnerable to climatic warming, the impacts of climate change on diversity and composition can be complex. To develop a deeper understanding of these dynamics, changes in vegetation over time along five alpine summits that are part of the Global Observation Research Initiative in Alpine Environment (GLORIA), were assessed including species richness, alpha-diversity, beta-diversity, vegetation and growth form cover as well as composition. The five summits of Mount Clarke in the Australian Alps were surveyed in 2004, 2011 and 2019. Despite increases in species richness over time, there was an overall decline in diversity through biotic homogenisation across the summits. Near complete vegetation cover was recorded in 2004 but increased over the 15 years via in-filling and densification, driven by increasing cover of graminoids and shrubs. Consequently, there was also a shift in species composition which was greatest at higher elevations. The results indicate that there has been a shift towards more competitive and thermophilic composition, which may have implications for flammability in a warming and drying climate. Further assessments will be required to more fully explore the effect of climate variation from climate change, and implications for conservation of this and other alpine floras globally.</t>
  </si>
  <si>
    <t>10.1007/s10531-021-02171-1</t>
  </si>
  <si>
    <t>WOS:000636132600001</t>
  </si>
  <si>
    <t>The importance of biophysical context in understanding marine protected area outcomes for coral reef fish populations</t>
  </si>
  <si>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</si>
  <si>
    <t>10.1007/s00338-021-02085-y</t>
  </si>
  <si>
    <t>WOS:000636400200002</t>
  </si>
  <si>
    <t>Contrasting responses of native ant communities to invasion by an ant invader, Linepithema humile</t>
  </si>
  <si>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</si>
  <si>
    <t>10.1007/s10530-021-02522-7</t>
  </si>
  <si>
    <t>WOS:000636412300005</t>
  </si>
  <si>
    <t>Comparison of beam trawl catch, by-catch and discard in fishing and non-fishing areas - a case study from the northern Adriatic Sea</t>
  </si>
  <si>
    <t>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t>
  </si>
  <si>
    <t>10.12681/mms.24973</t>
  </si>
  <si>
    <t>WOS:000636429700007</t>
  </si>
  <si>
    <t>Influence of sugarcane growth stages on bird diversity and community structure in an agricultural-savanna environment</t>
  </si>
  <si>
    <t>Agricultural intensification is a threat to terrestrial ecosystems around the world. Agricultural areas, especially monocultures, create homogenous landscapes for wildlife. However, certain crops, such as sugarcane, are harvested in phases, creating a mosaic of fields in different stages of growth. We investigated changes in avian communities across four different sugarcane growth stages: emerging, short, medium and tall sugarcane, as well as control sites that represented native savanna habitat in northeast Eswatini prior to conversion to agriculture. In total, we sampled nine sites in sugarcane fields (at different growth stages) and three in native savanna. We conducted bird counts at 5-week intervals along 200m line transects over both the breeding and non-breeding seasons. We recorded a total of 124 bird species belonging to 58 families. Bird species richness and diversity were higher in savannas compared to any stages of growth in sugarcane. In contrast, functional beta diversity and uniqueness were higher in sugarcane than in savanna. Community composition was also different between the two land-uses. While there was overlap in bird species composition between different sugarcane growth stages, there was high beta diversity and high turnover between sites, indicative of the high temporal and spatial variability in bird communities in sugarcane fields. We demonstrated that the spatial and temporal variability created by the different growth stages of sugarcane promotes the occurrence of species with different traits, which may contribute to ecosystem functioning and promote the conservation of bird species as sugarcane fields can provide resource complementation for species with different needs.</t>
  </si>
  <si>
    <t>10.1016/j.heliyon.2021.e06563</t>
  </si>
  <si>
    <t>WOS:000637861400022</t>
  </si>
  <si>
    <t>Are spider communities influenced by urbanisation? An approach using species and guilds resolutions and their interaction with the anthropogenic environment</t>
  </si>
  <si>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</si>
  <si>
    <t>10.1080/00222933.2020.1863496</t>
  </si>
  <si>
    <t>WOS:000637946100001</t>
  </si>
  <si>
    <t>A pilot experiment to assess the efficiency of pharmaceutical plant wastewater treatment and the decreasing effluent toxicity to periphytic biofilms</t>
  </si>
  <si>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</si>
  <si>
    <t>10.1016/j.jhazmat.2021.125121</t>
  </si>
  <si>
    <t>WOS:000638067100001</t>
  </si>
  <si>
    <t>Soil bacterial communities and their associated functions for forest restoration on a limestone mine in northern Thailand</t>
  </si>
  <si>
    <t>Opencast mining removes topsoil and associated bacterial communities that play crucial roles in soil ecosystem functioning. Understanding the community composition and functioning of these organisms may lead to improve mine-rehabilitation practices. We used a culture-dependent method, combined with Illumina sequencing, to compare the taxonomic richness and composition of living bacterial communities in opencast mine substrates and young mine-rehabilitation plots, with those of soil in adjacent remnant forest at a limestone mine in northern Thailand. We further investigated the effects of soil physico-chemical factors and ground-flora cover on the same. Although, loosened subsoil, brought in to initiate rehabilitation, improved water retention and facilitated plant re-establishment, it did not increase the population density of living microbes substantially within 9 months. Planted trees and sparse ground flora in young rehabilitation plots had not ameliorated the micro-habitat enough to change the taxonomic composition of the soil bacteria compared with non-rehabilitated mine sites. Viable microbes were significantly more abundant in forest soil than in mine substrates. The living bacterial community composition differed significantly, between the forest plots and both the mine and rehabilitation plots. Proteobacteria dominated in forest soil, whereas Firmicutes dominated in samples from both mine and rehabilitation plots. Although, several bacterial taxa could survive in the mine substrate, soil ecosystem functions were greatly reduced. Bacteria, capable of chitinolysis, aromatic compound degradation, ammonification and nitrate reduction were all absent or rare in the mine substrate. Functional redundancy of the bacterial communities in both mine substrate and young mine-rehabilitation soil was substantially reduced, compared with that of forest soil. Promoting the recovery of microbial biomass and functional diversity, early during mine rehabilitation, is recommended, to accelerate soil ecosystem restoration and support vegetation recovery. Moreover, if inoculation is included in mine rehabilitation programs, the genera: Bacillus, Streptomyces and Arthrobacter are likely to be of particular interest, since these genera can be cultivated easily and this study showed that they can survive under the extreme conditions that prevail on opencast mines.</t>
  </si>
  <si>
    <t>10.1371/journal.pone.0248806</t>
  </si>
  <si>
    <t>WOS:000639359600082</t>
  </si>
  <si>
    <t>Epigeic fauna (with emphasis on ant community) response to land-use change for sugarcane expansion in Brazil</t>
  </si>
  <si>
    <t>The epigeic fauna, ground surface-dwelling invertebrates that inhabit leaf-litter, acts on multiple soil processes and key ecosystem services and is threatened by global land-use change (LUC). In Brazil, LUC for sugarcane expansion over extensive pasture has been taking place for promoting bioenergy production; however, conventional sugarcane cultivation includes monoculture, periodic soil tillage and agrochemicals may alter the quantity and quality of crop residue inputs, soil habitats and communities of soil fauna. Thus, a field study at three sites in central southern Brazil was conducted to evaluate if the expansion of sugarcane cultivation affects soil epigeic fauna. In each site, we sampled epigeic fauna in areas under LUC from native vegetation to extensive pasture, and from that to sugarcane. The epigeic fauna was collected using pitfall traps and then quantified and classified in taxonomic groups (Order, Class, Family). In addition, as a focal organism group, ants were classified at the species level. Overall, 13 taxonomic groups were identified, in which the Formicidae family was the most abundant group (i.e., 67% of individuals), followed by Diptera (13%), Araneae (5%) and Coleoptera (4%). Land transition from native vegetation to pasture increased fauna abundance by 27% but reduced the diversity of epigeic fauna community by 43%. In contrast, sugarcane expansion over extensive pasture reduced fauna abundance (22%), did not alter the diversity of the invertebrate community at a broad taxonomic level, but decreased species richness of the dominant taxa (ants) by 55%. Ant individuals were classified into 37 species, allowing to verify that sugarcane cultivation over pastures decreased both the abundance and richness of ants and altered community composition. Ant species Ectatomma brunneum were more sensitive to LUC and, therefore, could be characterized as potential indicators of disturbed environments. We demonstrate that sugarcane expansion over pasturelands reduces the total abundance of the soil epigeic fauna, and that effects on fauna diversity vary from broad to fine taxonomic resolutions. Further studies are needed to evaluate if the declines in fauna abundance and ant species richness impair specific soil functions and soil-related ecosystem services.</t>
  </si>
  <si>
    <t>10.1016/j.actao.2021.103702</t>
  </si>
  <si>
    <t>WOS:000641035900025</t>
  </si>
  <si>
    <t>Study on the spatial distribution of ureolytic microorganisms in farmland soil around tailings with different heavy metal pollution</t>
  </si>
  <si>
    <t>Ureolytic microorganisms, a kind of microorganism which can secrete urease and decompose urea, have great potential in remediation of soil heavy metals based on microbial induced carbonate precipitation. However, the horizontal and vertical distribution of ureolytic microbial community in heavy metals contaminated soils is poorly understood. In this study, urease genes in agricultural soils surrounding tailings were first investigated using metagenomic in two dimensions: heavy metal pollution (Low-L, Middle-M, High-H) and soil depth (0-20 cm, 20-40 cm, 40-60 cm, 60-80 cm, 80-100 cm). Results showed that the effect of heavy metal concentration on ureolytic microorganisms was indeed significant, while the changes of ureolytic microorganisms with increasing soil depth varied in the vertical direction at the same level of heavy metal contamination. H site had the highest diversity of ureolytic microorganisms except for the topsoil. And at the same heavy metal contamination level, the ureolytic microbial diversity was lower in deeper soils. Proteobacteria, Actinobacteria and Thaumarchaeota (Archaea) were the dominant phyla of ureolytic microorganisms in all three sites, accounting for more than 80% of the total. However, the respond to the heavy metal concentrations of three phyla were different, which were increasing, decreasing and essentially unchanged, respectively. Besides, other environmental factors such as SOM and pH had different effects on ureolytic microorganisms, with Proteobacteria being positively correlated and Actinobacteria being the opposite. Another phenomenon was that Actinobacteria and Verrucomicrobia were biomarkers of group L, which could significantly explain the difference with the other two sites. These results provided valuable information for further research on the response mechanism and remediation of heavy metal pollution by ureolytic microbial system. (c) 2021 Published by Elsevier B.V.</t>
  </si>
  <si>
    <t>10.1016/j.scitotenv.2021.144946</t>
  </si>
  <si>
    <t>WOS:000641610200004</t>
  </si>
  <si>
    <t>The Effects of Road De-icing Salts on Water Quality and Macroinvertebrates in Australian Alpine Areas</t>
  </si>
  <si>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</si>
  <si>
    <t>10.1007/s00244-021-00827-1</t>
  </si>
  <si>
    <t>WOS:000641627500001</t>
  </si>
  <si>
    <t>Arthropod Assemblages in Invasive and Native Vegetation of Great Salt Lake Wetlands</t>
  </si>
  <si>
    <t>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t>
  </si>
  <si>
    <t>10.1007/s13157-021-01446-1</t>
  </si>
  <si>
    <t>WOS:000642157800001</t>
  </si>
  <si>
    <t>A Substrate-Independent Benthic Sampler (SIBS) for Hard and Mixed-Bottom Marine Habitats: A Proof-of-Concept Study</t>
  </si>
  <si>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</si>
  <si>
    <t>10.3389/fmars.2021.627687</t>
  </si>
  <si>
    <t>WOS:000642479100001</t>
  </si>
  <si>
    <t>Assessing the Impact of Rice Cultivation and Off-Season Period on Dynamics of Soil Enzyme Activities and Bacterial Communities in Two Agro-Ecological Regions of Mozambique</t>
  </si>
  <si>
    <t>Soil ecosystem perturbation due to agronomic practices can negatively impact soil productivity by altering the diversity and function of soil health determinants. Currently, the influence of rice cultivation and off-season periods on the dynamics of soil health determinants is unclear. Therefore, soil enzyme activities (EAs) and bacterial community compositions in rice-cultivated fields at postharvest (PH) and after a 5-month off-season period (5mR), and fallow-fields (5-years-fallow, 5YF; 10-years-fallow, 10YF and/or one-year-fallow, 1YF) were assessed in two agroecological regions of Mozambique. EAs were mostly higher in fallow fields than in PH, with significant (p &lt; 0.05) differences detected for beta-glucosidase and acid phosphatase activities. Only beta-glucosidase activity was significantly (p &lt; 0.05) different between PH and 5mR, suggesting that beta-glucosidase is responsive in the short-term. Bacterial diversity was highest in rice-cultivated soil and correlated with NO3-, NH4+ and electrical conductivity. Differentially abundant genera, such as Agromyces, Bacillus, Desulfuromonas, Gaiella, Lysobacter, Micromonospora, Norcadiodes, Rubrobacter, Solirubrobacter and Sphingomonas were mostly associated with fallow and 5mR fields, suggesting either negative effects of rice cultivation or the fallow period aided their recovery. Overall, rice cultivation and chemical parameters influenced certain EAs and shaped bacterial communities. Furthermore, the 5-month off-season period facilitates nutrient recovery and proliferation of plant-growth-promoting bacteria.</t>
  </si>
  <si>
    <t>10.3390/agronomy11040694</t>
  </si>
  <si>
    <t>WOS:000642674900001</t>
  </si>
  <si>
    <t>Reduced-Impact Logging Maintain High Moss Diversity in Temperate Forests</t>
  </si>
  <si>
    <t>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t>
  </si>
  <si>
    <t>10.3390/f12040383</t>
  </si>
  <si>
    <t>WOS:000643039900001</t>
  </si>
  <si>
    <t>Long-Term Fertilization History Alters Effects of Microplastics on Soil Properties, Microbial Communities, and Functions in Diverse Farmland Ecosystem</t>
  </si>
  <si>
    <t>Microplastics (MPs) pollution has caused a threat to soil ecosystem diversity and functioning globally. Recently, an increasing number of studies have reported effects of MPs on soil ecosystems. However, these studies mainly focused on soil bacterial communities and a few limited functional genes, which is why MPs effects on soil ecosystems are still not fully understood. Fertilization treatment often coinsides with MPs exposure in practice. Here, we studied effects of an environmentally relevant concentration of polyethylene on soil properties, microbial communities, and functions under different soil types and fertilization history. Our results showed that 0.2% PE MPs exposure could affect soil pH, but this effect varied according to soil type and fertilization history. Long-term fertilization history could alter effects of MPs on soil bacterial and fungal communities in diverse farmland ecosystems (P &lt; 0.05). Soil fungal communities are more sensitive to MPs than bacterial communities under 0.2% PE MPs exposure. MPs exposure has a greater impact on the soil ecosystem with a lower microbial diversity and functional genes abundance and increases the abundance of pathogenic microorganisms. These findings provided an integrated picture to aid our understanding of the impact of MPs on diverse farmland ecosystems with different fertilization histories.</t>
  </si>
  <si>
    <t>10.1021/acs.est.0c04849</t>
  </si>
  <si>
    <t>WOS:000643546400046</t>
  </si>
  <si>
    <t>Reduction of Grazing Capacity in High-Elevation Rangelands After Black Locust Invasion in South Africa</t>
  </si>
  <si>
    <t>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t>
  </si>
  <si>
    <t>10.1016/j.rama.2021.02.006</t>
  </si>
  <si>
    <t>WOS:000643559800013</t>
  </si>
  <si>
    <t>Monitoring Extreme Impacts of Rugulopteryx okamurae (Dictyotales, Ochrophyta) in El Estrecho Natural Park (Biosphere Reserve). Showing Radical Changes in the Underwater Seascape</t>
  </si>
  <si>
    <t>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t>
  </si>
  <si>
    <t>10.3389/fevo.2021.639161</t>
  </si>
  <si>
    <t>WOS:000645110000001</t>
  </si>
  <si>
    <t>Dung Beetle Diversity and Community Composition Along a Land Use Gradient in a Savannah Ecosystem of North Western Tanzania</t>
  </si>
  <si>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</si>
  <si>
    <t>10.1177/19400829211008756</t>
  </si>
  <si>
    <t>WOS:000645216600001</t>
  </si>
  <si>
    <t>Impact of crop cultivation, nitrogen and fulvic acid on soil fungal community structure in salt-affected alluvial fluvo-aquic soil</t>
  </si>
  <si>
    <t>Aims Soil fungal communities play pivotal roles in promoting ecosystem carbon (C) and nitrogen (N) cycling, stimulating disease resistance and enhancing tolerance against salt stress of host plants. However, the impact of anthropogenic management practices on the soil fungal community structure has not yet been clarified. Methods Using a four-consecutive-year field experiment and the quantitative polymerase chain reaction (qPCR) and Illumina MiSeq DNA sequencing methods, the single and interactive impacts of crop cultivation (CK), N fertilization (N) and fulvic acid (F) on soil fungal diversity, abundance, composition and functional groups were investigated. Results Consecutive crop cultivation improved soil chemical and microbial properties by reducing soil electrical conductivity (ECe) and enhancing soil organic carbon (SOC), microbial biomass carbon (MNC), and microbial biomass nitrogen (MBN). Crop cultivation had larger contribution to fungal richness and diversity than N fertilization and fulvic acid. Crop cultivation enriched mycorrhizal fungi and N fertilization enriched endophytic, saprophytic and pathogenic fungi. Structural equation modeling (SEM) revealed that soil ECe and pH indirectly influenced MBN through their adverse direct impact on OTUs, Shannon index and abundance of predominant fungal taxa. N input exhibited a positive indirect influence on MBN through enhancing abundance of Funneliformis at the genus level. Conclusions Crop cultivation, N input, and fulvic acid addition in saline soil environment changed the environmental niches and drove the evolution of soil fungal community. In return, the shifts in soil fungal community composition and functional groups greatly affected soil C and N transformation with potential feedback on soil microbial activity.</t>
  </si>
  <si>
    <t>10.1007/s11104-021-04979-w</t>
  </si>
  <si>
    <t>WOS:000645521400001</t>
  </si>
  <si>
    <t>Land use land cover dynamics and fragmentation-induced changes in woody plant community structure in a mining landscape, Ghana</t>
  </si>
  <si>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</si>
  <si>
    <t>10.1016/j.tfp.2021.100070</t>
  </si>
  <si>
    <t>WOS:000646507600009</t>
  </si>
  <si>
    <t>Exploring trophic effects of spotted knapweed (Centaurea stoebe L.) on arthropod diversity using DNA metabarcoding</t>
  </si>
  <si>
    <t>Biological invasions are of particular concern in grasslands, as these systems are highly susceptible to changes in ecosystem energy flows following invasions by exotic plants. Spotted knapweed (Centaurea stoebe L), a Eurasian, perennial forb, is considered one of the most ecologically harmful invasive plants in North American grasslands and may lead to changes in trophic dynamics, particularly within arthropod communities, which depend on plants for food and habitat. Using DNA metabarcoding to assess community dynamics of arthropods collected from pitfall traps and sweep nets, we explored the effects of C. stoebe density on the alpha, beta and functional diversity of arthropods in a semi arid grassland in British Columbia, Canada. We used trait-based approaches to investigate the functional responses of terrestrial arthropod communities to better understand the effects of C. stoebe on trophic dynamics. Our study found seasonal differences in the beta-diversity of arthropods, but no differences in arthropod alpha-diversity in knapweed populations. However, our study found a significant reduction in detritivore relative abundance coupled with increases in predator relative abundance, indicating that knapweed density altered the detrital food web. Conversely, herbivores were unaffected by knapweed density, suggesting evidence for greater stability of the grazing food web. Further, predator:prey ratios were highest under high knapweed density. These ratios suggest that top down effects are likely stronger than the bottomup effects of C. stoebe invasion. DNA metabarcoding provides the tools to develop detailed surveys of species diversity across a range of environments and trophic levels, which could be a useful guide for planning restoration. (C) 2020 Published by Elsevier Inc.</t>
  </si>
  <si>
    <t>10.1016/j.fooweb.2020.e00157</t>
  </si>
  <si>
    <t>WOS:000646860800014</t>
  </si>
  <si>
    <t>Environmental DNA metabarcoding as a tool for biodiversity assessment and monitoring: reconstructing established fish communities of north-temperate lakes and rivers</t>
  </si>
  <si>
    <t>Aim To evaluate the ability of precipitation-based environmental DNA (eDNA) sample collection and mitochondrial 12S metabarcoding sequencing to reconstruct well-studied fish communities in lakes and rivers. Specific objectives were to 1) determine correlations between eDNA species detections and known community composition based on conventional field sampling, 2) compare efficiency of eDNA to detect fish biodiversity among systems with variable morphologies and trophic states, and 3) determine if species habitat preferences predict eDNA detection. Location Upper Great Lakes Region, North America. Methods Fish community composition was estimated for seven lakes and two Mississippi River navigation pools using sequence data from the mitochondrial 12S gene amplified from 10 to 50 water samples per waterbody collected in 50-mL centrifuge tubes at a single time point. Environmental DNA (eDNA) was concentrated without filtration by centrifuging samples to reduce per-sample handling time. Taxonomic detections from eDNA were compared to established community monitoring databases containing up to 40 years of sampling and a detailed habitat/substrate preference matrix to identify patterns of bias. Results Mitochondrial 12S gene metabarcoding detected 15%-47% of the known species at each waterbody and 30%-76% of known genera. Non-metric multidimensional scaling (NMDS) assessment of the community structure indicated that eDNA-detected communities grouped in a similar pattern as known communities. Discriminant analysis of principal components indicated that there was a high degree of overlap in habitat/substrate preference of eDNA-detected and eDNA-undetected species suggesting limited habitat bias for eDNA sampling. Main conclusions Large numbers of small volume samples sequenced at the mitochondrial 12S gene can describe the coarse community structure of freshwater systems. However, additional conventional sampling and environmental DNA sampling may be necessary for a complete diversity census.</t>
  </si>
  <si>
    <t>10.1111/ddi.13253</t>
  </si>
  <si>
    <t>WOS:000647529100001</t>
  </si>
  <si>
    <t>Post-harvest forest herb layer demography: General patterns are driven by pre-disturbance conditions</t>
  </si>
  <si>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</si>
  <si>
    <t>10.1016/j.foreco.2021.119121</t>
  </si>
  <si>
    <t>WOS:000647735500003</t>
  </si>
  <si>
    <t>Interaction of climate change, potentially toxic elements (PTEs), and topography on plant diversity and ecosystem functions in a high-altitude mountainous region of the Tibetan Plateau</t>
  </si>
  <si>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</si>
  <si>
    <t>10.1016/j.chemosphere.2021.130099</t>
  </si>
  <si>
    <t>WOS:000647817200107</t>
  </si>
  <si>
    <t>What is the impact of urban development and thermokarsting on arctic tundra pond zooplankton communities?</t>
  </si>
  <si>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</si>
  <si>
    <t>10.1007/s00300-021-02866-9</t>
  </si>
  <si>
    <t>WOS:000648340200001</t>
  </si>
  <si>
    <t>The effects of a sediment flushing on Alpine macroinvertebrate communities</t>
  </si>
  <si>
    <t>Sediment flushing from dams can help desilting reservoirs and reinstate the longitudinal sediment transfer continuity in rivers, but negative ecological impacts might arise. We monitored the ecological effects of a flushing event conducted from 27th May to 14th June 2019 in the Rienz River, in South Tyrol (NE Italy). Using a multi-habitat scheme approach, we collected macroinvertebrates 10 days before, and then 40 and 74 days after the completion of the operations. We selected seven biological traits-organism size, life cycle duration, mobility (dispersal and locomotion), feeding type, substrate and current velocity preference-to characterize and compare the invertebrate communities before and after the sediment pulse disturbance. Turbidity was recorded continuously for the entire duration of the event. Results indicate that invertebrate assemblages exhibited a general decrease in taxonomic richness and Shannon diversity 40 days after the event, but density and richness recovered over time. Shifts in species composition were observed in post flushing samples, with a reduction in density of sensitive species (Heptageniidae) and shredders. Post-flushing samples were generally characterized by sediment-tolerant taxa, able to cope with the new habitat conditions. Altered taxonomic and functional community composition following the flushing prevented the full functional recovery to pre-disturbance conditions.</t>
  </si>
  <si>
    <t>10.1007/s10750-021-04608-8</t>
  </si>
  <si>
    <t>WOS:000648501600002</t>
  </si>
  <si>
    <t>Diatom responses to river water quality in the Kruger National Park, South Africa</t>
  </si>
  <si>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</si>
  <si>
    <t>10.38201/btha.abc.v51.i1.5</t>
  </si>
  <si>
    <t>WOS:000648571100005</t>
  </si>
  <si>
    <t>Effects of land-use change on herbaceous vegetation in a semi-arid Mopaneveld savanna</t>
  </si>
  <si>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</si>
  <si>
    <t>10.38201/btha.abc.v51.i1.8</t>
  </si>
  <si>
    <t>WOS:000648571100008</t>
  </si>
  <si>
    <t>Effects of chronic anthropogenic disturbances on flesh fly (Diptera, Sarcophagidae) assemblages in areas of seasonally dry tropical forest</t>
  </si>
  <si>
    <t>Background Seasonally dry tropical forests (SDTF) are among the most vulnerable ecosystems to chronic anthropogenic disturbances (CAD) such as agriculture, livestock and exploitation of wood and non-timber forest products which can negatively affect the local biota. We evaluated the influence of CAD and rainfall on the diversity of flesh flies (Diptera, Sarcophagidae) in the Brazilian Caatinga. We expected that the increase in CAD would negatively affect the specialist Sarcophagidae species and promote homogenisation of the assemblage. Methods Specimens were collected using traps baited with fish, bovine spleen or human feces in six environments with different intensities of CAD-low, intermediate and high, based on land use and conservation status. Results We collected 29,810 specimens (3760 males, identified to 14 genera, 32 species). We observed a positive relationship between disturbance intensity and the abundance of synanthropic flies, mainly Tricharaea occidua. The diversity of common species and dominant species were affected only by CAD. There was also a marked substitution of species throughout the Caatinga environments (beta SIM = 0.91), with few taxa (less than 50%) occurring indiscriminately in the areas under the three levels of impact. Discussion Chronic disturbances pose a constant threat to the conservation of flesh fly species. CAD act as a trigger for the homogenisation of Sarcophagidae assemblages, and magnify the dominance of synanthropic and generalist species. Implications for insect conservation Empirical data on the effect of chronic disturbances can subsidize quantitative studies addressing local extinction. Our data strengthen the use of Sarcophagidae as biological indicators of anthropogenic action and can subsidize protocols for monitoring anthropogenic impacts in dry forests.</t>
  </si>
  <si>
    <t>10.1007/s10841-021-00317-8</t>
  </si>
  <si>
    <t>WOS:000648829200001</t>
  </si>
  <si>
    <t>Zooplankton functional diversity as an indicator of a long-term aquatic restoration in an Amazonian lake</t>
  </si>
  <si>
    <t>Mining is an important economic activity that can have severe impacts on aquatic ecosystems. Plankton communities are commonly used as bioindicators of human-related threats to freshwater environments due to their rapid response to environmental conditions changes. Here, we used zooplankton functional diversity to understand the recovery patterns of an Amazonian lake impacted by mining activity (input of bauxite tailings) after 30 years of natural attenuation and active restoration processes. Zooplankton species richness and functional diversity (Rao's quadratic entropy-FDQ and community-level weighted means of trait values-CWM) were compared in impacted and reference areas during the flood period, in March 2015. We found a significant negative influence of turbidity on zooplankton FDQ, and similar FDQ and CWM values between the active restoration area and the reference area. These results suggest a positive effect of vegetation restoration efforts for the zooplankton community of Batata Lake. We demonstrated the utility of zooplankton functional diversity metrics as bioindicators of freshwater restoration, the response of the aquatic ecosystem to vegetation restoration and, consequently, water quality.</t>
  </si>
  <si>
    <t>10.1111/rec.13365</t>
  </si>
  <si>
    <t>WOS:000649435400001</t>
  </si>
  <si>
    <t>Influences of Dimethyl Phthalate on Bacterial Community and Enzyme Activity in Vertical Flow Constructed Wetland</t>
  </si>
  <si>
    <t>Dimethyl phthalate (DMP), belonging to the family of Phthalate esters (PAEs), is a plasticizer and has been widely used in the world for many years. Nowadays, it has become a ubiquitous environmental pollutant and is listed as an environmental priority pollutant by China's Environmental Monitoring Center. The purpose of this study is to estimate the responses of the bacterial community and enzyme activity to DMP contamination in three vertical flow constructed wetlands (VFCW), namely the constructed wetland A (planted with Pennisetum sinese Roxb), constructed wetland B (planted with Pennisetum purpureum Schum.), and constructed wetland C (unplanted), respectively. The results showed that the relative percentages of some genera associated with nitrogen metabolism and the function of degrading aromatic hydrocarbons were increased by DMP contamination, such as Dechloromonas agitata, Pleomorphomonas sp., Denitratisoma oestradiolicum, Plasticicumulans lactativorans, Novosphingobium sp., Alicycliphilus denitrificans, and Thauera sp. Meanwhile, principal coordinate analysis (PCA) analysis showed that the addition of DMP divided 12 samples into two groups as followed: one was the DMP group containing a-1, a-2, b-1, b-2, c-1 and c-2 while the other was no DMP group including A-1, A-2, B-1, B-2, C-1 and C-2. It indicated that DMP was the main reason for this change. In addition, by monitoring the activity of substrate enzymes, the activity of urease, phosphatase, catalase, and invertase in the wetlands before and after the experiment, these were significantly higher in the upper layer than in the lower layer and maintained high activity. Ultimately, the average influent concentration of DMP in three VFCWs was 8.12 mg/L and the average removal efficiency of the effluent was over 90%. Our results suggested that DMP was an important factor affecting the microbial community structure of wetland and the upper layer of the VFCW was the main site for the degradation of DMP. VFCW has great potential for the removal of the high concentration of DMP and it can be a good choice for the treatment of PAEs.</t>
  </si>
  <si>
    <t>10.3390/w13060788</t>
  </si>
  <si>
    <t>WOS:000652003400001</t>
  </si>
  <si>
    <t>Independent effects of warming and altered precipitation pattern on nematode community structure in an arable field</t>
  </si>
  <si>
    <t>Global environmental change is causing increases in soil temperatures and alternations in precipitation patterns, which are affecting soil biota in natural and managed systems. Arable soils, generally disturbed due to management practice, are particularly sensitive to a changing environment. However, little is known how warming interacts with precipitation pattern to affect soil fauna and thereby ecosystem functions. In an arable system, we investigated the interactions of soil warming and altered precipitation amount and frequency on soil conditions and health using nematodes as bioindicators. Our findings showed that the nematode population density was significantly increased by warming and decreased by reduced precipitation frequency. Warming mainly fostered the density of fungal feeders and obligatory plant parasites, with the latter suggesting higher crop damage. Rootassociated plant feeders were further affected by changes in precipitation pattern; their density declined with reduced precipitation frequency and increased with the alternated precipitation amount. The nematode abundance was generally low in the arable ecosystem and remained stable under the simulated environmental change. In response to warming, the major soil decomposition channel via bacteria was reduced, and the fungal mediated pathway fostered, implying more fungal dominated depleted and degraded soil conditions. Soil decomposition pathways were not affected by altered precipitation pattern, neither by amount nor by frequency. Overall, warming and precipitation independently altered the soil nematode fauna and the functioning of belowground food webs. Therefore, our study highlights the need for more research considering the interactions of environmental variables to see if this lack is a general pattern and to develop strategies for agroecosystem's management under climate change.</t>
  </si>
  <si>
    <t>10.1016/j.agee.2021.107467</t>
  </si>
  <si>
    <t>WOS:000653013500010</t>
  </si>
  <si>
    <t>Composition and diversity of butterflies (Lepidoptera, Papilionoidea) along an atmospheric pollution gradient in the Monterrey Metropolitan Area, Mexico</t>
  </si>
  <si>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</si>
  <si>
    <t>10.3897/zookeys.1037.66001</t>
  </si>
  <si>
    <t>WOS:000653017600003</t>
  </si>
  <si>
    <t>Persistent contamination of polycyclic aromatic hydrocarbons (PAHs) and phthalates linked to the shift of microbial function in urban river sediments</t>
  </si>
  <si>
    <t>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t>
  </si>
  <si>
    <t>10.1016/j.jhazmat.2021.125416</t>
  </si>
  <si>
    <t>WOS:000653032300006</t>
  </si>
  <si>
    <t>Invasive Floating Fern Limits Aerial Colonization and Alters Community Structure of Aquatic Insects</t>
  </si>
  <si>
    <t>Aquatic insects are important to the transfer of energy in freshwater wetlands. They link primary producers and organic matter to higher trophic levels, and pass energy from the aquatic environment to the terrestrial ecosystem via predation of adults. Introduction of the invasive free-floating aquatic fern giant salvinia, Salvinia molesta Mitchell, threatens aquatic insect communities and life cycle completion, specifically colonization, through mat formation and habitat changes. We examined how aerial colonization and assemblage structure of aquatic insects were affected by giant salvinia coverage. Mesocosms were established with three giant salvinia coverages, 25%, 50%, and 100%, and a native submerged macrophyte, 0% coverage; and environmental conditions and community structure were sampled monthly, over four months. After four weeks, all giant salvinia coverages reduced dissolved oxygen, pH, and light availability in the aquatic environment. In the 100% cover treatment, aquatic insect colonization was impeded, resulting in communities with lower abundance and richness, which were dominated by a coleopteran. The 25% and 50% giant salvinia coverages changed habitat complexity, which yielded different aquatic insect communities from the 0% and from 100% coverages. Regardless of the coverage, giant salvinia changed environmental conditions and putatively the 100% coverage disrupted the aquatic insect life cycle by limiting aerial colonization. This inability to complete their life cycle means aquatic insects cannot replenish themselves, leading to a diminished species pool and reduced energy potential. Our results highlight new, previously unreported, negative impacts from giant salvinia on ecosystem structure and function.</t>
  </si>
  <si>
    <t>10.1007/s13157-021-01457-y</t>
  </si>
  <si>
    <t>WOS:000653831400001</t>
  </si>
  <si>
    <t>Experimental assessment of the impacts of ocean acidification and urchin grazing on benthic kelp forest assemblages</t>
  </si>
  <si>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</si>
  <si>
    <t>10.1016/j.jembe.2021.151548</t>
  </si>
  <si>
    <t>WOS:000654239000003</t>
  </si>
  <si>
    <t>Salt stress-induced changes in microbial community structures and metabolic processes result in increased soil cadmium availability</t>
  </si>
  <si>
    <t>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t>
  </si>
  <si>
    <t>10.1016/j.scitotenv.2021.147125</t>
  </si>
  <si>
    <t>WOS:000655530100004</t>
  </si>
  <si>
    <t>Toxicity of hydroxychloroquine, a potential treatment for COVID-19, on free-living marine nematodes</t>
  </si>
  <si>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</si>
  <si>
    <t>10.1016/j.marpolbul.2021.112361</t>
  </si>
  <si>
    <t>WOS:000655695600002</t>
  </si>
  <si>
    <t>Leaf traits and phylogeny explain plant survival and community dynamics in response to extreme drought in a restored coastal grassland</t>
  </si>
  <si>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</si>
  <si>
    <t>10.1111/1365-2664.13909</t>
  </si>
  <si>
    <t>WOS:000656444100001</t>
  </si>
  <si>
    <t>Different land-use types equally impoverish but differentially preserve grassland species and functional traits of spider assemblages</t>
  </si>
  <si>
    <t>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t>
  </si>
  <si>
    <t>10.1038/s41598-021-89658-7</t>
  </si>
  <si>
    <t>WOS:000656952400073</t>
  </si>
  <si>
    <t>Indigenous peoples' habitation history drives present-day forest biodiversity in British Columbia's coastal temperate rainforest</t>
  </si>
  <si>
    <t>Long-term human habitation has transformed the earth's surface. The combination of time and complex human-environment interactions in remote regions of North America has likely resulted in modified landscapes, though we often consider these regions free of human influence due to the absence of industrial development. We examined long-term impacts of human resource-use on British Columbia's coastal rainforest communities. We focused on the region's widespread habitation sites with extensive shell middens to test the legacy of ancient human occupation in present-day plant communities. Ten habitation sites and 10 control sites in similar locales were selected for floristic surveys and soil sampling. We tested whether plant communities at habitation sites reflected a 'cultural plant-use legacy', with greater presence of culturally significant plant species, and/or a 'marine nutrient subsidy legacy' from human use, with increases in species that prefer nutrient-rich soils. We found that the habitation sites had different plant assemblages than the control sites and were dominated by plants with both higher nutrient requirements and cultural significance. We demonstrate that long-term occupation has led to strong differences in plant community structure between sites, countering the notion that this is a pristine landscape. We emphasize the value of interdisciplinary approaches and considering past human resource-use when examining current plant communities. A plain language summary is available for this article. Plain Language Summary</t>
  </si>
  <si>
    <t>10.1002/pan3.16</t>
  </si>
  <si>
    <t>WOS:000657177700009</t>
  </si>
  <si>
    <t>Plant-mediated effects of long-term warming on soil microorganisms on the Qinghai-Tibet Plateau</t>
  </si>
  <si>
    <t>Exploring the feedback of the soil microbial community and associated processes to global warming represents a major global challenge. To date, the focus has been placed on the direct effects of warming on soil microbial communities, overlooking how concurrent changes in plant communities may mediate these effects. Additionally, few studies have examined long-term effects of warming in more than one environmental context. In the present study, we conducted a long-term simulated warming experiment to investigate how changes to the plant community within two different environmental contexts affect the responses of soil microorganisms and their respiration to warming. We analyzed the abundance, diversity, and community composition of plants and soil microbes, in addition to soil microbial interaction networks and soil microbial respiration, in two typical ecosystems of the Qinghai-Tibet Plateau. Following long-term warming, the soil microbial composition, structure, and interactions changed, and the shifts depended on the aboveground plant type. Specifically, the co-occurring networks containing different microbial communities tended to be more complex in a shrubland than in a grassland after warming, leading to higher carbon use efficiency. Additionally, long-term warming changed the structure of soil microbial communities, increasing the relative abundances of oligotrophic taxa in the shrubland but not in the grassland. The shifts in community structure and interaction patterns could be explained by vegetation community attributes, highlighting the strong effect of plants on soil microbial responses. These plant-mediated effects on community structure and interactions subsequently could explain changes in soil microbial respiration rates. Microbial respiration showed a positive response to elevated temperature in the grassland but no response to temperature in the shrubland. These results indicate that interactions between soil microbial communities and plant communities determine how soil microbes respond to global warming. Therefore, future research on soil microbial community composition and associated carbon feedbacks to the climate change should include plant-mediated effects, which can provide a scientific basis for effectively mitigating global warming.</t>
  </si>
  <si>
    <t>10.1016/j.catena.2021.105391</t>
  </si>
  <si>
    <t>WOS:000657369600015</t>
  </si>
  <si>
    <t>Urbanization pressures alter tree rhizosphere microbiomes</t>
  </si>
  <si>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</si>
  <si>
    <t>10.1038/s41598-021-88839-8</t>
  </si>
  <si>
    <t>WOS:000657422500037</t>
  </si>
  <si>
    <t>Effects of nitrogen addition on rhizospheric soil microbial communities of poplar plantations at different ages</t>
  </si>
  <si>
    <t>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t>
  </si>
  <si>
    <t>10.1016/j.foreco.2021.119328</t>
  </si>
  <si>
    <t>WOS:000657657400005</t>
  </si>
  <si>
    <t>Metabarcoding of Soil Fungi from Different Urban Greenspaces Around Bournemouth in the UK</t>
  </si>
  <si>
    <t>Soil microbes are important for public health. Increasing urbanisation is adversely affecting soil microbiota, which may be contributing to the global rise of immune-related diseases. Fungi are key components of urban environments that can be negatively impacted by altered land-use, land-management and climate change, and are implicated in the development and exacerbation of non-communicable diseases such as allergy, asthma and chronic inflammatory conditions. Fungal metagenomics is building knowledge on fungi within different environments (the environmental mycobiome), fungi on and within the human body (the human mycobiome), and their association with disease. Here, we demonstrate the added value of a multi-region metabarcoding approach to analyse soil mycobiomes from five urban greenspaces (lawns, parklands, bareground, young forest and old forest). While results were comparable across the three regions (ITS1, ITS2 and LSU), each identified additional fungal taxa that were unique to the region. Combining the results therefore provided a more comprehensive analysis across all fungal taxonomic ranks, identifying statistically significant differences in the fungal composition of the five soil types. Assignment of fungal taxa into ecological guilds revealed those differences of biological relevance to public health. The greatest differences were between the soil mycobiome of lawns and forests. Of most concern was the significant increase in the known human allergens Alternaria, Bipolaris, Cladosporium and Fusarium within urban lawn and parkland vs forest soils. By improving our understanding of local variations in fungal taxa across urban greenspaces, we have the potential to boost the health of local residents through improved urban planning.</t>
  </si>
  <si>
    <t>10.1007/s10393-021-01523-1</t>
  </si>
  <si>
    <t>WOS:000658084800001</t>
  </si>
  <si>
    <t>Response of macroinvertebrates to industrial warm discharges: the River Shannon case study (Ireland)</t>
  </si>
  <si>
    <t>Warm discharges from industrial processes have the potential to impact benthic invertebrate communities and undermine river functioning as well as inform climate change impacts. We evaluated the effects of heated cooling waters from 2 power plants across 2 River Shannon locations (Ireland) in summer and in winter. The overall multivariate community composition differed significantly between heated and unheated river sections in both seasons. In summer, overall invertebrate taxon richness and diversity were significantly lower in heated than in unheated sections. This finding was coupled with a striking decrease in Ephemeroptera, Plecoptera, and Trichoptera (EPT) abundance, taxon richness, and diversity in heated sections. Furthermore, aerial taxon richness and diversity were significantly lower in the heated sections. We also observed that the abundance of grazers was lower in heated sections. Winter patterns were similar to summer, but with lower invertebrate community abundance and decreased functional representation of shredders, gatherers, and predators in heated sections. Such impacts likely have strong implications for river functioning, including depressed connectivity with riparian habitats, and may impair the performance of eutrophication biomonitoring tools that rely on EPT taxa. Our results highlight the impact of warming of thermal plumes and other ubiquitous triggers of heating and may indicate climate change-driven trajectories.</t>
  </si>
  <si>
    <t>10.1080/20442041.2021.1904761</t>
  </si>
  <si>
    <t>WOS:000658556900001</t>
  </si>
  <si>
    <t>Salvage logging management affects species' roles in connecting plant-pollinator interaction networks across post-wildfire landscapes</t>
  </si>
  <si>
    <t>Spatial connections between habitats are important to allow movement of organisms across heterogeneous landscapes with diverse disturbances and management. Similarly, species providing functional connections between subnetworks of species interactions (modules) are important for ecosystem services across these landscapes. These functional connectors have received less study. In post-wildfire landscapes, we investigated the influence of salvage logging, a common management technique, on plant-pollinator network modularity. We measured the composition, strength and characteristics of forb and bee connector species across spatial and temporal scales. Salvage logging influenced the structure of plant-pollinator interaction networks. Network modularity was higher in salvage-logged areas compared to unlogged areas, indicating that logging functionally fragmented these species interactions. There were compositional differences in connectors, especially of plants, between logged and unlogged areas. Plant species, but not bee species, had weaker connections across modules in salvage-logged areas, suggesting that although some plant species were serving as connectors after salvage logging, they were performing worse in this role. While some suites of species formed spatial connections, others formed temporal connections (linking interactions across the growing season), indicating that disparate groups of species are likely needed to provide these critical functions across space and time. Synthesis and applications. Investigating species' roles as connectors can provide a more complete understanding of the implications of management and provide insight into how best to conserve or restore the structure and function of species interactions across landscape mosaics. Bees may be more capable of readily responding to changes in their plant partner's spatial or temporal distributions due to salvage logging. As a result, bees may be better poised to maintain stable connections across modules compared to plants, and management actions supporting highly mobile connector species (like bees) may help offset detrimental effects of salvage logging or other disturbances. This work also indicates that minimizing the spatial extent of salvage logging relative to the proximity of other habitat types will likely aid species in forming spatial connections. Applying this framework of species as network connectors may help maintain the spatial and temporal continuity of floral resources and pollination services, even when management reduces biodiversity.</t>
  </si>
  <si>
    <t>10.1111/1365-2664.13928</t>
  </si>
  <si>
    <t>WOS:000659306800001</t>
  </si>
  <si>
    <t>Attributes of stand-age-dependent forest determine technosol fertility of Atlantic forest re-growing on mining tailings in Mariana, Brazil</t>
  </si>
  <si>
    <t>Understanding how soil fertility changes due to environmental conditions and stand-age-dependent forest attributes is important for local-scale forest restoration. We evaluated the effects of stand-age-dependent forest attributes (plant community composition and litter stock) on soil and technosol fertility across two second-growth Atlantic forests (SGF) after the deposition of mining tailings in Mariana, southeastern Brazil. We hypothesized that technosol fertility in the SGF tailings is positively affected by plant community composition variability, stand age, and litter stock. We used total exchangeable bases and organic matter as fertility indicators for technosol and soil, and species composition and litter stock as stand-age-dependent forest attributes. Our results showed significant differences in the stand-age-dependent forest attributes and soil chemical properties between the two forest patches (SGF tailing and SGF non-tailing) evaluated. Thus, there was a marked gradient of litter storage and fertility between soil and technosol that can be important forest recovery indicators for the affected plant communities. Furthermore, according to the tested models, we corroborated the hypothesis that technosol fertility is positively affected by stand age, plant community composition variability, and litter stock, which may contribute considerably to forest recovery on tailings. Our results demonstrate that the fertility predictors analyzed to explain the forest recovery on tailings can also be considered as ecological indicators for assessing forest restoration in areas impacted by mining tailings in Mariana.</t>
  </si>
  <si>
    <t>10.1007/s11676-021-01359-z</t>
  </si>
  <si>
    <t>WOS:000659413200002</t>
  </si>
  <si>
    <t>Nitrogen fertilization increases fungal diversity and abundance of saprotrophs while reducing nitrogen fixation potential in a semiarid grassland</t>
  </si>
  <si>
    <t>Aims Nitrogen (N) fertilizer is applied to the soil to increase the nutrient level and plant productivity, but the effects of N addition on the soil microbial community diversity and functions are unclear. This study aimed to determine how changes in soil N influence soil microbial community diversity and potential functions. Methods We evaluated plant characteristics, soil chemical properties, microbial composition, and potential functions (N-fixation and functional fungal guild) after 3 years of urea fertilization at four different levels (0, 25, 50, and 100 kg N ha(-1) year(-1)) in a semiarid grassland in China. Compositions of bacterial and fungal communities were determined by high-throughput sequencing, and their potential functions were predicted by comparing their data with those in the Tax4Fun and FUNGuild databases, respectively. Results Compared with the grassland without N input (N0), N fertilization significantly reduced soil bacterial diversity, possibly by reducing plant diversity. Fungal diversity increased with N fertilization and peaked in the N50 treatment, while the aboveground biomass showed a parallel increase and peak. A lower abundance of nif genes was found in the N100 than in the N0 treatment because the enhanced NO3- and NH4+ content alleviated the dependence of plants on biological N-fixation and reduced the N-fixation potential. N fertilization increased the relative abundance of saprotrophs (wood, plant, and dung saprotrophs) and pathogens (plant and animal pathogens). However, this promotion could be weakened when the excessive N fertilization was applied due to the lower abundance in the N100 than in the N50 treatment, and these changes could be attributed to the variation in aboveground biomass and soil organic C. Changes in the abundance of arbuscular mycorrhizal fungi were related to their host plants, exhibiting a transient increase in the N25 compared to the N0 treatment and then sharply decreasing. Conclusions Our results show that N-induced environmental changes have considerable influence on the composition and potential functions of soil bacterial and fungal communities, which are likely to be dependent on interactions between plants and soil.</t>
  </si>
  <si>
    <t>10.1007/s11104-021-05012-w</t>
  </si>
  <si>
    <t>WOS:000659817000002</t>
  </si>
  <si>
    <t>Meta-transcriptomic profiling of functional variation of freshwater microbial communities induced by an antidepressant sertraline hydrochloride</t>
  </si>
  <si>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</si>
  <si>
    <t>10.1016/j.scitotenv.2021.147434</t>
  </si>
  <si>
    <t>WOS:000660250500010</t>
  </si>
  <si>
    <t>Structure and variation of root-associated bacterial communities of Cyperus rotundus L. in the contaminated soils around Pb/Zn mine sites</t>
  </si>
  <si>
    <t>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t>
  </si>
  <si>
    <t>10.1007/s11356-021-14595-x</t>
  </si>
  <si>
    <t>WOS:000660399600001</t>
  </si>
  <si>
    <t>Community composition of tree and palm species following disturbance in a forest with bamboo in southwestern Amazonia, Brazil</t>
  </si>
  <si>
    <t>Anthropogenic disturbances such as selective logging and forest fires can cause further degradation in tropical forests. Various authors have suggested that logging and fire in southwestern Amazonia can increase bamboo abundance and contribute to slowing succession, but few studies have addressed community-composition patterns at either the local or the regional scale. We used a natural experiment with forest fire and post-burn logging to analyze the effects of increased bamboo abundance on the community composition of trees and palms in Brazil's Acre state in southwestern Amazonia. Bamboo abundance was expressed by variables collected both by field sampling and from high-resolution images using a remotely piloted aircraft (RPA). Disturbance in these forests was associated with a significant reduction in the number of crowns of emergent trees and palms and an increase in the canopy fraction occupied by bamboo. A significant negative relationship was observed between the canopy area occupied by bamboo and the number of tree and palm species, regardless of the level of disturbance. Bamboo density (culms m(-2)) and canopy area occupied by bamboo had significant effects on community composition, indicating that bamboo abundance is a key driver affecting the floristic composition of the forest. in Portuguese is available with online material.</t>
  </si>
  <si>
    <t>10.1111/btp.12979</t>
  </si>
  <si>
    <t>WOS:000661979400001</t>
  </si>
  <si>
    <t>Toxic effects of norfloxacin in soil on fed and unfed Folsomia candida (Isotomidae: Collembola) and on gut and soil microbiota</t>
  </si>
  <si>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</si>
  <si>
    <t>10.1016/j.scitotenv.2021.147793</t>
  </si>
  <si>
    <t>WOS:000662643600009</t>
  </si>
  <si>
    <t>Climate warming dominates over plant genotype in shaping the seasonal trajectory of foliar fungal communities on oak</t>
  </si>
  <si>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</si>
  <si>
    <t>10.1111/nph.17434</t>
  </si>
  <si>
    <t>WOS:000662923400001</t>
  </si>
  <si>
    <t>A comparison of the fauna in eelgrass and erosion control structures in a warm temperate Southern African estuary</t>
  </si>
  <si>
    <t>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t>
  </si>
  <si>
    <t>10.1016/j.rsma.2021.101757</t>
  </si>
  <si>
    <t>WOS:000663075700007</t>
  </si>
  <si>
    <t>Variation, distribution, and diversity of canonical ammonia-oxidizing microorganisms and complete-nitrifying bacteria in highly contaminated ecological restoration regions in the Siding mine area</t>
  </si>
  <si>
    <t>Canonical ammonia-oxidizing archaea (AOA), ammonia-oxidizing bacteria (AOB) and complete-nitrifying bacteria (comammox) exist in a variety of ecosystems. However, little is known about AOA, AOB and comammox or their contributions to nitrification in the soils of heavily degraded and acidic mine regions. In the present study, the activity, richness, diversity and distribution patterns of AOA, AOB and comammox in the Siding mine area were investigated. Nemerow's multifactor pollution index (PN) values indicated that the soil in all three areas in the Siding mine area was highly contaminated by Cd, Pb, Zn, Mn and Cu. The AOA, AOB and comammox amoA gene copy numbers exhibited significant positive correlations with Pb and Zn levels and PN values, which indicated that the populations of AOA, AOB and comammox underwent adaptation and reproduction in response to pollution from multiple metals in the Siding mine area. Among them, the abundance of AOA was the highest, and AOA may survive better than AOB and comammox under such severely pollution-stressed and ammonialimited conditions. The phyla Thaumarchaeota and Crenarchaeota may play vital roles in the soil ammonia oxidation process. Unlike AOA, AOB may use soil available phosphorus to help them compete for NH3 and other limiting nutrients with AOA and heterotrophs. Moreover, soil organic matter was the main factor influencing the species diversity of AOB, the beta-diversity of AOB and comammox, and the community composition of AOA, AOB and comammox. Our research will help to explain the role and importance of AOA, AOB and comammox in the different ecological restoration regions in the Siding mine area.</t>
  </si>
  <si>
    <t>10.1016/j.ecoenv.2021.112274</t>
  </si>
  <si>
    <t>WOS:000663125200002</t>
  </si>
  <si>
    <t>Effects of logging on the ecological strategy spectrum of a tropical montane rain forest</t>
  </si>
  <si>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</si>
  <si>
    <t>10.1016/j.ecolind.2021.107812</t>
  </si>
  <si>
    <t>WOS:000663327400005</t>
  </si>
  <si>
    <t>Coral community composition and carbonate production in an urbanized seascape</t>
  </si>
  <si>
    <t>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t>
  </si>
  <si>
    <t>10.1016/j.marenvres.2021.105322</t>
  </si>
  <si>
    <t>WOS:000663361900003</t>
  </si>
  <si>
    <t>Application of environmental DNA for assessment of contamination downstream of a legacy base metal mine</t>
  </si>
  <si>
    <t>Acid Rock Drainage (ARD) from legacy mines can negatively impact the biota in sediments and waters for tens of kilometers downstream. Here we used environmental (e)DNA metabarcoding to assess the impacts of metal contaminants on biota in sediment and water downstream of a legacy base metal sulfide mine in southeastern Australia, as exemplar of similar mines elsewhere. Concentrations of metals in water were below Australian water quality guideline values at 20 km downstream for copper (Cu), 40 km downstream for zinc (Zn) and 10 km downstream for lead (Pb). Sediment metal concentrations were below national guideline concentrations at 10 km downstream for Cu, 60 km downstream for Zn and 20 km downstream for Pb. In contrast, metabarcoding showed that biological communities from sediment samples at 10 km and 20 km downstream were similar to sites close to the mine and thus indicative of being impacted, despite metal concentrations being relatively low. As we illustrate, when combined with sediment and water chemistry, metabarcoding can provide more ecological robust perspective on the downstream effects of legacy mines, capturing the sensitivities of a diverse range of organisms.</t>
  </si>
  <si>
    <t>10.1016/j.jhazmat.2021.125794</t>
  </si>
  <si>
    <t>WOS:000664749100001</t>
  </si>
  <si>
    <t>Effects of antimony contamination on bioaccumulation and gut bacterial community of earthworm Eisenia fetida</t>
  </si>
  <si>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</si>
  <si>
    <t>10.1016/j.jhazmat.2021.126110</t>
  </si>
  <si>
    <t>WOS:000664769600006</t>
  </si>
  <si>
    <t>Recent changes in mountain hay meadows of high conservation value in eastern France</t>
  </si>
  <si>
    <t>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t>
  </si>
  <si>
    <t>10.1111/avsc.12573</t>
  </si>
  <si>
    <t>WOS:000667075000022</t>
  </si>
  <si>
    <t>Grazing regime alters plant community structure via patch-scale diversity in semiarid grasslands</t>
  </si>
  <si>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</si>
  <si>
    <t>10.1002/ecs2.3547</t>
  </si>
  <si>
    <t>WOS:000667707100009</t>
  </si>
  <si>
    <t>In Situ Effects of a Microplastic Mixture on the Community Structure of Benthic Macroinvertebrates in a Freshwater Pond</t>
  </si>
  <si>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</si>
  <si>
    <t>10.1002/etc.5119</t>
  </si>
  <si>
    <t>WOS:000667827600001</t>
  </si>
  <si>
    <t>Nitrogen Addition and Arbuscular Mycorrhizal Fungi Beta Diversity: Patterns and Mechanisms</t>
  </si>
  <si>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</si>
  <si>
    <t>10.3389/fenvs.2021.701653</t>
  </si>
  <si>
    <t>WOS:000668342100001</t>
  </si>
  <si>
    <t>Human encroachment into wildlife gut microbiomes</t>
  </si>
  <si>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</si>
  <si>
    <t>10.1038/s42003-021-02315-7</t>
  </si>
  <si>
    <t>WOS:000668739900006</t>
  </si>
  <si>
    <t>Arsenic bioaccumulation in the soil fauna alters its gut microbiome and microbial arsenic biotransformation capacity</t>
  </si>
  <si>
    <t>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t>
  </si>
  <si>
    <t>10.1016/j.jhazmat.2021.126018</t>
  </si>
  <si>
    <t>WOS:000668978700005</t>
  </si>
  <si>
    <t>Effects of different antimony contamination levels on paddy soil bacterial diversity and community structure</t>
  </si>
  <si>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</si>
  <si>
    <t>10.1016/j.ecoenv.2021.112339</t>
  </si>
  <si>
    <t>WOS:000670078500002</t>
  </si>
  <si>
    <t>Antibiotic accumulation, growth performance, intestinal diversification, and function of Nile tilapia (Oreochromis niloticus) feed by diets supplemented with different doses of sulfamethoxazole</t>
  </si>
  <si>
    <t>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t>
  </si>
  <si>
    <t>10.1007/s11356-021-15253-y</t>
  </si>
  <si>
    <t>WOS:000670173900015</t>
  </si>
  <si>
    <t>Winners and losers: prevalence of non-indigenous species under simulated marine heatwaves and high propagule pressure</t>
  </si>
  <si>
    <t>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t>
  </si>
  <si>
    <t>10.3354/meps13710</t>
  </si>
  <si>
    <t>WOS:000670332700002</t>
  </si>
  <si>
    <t>Soil biota community composition as affected by Cryptostegia madagascariensis invasion in a tropical Cambisol from North-eastern Brazil</t>
  </si>
  <si>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</si>
  <si>
    <t>10.1007/s42965-021-00177-y</t>
  </si>
  <si>
    <t>WOS:000671535000002</t>
  </si>
  <si>
    <t>Impacts of an Amazonian hydroelectric dam on frog assemblages</t>
  </si>
  <si>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</si>
  <si>
    <t>10.1371/journal.pone.0244580</t>
  </si>
  <si>
    <t>WOS:000671690200036</t>
  </si>
  <si>
    <t>Contrasting alien effects on native diversity along biotic and abiotic gradients in an arid protected area</t>
  </si>
  <si>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</si>
  <si>
    <t>10.1038/s41598-021-92763-2</t>
  </si>
  <si>
    <t>WOS:000671789900010</t>
  </si>
  <si>
    <t>Saline mine-water alters the structure and function of prokaryote communities in shallow groundwater below a tropical stream</t>
  </si>
  <si>
    <t>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t>
  </si>
  <si>
    <t>10.1016/j.envpol.2021.117318</t>
  </si>
  <si>
    <t>WOS:000672534900010</t>
  </si>
  <si>
    <t>Sub-chronic exposure to antibiotics doxycycline, oxytetracycline or florfenicol impacts gut barrier and induces gut microbiota dysbiosis in adult zebrafish (Daino rerio)</t>
  </si>
  <si>
    <t>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t>
  </si>
  <si>
    <t>10.1016/j.ecoenv.2021.112464</t>
  </si>
  <si>
    <t>WOS:000672581600001</t>
  </si>
  <si>
    <t>Changes in diversity and community assembly of jumping spiders (Araneae: Salticidae) after rainforest conversion to rubber and oil palm plantations</t>
  </si>
  <si>
    <t>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t>
  </si>
  <si>
    <t>10.7717/peerj.11012</t>
  </si>
  <si>
    <t>WOS:000672790700009</t>
  </si>
  <si>
    <t>Short-term warming increases root-associated fungal community dissimilarities among host plant species on the Qinghai-Tibetan Plateau</t>
  </si>
  <si>
    <t>Background and aims Root-associated fungi link resource fluxes between the soil and roots, thus influencing plant growth and ecosystem function. However, at present, the impact of global warming on these fungi and their plant host specialization, especially in ecosystems on the Qinghai-Tibetan Plateau is obscure. Methods Here, pot experiments were conducted to examine the root-associated fungal community structure of 14 host plant species undergoing two years of experimental warming on the Qinghai-Tibetan Plateau. Infrared heaters were used to raise the soil temperature to 2.0 celcius higher than the relative ambient temperature. Subsequently, the endophytic and rhizoplane fungal communities were explored by sequencing the fungal internal transcribed spacer (ITS) region. Results A total of 1564 OTUs were identified, which were dominated by ascomycetes (82.71%). Similar root-associated fungal diversity and community composition were identified under ambient and warming environments. The root-associated fungal community composition significantly varied among different host plant species, and this dissimilarity was enhanced under experimental warming. Root N concentration was essential in shaping the structure of the root-associated fungal community. Conclusions Although the root-associated fungal community was resilient to short-term warming, our study highlights that climate warming can induce higher host specificity of root-associated fungal communities in the alpine meadow ecosystem.</t>
  </si>
  <si>
    <t>10.1007/s11104-021-05073-x</t>
  </si>
  <si>
    <t>WOS:000673903900004</t>
  </si>
  <si>
    <t>Functional traits predict resident plant response to Reynoutria japonica invasion in riparian and fallow communities in southern Poland</t>
  </si>
  <si>
    <t>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t>
  </si>
  <si>
    <t>10.1093/aobpla/plab035</t>
  </si>
  <si>
    <t>WOS:000674254300001</t>
  </si>
  <si>
    <t>Soil bacterial community dynamics following bioaugmentation with Paenarthrobacter sp. W11 in atrazine-contaminated soil</t>
  </si>
  <si>
    <t>Atrazine is one of the most widely used herbicides, however it and its metabolites cause widespread contamination in soil and ground water. Bioaugmentation is an effective method for remediation of environmental organic pollutants. High-throughput sequencing provides an important tool for understanding the changes of microbial community and function in response to pollutants degradation based on bioaugmentation. In this study, the effect of biodegradation with Paenarthrobacter sp. W11 and the change of microbial community during atrazine degradation were investigated. The results showed that bioaugmentation significantly accelerated the degradation rate of atrazine in soil and reduced the toxic effect of atrazine residues on wheat growth. The extra available NH4+ through atrazine mineralization could serve as a nitrogen source to increase microbial numbers. High-throughput sequencing further revealed that the microbial community restored a new balance. The function of microbial community predicted by PICRUSt2 suggested that the biodegradation process of atrazine affected not only the atrazine degradation pathway, but also the nitrogen metabolism pathway. Methylobacillus and Pseudomonas were considered as the most important indigenous atrazine-degrading microorganisms, because their relative abundances were positively correlated with the relative abundance of Paenarthrobacter and atrazine degradation pathway. This study provides insight into the cooperation between indigenous microorganisms and external inoculums on atrazine degradation process.</t>
  </si>
  <si>
    <t>10.1016/j.chemosphere.2021.130976</t>
  </si>
  <si>
    <t>WOS:000675464000004</t>
  </si>
  <si>
    <t>Benthic macroinvertebrate community response to environmental changes over seven decades in an urbanized estuary in the northeastern United States</t>
  </si>
  <si>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</si>
  <si>
    <t>10.1016/j.marenvres.2021.105323</t>
  </si>
  <si>
    <t>WOS:000675834100003</t>
  </si>
  <si>
    <t>Assessing Ecological Disturbance in Neotropical Forest Landscapes Using High-Level Diversity and High-Level Functionality: Surprising Outcomes from a Case Study with Spider Assemblages</t>
  </si>
  <si>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</si>
  <si>
    <t>10.3390/land10070758</t>
  </si>
  <si>
    <t>WOS:000676869600001</t>
  </si>
  <si>
    <t>Fish assemblage structure in a Neotropical urbanised prairie stream exposed to multiple natural and anthropic factors</t>
  </si>
  <si>
    <t>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t>
  </si>
  <si>
    <t>10.1111/eff.12625</t>
  </si>
  <si>
    <t>WOS:000678487600001</t>
  </si>
  <si>
    <t>Rapid ecosystem-scale consequences of acute deoxygenation on a Caribbean coral reef</t>
  </si>
  <si>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</si>
  <si>
    <t>10.1038/s41467-021-24777-3</t>
  </si>
  <si>
    <t>WOS:000678711600001</t>
  </si>
  <si>
    <t>The Effect of Forest Management on the Avifauna of a Brazilian Dry Forest</t>
  </si>
  <si>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</si>
  <si>
    <t>10.3389/fevo.2021.631247</t>
  </si>
  <si>
    <t>WOS:000679980000001</t>
  </si>
  <si>
    <t>Comparison of macroinvertebrate assemblages in a stream before and after fine sedimentation by deer-induced forest floor degradation</t>
  </si>
  <si>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</si>
  <si>
    <t>10.1111/1440-1703.12256</t>
  </si>
  <si>
    <t>WOS:000680231700001</t>
  </si>
  <si>
    <t>The stoichiometric signature of high-frequency fire in forest floor food webs</t>
  </si>
  <si>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</si>
  <si>
    <t>10.1002/ecm.1477</t>
  </si>
  <si>
    <t>WOS:000680816000001</t>
  </si>
  <si>
    <t>Bird diversity in 'parica' (Schizolobium amazonicum Huber ex Ducke) plantations and forest fragments in Eastern Amazon: taxonomic diversity, ecological guilds, and functional trait composition</t>
  </si>
  <si>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</si>
  <si>
    <t>10.1080/01650521.2021.1914295</t>
  </si>
  <si>
    <t>WOS:000681185800001</t>
  </si>
  <si>
    <t>Comparative assessment of macroinvertebrate communities within three Afromontane headwater streams influenced by different land use patterns</t>
  </si>
  <si>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</si>
  <si>
    <t>10.1016/j.ecolind.2021.107972</t>
  </si>
  <si>
    <t>WOS:000681696400005</t>
  </si>
  <si>
    <t>Nanoplastics Induce More Serious Microbiota Dysbiosis and Inflammation in the Gut of Adult Zebrafish than Microplastics</t>
  </si>
  <si>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</si>
  <si>
    <t>10.1007/s00128-021-03348-8</t>
  </si>
  <si>
    <t>WOS:000684073700005</t>
  </si>
  <si>
    <t>Resistance, resilience, and functional redundancy of freshwater bacterioplankton communities facing a gradient of agricultural stressors in a mesocosm experiment</t>
  </si>
  <si>
    <t>Agricultural pollution with fertilizers and pesticides is a common disturbance to freshwater biodiversity. Bacterioplankton communities are at the base of aquatic food webs, but their responses to these potentially interacting stressors are rarely explored. To test the extent of resistance and resilience in bacterioplankton communities faced with agricultural stressors, we exposed freshwater mesocosms to single and combined gradients of two commonly used pesticides: the herbicide glyphosate (0-15 mg/L) and the neonicotinoid insecticide imidacloprid (0-60 mu g/L), in high or low nutrient backgrounds. Over the 43-day experiment, we tracked variation in bacterial density with flow cytometry, carbon substrate use with Biolog EcoPlates, and taxonomic diversity and composition with environmental 16S rRNA gene amplicon sequencing. We show that only glyphosate (at the highest dose, 15 mg/L), but not imidacloprid, nutrients, or their interactions measurably changed community structure, favouring members of the Proteobacteria including the genus Agrobacterium. However, no change in carbon substrate use was detected throughout, suggesting functional redundancy despite taxonomic changes. We further show that communities are resilient at broad, but not fine taxonomic levels: 24 days after glyphosate application the precise amplicon sequence variants do not return, and tend to be replaced by phylogenetically close taxa. We conclude that high doses of glyphosate - but still within commonly acceptable regulatory guidelines - alter freshwater bacterioplankton by favouring a subset of higher taxonomic units (i.e., genus to phylum) that transiently thrive in the presence of glyphosate. Longer-term impacts of glyphosate at finer taxonomic resolution merit further investigation.</t>
  </si>
  <si>
    <t>10.1111/mec.16100</t>
  </si>
  <si>
    <t>WOS:000684162300001</t>
  </si>
  <si>
    <t>Impact of sulfamethoxazole on a riverine microbiome</t>
  </si>
  <si>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</si>
  <si>
    <t>10.1016/j.watres.2021.117382</t>
  </si>
  <si>
    <t>WOS:000684282100006</t>
  </si>
  <si>
    <t>Role of abandoned grasslands in the conservation of spider communities across heterogeneous mountain landscapes</t>
  </si>
  <si>
    <t>In the last decades, the transformation of agriculture and the associated decline in semi-natural grasslands have been major drivers of the loss of spider diversity across Europe, in particular in mountain regions. In the early stages of forest succession, abandoned grasslands exhibit a complex vegetation structure sharing environmental conditions with both open habitats and forests. At the landscape scale, the occurrence of abandoned patches can potentially provide novel habitats and niches for ground-dwelling spiders. Here, we used two complementary methods: traditional species diversity analyses and species-habitat networks to understand how abandoned grasslands can interact with the surrounding habitat mosaic in supporting spider communities. We selected six landscapes along an elevational gradient and sampled spiders in all the major agricultural and semi-natural habitats occurring across the landscapes. At all elevations, we found a similar species richness and activity density between agricultural habitats (i.e. meadows, pastures, and crop fields) and abandoned grasslands. On the contrary, we consistently found lower species richness and activity density in forests than in all open habitats. Despite the similar diversity between open habitats, most species-habitat networks exhibited a high and constant modularity, i.e. the same species tended to occur in a specific habitat type and not in the others. Only a few species were shared between abandoned and agricultural habitats, indicating that abandoned grasslands cannot support populations of most species typical of open managed habitats. Early abandoned patches increased landscape habitat heterogeneity providing unique niches to spider species that, however, rarely occur in other habitats. The maintenance of multiple habitat types across the landscape is expected to increase the regional species pool, while the role of abandoned patches as surrogate habitat for the conservation of spider species typical of semi-natural grasslands appeared limited. Similarly, abandoned patches are not expected to help maintaining the populations of spider species occurring in agricultural habitats.</t>
  </si>
  <si>
    <t>10.1016/j.agee.2021.107526</t>
  </si>
  <si>
    <t>WOS:000685062400002</t>
  </si>
  <si>
    <t>Follow the forest: Slow resilience of West African rainforest frog assemblages after selective logging</t>
  </si>
  <si>
    <t>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t>
  </si>
  <si>
    <t>10.1016/j.foreco.2021.119489</t>
  </si>
  <si>
    <t>WOS:000685082000007</t>
  </si>
  <si>
    <t>Transformations from specialists to generalists cause bacterial communities are more stable than micro-eukaryotic communities under anthropogenic activity disturbance</t>
  </si>
  <si>
    <t>Different microbial components have different responses to environmental disturbances. Here, we found that the planktonic bacterial and micro-eukaryotic communities had different responses to anthropogenic activity distur-bance in a subtropical river, because they had different survival strategies (generalist and specialist). We used nu-trients (nitrogen and phosphorus) as indicators of anthropogenic activities. We found that river stretch 1 showed low nutrient concentrations from October 2018 to September 2019. However, a nutrient disturbance was ob-served in river stretch 2. The nutrient concentrations increased largely in December and January but recovered to low values in June. Bacterial communities had higher resilience under this disturbance than micro-eukaryotic communities in river stretch 2. The bacterial community composition were quite different between the two river stretches in December and January but were similar in June and July. However, the differences of micro-eukaryotic community composition between the two river stretches were always high during the study period. The bacterial communities in river stretch 2 contained more generalists and nutrient tolerant specialists. The bacterial nutrient tolerant specialists rapidly decreased in the low nutrient months and were replaced by the generalists. Bacteria which were involved in this shifts accounted for 29.3% of the total abundance. However, the micro-eukaryotic communities in river stretch 2 contained more moderate generalists. These moderate general-ists were insensitive to the variation of nutrients and only 19.56% of the micro-eukaryotes had significant re-sponses to the disturbance. The survival strategies caused bacterial communities had higher adaptability than eukaryotes to environmental fluctuation. (c) 2021 Elsevier B.V. All rights reserved.</t>
  </si>
  <si>
    <t>10.1016/j.scitotenv.2021.148141</t>
  </si>
  <si>
    <t>WOS:000685278900008</t>
  </si>
  <si>
    <t>Synergistic Impacts of Arsenic and Antimony Co-contamination on Diazotrophic Communities</t>
  </si>
  <si>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</si>
  <si>
    <t>10.1007/s00248-021-01824-6</t>
  </si>
  <si>
    <t>WOS:000685376800001</t>
  </si>
  <si>
    <t>Phenotypic plasticity may mediate habitat filtering in a forest edge community</t>
  </si>
  <si>
    <t>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t>
  </si>
  <si>
    <t>10.1111/oik.08455</t>
  </si>
  <si>
    <t>WOS:000685442300001</t>
  </si>
  <si>
    <t>Organic manure rather than phosphorus fertilization primarily determined asymbiotic nitrogen fixation rate and the stability of diazotrophic community in an upland red soil</t>
  </si>
  <si>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</si>
  <si>
    <t>10.1016/j.agee.2021.107535</t>
  </si>
  <si>
    <t>WOS:000685518100009</t>
  </si>
  <si>
    <t>The effects of different management interventions on degraded rangelands in Iceland</t>
  </si>
  <si>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</si>
  <si>
    <t>10.1002/ldr.4057</t>
  </si>
  <si>
    <t>WOS:000685679300001</t>
  </si>
  <si>
    <t>The invasive tropical tanner grass decreases diversity of the native aquatic macrophyte community at two scales in a subtropical tidal river</t>
  </si>
  <si>
    <t>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t>
  </si>
  <si>
    <t>10.1590/0102-33062020abb0360</t>
  </si>
  <si>
    <t>WOS:000686272700016</t>
  </si>
  <si>
    <t>New invasive predator reduces the abundance of native prey in a cold-temperate marine fouling community</t>
  </si>
  <si>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</si>
  <si>
    <t>10.1002/aqc.3681</t>
  </si>
  <si>
    <t>WOS:000686447700001</t>
  </si>
  <si>
    <t>Microplastic residues in wetland ecosystems: Do they truly threaten the plant-microbe-soil system?</t>
  </si>
  <si>
    <t>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t>
  </si>
  <si>
    <t>10.1016/j.envint.2021.106708</t>
  </si>
  <si>
    <t>WOS:000686786000006</t>
  </si>
  <si>
    <t>Exposure to heavy metal and antibiotic enriches antibiotic resistant genes on the tire particles in soil</t>
  </si>
  <si>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</si>
  <si>
    <t>10.1016/j.scitotenv.2021.148417</t>
  </si>
  <si>
    <t>WOS:000689569200007</t>
  </si>
  <si>
    <t>Comprehensive Insight into Lake Nasser Environment: Water Quality and Biotic Communities-A Case Study before Operating the Renaissance Dam</t>
  </si>
  <si>
    <t>This study focused on the monitoring and assessment of aquatic ecosystem functioning based on the abiotic and biotic features of Lake Nasser in the post-flood and pre-flood periods as the last ones before water storing behind the Grand Ethiopian Renaissance Dam. The physicochemical parameters, distribution and structure of biotic communities, including bacteria, phytoplankton, zooplankton, macrophytes, epiphytes and fish were analyzed at 15 sites. The values of most parameters (primarily temperature, total suspended solids, pH, orthophosphates, carbonates, sulphates and some cations) were higher in the pre-flood period, whereas higher values of conductivity, total dissolved solids, total solids, nitrites, nitrates, chemical oxygen demand, bicarbonates and chlorophyll a were recorded in the post-flood period. Cyanobacteria-dominated phytoplankton and total coliform bacteria were more abundant in the pre-flood period, and especially at sites 10-15, whereas higher abundances of zooplankton were recorded in the post-flood period. All these changes in parameters were significantly differentiated, and only the concentrations of dissolved oxygen, biochemical oxygen demand, ammonium and silicates were at similar level in both periods. The study also indicated that environmental factors had affected the macrophyte distribution and the adaptation of the invasive species Myriophyllum spicatum to thrive under different environmental factors in the lake. Besides, macrophytes provided the habitat to other aquatic organisms, especially epiphytes, and also helped maintaining the good water quality, nutrient cycling and stabilizing rivers' and lakes' banks. Generally, these conditions were rather favorable for biological processes and fish production.</t>
  </si>
  <si>
    <t>10.3390/w13162195</t>
  </si>
  <si>
    <t>WOS:000689918400001</t>
  </si>
  <si>
    <t>Short- and long-term effects of nutrient enrichment on salt marsh plant production and microbial community structure</t>
  </si>
  <si>
    <t>Nutrient enrichment impacts ecosystems globally. Population history, especially past resource environments, of numerically dominant plant species may affect their responses to subsequent changes in nutrient availability. Eutrophication can also alter plant-microbe interactions via direct effects on associated microbial communities or indirect effects on dominant species' biomass production/allocation as a result of modified plant-soil interactions. We combined a greenhouse common garden and a field reciprocal transplant of a salt marsh foundation species (Spartina alterniflora) within a long-term, whole-ecosystem, nutrient-enrichment study to determine whether enrichment affects plant production and microbial community structure differently depending on plant population history. For the greenhouse portion, we collected 20 S. alterniflora genotypes-10 from an enriched creek that had received elevated nutrient inputs for 10 years and 10 from an unenriched reference creek-and reared them in a common garden for 1 year. For the field portion, we conducted a 2-year, fully crossed reciprocal transplant experiment with two gardens each at the enriched and unenriched sites; we examined the effects of source site (i.e. population history), garden site and plant genotype. After 2 years, plants in enriched gardens had higher above-ground biomass and altered below-ground allocation compared to plants in unenriched gardens. However, performance also depended on plant population history: plants from the enriched site had decreased above-ground and rhizome production compared to plants from the unenriched site, most notably in unenriched gardens. In addition, almost all above- and below-ground traits varied depending on plant genotypic identity. Effects of nutrient enrichment on the associated microbial community were also pronounced. Following 1 year in common garden, microbial community structure varied by plant population history and S. alterniflora genotypic identity. However, at the end of the reciprocal transplant, microbial communities differed primarily between enriched and unenriched gardens. Synthesis. Nutrient enrichment can impact plant foundation species and associated soil microbes in the short term. Most importantly, nutrient enrichment can also have long-lasting effects on plant populations and associated microbial communities that potentially compromise their ability to respond to changing resource conditions in the future.</t>
  </si>
  <si>
    <t>10.1111/1365-2745.13756</t>
  </si>
  <si>
    <t>WOS:000690681300001</t>
  </si>
  <si>
    <t>Post-agriculture rain forest succession on a tropical Pacific island</t>
  </si>
  <si>
    <t>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t>
  </si>
  <si>
    <t>10.1111/jvs.13064</t>
  </si>
  <si>
    <t>WOS:000690877500010</t>
  </si>
  <si>
    <t>Anthropogenic activities destabilized riverine bacterial communities by increasing synchrony between taxa</t>
  </si>
  <si>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</si>
  <si>
    <t>10.1007/s00027-021-00818-3</t>
  </si>
  <si>
    <t>WOS:000691269000001</t>
  </si>
  <si>
    <t>The ecology of the plastisphere: Microbial composition, function, assembly, and network in the freshwater and seawater ecosystems</t>
  </si>
  <si>
    <t>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t>
  </si>
  <si>
    <t>10.1016/j.watres.2021.117428</t>
  </si>
  <si>
    <t>WOS:000691522600004</t>
  </si>
  <si>
    <t>Warming and imidacloprid pulses determine macroinvertebrate community dynamics in experimental streams</t>
  </si>
  <si>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</si>
  <si>
    <t>10.1111/gcb.15856</t>
  </si>
  <si>
    <t>WOS:000692163100001</t>
  </si>
  <si>
    <t>Benthic eDNA metabarcoding provides accurate assessments of impact from oil extraction, and ecological insights</t>
  </si>
  <si>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</si>
  <si>
    <t>10.1016/j.ecolind.2021.108064</t>
  </si>
  <si>
    <t>WOS:000692561800014</t>
  </si>
  <si>
    <t>Inconsistent effects of nitrogen canopy enrichment and soil warming on black spruce epiphytic phyllosphere bacterial communities, taxa, and functions</t>
  </si>
  <si>
    <t>Phyllosphere microbial communities have received considerable attention given their important influence on their plant hosts and on ecosystem functioning. In a context where climate change threatens the sustainability of ecosystems, it is important to understand how phyllosphere microbes will respond to changes in their environment. We used 16S rRNA gene amplicon sequencing to quantify phyllosphere bacterial communities of black spruce (Picea mariana (Mill.) B.S.P.) exposed to nitrogen canopy enrichment and soil warming in the boreal forest of Quebec, Canada. The treatments were applied from April to September 2015 and the sampling was done in September. Neither treatment influenced the overall community structure and diversity of black spruce phyllosphere bacterial communities. However, some bacterial taxa and inferred microbial functions did differ among treatments, revealing in particular a stronger response of some bacteria to soil warming rather than nitrogen enrichment. Our results suggest that soil warming could potentially induce more changes in phyllosphere bacterial taxa abundances and functions than could nitrogen addition, with potential consequences for microbial diversity and boreal forest ecosystem function under likely climate change scenarios. Our study suggests avenues for further research to integrate a more mechanistic understanding of the importance of phyllosphere microbes for black spruce and boreal forest ecosystems.</t>
  </si>
  <si>
    <t>10.1139/cjfr-2020-0366</t>
  </si>
  <si>
    <t>WOS:000692990000003</t>
  </si>
  <si>
    <t>NITOGEN INPUTS REDUCE FUNGAL DIVERSITY AND ALTER COMMUNITY COMPOSITION IN A CHINESE FIR PLANTATION</t>
  </si>
  <si>
    <t>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t>
  </si>
  <si>
    <t>10.15666/aeer/1904_26052615</t>
  </si>
  <si>
    <t>WOS:000693450100001</t>
  </si>
  <si>
    <t>Repeated exposure to fungicide tebuconazole alters the degradation characteristics, soil microbial community and functional profiles*</t>
  </si>
  <si>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</si>
  <si>
    <t>10.1016/j.envpol.2021.117660</t>
  </si>
  <si>
    <t>WOS:000693969100004</t>
  </si>
  <si>
    <t>Shifts in the Rhizosphere and Endosphere Colonizing Bacterial Communities Under Drought and Salinity Stress as Affected by a Biofertilizer Consortium</t>
  </si>
  <si>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</si>
  <si>
    <t>10.1007/s00248-021-01856-y</t>
  </si>
  <si>
    <t>WOS:000694569800001</t>
  </si>
  <si>
    <t>Impact assessment of ephemeral discharge of contamination downstream of two legacy base metal mines using environmental DNA</t>
  </si>
  <si>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</si>
  <si>
    <t>10.1016/j.jhazmat.2021.126483</t>
  </si>
  <si>
    <t>WOS:000694775100005</t>
  </si>
  <si>
    <t>Habitat patch size and tree species richness shape the bird community in urban green spaces of rapidly urbanizing Himalayan foothill region of India</t>
  </si>
  <si>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</si>
  <si>
    <t>10.1007/s11252-021-01165-9</t>
  </si>
  <si>
    <t>WOS:000694787600001</t>
  </si>
  <si>
    <t>Community response of arbuscular mycorrhizal fungi to extreme drought in a cold-temperate grassland</t>
  </si>
  <si>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</si>
  <si>
    <t>10.1111/nph.17692</t>
  </si>
  <si>
    <t>WOS:000695513500001</t>
  </si>
  <si>
    <t>Soil infectivity and arbuscular mycorrhizal fungi communities in four urban green sites in central Argentina</t>
  </si>
  <si>
    <t>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t>
  </si>
  <si>
    <t>10.1016/j.ufug.2021.127285</t>
  </si>
  <si>
    <t>WOS:000696626400008</t>
  </si>
  <si>
    <t>Effect of heavy metals pollution on the composition and diversity of the intestinal microbial community of a pygmy grasshopper (Eucriotettix oculatus)</t>
  </si>
  <si>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</si>
  <si>
    <t>10.1016/j.ecoenv.2021.112582</t>
  </si>
  <si>
    <t>WOS:000696724900001</t>
  </si>
  <si>
    <t>Soil Bacterial Community Responses to N Application and Warming in a Qinghai-Tibetan Plateau Alpine Steppe</t>
  </si>
  <si>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</si>
  <si>
    <t>10.3389/fevo.2021.709518</t>
  </si>
  <si>
    <t>WOS:000696743900001</t>
  </si>
  <si>
    <t>Agricultural land use affects the heterogeneity of Odonata communities in the Brazilian Pampa</t>
  </si>
  <si>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</si>
  <si>
    <t>10.1007/s10841-021-00349-0</t>
  </si>
  <si>
    <t>WOS:000696774700001</t>
  </si>
  <si>
    <t>The effect of atrazine on intestinal histology, microbial community and short chain fatty acids in Pelophylax nigromaculatus tadpoles*</t>
  </si>
  <si>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</si>
  <si>
    <t>10.1016/j.envpol.2021.117702</t>
  </si>
  <si>
    <t>WOS:000696782200002</t>
  </si>
  <si>
    <t>Triphenyltin exposure causes changes in health-associated gut microbiome and metabolites in marine medaka</t>
  </si>
  <si>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</si>
  <si>
    <t>10.1016/j.envpol.2021.117751</t>
  </si>
  <si>
    <t>WOS:000696782200008</t>
  </si>
  <si>
    <t>Single and combined effects of microplastics, pyrethroid and food resources on the life-history traits and microbiome of Chironomus riparius</t>
  </si>
  <si>
    <t>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t>
  </si>
  <si>
    <t>10.1016/j.envpol.2021.117848</t>
  </si>
  <si>
    <t>WOS:000696798500005</t>
  </si>
  <si>
    <t>Eight years of manure fertilization favor copiotrophic traits in paddy soil microbiomes</t>
  </si>
  <si>
    <t>The application of organic matter to agricultural land is an efficient way to maintain soil eco-sustainability through the mediation of the soil-dwelling microbiome. Despite their important role in soil health, trait-based changes within cross-kingdom microbial communities following organic fertilization in soils are still poorly characterized. Here, shotgun metagenomic sequencing was used to examine microbial taxonomic and functional composition when subjected to a fertilization gradient, in which increasing amounts of cow manure have been continuously applied to paddy lands over 8 years. Organic fertilization did not have significant effects on the richness and diversity of soil microbial communities (bacteria, archaea, or fungi), nor the overall archaeal or fungal community compositions. However, bacterial communities were highly responsive to the fertilization gradient, and a unidirectional and progressive shift was observed. Notably, over 95% of bacterial taxa showing significant changes in relative abundances could be classified as copiotrophic taxa, such as those assigned to the Proteobacteria and Actinobacteria; in contrast, those in non-fertilized soils were mostly assigned to Acidobacteria, which is an oligotrophic group. Coupled with these changes, indices such as the decreased ratios of unclassified bacterial taxa to the total taxa with fertilization provided both direct and indirect lines of evidence for shifts towards a higher proportion of microbes with a copiotrophic lifestyle in fertilized soils compared with controls. Besides, the relative abundances of functional genes responsible for nutrient cycles (e.g., nitrate and sulfur reduction) as well as the degradation of complex organic compounds (e.g., lignin) were generally enriched with fertilization compared with the controls, implying a potential for preferentially enhanced nutrient biogeochemical processes with the higher proportion of copiotrophic microbes in fertilized soils. The present work helps to identify trait-based shifts in cross-kingdom soil microbial communities under organic fertilization, for the better evaluation of sustainable eco-agricultural management from a microbial community viewpoint.</t>
  </si>
  <si>
    <t>10.1016/j.ejsobi.2021.103352</t>
  </si>
  <si>
    <t>WOS:000696930400001</t>
  </si>
  <si>
    <t>Impacts of municipal wastewater treatment plant discharge on microbial community structure and function of the receiving river in Northwest Tibetan Plateau</t>
  </si>
  <si>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</si>
  <si>
    <t>10.1016/j.jhazmat.2021.127170</t>
  </si>
  <si>
    <t>WOS:000697062800005</t>
  </si>
  <si>
    <t>Spartina alterniflora raised soil sulfide content by regulating sulfur cycle-associated bacteria in the Jiuduansha Wetland of China</t>
  </si>
  <si>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</si>
  <si>
    <t>10.1007/s11104-021-05154-x</t>
  </si>
  <si>
    <t>WOS:000697072900001</t>
  </si>
  <si>
    <t>Response of avian communities to edges of tropical montane forests: Implications for the future of endemic habitat specialists</t>
  </si>
  <si>
    <t>Tropical montane landscapes harbor diverse flora and fauna, and many species there are ecological specialists with narrow elevational distributions, limited geographic ranges, and small global populations. Along elevational gradients, environmental conditions and community composition change dramatically over small spatial scales. As forests are disturbed and edges formed with modified habitat, natural communities could be affected differently across elevations by the many physical and biotic changes at edges. We asked whether forest edges produced altered patterns of avian species composition along a cloud forest - dry forest gradient on the Pacific slope of the Tilar ' an mountains in Monteverde, Costa Rica. A strong moisture gradient produces cloud forests near the ridgetops, with a concentration of species endemic to the Costa Rica - Panama highlands that are habitat specialists. We conducted 552 point counts across 110 locations from 1100 to 1800 m elevation, yielding 6586 detections of 115 species in 10 km2 of montane forest. We analyzed differences in species composition and single-species abundances between interior and near-edge forest habitats for species grouped by geographic range size. Species composition changed markedly from forest edge to interior in cloud forest habitats, but not in drier forests downslope. Endemic species, especially in cloud forest, were detected less frequently in mature forest near edges than in mature forest interior, and this difference was more pronounced than for cosmopolitan species. On tropical mountainsides, we can expect habitatspecialist endemic species to be more sensitive to further habitat modification. This sensitivity could limit the resilience of tropical bird communities.</t>
  </si>
  <si>
    <t>10.1016/j.gecco.2021.e01776</t>
  </si>
  <si>
    <t>WOS:000697343100005</t>
  </si>
  <si>
    <t>Ecological insights into the disturbances in bacterioplankton communities due to emerging organic pollutants from different anthropogenic activities along an urban river</t>
  </si>
  <si>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</si>
  <si>
    <t>10.1016/j.scitotenv.2021.148973</t>
  </si>
  <si>
    <t>WOS:000697347800008</t>
  </si>
  <si>
    <t>Impact of wastewater on the microbial diversity of periphyton and its tolerance to micropollutants in an engineered flow-through channel system</t>
  </si>
  <si>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</si>
  <si>
    <t>10.1016/j.watres.2021.117486</t>
  </si>
  <si>
    <t>WOS:000697759000002</t>
  </si>
  <si>
    <t>Effects of Ocean Acidification, Hypoxia, and Warming on the Gut Microbiota of the Thick Shell Mussel Mytilus coruscus Through 16S rRNA Gene Sequencing</t>
  </si>
  <si>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</si>
  <si>
    <t>10.3389/fmars.2021.736338</t>
  </si>
  <si>
    <t>WOS:000697823500001</t>
  </si>
  <si>
    <t>Effects of deforestation from cattle ranching over time on protected rainforest streams in the Rama-Kriol Territory, Nicaragua</t>
  </si>
  <si>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</si>
  <si>
    <t>10.1007/s10750-021-04684-w</t>
  </si>
  <si>
    <t>WOS:000698050200001</t>
  </si>
  <si>
    <t>Occurrence of antibiotic resistome in farmland soils near phosphorus chemical industrial area</t>
  </si>
  <si>
    <t>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t>
  </si>
  <si>
    <t>10.1016/j.scitotenv.2021.149053</t>
  </si>
  <si>
    <t>WOS:000698511000003</t>
  </si>
  <si>
    <t>Traditional Free-Ranging Livestock Farming as a Management Strategy for Biological and Cultural Landscape Diversity: A Case from the Southern Apennines</t>
  </si>
  <si>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</si>
  <si>
    <t>10.3390/land10090957</t>
  </si>
  <si>
    <t>WOS:000699625200001</t>
  </si>
  <si>
    <t>Coastal heathland vegetation is surprisingly resistant to experimental drought across successional stages and latitude</t>
  </si>
  <si>
    <t>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t>
  </si>
  <si>
    <t>10.1111/oik.08098</t>
  </si>
  <si>
    <t>WOS:000700822000001</t>
  </si>
  <si>
    <t>Livestock grazing-induced large-scale biotic homogenization in arid Mediterranean steppe rangelands</t>
  </si>
  <si>
    <t>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t>
  </si>
  <si>
    <t>10.1002/ldr.4095</t>
  </si>
  <si>
    <t>WOS:000700829400001</t>
  </si>
  <si>
    <t>Terrestrial input of herbicides has significant impacts on phytoplankton and bacterioplankton communities in coastal waters</t>
  </si>
  <si>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</si>
  <si>
    <t>10.1002/lno.11940</t>
  </si>
  <si>
    <t>WOS:000700937800001</t>
  </si>
  <si>
    <t>The impact of livestock grazing and canopy gaps on species pool and functional diversity of ground flora in the Caspian beech forests of Iran</t>
  </si>
  <si>
    <t>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t>
  </si>
  <si>
    <t>10.1111/avsc.12592</t>
  </si>
  <si>
    <t>WOS:000701239900010</t>
  </si>
  <si>
    <t>Impacts of benzo(a)pyrene exposure on scallop (Chlamys farreri) gut health and gut microbiota composition</t>
  </si>
  <si>
    <t>The gut tissue interacts with nutrients and pollutants which can impact gut health. Gut microbiota is essential to the host health, but is also easily affected by external environment. However, little is known about the toxicological assessment of environmental contaminants on gut health and microbiota, especially in marine invertebrates. In this study, we first explored the effect of benzo(a)pyrene (BaP) on the gut health and gut microbiota of scallops (Chlamys farreri). The scallops were exposed to different concentrations (0, 0.4, 2 and 10 mu g/L) of BaP for 21 days. The histological morphology, immune-and oxidative enzyme-related gene expression, and lipid peroxidation of the scallops were analyzed at 7, 14 and 21 days. The results revealed that BaP could impair intestinal barrier function, increasing the intestinal permeability of scallops. Moreover, immune and antioxidant responses were induced in the gut tissue. After a 21-day exposure to different concentrations of BaP, the intestinal microbial community was analyzed based on 16S rRNA sequencing. Our results suggested that BaP exposure altered the gut microbial diversity and composition in scallops. Many beneficial genera declined after BaP treatment, while the potential pathogens were increased, such as Mycoplasma and Tenacibaculum. A series of hydrocarbon-degrading bacteria were recognized in BaP-treated groups, such as Pseudomonas, Polaribacter, Amphritea and Kordiimonas. Interestingly, the degrading bacteria present varied after exposure to different concentrations of BaP. Overall, this study provides new insights into gut health and gut microbiota in marine invertebrates following exposure to persistent organic pollutants. (c) 2021 Published by Elsevier B.V.</t>
  </si>
  <si>
    <t>10.1016/j.scitotenv.2021.149471</t>
  </si>
  <si>
    <t>WOS:000701263300010</t>
  </si>
  <si>
    <t>Evolution of PM2.5 bacterial community structure in Beijing's suburban atmosphere</t>
  </si>
  <si>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</si>
  <si>
    <t>10.1016/j.scitotenv.2021.149387</t>
  </si>
  <si>
    <t>WOS:000701265500006</t>
  </si>
  <si>
    <t>Season of prescribed fire determines grassland restoration outcomes after fire exclusion and overgrazing</t>
  </si>
  <si>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</si>
  <si>
    <t>10.1002/ecs2.3730</t>
  </si>
  <si>
    <t>WOS:000701322700015</t>
  </si>
  <si>
    <t>Urban remnant size alters fungal functional groups dispersed by a digging mammal</t>
  </si>
  <si>
    <t>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t>
  </si>
  <si>
    <t>10.1007/s10531-021-02287-4</t>
  </si>
  <si>
    <t>WOS:000701358300001</t>
  </si>
  <si>
    <t>Pollution alters methanogenic and methanotrophic communities and increases dissolved methane in small ponds</t>
  </si>
  <si>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</si>
  <si>
    <t>10.1016/j.scitotenv.2021.149723</t>
  </si>
  <si>
    <t>WOS:000701585200009</t>
  </si>
  <si>
    <t>Meadow degradation increases spatial turnover rates of the fungal community through both niche selection and dispersal limitation</t>
  </si>
  <si>
    <t>The alpine meadow ecosystem, as the main ecosystem of the Qinghai-Tibet Plateau, has been heavily degraded over the past several decades due to overgrazing and climate change. Although soil microorganisms play key roles in the stability and succession of grassland ecosystems, their response to grassland degradation has not been investigated at spatial scale. Here, we systematically analyzed the spatial turnover rates of soil prokaryotic and fungal communities in degraded and undegraded meadows through distance-decay relationship (DDR) and species area relationship (SAR), as well as the community assembly mechanisms behind them. Although the composition and structure of both fungal and prokaryotic communities showed significant changes between undegraded and degraded meadows, steeper spatial turnover rates were only observed in fungi (Degraded Alpine Meadow beta = 0.0142, Undegraded Alpine Meadow beta = 0.0077, P &lt; 0.05). Mantel tests indicated that edaphic variables and vegetation factors showed significant correlations to the beta diversity of fungal community only in degraded meadow, suggesting soil and vegetation heterogeneity both contributed to the variation of fungal community in that system. Correspondingly, a novel phylogenetic null model analysis demonstrated that environmental selection was enhanced in the fungal community assembly process during meadow degradation. Interestingly, dispersal limitation was also enhanced for the fungal community in the degraded meadow, and its relative contribution to other assembly process (i.e. selection and drift) showed a significant linear increase with spatial distance, suggesting that dispersal limitation played a greater role as distance increased. Our findings indicated the spatial scaling of the fungal community is altered during meadow degradation by both niche selec-tion and dispersal limitation. This study provides a new perspective for the assessment of soil microbial responses to vegetation changes in alpine areas. (c) 2021 Elsevier B.V. All rights reserved.</t>
  </si>
  <si>
    <t>10.1016/j.scitotenv.2021.149362</t>
  </si>
  <si>
    <t>WOS:000701768400007</t>
  </si>
  <si>
    <t>A survey of benthic invertebrate communities in native and non-native seagrass beds in St. John, USVI</t>
  </si>
  <si>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</si>
  <si>
    <t>10.1016/j.aquabot.2021.103448</t>
  </si>
  <si>
    <t>WOS:000701772800007</t>
  </si>
  <si>
    <t>Multi-taxa environmental DNA inventories reveal distinct taxonomic and functional diversity in urban tropical forest fragments</t>
  </si>
  <si>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</si>
  <si>
    <t>10.1016/j.gecco.2021.e01724</t>
  </si>
  <si>
    <t>WOS:000701886400004</t>
  </si>
  <si>
    <t>Alkaline mine drainage drives stream sediment microbial community structure and function</t>
  </si>
  <si>
    <t>With advances in eDNA metabarcoding, environmental microbiomes are increasingly used as cost-effective tools for monitoring ecosystem health. Stream ecosystems in Central Appalachia, heavily impacted by alkaline drainage from mountaintop coal mining, present ideal opportunities for biomonitoring using stream microbiomes, but the structural and functional responses of microbial communities in different environmental compartments are not well understood. We investigated sediment microbiomes in mining impacted streams to determine how community composition and function respond to mining and to look for potential microbial bioindicators. Using 16s rRNA gene amplicon sequencing, we found that mining leads to shifts in microbial community structure, with the phylum Planctomycetes enriched by 1-6% at mined sites. We observed similar to 51% increase in species richness in bulk sediments. In contrast, of the 31 predicted metabolic pathways that changed significantly with mining, 23 responded negatively. Mining explained 15-18% of the variance in community structure and S, Se, % C and %N were the main drivers of community and functional pathway composition. We identified 12 microbial indicators prevalent in the ecosystem and sensitive to mining. Overall, alkaline mountaintop mining drainage causes a restructuration of the sediment microbiome, and our study identified promising microbial indicators for the long-term monitoring of these impacted streams. (C) 2021 Elsevier B.V. All rights reserved.</t>
  </si>
  <si>
    <t>10.1016/j.scitotenv.2021.150189</t>
  </si>
  <si>
    <t>WOS:000701984800008</t>
  </si>
  <si>
    <t>Elevated Temperature May Affect Nectar Microbes, Nectar Sugars, and Bumble Bee Foraging Preference</t>
  </si>
  <si>
    <t>Floral nectar, an important resource for pollinators, is inhabited by microbes such as yeasts and bacteria, which have been shown to influence pollinator preference. Dynamic and complex plant-pollinator-microbe interactions are likely to be affected by a rapidly changing climate, as each player has their own optimal growth temperatures and phenological responses to environmental triggers, such as temperature. To understand how warming due to climate change is influencing nectar microbial communities, we incubated a natural nectar microbial community at different temperatures and assessed the subsequent nectar chemistry and preference of the common eastern bumble bee, Bombus impatiens. The microbial community in floral nectar is often species-poor, and the cultured Brassica rapa nectar community was dominated by the bacterium Fructobacillus. Temperature increased the abundance of bacteria in the warmer treatment. Bumble bees preferred nectar inoculated with microbes, but only at the lower, ambient temperature. Warming therefore induced an increase in bacterial abundance which altered nectar sugars and led to significant differences in pollinator preference.</t>
  </si>
  <si>
    <t>10.1007/s00248-021-01881-x</t>
  </si>
  <si>
    <t>WOS:000702611300001</t>
  </si>
  <si>
    <t>Riparian vegetation structure and seasonality influence functional diversity more than taxonomic diversity of stream fish assemblages in the Colombian Amazon</t>
  </si>
  <si>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</si>
  <si>
    <t>10.1007/s10452-021-09904-y</t>
  </si>
  <si>
    <t>WOS:000702971900001</t>
  </si>
  <si>
    <t>Gut microbiome alterations in the crustacean Pacifastacus leniusculus exposed to environmental concentrations of antibiotics and effects on susceptibility to bacteria challenges*</t>
  </si>
  <si>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</si>
  <si>
    <t>10.1016/j.dci.2021.104181</t>
  </si>
  <si>
    <t>WOS:000703565600003</t>
  </si>
  <si>
    <t>The effect of altered flow regimes on aquatic primary producer communities: Diatoms and macrophytes</t>
  </si>
  <si>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</si>
  <si>
    <t>10.1002/eco.2353</t>
  </si>
  <si>
    <t>WOS:000703745700001</t>
  </si>
  <si>
    <t>Impacts of environmental stress on resistance and resilience of algal-associated bacterial communities</t>
  </si>
  <si>
    <t>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t>
  </si>
  <si>
    <t>10.1002/ece3.8184</t>
  </si>
  <si>
    <t>WOS:000703941100001</t>
  </si>
  <si>
    <t>Dam inundation simplifies the plant community composition</t>
  </si>
  <si>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</si>
  <si>
    <t>10.1016/j.scitotenv.2021.149827</t>
  </si>
  <si>
    <t>WOS:000704393400014</t>
  </si>
  <si>
    <t>Anthropogenic land-use impacts on the size structure of macroinvertebrate assemblages are jointly modulated by local conditions and spatial processes</t>
  </si>
  <si>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</si>
  <si>
    <t>10.1016/j.envres.2021.112055</t>
  </si>
  <si>
    <t>WOS:000704721000002</t>
  </si>
  <si>
    <t>Near-field changes in the seabed and associated macrobenthic communities due to marine aggregate extraction on tidal sandbanks: A spatially explicit bio-physical approach considering geological context and extraction regimes</t>
  </si>
  <si>
    <t>Based on data from Multibeam Echosounders (MBES) and Van Veen grab samples, near-field effects of marine aggregate extraction by trailing suction hopper dredgers in the Belgian part of the North Sea were assessed on a decadal scale. The combined approach allowed to investigate and compare seabed and macrobenthic community characteristics for three extraction areas with similar ecological settings, but with a different geological context and each subjected to a different extraction regime. MBES measurements detected slight alterations of the seabed for areas exposed to a continuous, low extraction regime (monthly average volume = 17 to 83 x 10(3) m(3)). However, no significant changes in sediment composition nor the macrobenthic community could be attributed to this low extraction regime. High and continuous extraction in the most intensely extracted area (monthly average volume = 164 x 10(3) m(3)) increased surface heterogeneity and created a local depression, hereby exposing clay and gravel from the underlying geological layer. In this area, the highest environmental impact was observed, as the physical changes in the seabed triggered a shift towards a more heterogeneous, transitional macrobenthic community including opportunistic species and species typically associated with muddy sands. Together with the species already present, this resulted in a local increase in macrobenthos density, species richness and biomass. A high but periodic extraction without screening activity on the most offshore located extraction area (monthly average volume = 230 x 10(3) m(3), averaged for those months where extraction took place) led to a redistribution of the medium to fine sand fraction and a winnowing of coarse sediment and shell fragments. The decreased median grain size induced a shift in the macrobenthic community from a typical medium to coarse sand Hesionura elongata community towards medium to fine sand representatives of the Nephtys cirrosa community, although the overall macrobenthic density and biomass in this extraction area remained stable. Based on these results, we conclude that extraction regime and local geological context are important factors driving the near-field environmental impact of marine aggregate extraction on tidal sandbanks.</t>
  </si>
  <si>
    <t>10.1016/j.csr.2021.104546</t>
  </si>
  <si>
    <t>WOS:000704902500004</t>
  </si>
  <si>
    <t>Diuron environmental levels effects on marine nematodes: Assessment of ecological indices, taxonomic diversity, and functional traits</t>
  </si>
  <si>
    <t>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t>
  </si>
  <si>
    <t>10.1016/j.chemosphere.2021.132262</t>
  </si>
  <si>
    <t>WOS:000704969600011</t>
  </si>
  <si>
    <t>The alien octocoral Carijoa riisei is a biogenic substrate multiplier in artificial Brazilian shipwrecks</t>
  </si>
  <si>
    <t>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t>
  </si>
  <si>
    <t>10.1007/s10452-021-09908-8</t>
  </si>
  <si>
    <t>WOS:000705743100001</t>
  </si>
  <si>
    <t>Assessing the sewage discharge effects on soft-bottom macrofauna through traits-based approach</t>
  </si>
  <si>
    <t>We assessed the effect of sewage-derived materials on the structural and functional attributes of the soft-bottom macrofauna at an increasing distance from the entire diffusion area. Our results showed clear spatial changes of macrofaunal density and biomass along the distance gradient from the main outfall. High values of biodiversity, species composition, and species linked to organic enrichment near the duct suggested that moderate organic stress affected this community. The traits analysis abundance-based, compared to biomass-based one, distinguished most clearly sewage contamination conditions. Functional diversity displayed spatial patterns with higher values in the less impacted sites and was significantly related to species numbers and the biotic indices (like M-AMBI). This approach is ideal for detecting macrofaunal functional changes due to sewage contamination. Thus, we infer that traits analyses could offer great potential for environmental assessment and monitoring of coastal areas influenced by human activities.</t>
  </si>
  <si>
    <t>10.1016/j.marpolbul.2021.113003</t>
  </si>
  <si>
    <t>WOS:000706171300004</t>
  </si>
  <si>
    <t>Intensive citrus plantations suppress the microbial profiles of the β-glucosidase gene</t>
  </si>
  <si>
    <t>Increases in the input of chemical fertilizer and rapid decline of soil organic matter have increased serious demand for sustainable agriculture. Cellulose is an important component of soil organic matter, which strongly affects global carbon cycle and crop yields in the agroecosystem. beta-glucosidases (BG) convert cellobiose to glucose, providing carbon for soil microorganisms and plants. However, little is known about the structure of beta-glucosidase gene (GH3)-harboring microbial community and its functions in response to long-term intensive cropping with frequent fertilization. In this study, quantitative PCR (qPCR) and high-throughput sequencing were used to determine the abundance of bacterial and fungal GH3 gene as well as the diversity of GH3-harboring community in intensified citrus orchards of different ages (5-year, 15-year and 30-year), or under different management practices (straw application on the surface, peanut planting between rows and control) for 15 years. The adjacent natural forest and grass soils were used as reference to investigate the effect of intensive citrus plantation on soil BG enzyme activity and the GH3 gene. The results revealed that citrus plantation significantly reduced soil GH3 gene abundance, especially for the bacterial GH3 gene. The higher abundance of bacterial GH3 gene than that of fungal GH3 gene in the soil highlighted the key role of bacterial GH3 gene in regulating soil BG enzyme activity. Among the reservoirs of the GH3 gene, Proteobacteria, Acidobacteria, Fir-micutes and Actinobacteria were the main bacterial phyla, while Ascomycota was the only dominant fungal phylum. Citrus plantation caused soil bacterial community varied from Proteobacteria-dominant to Acidobacteria-dominant and reduced BG enzyme activity. The higher diversity of the bacterial community indicated that bacteria play a dominant role in the conversion of cellobiose to glucose. Citrus plantation and plantation age strongly influenced the diversity and structure of beta-glucosidase gene-harboring community. A significant decline occurred in bacterial diversity along with increasing citrus plantation age. The community diversity exhibited a clear land-use specific pattern, as indicated by the obviously different community structure between the forest soil and citrus soil. Among the detected environmental factors, SOC, bacterial beta-glucosidase gene abundance and the community diversity were the most important factors controlling soil BG enzyme activity. These results indicate that citrus plantation with long-term fertilization suppresses the abundance of the beta-glucosidases gene, and the bacterial beta-glucosidase gene contributes more to the BG enzyme activity than the fungal gene.</t>
  </si>
  <si>
    <t>10.1016/j.agee.2021.107687</t>
  </si>
  <si>
    <t>WOS:000706994700012</t>
  </si>
  <si>
    <t>Interannual climate variability mediates changes in carbon and nitrogen pools caused by annual grass invasion in a semiarid shrubland</t>
  </si>
  <si>
    <t>Exotic plant invasions alter ecosystem properties and threaten ecosystem functions globally. Interannual climate variability (ICV) influences both plant community composition (PCC) and soil properties, and interactions between ICV and PCC may influence nitrogen (N) and carbon (C) pools. We asked how ICV and non-native annual grass invasion covary to influence soil and plant N and C in a semiarid shrubland undergoing widespread ecosystem transformation due to invasions and altered fire regimes. We sampled four progressive stages of annual grass invasion at 20 sites across a large (25,000 km(2)) landscape for plant community composition, plant tissue N and C, and soil total N and C in 2013 and 2016, which followed 2 years of dry and wet conditions, respectively.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stages with native shrubs and perennial grasses, higher perennial grass cover was associated with increased soil C and N, while in annual-dominated stages, higher annual grass cover was associated with losses of soil C and N. Also, soil total C and C:N ratios were more homogeneous in annual-dominated invasion stages as indicated by within-site standard deviations. Loss of native shrubs and perennial grasses and forbs coupled with annual grass invasion may lead to long-term declines in soil N and C and hamper restoration efforts. Restoration strategies that use innovative techniques and novel species to address increasing temperatures and ICV and emphasize maintaining plant community structure-shrubs, grasses, and forbs-will allow sagebrush ecosystems to maintain C sequestration, soil fertility, and soil heterogeneity.</t>
  </si>
  <si>
    <t>10.1111/gcb.15921</t>
  </si>
  <si>
    <t>WOS:000707443000001</t>
  </si>
  <si>
    <t>Responses of earthworm Metaphire vulgaris gut microbiota to arsenic and nanoplastics contamination</t>
  </si>
  <si>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</si>
  <si>
    <t>10.1016/j.scitotenv.2021.150279</t>
  </si>
  <si>
    <t>WOS:000707640400003</t>
  </si>
  <si>
    <t>Biodiversity of coral reef cryptobiota shuffles but does not decline under the combined stressors of ocean warming and acidification</t>
  </si>
  <si>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</si>
  <si>
    <t>10.1073/pnas.2103275118</t>
  </si>
  <si>
    <t>WOS:000708052600002</t>
  </si>
  <si>
    <t>Tetracycline Exposure Alters Key Gut Microbiota in Africanized Honey Bees (Apis mellifera scutellata x spp.)</t>
  </si>
  <si>
    <t>Honey bees play a critical role in ecosystem health, biodiversity maintenance, and crop yield. Antimicrobials, such as tetracyclines, are used widely in agriculture, medicine, and in bee keeping, and bees can be directly or indirectly exposed to tetracycline residues in the environment. In European honey bees, tetracycline exposure has been linked with shifts in the gut microbiota that negatively impact bee health. However, the effects of antimicrobials on Africanized honey bee gut microbiota have not been examined. The aim of this study was to investigate the effects of tetracycline exposure on the gut microbial community of Africanized honey bees (Apis mellifera scutellata x spp.), which are important pollinators in South, Central, and North America. Bees (n = 1,000) were collected from hives in Areia-PB, Northeastern Brazil, placed into plastic chambers and kept under controlled temperature and humidity conditions. The control group (CON) was fed daily with syrup (10 g) consisting of a 1:1 solution of demerara sugar and water, plus a solid protein diet (10 g) composed of 60% soy extract and 40% sugar syrup. The tetracycline group (TET) was fed identically but with the addition of tetracycline hydrochloride (450 mu g/g) to the sugar syrup. Bees were sampled from each group before (day 0), and after tetracycline exposure (days 3, 6, and 9). Abdominal contents dissected out of each bee underwent DNA extraction and 16S rRNA sequencing (V3-V4) on an Illumina MiSeq. Sequences were filtered and processed through QIIME2 and DADA2. Microbial community composition and diversity and differentially abundant taxa were evaluated by treatment and time. Bee gut microbial composition (Jaccard) and diversity (Shannon) differed significantly and increasingly over time and between CON and TET groups. Tetracycline exposure was associated with decreased relative abundances of Bombella and Fructobacillus, along with decreases in key core microbiota such as Snodgrassella, Gilliamella, Rhizobiaceae, and Apibacter. These microbes are critical for nutrient metabolism and pathogen defense, and it is possible that decreased abundances of these microbes could negatively affect bee health. Considering the global ecological and economic importance of honey bees as pollinators, it is critical to understand the effects of agrochemicals including antimicrobials on honey bees.</t>
  </si>
  <si>
    <t>10.3389/fevo.2021.716660</t>
  </si>
  <si>
    <t>WOS:000708326100001</t>
  </si>
  <si>
    <t>Homogenization of Macroinvertebrate Assemblages and Asiatic Clam Corbicula fluminea Invasion in a River of the Arid Patagonian Plateau, Argentina</t>
  </si>
  <si>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</si>
  <si>
    <t>10.3389/fenvs.2021.728620</t>
  </si>
  <si>
    <t>WOS:000709084200001</t>
  </si>
  <si>
    <t>Impacts of an invasive alien Proteaceae on native plant species richness and vegetation structure</t>
  </si>
  <si>
    <t>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t>
  </si>
  <si>
    <t>10.1016/j.sajb.2021.09.017</t>
  </si>
  <si>
    <t>WOS:000709145000005</t>
  </si>
  <si>
    <t>Habitat Disturbance Linked with Host Microbiome Dispersion and Bd Dynamics in Temperate Amphibians</t>
  </si>
  <si>
    <t>Anthropogenic habitat disturbances can dramatically alter ecological community interactions, including host-pathogen dynamics. Recent work has highlighted the potential for habitat disturbances to alter host-associated microbial communities, but the associations between anthropogenic disturbance, host microbiomes, and pathogens are unresolved. Amphibian skin microbial communities are particularly responsive to factors like temperature, physiochemistry, pathogen infection, and environmental microbial reservoirs. Through a field survey on wild populations of Acris crepitans (Hylidae) and Lithobates catesbeianus (Ranidae), we assessed the effects of habitat disturbance and connectivity on environmental bacterial reservoirs, Batrachochytrium dendrobatidis (Bd) infection, and skin microbiome composition. We found higher measures of microbiome dispersion (a measure of community variability) in A. crepitans from more disturbed ponds, supporting the hypothesis that disturbance increases stochasticity in biological communities. We also found that habitat disturbance limited microbiome similarity between locations for both species, suggesting greater isolation of bacterial assemblages in more disturbed areas. Higher disturbance was associated with lower Bd prevalence for A. crepitans, which could signify suboptimal microclimates for Bd in disturbed habitats. Combined, our findings show that reduced microbiome stability stemming from habitat disturbance could compromise population health, even in the absence of pathogenic infection.</t>
  </si>
  <si>
    <t>10.1007/s00248-021-01897-3</t>
  </si>
  <si>
    <t>WOS:000709269300002</t>
  </si>
  <si>
    <t>Multiple factors influence bacterial community diversity and composition in soils with rare earth element and heavy metal co-contamination</t>
  </si>
  <si>
    <t>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t>
  </si>
  <si>
    <t>10.1016/j.ecoenv.2021.112749</t>
  </si>
  <si>
    <t>WOS:000709369800009</t>
  </si>
  <si>
    <t>Physicochemical Factors Drive Bacterial Communities in an Aquaculture Environment</t>
  </si>
  <si>
    <t>The role of microbial ecology in aquaculture is becoming increasingly significant; however, studies on the changes in microbial ecology driven by the culture environment are limited. In the present study, high-throughput sequencing and chemical analysis was used to explore changes in physicochemical factors, bacterial communities, and their relationships between a water source (Bay) and an aquaculture area located in a reclaimed area. Statistical analysis results revealed that operational taxonomic units levels in inlet water and pond water varied significantly (p &lt; 0.05). Non-metric multidimensional scaling (NMDS) analysis revealed the distribution characteristics of bacterial communities with water properties. The abundance of Alphaproteobacteria, Actinobacteria, and Flavobacteria in pond water increased significantly when compared to inlet water. The abundance of heterotrophic bacteria, such as Candidatus Actinomarina, Candidatus Aquiluna, Marivita, and Vibrio genera in pond water was significantly higher (Welch's t-tests, p &lt; 0.05) than inlet water. Functional prediction analysis primarily revealed an increase in the function that was associated with carbon and nitrogen metabolism in the pond environment. Canonical correlation analysis revealed that the bacterial communities was predominantly influenced by inorganic nutrients. Nitrate-nitrogen (N), nitrite-N, ammonium-N, and phosphate-phosphorous (P) were the key factors influencing bacterial communities in pond environment. A significant correlation was observed between inorganic N and phosphorus (P), and dominant bacterial genera (p &lt; 0.05), demonstrating the potential mechanism of regulation of nutrients in bacterial communities. The present study described the microbial ecology of aquaculture ponds in detail and provides a scientific basis for the management of aquacultural environments.</t>
  </si>
  <si>
    <t>10.3389/fenvs.2021.709541</t>
  </si>
  <si>
    <t>WOS:000709623100001</t>
  </si>
  <si>
    <t>Tropical land use drives endemic versus exotic ant communities in a global biodiversity hotspot</t>
  </si>
  <si>
    <t>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t>
  </si>
  <si>
    <t>10.1007/s10531-021-02314-4</t>
  </si>
  <si>
    <t>WOS:000709646600001</t>
  </si>
  <si>
    <t>Assessment of benthic invertebrate diversity and river ecological status along an urbanized gradient using environmental DNA metabarcoding and a traditional survey method</t>
  </si>
  <si>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</si>
  <si>
    <t>10.1016/j.scitotenv.2021.150587</t>
  </si>
  <si>
    <t>WOS:000709711800001</t>
  </si>
  <si>
    <t>Effects of microplastics on soil microbiome: The impacts of polymer type, shape, and concentration</t>
  </si>
  <si>
    <t>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t>
  </si>
  <si>
    <t>10.1016/j.scitotenv.2021.150516</t>
  </si>
  <si>
    <t>WOS:000709720900018</t>
  </si>
  <si>
    <t>Vegetation changes in the understory of nitrogen-sensitive temperate forests over the past 70 years</t>
  </si>
  <si>
    <t>Since the industrial revolution, atmospheric nitrogen deposition has increased strongly and has been shown to alter nitrogen cycles, species composition and diversity in many ecosystems, including forests. At the same time, nitrogen removal from forests through biomass extraction via historical management techniques has decreased considerably. A proven tool to analyze the effects of long-term environmental changes are vegetation resurveys. In this study, we tested whether environmental changes resulting from atmospheric nitrogen deposition and altered forest management are reflected in the vegetation composition of temperate forest understories in six acidophilic and oligo-mesophilic forest types in south-western Germany. We compared historical surveys from 1950 to 1976 with surveys from 2017/18 and examined changes in the vegetation using NMDS ordinations and Ellenberg indicator values. While an increase in the number of nitrophilic species was detected in all forest types, only the acidophytic and oligotrophic Vaccinio-Abietetum and Luzulo-Quercetum forests (dominated by Abies alba (Mill.) and Quercus spec., respectively) exhibited a replacement of oligotrophic species by nitrophilic species, amounting to an overall trend of eutrophication. Despite the uncertainties resulting from different plot locations and the slow dynamics of forests, we demonstrate a significant trend in the understory vegetation composition, which is likely caused by atmospheric N deposition. Differences in the sensitivity of different forest types indicate an influence of geological and climatic site characteristics and historical land use on the effects of environmental changes.</t>
  </si>
  <si>
    <t>10.1016/j.foreco.2021.119754</t>
  </si>
  <si>
    <t>WOS:000710171800004</t>
  </si>
  <si>
    <t>Avian community response to a novel environment: Commercial forestry in the Campos grasslands of South America</t>
  </si>
  <si>
    <t>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t>
  </si>
  <si>
    <t>10.1016/j.foreco.2021.119765</t>
  </si>
  <si>
    <t>WOS:000710248700002</t>
  </si>
  <si>
    <t>N and P fertilization enhanced carbon decomposition function by shifting microbes towards an r-selected community in meadow grassland soils</t>
  </si>
  <si>
    <t>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t>
  </si>
  <si>
    <t>10.1016/j.ecolind.2021.108306</t>
  </si>
  <si>
    <t>WOS:000710621100009</t>
  </si>
  <si>
    <t>Taxonomic and functional trait variation along a gradient of ammonium contamination in the hyporheic zone of a Mediterranean stream</t>
  </si>
  <si>
    <t>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t>
  </si>
  <si>
    <t>10.1016/j.ecolind.2021.108268</t>
  </si>
  <si>
    <t>WOS:000710702000001</t>
  </si>
  <si>
    <t>Agricultural practices linked to shifts in groundwater microbial structure and denitrifying bacteria</t>
  </si>
  <si>
    <t>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t>
  </si>
  <si>
    <t>10.1016/j.scitotenv.2021.150870</t>
  </si>
  <si>
    <t>WOS:000711161700004</t>
  </si>
  <si>
    <t>Trophic groups of soil fauna in semiarid: Impacts of land use change, climatic seasonality and environmental variables</t>
  </si>
  <si>
    <t>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t>
  </si>
  <si>
    <t>10.1016/j.pedobi.2021.150774</t>
  </si>
  <si>
    <t>WOS:000711410000001</t>
  </si>
  <si>
    <t>Trichoderma biofertilizer facilitating Leymus chinensis production in different growth stages is strongly linked to dynamically altered soil microbiomes</t>
  </si>
  <si>
    <t>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t>
  </si>
  <si>
    <t>10.1016/j.agee.2021.107706</t>
  </si>
  <si>
    <t>WOS:000711633200010</t>
  </si>
  <si>
    <t>Immune-mediated disease associated microbial community responded to PAH stress in phyllosphere of roadside greenspaces in Shanghai</t>
  </si>
  <si>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</si>
  <si>
    <t>10.1016/j.envpol.2021.118379</t>
  </si>
  <si>
    <t>WOS:000711833000008</t>
  </si>
  <si>
    <t>Garden pond diversity: Opportunities for urban freshwater conservation</t>
  </si>
  <si>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</si>
  <si>
    <t>10.1016/j.baae.2021.09.005</t>
  </si>
  <si>
    <t>WOS:000712062900003</t>
  </si>
  <si>
    <t>The invasive herb Lupinus polyphyllus can reduce plant species richness independently of local invasion age</t>
  </si>
  <si>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</si>
  <si>
    <t>10.1007/s10530-021-02652-y</t>
  </si>
  <si>
    <t>WOS:000712262800002</t>
  </si>
  <si>
    <t>Epiphytic Cryptogams as Bioindicators of Air Quality in a Tropical Andean City</t>
  </si>
  <si>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</si>
  <si>
    <t>10.3390/su132011218</t>
  </si>
  <si>
    <t>WOS:000712637400001</t>
  </si>
  <si>
    <t>Plant community response to fuel break construction and goat grazing in a southern California shrubland</t>
  </si>
  <si>
    <t>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t>
  </si>
  <si>
    <t>10.1186/s42408-021-00114-3</t>
  </si>
  <si>
    <t>WOS:000714053600001</t>
  </si>
  <si>
    <t>Predators mitigate the destabilising effects of heatwaves on multitrophic stream communities</t>
  </si>
  <si>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</si>
  <si>
    <t>10.1111/gcb.15956</t>
  </si>
  <si>
    <t>WOS:000714071700001</t>
  </si>
  <si>
    <t>Do plant-soil interactions influence how the microbial community responds to environmental change?</t>
  </si>
  <si>
    <t>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t>
  </si>
  <si>
    <t>10.1002/ecy.3554</t>
  </si>
  <si>
    <t>WOS:000714607800001</t>
  </si>
  <si>
    <t>Immediate effects of an Amazonian mega hydroelectric dam on phyllostomid fruit bats</t>
  </si>
  <si>
    <t>Large losses of tropical forests result from the flooding of terrestrial ecosystems by mega hydroelectric dams. Because run-of-the-river dams operate based on smaller reservoirs with limited water storage, they have been generally considered less harmful to the environment, but their actual effects on biodiversity have been rarely measured. We herein estimate immediate impacts resulting from the flooding of the run-of-the-river Santo Antonio Hydroelectric on phyllostomid bat assemblages, based on the variation of their richness, abundance and species composition over the first two years after the establishment of the dam. We designed a standardized study integrating temporal sampling in areas that would and would not be flooded, before and after the establishment of the dam. We sampled 12 Pre-flood plots, and 34 plots that remained unflood. Among the non-flood plots, 25 were resampled after the river damming. We captured 3096 bats belonging to 59 species and found that the abundance of fruit bats decreased posterior to the formation of the dam. Moreover, the composition of fruit bats was different between the sampling periods, with a clear segregation of the vorzea plots of the pre-flood period. Comparisons between pre- and post-unflood plots revealed that 60% of the plots decreased in abundance of bats, and 68% decreased in abundance of phyllostomid fruit bats. Our results demonstrate that the run-of-the-river dam altered the phyllostomid species composition in the non-flooded areas after the establishment of the dam, reducing the abundance of frugivorous bats. Also, the remaining unflood areas did not incorporate bat assemblages from the vorzea forests that were permanently flooded by the reservoir. Based on our results, we suggest that environmental policies regulating the licensing processes for the implementation of large hydroelectric power stations should include orientation for the establishment of protected areas, as a condition for their operation. These areas can work as systematic instruments for biodiversity conservation, with special attention to the protection of the irreplaceable floodplain forests.</t>
  </si>
  <si>
    <t>10.1016/j.ecolind.2021.108322</t>
  </si>
  <si>
    <t>WOS:000714728100001</t>
  </si>
  <si>
    <t>Vernal pool wetlands respond to livestock grazing, exclusion and reintroduction</t>
  </si>
  <si>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</si>
  <si>
    <t>10.1111/1365-2664.14001</t>
  </si>
  <si>
    <t>WOS:000714814300001</t>
  </si>
  <si>
    <t>Climate warming promotes deterministic assembly of arbuscular mycorrhizal fungal communities</t>
  </si>
  <si>
    <t>Arbuscular mycorrhizal fungi (AMF) significantly contribute to plant resource acquisition and play important roles in mediating plant interactions and soil carbon (C) dynamics. However, it remains unclear how AMF communities respond to climate change. We assessed impacts of warming and precipitation alterations (30% increase or decrease) on soil AMF communities, and examined major ecological processes shaping the AMF community assemblage in a Tibetan alpine meadow. Our results showed that warming significantly increased root biomass, and available nitrogen (N) and phosphorus (P) in soil. While precipitation alterations increased AMF abundances, they did not significantly affect the composition or diversity of AMF communities. In contrast, warming altered the composition of AMF communities and reduced their Shannon-Wiener index and Pielou's evenness. In particular, warming shifted the AMF community composition in favor of Diversisporaceae over Glomeraceae, likely through its impact on soil N and P availability. In addition, AMF communities were phylogenetically random in the unwarmed control but clustered in warming plots, implying more deterministic community assembly under climate warming. Warming enhancement of root growth, N and P availability likely reduced plant C-allocation to AMF, imposing stronger environmental filtering on AMF communities. We further proposed a conceptual framework that integrates biological and geochemical processes into a mechanistic understanding of warming and precipitation changes' effects on AMF. Taken together, these results suggest that soil AMF communities may be more sensitive to warming than expected, highlighting the need to monitor their community structure and associated functional consequences on plant communities and soil C dynamics under the future warmer climate.</t>
  </si>
  <si>
    <t>10.1111/gcb.15945</t>
  </si>
  <si>
    <t>WOS:000715328600001</t>
  </si>
  <si>
    <t>Tadpoles Inhabiting Natural and Anthropogenic Temporary Water Bodies: Which Are the Environmental Factors that Affect the Diversity of the Assemblages?</t>
  </si>
  <si>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</si>
  <si>
    <t>10.3389/fenvs.2021.667448</t>
  </si>
  <si>
    <t>WOS:000717564900001</t>
  </si>
  <si>
    <t>Effectiveness of ant communities to detect anthropogenic disturbance in Neotropical forest landscapes: a case study in the Brazilian Amazon</t>
  </si>
  <si>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</si>
  <si>
    <t>10.1007/s10531-021-02329-x</t>
  </si>
  <si>
    <t>WOS:000717888600002</t>
  </si>
  <si>
    <t>Antigonon leptopus invasion is associated with plant community disassembly in a Caribbean island ecosystem</t>
  </si>
  <si>
    <t>Invasions by non-native plant species are widely recognized as a major driver of biodiversity loss. Globally, (sub-)tropical islands form important components of biodiversity hotspots, while being particularly susceptible to invasions by plants in general and vines in particular. We studied the impact of the invasive vine A. leptopus on the diversity and structure of recipient plant communities on the northern Caribbean island St. Eustatius. We used a paired-plot design to study differences in species richness, evenness and community structure under A. leptopus-invaded and uninvaded conditions. Community structure was studied through species co-occurrence patterns. We found that in plots invaded by A. leptopus, species richness was 40-50% lower, and these plots also exhibited lower evenness. The magnitude of these negative impacts increased with increasing cover of A. leptopus. Invaded plots also showed higher degrees of homogeneity in species composition. Species co-occurrence patterns indicated that plant communities in uninvaded plots were characterized by segregation, whereas recipient plant communities in invaded plots exhibited random co-occurrence patterns. These observations suggest that invasion of A. leptopus is not only associated with reduced species richness and evenness of recipient communities in invaded sites, but also with a community disassembly process that may reduce diversity between sites. Given that A. leptopus is a successful invader of (sub-)tropical islands around the globe, these impacts on plant community structure highlight that this invasive species could be a particular conservation concern for these systems.</t>
  </si>
  <si>
    <t>10.1007/s10530-021-02646-w</t>
  </si>
  <si>
    <t>WOS:000718717800002</t>
  </si>
  <si>
    <t>Response of birds to high biodiversity silvopastoral systems: Integrating food production and biodiversity conservation through applied nucleation in southern Brazil</t>
  </si>
  <si>
    <t>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t>
  </si>
  <si>
    <t>10.1016/j.agee.2021.107709</t>
  </si>
  <si>
    <t>WOS:000719323800006</t>
  </si>
  <si>
    <t>Ecological assessment of water quality in an urban river replenished with reclaimed water: the phytoplankton functional groups approach</t>
  </si>
  <si>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</si>
  <si>
    <t>10.1088/2515-7620/ac3777</t>
  </si>
  <si>
    <t>WOS:000719571700001</t>
  </si>
  <si>
    <t>Functional responses of Odonata larvae to human disturbances in neotropical savanna headwater streams</t>
  </si>
  <si>
    <t>Headwater streams are facing increasing disturbances from human pressures worldwide, thus better knowledge about bioindicators, particularly aquatic insect responses to various pressures and stressors, are urgently needed. Multiple trait-based approaches consider species attributes filtered by the environment, allowing them to persist in ecosystems under environmental pressures. Because this approach has been minimally explored in Odonata larvae, we aimed to understand how anthropogenic stressors structure Odonata larval assemblages in neotropical savanna streams by using multiple trait-based approaches. We hypothesized that a set of stressors-such as reduced substrate heterogeneity, poor water quality, natural land cover converted to pasture and agriculture, and reduced local riparian canopy cover-select Odonata functional traits. We collected 3209 Odonata larvae from 186 neotropical savanna headwater stream sites and used 39 environmental variables and seven traits in 23 categories related to their functional roles in Odonata genera. To assess associations between trait categories and environmental variables, we applied RLQ and fourth-corner statistical analyses. We found strong relationships between environmental variables and sets of Odonata biological traits that were separated into two main groups. Zygoptera genera (Perilestes, Allopodagrion, Heliocharis, Argia, Epipleoneura, Mnesarete/Hetaerina, Psaironeura) have elongated body shapes, caudal lamellae respiration, conforming thermoregulation, and endophytic oviposition. Such traits favor assemblages in conditions similar to reference streams, including denser riparian vegetation, good water quality, and diverse flows and substrate. Therefore, they are more sensitive to changes in those conditions. On the other hand, Anisoptera genera (Gomphoides, Archaeogomphus, Macrothemis, Brechmorhoga, Gynothemis, Phyllocycla) have cylindrical body shapes, internal gill respiration, endothermic thermoregulation, and burrowing behavior. Those traits facilitate their survival in intermediate or disturbed stream sites, characterized by riparian deforestation, increased erosion and siltation, and higher levels of total dissolved solids and conductivity. Therefore, using Odonata larval traits can be a valuable tool for assessing and monitoring anthropogenic impacts on neotropical savanna streams.</t>
  </si>
  <si>
    <t>10.1016/j.ecolind.2021.108367</t>
  </si>
  <si>
    <t>WOS:000719748000001</t>
  </si>
  <si>
    <t>Effects of fishing closure and mechanized clam dredging on a Callista chione bed in the western Mediterranean Sea</t>
  </si>
  <si>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</si>
  <si>
    <t>10.1016/j.rsma.2021.102063</t>
  </si>
  <si>
    <t>WOS:000720767500001</t>
  </si>
  <si>
    <t>Does structural change in the zooplankton community affect larval fish feeding in anthropogenically disturbed tropical waters?</t>
  </si>
  <si>
    <t>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t>
  </si>
  <si>
    <t>10.1007/s10641-021-01189-2</t>
  </si>
  <si>
    <t>WOS:000722475100001</t>
  </si>
  <si>
    <t>Local coexistence of native and invasive ant species is associated with micro-spatial shifts in foraging activity</t>
  </si>
  <si>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</si>
  <si>
    <t>10.1007/s10530-021-02678-2</t>
  </si>
  <si>
    <t>WOS:000722498000003</t>
  </si>
  <si>
    <t>Climate Change and Water Exploitation as Co-Impact Sources on River Benthic Macroinvertebrates</t>
  </si>
  <si>
    <t>Climate change can affect freshwater communities superimposing on other major stressors, such as water exploitation, with effects still poorly understood. The exacerbation of naturally-occurring periods of low flows has been reported as a major hydrological effect of water diversions, with severe impacts on river benthic macroinvertebrate communities. This study aimed at assessing long-term modifications of low-flow events in a large lowland Italian river possibly associated to climate change and the effects of these events, intensified by water withdrawals, on benthic macroinvertebrates. A 77-year dataset on daily discharge was thus analyzed through Mann-Kendall test and Sen's method to investigate modifications of the main hydrological parameters. Moreover, macroin-vertebrates were collected during the low-flow periods that occurred from 2010 to 2015 at three sites downstream of water withdrawals, representing three different conditions of hydrological impairment. After assessing possible differences in taxonomical and functional composition between sites and impairment conditions, redundancy analysis and ordinary least squares regression were performed to link benthos metrics to environmental (hydrological and physico-chemical) characteristics. An increase in the duration of the low-flow periods and reduced summer flows were detected on the long term, and the magnitude of low flows was significantly altered by water withdrawals. These hydrological features shaped both structural and functional characteristics of benthic assemblages, highlighting the need for a more environmentally-sustainable water resource management in the current context of climate change.</t>
  </si>
  <si>
    <t>10.3390/w13192778</t>
  </si>
  <si>
    <t>WOS:000722586100001</t>
  </si>
  <si>
    <t>Evidence of protective effects on aquifer recharge from polluted tropical rivers: An analysis of hyporheic meiofauna and sediments</t>
  </si>
  <si>
    <t>Knowledge about the hyporheic zone is important to understand the pollutant attenuation processes that occur during the aquifer recharge, whether by natural or artificial means, for example, Bank Filtration. In this paper, the structure of the hyporheic meiofauna and the influence of pollution, microphytobenthos and sedimentological parameters (grain size, organic matter and CaCO3 content) were studied at a periurban area of Beberibe River (Northeastern Brazil), the location of a riverbank filtration (RBF) pilot project. PERMANOVA analysis indicated interactions between meiofauna community and the sampling sites, rainfall seasons, and depth. The release of untreated wastewater was the most influential factor for physical and biochemical features of the hyporheic zone, since the sampling sites with higher levels of elements related to eutrophication supported the highest levels of meiofauna abundance, fine sediments, organic matter, and CaCO3 content. It was verified that organic matter from domestic wastewater in tropical streams can promote protective effects that favor the retention and biodegradation of pollutants in the hyporheic zone. The results reveal that, even in eutrophic rivers, there are factors that contribute to the processes of pollutant attenuation in tropical hyporheic environments. The results demonstrate the potential for using RBF in communities without adequate sanitation, especially in developing countries.</t>
  </si>
  <si>
    <t>10.1002/rra.3906</t>
  </si>
  <si>
    <t>WOS:000723125900001</t>
  </si>
  <si>
    <t>Cultivated milkweed hosts high diversity of surface-active and soil-dwelling arthropods in a New England case study</t>
  </si>
  <si>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</si>
  <si>
    <t>10.1016/j.agee.2021.107749</t>
  </si>
  <si>
    <t>WOS:000724259300003</t>
  </si>
  <si>
    <t>Implications of Community-Based Management of Marine Reserves in the Philippines for Reef Fish Communities and Biodiversity</t>
  </si>
  <si>
    <t>Overfishing and destructive fishing practices are major threats to marine biodiversity in the Philippines, where over 1.9 million small-scale fishers are supported by these biodiverse marine communities. Nearly 50% of all marine fish capture in the Philippines is from artisanal fisheries, with much of it not reported or under-reported. Marine reserves, where fishing is prohibited have been created in many local government units to help restore and preserve this biodiversity. The success of these marine reserves is still under serious debate with effective management still representing a significant challenge. The lack of a governance system to centrally managed marine reserves has resulted in non-governmental organizations developing community-based management schemes. Using independent fisheries data from Rare's Fish Forever program, we applied PERMANOVA, SIMPER and biodiversity index analyses to evaluate the community structure of reef fish in 20 sites within the Philippines. We analyzed the differences in fish assemblage inside and outside of these marine reserves, before and after community-based management had been implemented. We provide evidence that: (i) fish community structure changes within marine reserves after community-based management strategies are implemented; and (ii) community-based management of marine fisheries resources protects and promotes biodiversity inside, and in some cases, outside marine reserves. Variability across sites suggests that other social or ecological factors may be influencing the ability of marine reserves to fully protect biodiversity and marine resources. Small-scale fishers in the Philippines participate in mixed-catch harvests and depend on biodiversity and reef community structure for their livelihoods. Thus, this work has implications on how community-based management strategies for marine reserves and adjacent waters may be beneficial for the sustainability of small-scale fishers.</t>
  </si>
  <si>
    <t>10.3389/fmars.2021.731675</t>
  </si>
  <si>
    <t>WOS:000726188400001</t>
  </si>
  <si>
    <t>Anthropogenic effects on the marine environment adjacent to Palmer Station, Antarctica</t>
  </si>
  <si>
    <t>Localized contamination from research-related activities and its effects on macrofauna communities in the marine environment were investigated at Palmer Station, a medium-sized Antarctic research station. Relatively low concentrations of polycyclic aromatic hydrocarbons (PAHs; 32-302 ng g(-1)) and total petroleum hydrocarbons (TPHs; 0.9-8.9 mu g g(-1)) were detected in sediments adjacent to the sewage outfall and pier, where most human activities were expected to have occurred, and at even lower concentrations at two seemingly reference areas (PAHs 6-30 ng g(-1), TPHs 0.03-5.1 mu g g(-1)). Elevated concentrations of PAHs in one sample taken in one reference area (816 ng g(-1)) and polychlorinated biphenyls (353 ng g(-1)) and dichloro-diphenyl-trichloroethane (3.2 and 25.3 ng g(-1)) in two samples taken adjacent to the sewage outfall indicate spatial heterogeneity of localized sediment contamination. Limpet (Nacella concinna) tissues collected adjacent to Palmer Station had high concentrations of PAHs, copper, lead, zinc and several other metals relative to outlying islands. Sediment and limpet tissue contaminant concentrations have decreased since the early 1990s following the Bahia Paraiso spill. Natural sediment characteristics affected macrofaunal community composition more than contamination adjacent to Palmer Station, presumably because of the low overall contamination levels.</t>
  </si>
  <si>
    <t>10.1017/S0954102021000535</t>
  </si>
  <si>
    <t>WOS:000727537300001</t>
  </si>
  <si>
    <t>Water chemistry and not urbanization influences community structure of non-marine Ostracoda (Crustacea) in northern Belgium</t>
  </si>
  <si>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</si>
  <si>
    <t>10.26496/bjz.2021.91</t>
  </si>
  <si>
    <t>WOS:000727903700001</t>
  </si>
  <si>
    <t>Differential responses of amphibians and reptiles to land-use change in the biodiversity hotspot of north-eastern Madagascar</t>
  </si>
  <si>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</si>
  <si>
    <t>10.1111/acv.12760</t>
  </si>
  <si>
    <t>WOS:000729468200001</t>
  </si>
  <si>
    <t>Response of Microbial Communities on Culturing Plates of Post-settlement Sea Cucumbers to Seawater Acidification and Warming</t>
  </si>
  <si>
    <t>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t>
  </si>
  <si>
    <t>10.3389/fmars.2021.802023</t>
  </si>
  <si>
    <t>WOS:000730263700001</t>
  </si>
  <si>
    <t>Enriched root bacterial microbiome in invaded vs native ranges of the model grass allotetraploid Brachypodium hybridum</t>
  </si>
  <si>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</si>
  <si>
    <t>10.1007/s10530-021-02692-4</t>
  </si>
  <si>
    <t>WOS:000731373500001</t>
  </si>
  <si>
    <t>Assessing skeleton and microbiome responses of a calcareous sponge under thermal and pH stresses</t>
  </si>
  <si>
    <t>Ocean higher temperature and acidity levels affect its carbonate chemistry, and calcifying organisms that depend on the calcium carbonate saturation state (Omega CaCO3) to build their skeleton may be vulnerable to these changes. Despite their important roles in the marine environment, little is known about the vulnerability of calcareous sponges under these stressors. We performed an acute short-term experiment (9 days) with thermal and pH stresses to explore their effects on the skeleton and microbiome of the calcareous sponge Sycettusa hastifera. We observed that sponge spicules showed no corrosion and no Mg/Ca ratio variation when exposed to stress conditions. However, the outermost spicules were smaller in low pH treatment, although these effects were often diminished when higher temperatures were also applied. In general, the sponges synthesized normally shaped spicules under stress conditions, but the proportion of deformed spicules increased significantly in elevated temperature. In addition, we observed a stable host-microbiome association in which there is microbiome flexibility under thermal and pH stresses with a significantly increase in abundance of some associated bacteria. Our results suggest that S. hastifera has low vulnerability under the future ocean conditions here designed, since it showed indications of resistance that could help them adapt and survive.</t>
  </si>
  <si>
    <t>10.1093/icesjms/fsaa231</t>
  </si>
  <si>
    <t>WOS:000731911900008</t>
  </si>
  <si>
    <t>No Difference in Instream Decomposition Among Upland Agricultural and Forested Streams in Kenya</t>
  </si>
  <si>
    <t>Expansion of agriculture is particularly worrying in tropical regions of the world, where native forests have been replaced by croplands and grasslands, with severe consequences for biodiversity conservation and ecosystem functioning. However, limited data exist on the effects of agriculture on the functioning of tropical streams. We conducted a leaf litter decomposition experiment in coarse- and fine-mesh litterbags using the three species of leaves (Eucalyptus globulus [non-native], Vernonia myriantha, and Syzygium cordatum [indigenous]) in three forested and agricultural streams to determine the effect of agriculture on instream leaf litter decomposition in headwater stream sites. We also examined the functional composition of macroinvertebrates in the streams through the contents of benthic kick samples. Agricultural streams had a less dense riparian canopy and smaller abundance of coarse organic particulate matter, and higher electric conductivity and suspended solids than forested streams. In terms of the effects of litter quality on decomposition rates, Vernonia had the fastest decomposition rates while Eucalyptus had the slowest in both forested and agricultural sites. Shredder invertebrates were less abundant in agricultural streams, and in both stream types, they were less diverse and abundant than other functional groups. Overall, leaf litter decomposition rates did not respond to agricultural land-use. The hypothesized negative effects of agriculture on organic matter processing were minimal and likely modulated by intact riparian zones along agricultural streams.</t>
  </si>
  <si>
    <t>10.3389/fenvs.2021.794525</t>
  </si>
  <si>
    <t>WOS:000732823000001</t>
  </si>
  <si>
    <t>Microbial adaptation to co-occurring vanadium and microplastics in marine and riverine environments</t>
  </si>
  <si>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</si>
  <si>
    <t>10.1016/j.jhazmat.2021.127646</t>
  </si>
  <si>
    <t>WOS:000734403300004</t>
  </si>
  <si>
    <t>Benthic infaunal assemblages adjacent to an ocean outfall in Australian marine waters: Impact assessment and identification of indicator taxa</t>
  </si>
  <si>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</si>
  <si>
    <t>10.1016/j.marpolbul.2021.113229</t>
  </si>
  <si>
    <t>WOS:000737263600002</t>
  </si>
  <si>
    <t>Effects of aquaculture waste feeds and antibiotics on marine benthic ecosystems in the Mediterranean Sea</t>
  </si>
  <si>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</si>
  <si>
    <t>10.1016/j.scitotenv.2021.151190</t>
  </si>
  <si>
    <t>WOS:000737455700002</t>
  </si>
  <si>
    <t>Evaluating the Effects of a Deep-Water Marine Protected Area a Decade After Closure: A Multifaceted Approach Reveals Equivocal Benefits to Reef Fish Populations</t>
  </si>
  <si>
    <t>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t>
  </si>
  <si>
    <t>10.3389/fmars.2021.775376</t>
  </si>
  <si>
    <t>WOS:000738162400001</t>
  </si>
  <si>
    <t>Climatic drivers and ecological impacts of a rapid range expansion by non-native smallmouth bass</t>
  </si>
  <si>
    <t>Smallmouth bass (Micropterus dolomieu) are a globally introduced fish species that have experienced widespread range expansions in recent decades and which can have deleterious effects on native fish communities. Rapidly assessing their expansions will aid conservation and management actions geared towards controlling their spread and mitigating their impacts. Smallmouth bass have recently experienced a rapid upstream expansion in a Great Plains river (Laramie River, Wyoming, USA), which provided an opportunity to evaluate the drivers and impacts of this expansion by using a modified before-after, control-impact (BACI) design. Our objectives were to test whether climatic drivers (temperature, precipitation, flow) were related to this range expansion and subsequent effects of the expansion on native fish communities. Smallmouth bass population size in Grayrocks Reservoir increased following a climatically extreme wet year, with statistically extreme amounts of spring-time and June precipitation creating high discharge events that coincided with the upstream expansion. Unlike previous studies highlighting the invasive nature of smallmouth bass, the modified BACI analysis revealed no declines in species richness induced by the expansion. However, there was evidence that native small-bodied minnow species (family Leuciscidae) declined in relative abundance and that community-level and species-level trophic niches were compressed for invaded sites. Our findings provide important insight into how climatic extremes can prompt biological invasions that can alter community composition and food web structure even if local extirpations do not occur.</t>
  </si>
  <si>
    <t>10.1007/s10530-021-02724-z</t>
  </si>
  <si>
    <t>WOS:000738433500001</t>
  </si>
  <si>
    <t>Endophytic Bacterial Communities in Apple Leaves Are Minimally Impacted by Streptomycin Use for Fire Blight Management</t>
  </si>
  <si>
    <t>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t>
  </si>
  <si>
    <t>10.1094/PBIOMES-11-20-0081-R</t>
  </si>
  <si>
    <t>WOS:000738716500009</t>
  </si>
  <si>
    <t>Long-term noise pollution affects seedling recruitment and community composition, with negative effects persisting after removal</t>
  </si>
  <si>
    <t>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t>
  </si>
  <si>
    <t>10.1098/rspb.2020.2906</t>
  </si>
  <si>
    <t>WOS:000738762100009</t>
  </si>
  <si>
    <t>Effects of the herbicides metazachlor and flufenacet on phytoplankton communities - A microcosm assay</t>
  </si>
  <si>
    <t>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mu 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t>
  </si>
  <si>
    <t>10.1016/j.ecoenv.2021.113036</t>
  </si>
  <si>
    <t>WOS:000740121400005</t>
  </si>
  <si>
    <t>Wastewater constituents impact biofilm microbial community in receiving streams</t>
  </si>
  <si>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</si>
  <si>
    <t>10.1016/j.scitotenv.2021.151080</t>
  </si>
  <si>
    <t>WOS:000740208500002</t>
  </si>
  <si>
    <t>Environmental effects of nanoparticles on the ecological succession of gut microbiota across zebrafish development</t>
  </si>
  <si>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</si>
  <si>
    <t>10.1016/j.scitotenv.2021.150963</t>
  </si>
  <si>
    <t>WOS:000740230100004</t>
  </si>
  <si>
    <t>Combined effects of polystyrene microplastics and copper on antioxidant capacity, immune response and intestinal microbiota of Nile tilapia (Oreochromis niloticus)</t>
  </si>
  <si>
    <t>Microplastics (MPs) coexist with other pollutants (such as heavy metals) in water, adversely impacting aquatic organisms, which might cause unpredictable ecological risks. This study aims to evaluate the effect of copper (Cu2+) and polystyrene microplastics (PS-MPs) on antioxidant capacity, immune response and intestinal microbiota of Nile tilapia. Cu2+ and PS-MN co-exposure enhanced Cu2+ bioaccumulation in the liver of fish compared with Cu2+-alone exposure. Fish exposed to PS-MPs and Cu2+ displayed histopathologic alterations in the liver, intestine and gill. Exposure at low concentrations of Cu2+ in the CO and CPO groups can improve antioxidant capacity and immune response, while oxidative damage and inflammation existed in the high concentration of Cu(2+ )groups. Intestinal microbiota results showed that the diversity and structure were changed by Cu2+ and PS-MN exposure, and harmful bacterium even increased at high concentration of Cu2+ and PS-MPs exposure groups. All in all, PS-MPs aggravate the accumulation of Cu2+ and lead to perturbations in biological systems of Nile tilapia.</t>
  </si>
  <si>
    <t>10.1016/j.scitotenv.2021.152099</t>
  </si>
  <si>
    <t>WOS:000740245600001</t>
  </si>
  <si>
    <t>EFFECTS OF NUTRIENT ENRICHMENT IN DUTCH CHALK GRASSLAND</t>
  </si>
  <si>
    <t>(1) The sharp increase in dominance of Brachypodium pinnatum in Dutch chalk grasslands during the past decade was hypothesized to have resulted from increased atmospheric nitrogen inputs. To test this, N, P, K were applied at 10, 3 and 10 g m-2 year-1, respectively, in a 3-year experiment at two Dutch chalk grassland sites, plus an NPK addition. (2) After 3 years, peak standing crop increased significantly with added N and NPK. Phytomass of legumes increased after P addition and B. pinnatum mass more than doubled with added N. NPK addition also sharply increased the dry weight of other graminoids. (3) Total below-ground phytomass increased only with added NPK. Addition of N increased the below-ground dry wt of B. pinnatum, but decreased that of other species. (4) B. pinnatum acquired N and P efficiently, and produced more phytomass per unit time after N application even without enhanced P uptake, while its shoot N:P ratio increased to &gt; 30. (5) The vertical structure of the vegetation was affected by N and NPK additions, and light penetration in the canopy was considerably reduced, decreasing species density and diversity. (6) It is concluded that B. pinnatim benefits more from atmospheric N inputs than other chalk grassland species. Its ability to cope with decreasing concentrations of P caused by N-induced stimulated growth largely explains its success with long-term N enrichment.</t>
  </si>
  <si>
    <t>10.2307/2404111</t>
  </si>
  <si>
    <t>WOS:A1991FN20800003</t>
  </si>
  <si>
    <t>TEMPORAL GENETIC-VARIATION IN SUBPOPULATIONS OF BICOLOR DAMSELFISH (STEGASTES-PARTITUS) INHABITING CORAL REEFS IN THE FLORIDA KEYS</t>
  </si>
  <si>
    <t>In 1986 we observed significant genetic heterogeneity among samples of bicolor damselfish (Stegastes partitus) from geographically proximate coral reefs in the Florida Keys. This result was in contrast to results of virtually all previous studies of coral reef fishes. To assess temporal stability of localized genetic differentiation, we resampled reefs in 1989. Within approximately two generations, allele frequencies at the most differentiated locus, ACO-1*, had changed by as much as 0.65, resulting in almost complete homogeneity between previously differentiated subpopulations. Estimates of 10.78 migrants per generation suggested that high gene flow is the most likely factor responsible for the significant change in allele frequencies. We attribute the original genetic differentiation to a population bottleneck, possibly caused by environmental perturbations such as hurricanes and consequent genetic drift. For reef fishes with pelagic egg and/or larval stages, a growing body of data suggests that: (1) populations are geographically extensive gene pools, and (2) rates of dispersal appear to be high enough to allow for continual repopulation of isolated and/or perturbed coral reef communities.</t>
  </si>
  <si>
    <t>10.1007/BF01344354</t>
  </si>
  <si>
    <t>WOS:A1991GG23000005</t>
  </si>
  <si>
    <t>THE GENETIC-STRUCTURE OF SALMON POPULATIONS</t>
  </si>
  <si>
    <t>Unique information on the characteristics of intra- and interpopulation genetic differentiation of various salmonids has been accumulated during the last 25 years, mostly be electrophoresis of protein polymorphisms, and more recently by DNA polymorphism analysis. Almost simultaneously, polygenic morphological variation was being studied, and selection for growth and maturation rates has founded a basis for aquaculture. Achievements in Norway and Scotland signal the wide prospects opened up by genetics and selection for the fish industry. However, progress in selection of organisms has been gained always at the expense of a change of genetic variability, and results in decreased fitness. Another consequent problem for salmonids is the influence of artificially produced fish on wild populations. A compromise is needed to maintain a steady level of economic benefit while countering the negative effects of directional selection. Therefore investigators must understand clearly the genetic structure of wild and hatchery populations of salmonids. To this end they should combine the approaches, methods and possibilities of quantitative with those of Mendelian genetics. The present paper considers this thesis. focussing on Pacific (Oncorhynchus) and Atlantic (Salmo) salmon species. In particular it deals with: (i) specific features of intra- and interpopulation genetic differentiation; (ii) major factors responsible for maintaining protein polymorphism in the populations; and (iii) effects of human impacts (e.g. fisheries, transfers and artificial reproduction) on the genetic structure of populations. It concludes with a scheme of artificial reproduction to maintain optimal levels of gene diversity, specific for each population and for its preservation in time and space.</t>
  </si>
  <si>
    <t>10.1016/0044-8486(91)90368-H</t>
  </si>
  <si>
    <t>WOS:A1991GP58400003</t>
  </si>
  <si>
    <t>AN ANALYSIS OF FISH COMMUNITY RESPONSES TO CORAL MINING IN THE MALDIVES</t>
  </si>
  <si>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</si>
  <si>
    <t>10.1007/BF00010949</t>
  </si>
  <si>
    <t>WOS:A1992HR82300006</t>
  </si>
  <si>
    <t>COMPARING ECOLOGICAL EFFECTS OF 2 DIFFERENT TYPES OF POLLUTION USING MULTIVARIATE TECHNIQUES</t>
  </si>
  <si>
    <t>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t>
  </si>
  <si>
    <t>10.1111/j.1439-0485.1993.tb00370.x</t>
  </si>
  <si>
    <t>WOS:A1993LM81800003</t>
  </si>
  <si>
    <t>MITOCHONDRIAL-DNA DIFFERENTIATION AND POPULATION-STRUCTURE IN RED DRUM (SCIAENOPS-OCELLATUS) FROM THE GULF-OF-MEXICO AND ATLANTIC-OCEAN</t>
  </si>
  <si>
    <t>Variation in mitochondrial (mt)DNA was examined among 473 red drum (Sciaenops ocellatus) sampled in 1988 and 1989 from nearshore localities in the northern Gulf of Mexico (Gulf) and the Atlantic coast of the southeastern United States (Atlantic). Data were combined with those from a previous study to generate a total of 871 individuals sampled from 11 localities in the Gulf and 5 localities in the Atlantic. Individuals assayed were from the 1986 and 1987 year-classes. A total of 118 composite mtDNA genotypes (haplotypes) was found. The percentage nucleotide sequence divergence among the 118 haplotypes ranged from 0.184 to 1.913, with a mean (+/- SE) of 0.878 +/- 0.004. MtDNA nucleon diversities and intrapopulational nucleotide-sequence divergence values were similar over all Gulf and Atlantic localities, and were high relative to most fish species surveyed to date. These data indicate that the perceived decline in red drum abundance appears not to have affected the genetic variability base of the species. Significant heterogeneity in the frequencies of at least four haplotypes was detected between pooled samples from the Gulf vs pooled samples from the Atlantic. No heterogeneity was found among localities from the Gulf or localities from the Atlantic. High levels of gene flow among all localities were inferred from F(ST) values (a measure of the variance in mtDNA haplotype frequencies) and from Slatkin's qualitative and quantitative analyses. Parsimony and phenetic analyses revealed no strong evidence for phylogeographic cohesion of localities, although there was weak support for cohesion of four of five localities from the Atlantic. These data indicate that the red drum population is subdivided, with weakly differentiated subpopulations (stocks) occurring in the northern Gulf and along the Atlantic coast of southeastern USA. Spatial autocorrelation analysis and heterogeneity tests of haplotype frequencies among regions within the Gulf supported the hypothesis of increased gene flow among neighboring localities; i.e., migration of individuals within the Gulf may be inversely related to geographic distance from an estuary or bay of natal origin. Estimates of evolutionary effective female-population size indicate that the red drum subpopulations may be large.</t>
  </si>
  <si>
    <t>10.1007/BF00350007</t>
  </si>
  <si>
    <t>WOS:A1993LR14000001</t>
  </si>
  <si>
    <t>SIMULATED CLIMATE-CHANGE - A FIELD MANIPULATION STUDY OF POLAR MICROARTHROPOD COMMUNITY RESPONSE TO GLOBAL WARMING</t>
  </si>
  <si>
    <t>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t>
  </si>
  <si>
    <t>10.1111/j.1600-0587.1994.tb00085.x</t>
  </si>
  <si>
    <t>WOS:A1994NW41700003</t>
  </si>
  <si>
    <t>INTERRELATIONSHIPS IN COMMUNITY STRUCTURE BETWEEN SHALLOW-WATER MARINE MEIOFAUNA AND MACROFAUNA IN RELATION TO DREDGINGS DISPOSAL</t>
  </si>
  <si>
    <t>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t>
  </si>
  <si>
    <t>10.3354/meps127103</t>
  </si>
  <si>
    <t>WOS:A1995TG88000010</t>
  </si>
  <si>
    <t>Global vegetation cover changes from coarse resolution satellite data</t>
  </si>
  <si>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</si>
  <si>
    <t>10.1029/95JD02138</t>
  </si>
  <si>
    <t>WOS:A1996UB98600039</t>
  </si>
  <si>
    <t>Anthropogenic landscape changes and avian diversity at Los Tuxtlas, Mexico</t>
  </si>
  <si>
    <t>Faced with rapid and extensive conversion of tropical rain forests to a landscape consisting of pasture lands, and with the need to preserve the avian diversity of tropical regions, it is imperative to determine how different species have responded to anthropogenic alterations of their natural habitats. We sampled birds in undisturbed and disturbed forest islands in regenerating forests and in four replicates of each of the following man-made habitats: arboreal agricultural habitats (cacao, coffee, mixed, citrus and allspice), non-arboreal agricultural habitats (corn, jalapeno chili pepper and bananas), live fences and pastures, at Los Tuxtlas, Veracruz, Mexico. We censused 22145 birds representing 226 species. We detected 79% of the species in forest habitats, 80% in agricultural habitats, 43% in live fences and only 5% in pastures. Isolating distance and continued disturbance by humans of forest fragments were important variables influencing species' richness. Arboreal agricultural habitats and live fences were richer in species and in birds than non-arboreal man-made habitats. Economic surveys showed that some of the crops investigated yield higher returns than cattle ranching based on pastures. We discuss the conservation value for birds of agricultural islands and of live fences as landscape elements that help reduce physical and biotic isolation among remaining configurations of forest fragments in Los Tuxtlas.</t>
  </si>
  <si>
    <t>10.1023/A:1018328930981</t>
  </si>
  <si>
    <t>WOS:A1997WL15900002</t>
  </si>
  <si>
    <t>Relationships between taxonomic resolution and data transformations in analyses of a macrobenthic community along an established pollution gradient</t>
  </si>
  <si>
    <t>Although surveys of soft-bottom macrofauna are an important tool in marine pollution monitoring, the high costs involved have often been criticised. Species identification is time-consuming, and one solution is to identify organisms to a taxonomic level higher than species. This study, using data from a survey in the vicinity of the Valhall oil field in the Norwegian sector of the North Sea, examines the effects of using abundances of different taxonomic levels, and of using different data transformations (used to adjust the relative weightings of rare and abundant taxa) in subsequent multivariate analyses of faunal patterns, and relates the environmental variables to the observed faunal patterns from the different analyses. The study area has a constant water depth, homogeneous bottom sediment and a uniform benthic community. At the time of the survey the platform had been active for 9 yr, and strong gradients in environmental contaminants and related faunal changes were found. Data from 27 stations around the oil platform were analysed at the levels of species, genus, family, order, class and phylum, using a range of data transformations and multivariate techniques. The data matrix contained 156 species grouped into 138 genera, 102 families, 42 orders, 18 classes and 10 phyla. Matrices derived from species, genus and family abundances constructed using the same transformation are very similar, and even at higher taxonomic levels the gradient of change in community structure is still detectable. As the taxonomic level increases the effects of transformations become stronger, so although both taxonomic resolution and transformation affect the results of analyses, the effects of each are different and, to a large extent, unrelated. The highest correlations between matrices derived from measured environmental variables and biotic matrices are between environmental variables related to drilling activity and mildly transformed family abundances, suggesting that analyses of higher taxonomic levels are more likely to reflect a contamination gradient than are analyses based on species abundances. Before any general recommendations regarding taxonomic levels are given for future macrobenthic surveys, there is an obvious need for studies of weak, intermediate and strong gradients in various types of contamination in homogeneous and heterogeneous environments, using the same sampling and analysis methods.</t>
  </si>
  <si>
    <t>10.3354/meps149173</t>
  </si>
  <si>
    <t>WOS:A1997XA14600016</t>
  </si>
  <si>
    <t>Microsatellite variation and microevolution in the critically endangered San Clemente Island loggerhead shrike (Lanius ludovicianus mearnsi)</t>
  </si>
  <si>
    <t>Polymorphic nuclear microsatellite loci were used to characterize genetic variation in contemporary and historic populations of the San Clemente Island loggerhead shrike (Lanius ludovicianus mearnsi), an endangered bird with a current population of about 30 individuals, that is endemic to one of the California Channel Islands. We also compared the population of the shrike with two contemporary populations of the still abundant subspecies, L. l. gambeli, which live 120 km away on the adjacent mainland. The current population of L. l. mearnsi has 60 % of the genetic variation of the mainland shrike populations and is strongly differentiated from them. Comparison of living birds with 19 birds collected in 1915 shows that most of the variation within the island population was lost before the recent 90% decline in population size, and the 20 % decrease in variation this century is probably attributable to genetic drift. Mitochondrial DNA control region sequence data from 80-year-old specimens show that there may have been limited introgression to L. l. mearnsi, this century, from another island subspecies, L. l. anthonyi, found in the northern Channel Islands. Today, gene flow between L. l. mearnsi and mainland L. l. gambeli is very low, even though a few mainland birds visit the island annually. The island subspecies population has evolved sufficient genetic independence to justify ongoing conservation efforts to counter demographic collapse and genetic erosion; the course of genetic erosion can now be monitored noninvasively, as demonstrated by this study, based on DNA amplified from feathers.</t>
  </si>
  <si>
    <t>10.1098/rspb.1997.0121</t>
  </si>
  <si>
    <t>WOS:A1997XH13100012</t>
  </si>
  <si>
    <t>Genetic structure of crown-of-thorns starfish (Acanthaster planci) on the Great Barrier Reef, Australia: comparison of two sets of outbreak populations occurring ten years apart</t>
  </si>
  <si>
    <t>Six populations of the crown-of-thorns starfish, Acanthaster planci, showing large increases in population size in 1994 to 1995, were examined by allozyme electrophoresis of 100 to 300 individuals collected from each population in November 1995 to February 1996. Analysis of nine loci. used to determine the structure of outbreak populations in the early-mid-1980s, demonstrated no significant differentiation among the 1996 outbreak populations in any age class (2 to 6 yr old). No significant variation was detected between age classes in any of the six populations. These data are consistent with the recent outbreak populations having been derived from one genetic source, and suggest no change in the source of recruits to these reefs between 1989/1990 to 1994/1995. In a multi-dimensional scaling analysis, the 1996 samples clustered with the eight 1986 outbreak populations in a small part of the genetic space spanned by the 1986 non-outbreak populations, suggesting that the outbreak populations were derived from the same genetic source in both 1986 and 1996. Statistically significant, but small, differences in gene frequencies detected between the 1986 and 1996 outbreak populations are thought to result from genetic drift, but are unlikely to provide a means of distinguishing sets of outbreak populations because of the large sample sizes required to detect the small shifts in gene frequency.</t>
  </si>
  <si>
    <t>10.1007/s002270050155</t>
  </si>
  <si>
    <t>WOS:A1997XQ30000017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</si>
</sst>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Arial"/>
      <scheme val="minor"/>
    </font>
    <font>
      <color theme="1"/>
      <name val="Arial"/>
      <scheme val="minor"/>
    </font>
    <font/>
    <font>
      <b/>
      <color theme="1"/>
      <name val="Arial"/>
      <scheme val="minor"/>
    </font>
    <font>
      <u/>
      <color rgb="FF0000FF"/>
    </font>
    <font>
      <u/>
      <color rgb="FF0000FF"/>
    </font>
    <font>
      <b/>
      <color rgb="FF0000FF"/>
      <name val="Arial"/>
      <scheme val="minor"/>
    </font>
    <font>
      <u/>
      <color rgb="FF0000FF"/>
    </font>
  </fonts>
  <fills count="6">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EFEFEF"/>
        <bgColor rgb="FFEFEFEF"/>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Alignment="1" applyBorder="1" applyFont="1">
      <alignment readingOrder="0" shrinkToFit="0" wrapText="1"/>
    </xf>
    <xf borderId="3" fillId="0" fontId="3" numFmtId="0" xfId="0" applyBorder="1" applyFont="1"/>
    <xf borderId="4" fillId="0" fontId="3" numFmtId="0" xfId="0" applyBorder="1" applyFont="1"/>
    <xf borderId="1" fillId="3" fontId="2" numFmtId="0" xfId="0" applyAlignment="1" applyBorder="1" applyFill="1" applyFont="1">
      <alignment readingOrder="0"/>
    </xf>
    <xf borderId="5" fillId="3" fontId="2" numFmtId="0" xfId="0" applyAlignment="1" applyBorder="1" applyFont="1">
      <alignment readingOrder="0" shrinkToFit="0" wrapText="1"/>
    </xf>
    <xf borderId="1" fillId="4" fontId="2" numFmtId="0" xfId="0" applyAlignment="1" applyBorder="1" applyFill="1" applyFont="1">
      <alignment readingOrder="0" shrinkToFit="0" wrapText="1"/>
    </xf>
    <xf quotePrefix="1" borderId="2" fillId="0" fontId="2" numFmtId="0" xfId="0" applyAlignment="1" applyBorder="1" applyFont="1">
      <alignment readingOrder="0" shrinkToFit="0" wrapText="1"/>
    </xf>
    <xf borderId="6" fillId="0" fontId="3" numFmtId="0" xfId="0" applyBorder="1" applyFont="1"/>
    <xf borderId="7" fillId="0" fontId="3" numFmtId="0" xfId="0" applyBorder="1" applyFont="1"/>
    <xf borderId="0" fillId="0" fontId="4" numFmtId="0" xfId="0" applyAlignment="1" applyFont="1">
      <alignment horizontal="center" readingOrder="0"/>
    </xf>
    <xf borderId="1" fillId="5" fontId="4" numFmtId="0" xfId="0" applyAlignment="1" applyBorder="1" applyFill="1" applyFont="1">
      <alignment horizontal="center" readingOrder="0"/>
    </xf>
    <xf borderId="1" fillId="4" fontId="5" numFmtId="0" xfId="0" applyAlignment="1" applyBorder="1" applyFont="1">
      <alignment readingOrder="0"/>
    </xf>
    <xf borderId="1" fillId="0" fontId="2" numFmtId="0" xfId="0" applyAlignment="1" applyBorder="1" applyFont="1">
      <alignment readingOrder="0" shrinkToFit="0" wrapText="1"/>
    </xf>
    <xf borderId="1" fillId="0" fontId="6" numFmtId="0" xfId="0" applyAlignment="1" applyBorder="1" applyFont="1">
      <alignment readingOrder="0" shrinkToFit="0" wrapText="1"/>
    </xf>
    <xf borderId="0" fillId="0" fontId="2" numFmtId="0" xfId="0" applyAlignment="1" applyFont="1">
      <alignment readingOrder="0" shrinkToFit="0" vertical="top" wrapText="1"/>
    </xf>
    <xf borderId="1" fillId="3" fontId="7" numFmtId="0" xfId="0" applyAlignment="1" applyBorder="1" applyFont="1">
      <alignment readingOrder="0"/>
    </xf>
    <xf borderId="1" fillId="0" fontId="8" numFmtId="0" xfId="0" applyAlignment="1" applyBorder="1" applyFont="1">
      <alignment readingOrder="0"/>
    </xf>
    <xf borderId="1" fillId="3" fontId="2" numFmtId="0" xfId="0" applyAlignment="1" applyBorder="1" applyFont="1">
      <alignment readingOrder="0"/>
    </xf>
    <xf borderId="2" fillId="0" fontId="2" numFmtId="0" xfId="0" applyAlignment="1" applyBorder="1" applyFont="1">
      <alignment readingOrder="0"/>
    </xf>
    <xf borderId="0" fillId="0" fontId="4" numFmtId="0" xfId="0" applyAlignment="1" applyFont="1">
      <alignment readingOrder="0"/>
    </xf>
    <xf borderId="1" fillId="5" fontId="2" numFmtId="0" xfId="0" applyAlignment="1" applyBorder="1" applyFont="1">
      <alignment readingOrder="0"/>
    </xf>
    <xf borderId="1" fillId="0" fontId="2" numFmtId="0" xfId="0" applyAlignment="1" applyBorder="1" applyFont="1">
      <alignment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nain" id="{80dffdcb-7fc5-4cb4-a871-1700262eecf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4-05T09:42:48.00" personId="{80dffdcb-7fc5-4cb4-a871-1700262eecf6}" id="{389ffe27-0367-40d2-82db-e2910a68a94f}" done="0">
    <x18tc:text xml:space="preserve">Note that the examples here include only "Eligible" records. For ineligible examples, see other datasets called "Annotated Screening".
Why eligible only?
All examples here are reproduced from previous reviews or red list of ecosystem database. By design, the outputs reported there are reporting some form of biodiversity change with anthro sources as driver. All examples obtain are by design assumed as eligible for this map.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cience.org/doi/10.1126/sciadv.abm9982" TargetMode="External"/><Relationship Id="rId2" Type="http://schemas.openxmlformats.org/officeDocument/2006/relationships/hyperlink" Target="https://www.nature.com/articles/s41586-025-08752-2" TargetMode="External"/><Relationship Id="rId3" Type="http://schemas.openxmlformats.org/officeDocument/2006/relationships/hyperlink" Target="https://www.nature.com/articles/s41586-024-08458-x" TargetMode="External"/><Relationship Id="rId4" Type="http://schemas.openxmlformats.org/officeDocument/2006/relationships/hyperlink" Target="https://onlinelibrary.wiley.com/doi/10.1002/ece3.909" TargetMode="External"/><Relationship Id="rId5" Type="http://schemas.openxmlformats.org/officeDocument/2006/relationships/hyperlink" Target="https://iucnrle.org/" TargetMode="External"/><Relationship Id="rId6" Type="http://schemas.openxmlformats.org/officeDocument/2006/relationships/hyperlink" Target="https://docs.google.com/spreadsheets/d/1rZMf6QlwUM14ml0v_RCHINejPt9jSLdtbwOwrvNJaHE/edit?usp=sharin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31.88"/>
    <col customWidth="1" min="3" max="3" width="30.5"/>
    <col customWidth="1" min="4" max="4" width="39.75"/>
    <col customWidth="1" min="5" max="5" width="72.13"/>
    <col customWidth="1" min="6" max="6" width="2.38"/>
    <col hidden="1" min="7" max="26" width="12.63"/>
  </cols>
  <sheetData>
    <row r="2">
      <c r="B2" s="1" t="s">
        <v>0</v>
      </c>
      <c r="C2" s="2" t="s">
        <v>1</v>
      </c>
      <c r="D2" s="3"/>
      <c r="E2" s="4"/>
    </row>
    <row r="4">
      <c r="B4" s="5" t="s">
        <v>2</v>
      </c>
      <c r="C4" s="2" t="s">
        <v>3</v>
      </c>
      <c r="D4" s="3"/>
      <c r="E4" s="4"/>
    </row>
    <row r="5">
      <c r="B5" s="6" t="s">
        <v>4</v>
      </c>
      <c r="C5" s="7" t="s">
        <v>5</v>
      </c>
      <c r="D5" s="8" t="s">
        <v>6</v>
      </c>
      <c r="E5" s="4"/>
    </row>
    <row r="6">
      <c r="B6" s="9"/>
      <c r="C6" s="7" t="s">
        <v>7</v>
      </c>
      <c r="D6" s="8" t="s">
        <v>8</v>
      </c>
      <c r="E6" s="4"/>
    </row>
    <row r="7">
      <c r="B7" s="9"/>
      <c r="C7" s="7" t="s">
        <v>9</v>
      </c>
      <c r="D7" s="8" t="s">
        <v>10</v>
      </c>
      <c r="E7" s="4"/>
    </row>
    <row r="8">
      <c r="B8" s="10"/>
      <c r="C8" s="7" t="s">
        <v>11</v>
      </c>
      <c r="D8" s="8" t="s">
        <v>12</v>
      </c>
      <c r="E8" s="4"/>
    </row>
    <row r="9">
      <c r="C9" s="11"/>
      <c r="D9" s="11"/>
      <c r="E9" s="11"/>
      <c r="F9" s="11"/>
    </row>
    <row r="10">
      <c r="C10" s="12" t="s">
        <v>13</v>
      </c>
      <c r="D10" s="12" t="s">
        <v>14</v>
      </c>
      <c r="E10" s="12" t="s">
        <v>15</v>
      </c>
      <c r="F10" s="11"/>
    </row>
    <row r="11" ht="68.25" customHeight="1">
      <c r="B11" s="6" t="s">
        <v>16</v>
      </c>
      <c r="C11" s="13" t="s">
        <v>17</v>
      </c>
      <c r="D11" s="14" t="s">
        <v>18</v>
      </c>
      <c r="E11" s="15" t="s">
        <v>19</v>
      </c>
    </row>
    <row r="12" ht="105.75" customHeight="1">
      <c r="B12" s="9"/>
      <c r="C12" s="13" t="s">
        <v>20</v>
      </c>
      <c r="D12" s="14" t="s">
        <v>21</v>
      </c>
      <c r="E12" s="15" t="s">
        <v>22</v>
      </c>
    </row>
    <row r="13" ht="26.25" customHeight="1">
      <c r="B13" s="9"/>
      <c r="C13" s="13" t="s">
        <v>23</v>
      </c>
      <c r="D13" s="14" t="s">
        <v>24</v>
      </c>
      <c r="E13" s="15" t="s">
        <v>25</v>
      </c>
    </row>
    <row r="14" ht="26.25" customHeight="1">
      <c r="B14" s="9"/>
      <c r="C14" s="13" t="s">
        <v>26</v>
      </c>
      <c r="D14" s="14" t="s">
        <v>27</v>
      </c>
      <c r="E14" s="15" t="s">
        <v>28</v>
      </c>
    </row>
    <row r="15">
      <c r="B15" s="10"/>
      <c r="C15" s="13" t="s">
        <v>29</v>
      </c>
      <c r="D15" s="14" t="s">
        <v>30</v>
      </c>
      <c r="E15" s="15" t="s">
        <v>31</v>
      </c>
    </row>
    <row r="16">
      <c r="B16" s="16" t="s">
        <v>32</v>
      </c>
      <c r="D16" s="16"/>
      <c r="E16" s="16" t="s">
        <v>33</v>
      </c>
    </row>
    <row r="18">
      <c r="B18" s="17" t="s">
        <v>34</v>
      </c>
      <c r="C18" s="18" t="s">
        <v>35</v>
      </c>
    </row>
    <row r="19">
      <c r="B19" s="19" t="s">
        <v>36</v>
      </c>
      <c r="C19" s="18" t="s">
        <v>37</v>
      </c>
    </row>
    <row r="21">
      <c r="B21" s="7" t="s">
        <v>38</v>
      </c>
      <c r="C21" s="18" t="s">
        <v>39</v>
      </c>
    </row>
  </sheetData>
  <mergeCells count="9">
    <mergeCell ref="B11:B15"/>
    <mergeCell ref="B16:C16"/>
    <mergeCell ref="C2:E2"/>
    <mergeCell ref="C4:E4"/>
    <mergeCell ref="B5:B8"/>
    <mergeCell ref="D5:E5"/>
    <mergeCell ref="D6:E6"/>
    <mergeCell ref="D7:E7"/>
    <mergeCell ref="D8:E8"/>
  </mergeCells>
  <hyperlinks>
    <hyperlink display="Jaureguiberry (2022)" location="'Jaureguiberry et al - Import (1'!A1" ref="C11"/>
    <hyperlink r:id="rId1" location="sec-4:~:text=The%20575%20studies%20retained%20after%20screening%20were%20read%20in%20full%20to%20evaluate%20their%20eligibility%20for%20inclusion%20in%20the%20analysis%20based%20on%20the%20following%20attributes" ref="E11"/>
    <hyperlink display="Keck (2025)" location="'Keck et al - import (1711)'!A1" ref="C12"/>
    <hyperlink r:id="rId2" location="Sec2:~:text=First%2C%20we%20searched,community%20dissimilarity%20matrix" ref="E12"/>
    <hyperlink display="Shaw (2025)" location="'Shaw et al - import (418)'!A1" ref="C13"/>
    <hyperlink r:id="rId3" location="Sec7:~:text=Manual%20screening%20of%20studies%20against%20inclusion%20criteria%2C%20and%20extraction%20of%20genetic%20diversity%20measurements%20and%20metadata%20took%20place%20simultaneously%20by%20members%20of%20the%20authorship%20team%2C%20via%20multiple%20workshops%20using%20shared%20written%20guidelines" ref="E13"/>
    <hyperlink display="Murphy (2014)" location="'Murphy et al - import (142)'!A1" ref="C14"/>
    <hyperlink r:id="rId4" location=":~:text=Preferred%20Reporting%20Items%20for%20Systematic%20reviews%20and%20Meta%2Danalyses%20(PRISMA)%20diagram.%20PRISMA%20flow%20diagram%20showing%20an%20overview%20of%20the%20study%20selection%20process." ref="E14"/>
    <hyperlink display="Red List of Ecosystems database" location="'Ecosystem Change - Import (31)'!A1" ref="C15"/>
    <hyperlink r:id="rId5" ref="E15"/>
    <hyperlink display="L0) Screening (2418)" location="'L0) Screening (2418)'!A1" ref="C18"/>
    <hyperlink display="L0) Train/Dev/Test Splits Info" location="'L0) TrainDevTest Splits Info'!A1" ref="C19"/>
    <hyperlink r:id="rId6" ref="C2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63"/>
    <col customWidth="1" min="3" max="3" width="15.0"/>
    <col hidden="1" min="9" max="26" width="12.63"/>
  </cols>
  <sheetData>
    <row r="2">
      <c r="B2" s="5" t="s">
        <v>40</v>
      </c>
      <c r="C2" s="20" t="s">
        <v>41</v>
      </c>
      <c r="D2" s="3"/>
      <c r="E2" s="3"/>
      <c r="F2" s="3"/>
      <c r="G2" s="4"/>
    </row>
    <row r="3">
      <c r="B3" s="5" t="s">
        <v>42</v>
      </c>
      <c r="C3" s="20" t="s">
        <v>43</v>
      </c>
      <c r="D3" s="3"/>
      <c r="E3" s="3"/>
      <c r="F3" s="3"/>
      <c r="G3" s="4"/>
    </row>
    <row r="5">
      <c r="B5" s="21" t="s">
        <v>44</v>
      </c>
    </row>
    <row r="6">
      <c r="B6" s="22" t="s">
        <v>45</v>
      </c>
      <c r="C6" s="22" t="s">
        <v>46</v>
      </c>
      <c r="D6" s="22" t="s">
        <v>47</v>
      </c>
      <c r="E6" s="22" t="s">
        <v>48</v>
      </c>
    </row>
    <row r="7">
      <c r="B7" s="23">
        <v>2418.0</v>
      </c>
      <c r="C7" s="23">
        <v>1452.0</v>
      </c>
      <c r="D7" s="23">
        <v>484.0</v>
      </c>
      <c r="E7" s="23">
        <v>482.0</v>
      </c>
    </row>
    <row r="8">
      <c r="B8" s="21"/>
    </row>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sheetData>
  <mergeCells count="2">
    <mergeCell ref="C2:G2"/>
    <mergeCell ref="C3:G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2" width="30.38"/>
  </cols>
  <sheetData>
    <row r="1">
      <c r="A1" s="24" t="s">
        <v>49</v>
      </c>
      <c r="B1" s="24" t="s">
        <v>50</v>
      </c>
      <c r="C1" s="24" t="s">
        <v>51</v>
      </c>
      <c r="D1" s="24" t="s">
        <v>52</v>
      </c>
      <c r="E1" s="24" t="s">
        <v>53</v>
      </c>
      <c r="F1" s="25" t="s">
        <v>54</v>
      </c>
    </row>
    <row r="2">
      <c r="A2" s="24" t="s">
        <v>55</v>
      </c>
      <c r="B2" s="24" t="s">
        <v>56</v>
      </c>
      <c r="C2" s="24" t="s">
        <v>57</v>
      </c>
      <c r="D2" s="24" t="s">
        <v>58</v>
      </c>
      <c r="E2" s="24">
        <v>1.0</v>
      </c>
      <c r="F2" s="24" t="s">
        <v>59</v>
      </c>
    </row>
    <row r="3">
      <c r="A3" s="24" t="s">
        <v>60</v>
      </c>
      <c r="B3" s="24" t="s">
        <v>61</v>
      </c>
      <c r="C3" s="24" t="s">
        <v>57</v>
      </c>
      <c r="D3" s="24" t="s">
        <v>58</v>
      </c>
      <c r="E3" s="24">
        <v>2.0</v>
      </c>
      <c r="F3" s="24" t="s">
        <v>59</v>
      </c>
    </row>
    <row r="4">
      <c r="A4" s="24" t="s">
        <v>62</v>
      </c>
      <c r="B4" s="24" t="s">
        <v>63</v>
      </c>
      <c r="C4" s="24" t="s">
        <v>57</v>
      </c>
      <c r="D4" s="24" t="s">
        <v>58</v>
      </c>
      <c r="E4" s="24">
        <v>3.0</v>
      </c>
      <c r="F4" s="24" t="s">
        <v>59</v>
      </c>
    </row>
    <row r="5">
      <c r="A5" s="24" t="s">
        <v>64</v>
      </c>
      <c r="B5" s="24" t="s">
        <v>65</v>
      </c>
      <c r="C5" s="24" t="s">
        <v>57</v>
      </c>
      <c r="D5" s="24" t="s">
        <v>58</v>
      </c>
      <c r="E5" s="24">
        <v>4.0</v>
      </c>
      <c r="F5" s="24" t="s">
        <v>59</v>
      </c>
    </row>
    <row r="6">
      <c r="A6" s="24" t="s">
        <v>66</v>
      </c>
      <c r="B6" s="24" t="s">
        <v>67</v>
      </c>
      <c r="C6" s="24" t="s">
        <v>57</v>
      </c>
      <c r="D6" s="24" t="s">
        <v>58</v>
      </c>
      <c r="E6" s="24">
        <v>5.0</v>
      </c>
      <c r="F6" s="24" t="s">
        <v>59</v>
      </c>
    </row>
    <row r="7">
      <c r="A7" s="24" t="s">
        <v>68</v>
      </c>
      <c r="B7" s="24" t="s">
        <v>69</v>
      </c>
      <c r="C7" s="24" t="s">
        <v>57</v>
      </c>
      <c r="D7" s="24" t="s">
        <v>58</v>
      </c>
      <c r="E7" s="24">
        <v>6.0</v>
      </c>
      <c r="F7" s="24" t="s">
        <v>59</v>
      </c>
    </row>
    <row r="8">
      <c r="A8" s="24" t="s">
        <v>70</v>
      </c>
      <c r="B8" s="24" t="s">
        <v>71</v>
      </c>
      <c r="C8" s="24" t="s">
        <v>57</v>
      </c>
      <c r="D8" s="24" t="s">
        <v>58</v>
      </c>
      <c r="E8" s="24">
        <v>7.0</v>
      </c>
      <c r="F8" s="24" t="s">
        <v>59</v>
      </c>
    </row>
    <row r="9">
      <c r="A9" s="24" t="s">
        <v>72</v>
      </c>
      <c r="B9" s="24" t="s">
        <v>73</v>
      </c>
      <c r="C9" s="24" t="s">
        <v>57</v>
      </c>
      <c r="D9" s="24" t="s">
        <v>58</v>
      </c>
      <c r="E9" s="24">
        <v>8.0</v>
      </c>
      <c r="F9" s="24" t="s">
        <v>59</v>
      </c>
    </row>
    <row r="10">
      <c r="A10" s="24" t="s">
        <v>74</v>
      </c>
      <c r="B10" s="24" t="s">
        <v>75</v>
      </c>
      <c r="C10" s="24" t="s">
        <v>57</v>
      </c>
      <c r="D10" s="24" t="s">
        <v>58</v>
      </c>
      <c r="E10" s="24">
        <v>9.0</v>
      </c>
      <c r="F10" s="24" t="s">
        <v>59</v>
      </c>
    </row>
    <row r="11">
      <c r="A11" s="24" t="s">
        <v>76</v>
      </c>
      <c r="B11" s="24" t="s">
        <v>77</v>
      </c>
      <c r="C11" s="24" t="s">
        <v>57</v>
      </c>
      <c r="D11" s="24" t="s">
        <v>58</v>
      </c>
      <c r="E11" s="24">
        <v>10.0</v>
      </c>
      <c r="F11" s="24" t="s">
        <v>59</v>
      </c>
    </row>
    <row r="12">
      <c r="A12" s="24" t="s">
        <v>78</v>
      </c>
      <c r="B12" s="24" t="s">
        <v>79</v>
      </c>
      <c r="C12" s="24" t="s">
        <v>57</v>
      </c>
      <c r="D12" s="24" t="s">
        <v>58</v>
      </c>
      <c r="E12" s="24">
        <v>11.0</v>
      </c>
      <c r="F12" s="24" t="s">
        <v>59</v>
      </c>
    </row>
    <row r="13">
      <c r="A13" s="24" t="s">
        <v>80</v>
      </c>
      <c r="B13" s="24" t="s">
        <v>81</v>
      </c>
      <c r="C13" s="24" t="s">
        <v>57</v>
      </c>
      <c r="D13" s="24" t="s">
        <v>58</v>
      </c>
      <c r="E13" s="24">
        <v>12.0</v>
      </c>
      <c r="F13" s="24" t="s">
        <v>59</v>
      </c>
    </row>
    <row r="14">
      <c r="A14" s="24" t="s">
        <v>82</v>
      </c>
      <c r="B14" s="24" t="s">
        <v>83</v>
      </c>
      <c r="C14" s="24" t="s">
        <v>57</v>
      </c>
      <c r="D14" s="24" t="s">
        <v>58</v>
      </c>
      <c r="E14" s="24">
        <v>13.0</v>
      </c>
      <c r="F14" s="24" t="s">
        <v>59</v>
      </c>
    </row>
    <row r="15">
      <c r="A15" s="24" t="s">
        <v>84</v>
      </c>
      <c r="B15" s="24" t="s">
        <v>85</v>
      </c>
      <c r="C15" s="24" t="s">
        <v>57</v>
      </c>
      <c r="D15" s="24" t="s">
        <v>58</v>
      </c>
      <c r="E15" s="24">
        <v>14.0</v>
      </c>
      <c r="F15" s="24" t="s">
        <v>59</v>
      </c>
    </row>
    <row r="16">
      <c r="A16" s="24" t="s">
        <v>86</v>
      </c>
      <c r="B16" s="24" t="s">
        <v>87</v>
      </c>
      <c r="C16" s="24" t="s">
        <v>57</v>
      </c>
      <c r="D16" s="24" t="s">
        <v>58</v>
      </c>
      <c r="E16" s="24">
        <v>15.0</v>
      </c>
      <c r="F16" s="24" t="s">
        <v>59</v>
      </c>
    </row>
    <row r="17">
      <c r="A17" s="24" t="s">
        <v>88</v>
      </c>
      <c r="B17" s="24" t="s">
        <v>89</v>
      </c>
      <c r="C17" s="24" t="s">
        <v>57</v>
      </c>
      <c r="D17" s="24" t="s">
        <v>58</v>
      </c>
      <c r="E17" s="24">
        <v>16.0</v>
      </c>
      <c r="F17" s="24" t="s">
        <v>59</v>
      </c>
    </row>
    <row r="18">
      <c r="A18" s="24" t="s">
        <v>90</v>
      </c>
      <c r="B18" s="24" t="s">
        <v>91</v>
      </c>
      <c r="C18" s="24" t="s">
        <v>57</v>
      </c>
      <c r="D18" s="24" t="s">
        <v>58</v>
      </c>
      <c r="E18" s="24">
        <v>17.0</v>
      </c>
      <c r="F18" s="24" t="s">
        <v>59</v>
      </c>
    </row>
    <row r="19">
      <c r="A19" s="24" t="s">
        <v>92</v>
      </c>
      <c r="B19" s="24" t="s">
        <v>93</v>
      </c>
      <c r="C19" s="24" t="s">
        <v>57</v>
      </c>
      <c r="D19" s="24" t="s">
        <v>58</v>
      </c>
      <c r="E19" s="24">
        <v>18.0</v>
      </c>
      <c r="F19" s="24" t="s">
        <v>59</v>
      </c>
    </row>
    <row r="20">
      <c r="A20" s="24" t="s">
        <v>94</v>
      </c>
      <c r="B20" s="24" t="s">
        <v>95</v>
      </c>
      <c r="C20" s="24" t="s">
        <v>57</v>
      </c>
      <c r="D20" s="24" t="s">
        <v>58</v>
      </c>
      <c r="E20" s="24">
        <v>19.0</v>
      </c>
      <c r="F20" s="24" t="s">
        <v>59</v>
      </c>
    </row>
    <row r="21">
      <c r="A21" s="24" t="s">
        <v>96</v>
      </c>
      <c r="B21" s="24" t="s">
        <v>97</v>
      </c>
      <c r="C21" s="24" t="s">
        <v>57</v>
      </c>
      <c r="D21" s="24" t="s">
        <v>58</v>
      </c>
      <c r="E21" s="24">
        <v>20.0</v>
      </c>
      <c r="F21" s="24" t="s">
        <v>59</v>
      </c>
    </row>
    <row r="22">
      <c r="A22" s="24" t="s">
        <v>98</v>
      </c>
      <c r="B22" s="24" t="s">
        <v>99</v>
      </c>
      <c r="C22" s="24" t="s">
        <v>57</v>
      </c>
      <c r="D22" s="24" t="s">
        <v>58</v>
      </c>
      <c r="E22" s="24">
        <v>21.0</v>
      </c>
      <c r="F22" s="24" t="s">
        <v>59</v>
      </c>
    </row>
    <row r="23">
      <c r="A23" s="24" t="s">
        <v>100</v>
      </c>
      <c r="B23" s="24" t="s">
        <v>101</v>
      </c>
      <c r="C23" s="24" t="s">
        <v>57</v>
      </c>
      <c r="D23" s="24" t="s">
        <v>58</v>
      </c>
      <c r="E23" s="24">
        <v>22.0</v>
      </c>
      <c r="F23" s="24" t="s">
        <v>59</v>
      </c>
    </row>
    <row r="24">
      <c r="A24" s="24" t="s">
        <v>102</v>
      </c>
      <c r="B24" s="24" t="s">
        <v>103</v>
      </c>
      <c r="C24" s="24" t="s">
        <v>57</v>
      </c>
      <c r="D24" s="24" t="s">
        <v>58</v>
      </c>
      <c r="E24" s="24">
        <v>23.0</v>
      </c>
      <c r="F24" s="24" t="s">
        <v>59</v>
      </c>
    </row>
    <row r="25">
      <c r="A25" s="24" t="s">
        <v>104</v>
      </c>
      <c r="B25" s="24" t="s">
        <v>105</v>
      </c>
      <c r="C25" s="24" t="s">
        <v>57</v>
      </c>
      <c r="D25" s="24" t="s">
        <v>58</v>
      </c>
      <c r="E25" s="24">
        <v>24.0</v>
      </c>
      <c r="F25" s="24" t="s">
        <v>59</v>
      </c>
    </row>
    <row r="26">
      <c r="A26" s="24" t="s">
        <v>106</v>
      </c>
      <c r="B26" s="24" t="s">
        <v>107</v>
      </c>
      <c r="C26" s="24" t="s">
        <v>57</v>
      </c>
      <c r="D26" s="24" t="s">
        <v>58</v>
      </c>
      <c r="E26" s="24">
        <v>25.0</v>
      </c>
      <c r="F26" s="24" t="s">
        <v>59</v>
      </c>
    </row>
    <row r="27">
      <c r="A27" s="24" t="s">
        <v>108</v>
      </c>
      <c r="B27" s="24" t="s">
        <v>109</v>
      </c>
      <c r="C27" s="24" t="s">
        <v>57</v>
      </c>
      <c r="D27" s="24" t="s">
        <v>58</v>
      </c>
      <c r="E27" s="24">
        <v>26.0</v>
      </c>
      <c r="F27" s="24" t="s">
        <v>59</v>
      </c>
    </row>
    <row r="28">
      <c r="A28" s="24" t="s">
        <v>110</v>
      </c>
      <c r="B28" s="24" t="s">
        <v>111</v>
      </c>
      <c r="C28" s="24" t="s">
        <v>57</v>
      </c>
      <c r="D28" s="24" t="s">
        <v>58</v>
      </c>
      <c r="E28" s="24">
        <v>27.0</v>
      </c>
      <c r="F28" s="24" t="s">
        <v>59</v>
      </c>
    </row>
    <row r="29">
      <c r="A29" s="24" t="s">
        <v>112</v>
      </c>
      <c r="B29" s="24" t="s">
        <v>113</v>
      </c>
      <c r="C29" s="24" t="s">
        <v>57</v>
      </c>
      <c r="D29" s="24" t="s">
        <v>58</v>
      </c>
      <c r="E29" s="24">
        <v>28.0</v>
      </c>
      <c r="F29" s="24" t="s">
        <v>59</v>
      </c>
    </row>
    <row r="30">
      <c r="A30" s="24" t="s">
        <v>114</v>
      </c>
      <c r="B30" s="24" t="s">
        <v>115</v>
      </c>
      <c r="C30" s="24" t="s">
        <v>57</v>
      </c>
      <c r="D30" s="24" t="s">
        <v>58</v>
      </c>
      <c r="E30" s="24">
        <v>29.0</v>
      </c>
      <c r="F30" s="24" t="s">
        <v>59</v>
      </c>
    </row>
    <row r="31">
      <c r="A31" s="24" t="s">
        <v>116</v>
      </c>
      <c r="B31" s="24" t="s">
        <v>117</v>
      </c>
      <c r="C31" s="24" t="s">
        <v>118</v>
      </c>
      <c r="D31" s="24" t="s">
        <v>58</v>
      </c>
      <c r="E31" s="24">
        <v>30.0</v>
      </c>
      <c r="F31" s="24" t="s">
        <v>59</v>
      </c>
    </row>
    <row r="32">
      <c r="A32" s="24" t="s">
        <v>119</v>
      </c>
      <c r="B32" s="24" t="s">
        <v>120</v>
      </c>
      <c r="D32" s="24" t="s">
        <v>58</v>
      </c>
      <c r="E32" s="24">
        <v>31.0</v>
      </c>
      <c r="F32" s="24" t="s">
        <v>59</v>
      </c>
    </row>
    <row r="33">
      <c r="A33" s="24" t="s">
        <v>121</v>
      </c>
      <c r="B33" s="24" t="s">
        <v>122</v>
      </c>
      <c r="C33" s="24" t="s">
        <v>123</v>
      </c>
      <c r="D33" s="24" t="s">
        <v>124</v>
      </c>
      <c r="E33" s="24" t="s">
        <v>125</v>
      </c>
      <c r="F33" s="24" t="s">
        <v>59</v>
      </c>
    </row>
    <row r="34">
      <c r="A34" s="24" t="s">
        <v>126</v>
      </c>
      <c r="B34" s="24" t="s">
        <v>127</v>
      </c>
      <c r="C34" s="24" t="s">
        <v>128</v>
      </c>
      <c r="D34" s="24" t="s">
        <v>129</v>
      </c>
      <c r="E34" s="24" t="s">
        <v>130</v>
      </c>
      <c r="F34" s="24" t="s">
        <v>59</v>
      </c>
    </row>
    <row r="35">
      <c r="A35" s="24" t="s">
        <v>131</v>
      </c>
      <c r="B35" s="24" t="s">
        <v>132</v>
      </c>
      <c r="C35" s="24" t="s">
        <v>133</v>
      </c>
      <c r="D35" s="24" t="s">
        <v>134</v>
      </c>
      <c r="E35" s="24" t="s">
        <v>135</v>
      </c>
      <c r="F35" s="24" t="s">
        <v>59</v>
      </c>
    </row>
    <row r="36">
      <c r="A36" s="24" t="s">
        <v>136</v>
      </c>
      <c r="B36" s="24" t="s">
        <v>137</v>
      </c>
      <c r="C36" s="24" t="s">
        <v>138</v>
      </c>
      <c r="D36" s="24" t="s">
        <v>134</v>
      </c>
      <c r="E36" s="24" t="s">
        <v>139</v>
      </c>
      <c r="F36" s="24" t="s">
        <v>59</v>
      </c>
    </row>
    <row r="37">
      <c r="A37" s="24" t="s">
        <v>140</v>
      </c>
      <c r="B37" s="24" t="s">
        <v>141</v>
      </c>
      <c r="C37" s="24" t="s">
        <v>142</v>
      </c>
      <c r="D37" s="24" t="s">
        <v>129</v>
      </c>
      <c r="E37" s="24" t="s">
        <v>143</v>
      </c>
      <c r="F37" s="24" t="s">
        <v>59</v>
      </c>
    </row>
    <row r="38">
      <c r="A38" s="24" t="s">
        <v>144</v>
      </c>
      <c r="B38" s="24" t="s">
        <v>145</v>
      </c>
      <c r="C38" s="24" t="s">
        <v>146</v>
      </c>
      <c r="D38" s="24" t="s">
        <v>124</v>
      </c>
      <c r="E38" s="24" t="s">
        <v>147</v>
      </c>
      <c r="F38" s="24" t="s">
        <v>59</v>
      </c>
    </row>
    <row r="39">
      <c r="A39" s="24" t="s">
        <v>148</v>
      </c>
      <c r="B39" s="24" t="s">
        <v>149</v>
      </c>
      <c r="C39" s="24" t="s">
        <v>150</v>
      </c>
      <c r="D39" s="24" t="s">
        <v>129</v>
      </c>
      <c r="E39" s="24" t="s">
        <v>151</v>
      </c>
      <c r="F39" s="24" t="s">
        <v>59</v>
      </c>
    </row>
    <row r="40">
      <c r="A40" s="24" t="s">
        <v>152</v>
      </c>
      <c r="B40" s="24" t="s">
        <v>153</v>
      </c>
      <c r="C40" s="24" t="s">
        <v>154</v>
      </c>
      <c r="D40" s="24" t="s">
        <v>124</v>
      </c>
      <c r="E40" s="24" t="s">
        <v>155</v>
      </c>
      <c r="F40" s="24" t="s">
        <v>59</v>
      </c>
    </row>
    <row r="41">
      <c r="A41" s="24" t="s">
        <v>156</v>
      </c>
      <c r="B41" s="24" t="s">
        <v>157</v>
      </c>
      <c r="C41" s="24" t="s">
        <v>158</v>
      </c>
      <c r="D41" s="24" t="s">
        <v>129</v>
      </c>
      <c r="E41" s="24" t="s">
        <v>159</v>
      </c>
      <c r="F41" s="24" t="s">
        <v>59</v>
      </c>
    </row>
    <row r="42">
      <c r="A42" s="24" t="s">
        <v>160</v>
      </c>
      <c r="B42" s="24" t="s">
        <v>161</v>
      </c>
      <c r="C42" s="24" t="s">
        <v>162</v>
      </c>
      <c r="D42" s="24" t="s">
        <v>134</v>
      </c>
      <c r="E42" s="24" t="s">
        <v>163</v>
      </c>
      <c r="F42" s="24" t="s">
        <v>59</v>
      </c>
    </row>
    <row r="43">
      <c r="A43" s="24" t="s">
        <v>164</v>
      </c>
      <c r="B43" s="24" t="s">
        <v>165</v>
      </c>
      <c r="C43" s="24" t="s">
        <v>166</v>
      </c>
      <c r="D43" s="24" t="s">
        <v>134</v>
      </c>
      <c r="E43" s="24" t="s">
        <v>167</v>
      </c>
      <c r="F43" s="24" t="s">
        <v>59</v>
      </c>
    </row>
    <row r="44">
      <c r="A44" s="24" t="s">
        <v>168</v>
      </c>
      <c r="B44" s="24" t="s">
        <v>169</v>
      </c>
      <c r="C44" s="24" t="s">
        <v>170</v>
      </c>
      <c r="D44" s="24" t="s">
        <v>134</v>
      </c>
      <c r="E44" s="24" t="s">
        <v>171</v>
      </c>
      <c r="F44" s="24" t="s">
        <v>59</v>
      </c>
    </row>
    <row r="45">
      <c r="A45" s="24" t="s">
        <v>172</v>
      </c>
      <c r="B45" s="24" t="s">
        <v>173</v>
      </c>
      <c r="C45" s="24" t="s">
        <v>174</v>
      </c>
      <c r="D45" s="24" t="s">
        <v>129</v>
      </c>
      <c r="E45" s="24" t="s">
        <v>175</v>
      </c>
      <c r="F45" s="24" t="s">
        <v>59</v>
      </c>
    </row>
    <row r="46">
      <c r="A46" s="24" t="s">
        <v>176</v>
      </c>
      <c r="B46" s="24" t="s">
        <v>177</v>
      </c>
      <c r="C46" s="24" t="s">
        <v>178</v>
      </c>
      <c r="D46" s="24" t="s">
        <v>134</v>
      </c>
      <c r="E46" s="24" t="s">
        <v>179</v>
      </c>
      <c r="F46" s="24" t="s">
        <v>59</v>
      </c>
    </row>
    <row r="47">
      <c r="A47" s="24" t="s">
        <v>180</v>
      </c>
      <c r="B47" s="24" t="s">
        <v>181</v>
      </c>
      <c r="C47" s="24" t="s">
        <v>182</v>
      </c>
      <c r="D47" s="24" t="s">
        <v>129</v>
      </c>
      <c r="E47" s="24" t="s">
        <v>183</v>
      </c>
      <c r="F47" s="24" t="s">
        <v>59</v>
      </c>
    </row>
    <row r="48">
      <c r="A48" s="24" t="s">
        <v>184</v>
      </c>
      <c r="B48" s="24" t="s">
        <v>185</v>
      </c>
      <c r="C48" s="24" t="s">
        <v>186</v>
      </c>
      <c r="D48" s="24" t="s">
        <v>129</v>
      </c>
      <c r="E48" s="24" t="s">
        <v>187</v>
      </c>
      <c r="F48" s="24" t="s">
        <v>59</v>
      </c>
    </row>
    <row r="49">
      <c r="A49" s="24" t="s">
        <v>188</v>
      </c>
      <c r="B49" s="24" t="s">
        <v>189</v>
      </c>
      <c r="C49" s="24" t="s">
        <v>190</v>
      </c>
      <c r="D49" s="24" t="s">
        <v>129</v>
      </c>
      <c r="E49" s="24" t="s">
        <v>191</v>
      </c>
      <c r="F49" s="24" t="s">
        <v>59</v>
      </c>
    </row>
    <row r="50">
      <c r="A50" s="24" t="s">
        <v>192</v>
      </c>
      <c r="B50" s="24" t="s">
        <v>193</v>
      </c>
      <c r="C50" s="24" t="s">
        <v>194</v>
      </c>
      <c r="D50" s="24" t="s">
        <v>129</v>
      </c>
      <c r="E50" s="24" t="s">
        <v>195</v>
      </c>
      <c r="F50" s="24" t="s">
        <v>59</v>
      </c>
    </row>
    <row r="51">
      <c r="A51" s="24" t="s">
        <v>196</v>
      </c>
      <c r="B51" s="24" t="s">
        <v>197</v>
      </c>
      <c r="C51" s="24" t="s">
        <v>198</v>
      </c>
      <c r="D51" s="24" t="s">
        <v>134</v>
      </c>
      <c r="E51" s="24" t="s">
        <v>199</v>
      </c>
      <c r="F51" s="24" t="s">
        <v>59</v>
      </c>
    </row>
    <row r="52">
      <c r="A52" s="24" t="s">
        <v>200</v>
      </c>
      <c r="B52" s="24" t="s">
        <v>201</v>
      </c>
      <c r="C52" s="24" t="s">
        <v>202</v>
      </c>
      <c r="D52" s="24" t="s">
        <v>124</v>
      </c>
      <c r="E52" s="24" t="s">
        <v>203</v>
      </c>
      <c r="F52" s="24" t="s">
        <v>59</v>
      </c>
    </row>
    <row r="53">
      <c r="A53" s="24" t="s">
        <v>204</v>
      </c>
      <c r="B53" s="24" t="s">
        <v>205</v>
      </c>
      <c r="C53" s="24" t="s">
        <v>206</v>
      </c>
      <c r="D53" s="24" t="s">
        <v>134</v>
      </c>
      <c r="E53" s="24" t="s">
        <v>207</v>
      </c>
      <c r="F53" s="24" t="s">
        <v>59</v>
      </c>
    </row>
    <row r="54">
      <c r="A54" s="24" t="s">
        <v>208</v>
      </c>
      <c r="B54" s="24" t="s">
        <v>209</v>
      </c>
      <c r="C54" s="24" t="s">
        <v>210</v>
      </c>
      <c r="D54" s="24" t="s">
        <v>129</v>
      </c>
      <c r="E54" s="24" t="s">
        <v>211</v>
      </c>
      <c r="F54" s="24" t="s">
        <v>59</v>
      </c>
    </row>
    <row r="55">
      <c r="A55" s="24" t="s">
        <v>212</v>
      </c>
      <c r="B55" s="24" t="s">
        <v>213</v>
      </c>
      <c r="C55" s="24" t="s">
        <v>214</v>
      </c>
      <c r="D55" s="24" t="s">
        <v>134</v>
      </c>
      <c r="E55" s="24" t="s">
        <v>215</v>
      </c>
      <c r="F55" s="24" t="s">
        <v>59</v>
      </c>
    </row>
    <row r="56">
      <c r="A56" s="24" t="s">
        <v>216</v>
      </c>
      <c r="B56" s="24" t="s">
        <v>217</v>
      </c>
      <c r="C56" s="24" t="s">
        <v>218</v>
      </c>
      <c r="D56" s="24" t="s">
        <v>134</v>
      </c>
      <c r="E56" s="24" t="s">
        <v>219</v>
      </c>
      <c r="F56" s="24" t="s">
        <v>59</v>
      </c>
    </row>
    <row r="57">
      <c r="A57" s="24" t="s">
        <v>220</v>
      </c>
      <c r="B57" s="24" t="s">
        <v>221</v>
      </c>
      <c r="C57" s="24" t="s">
        <v>222</v>
      </c>
      <c r="D57" s="24" t="s">
        <v>129</v>
      </c>
      <c r="E57" s="24" t="s">
        <v>223</v>
      </c>
      <c r="F57" s="24" t="s">
        <v>59</v>
      </c>
    </row>
    <row r="58">
      <c r="A58" s="24" t="s">
        <v>224</v>
      </c>
      <c r="B58" s="24" t="s">
        <v>225</v>
      </c>
      <c r="C58" s="24" t="s">
        <v>226</v>
      </c>
      <c r="D58" s="24" t="s">
        <v>124</v>
      </c>
      <c r="E58" s="24" t="s">
        <v>227</v>
      </c>
      <c r="F58" s="24" t="s">
        <v>59</v>
      </c>
    </row>
    <row r="59">
      <c r="A59" s="24" t="s">
        <v>228</v>
      </c>
      <c r="B59" s="24" t="s">
        <v>229</v>
      </c>
      <c r="C59" s="24" t="s">
        <v>230</v>
      </c>
      <c r="D59" s="24" t="s">
        <v>124</v>
      </c>
      <c r="E59" s="24" t="s">
        <v>231</v>
      </c>
      <c r="F59" s="24" t="s">
        <v>59</v>
      </c>
    </row>
    <row r="60">
      <c r="A60" s="24" t="s">
        <v>232</v>
      </c>
      <c r="B60" s="24" t="s">
        <v>233</v>
      </c>
      <c r="C60" s="24" t="s">
        <v>234</v>
      </c>
      <c r="D60" s="24" t="s">
        <v>129</v>
      </c>
      <c r="E60" s="24" t="s">
        <v>235</v>
      </c>
      <c r="F60" s="24" t="s">
        <v>59</v>
      </c>
    </row>
    <row r="61">
      <c r="A61" s="24" t="s">
        <v>236</v>
      </c>
      <c r="B61" s="24" t="s">
        <v>237</v>
      </c>
      <c r="C61" s="24" t="s">
        <v>238</v>
      </c>
      <c r="D61" s="24" t="s">
        <v>124</v>
      </c>
      <c r="E61" s="24" t="s">
        <v>239</v>
      </c>
      <c r="F61" s="24" t="s">
        <v>59</v>
      </c>
    </row>
    <row r="62">
      <c r="A62" s="24" t="s">
        <v>240</v>
      </c>
      <c r="B62" s="24" t="s">
        <v>241</v>
      </c>
      <c r="C62" s="24" t="s">
        <v>242</v>
      </c>
      <c r="D62" s="24" t="s">
        <v>129</v>
      </c>
      <c r="E62" s="24" t="s">
        <v>243</v>
      </c>
      <c r="F62" s="24" t="s">
        <v>59</v>
      </c>
    </row>
    <row r="63">
      <c r="A63" s="24" t="s">
        <v>244</v>
      </c>
      <c r="B63" s="24" t="s">
        <v>245</v>
      </c>
      <c r="C63" s="24" t="s">
        <v>246</v>
      </c>
      <c r="D63" s="24" t="s">
        <v>124</v>
      </c>
      <c r="E63" s="24" t="s">
        <v>247</v>
      </c>
      <c r="F63" s="24" t="s">
        <v>59</v>
      </c>
    </row>
    <row r="64">
      <c r="A64" s="24" t="s">
        <v>248</v>
      </c>
      <c r="B64" s="24" t="s">
        <v>249</v>
      </c>
      <c r="C64" s="24" t="s">
        <v>250</v>
      </c>
      <c r="D64" s="24" t="s">
        <v>129</v>
      </c>
      <c r="E64" s="24" t="s">
        <v>251</v>
      </c>
      <c r="F64" s="24" t="s">
        <v>59</v>
      </c>
    </row>
    <row r="65">
      <c r="A65" s="24" t="s">
        <v>236</v>
      </c>
      <c r="B65" s="24" t="s">
        <v>237</v>
      </c>
      <c r="C65" s="24" t="s">
        <v>238</v>
      </c>
      <c r="D65" s="24" t="s">
        <v>124</v>
      </c>
      <c r="E65" s="24" t="s">
        <v>252</v>
      </c>
      <c r="F65" s="24" t="s">
        <v>59</v>
      </c>
    </row>
    <row r="66">
      <c r="A66" s="24" t="s">
        <v>253</v>
      </c>
      <c r="B66" s="24" t="s">
        <v>254</v>
      </c>
      <c r="C66" s="24" t="s">
        <v>255</v>
      </c>
      <c r="D66" s="24" t="s">
        <v>124</v>
      </c>
      <c r="E66" s="24" t="s">
        <v>256</v>
      </c>
      <c r="F66" s="24" t="s">
        <v>59</v>
      </c>
    </row>
    <row r="67">
      <c r="A67" s="24" t="s">
        <v>257</v>
      </c>
      <c r="B67" s="24" t="s">
        <v>258</v>
      </c>
      <c r="C67" s="24" t="s">
        <v>259</v>
      </c>
      <c r="D67" s="24" t="s">
        <v>124</v>
      </c>
      <c r="E67" s="24" t="s">
        <v>260</v>
      </c>
      <c r="F67" s="24" t="s">
        <v>59</v>
      </c>
    </row>
    <row r="68">
      <c r="A68" s="24" t="s">
        <v>261</v>
      </c>
      <c r="B68" s="24" t="s">
        <v>262</v>
      </c>
      <c r="C68" s="24" t="s">
        <v>263</v>
      </c>
      <c r="D68" s="24" t="s">
        <v>264</v>
      </c>
      <c r="E68" s="24" t="s">
        <v>265</v>
      </c>
      <c r="F68" s="24" t="s">
        <v>59</v>
      </c>
    </row>
    <row r="69">
      <c r="A69" s="24" t="s">
        <v>266</v>
      </c>
      <c r="B69" s="24" t="s">
        <v>267</v>
      </c>
      <c r="C69" s="24" t="s">
        <v>268</v>
      </c>
      <c r="D69" s="24" t="s">
        <v>129</v>
      </c>
      <c r="E69" s="24" t="s">
        <v>269</v>
      </c>
      <c r="F69" s="24" t="s">
        <v>59</v>
      </c>
    </row>
    <row r="70">
      <c r="A70" s="24" t="s">
        <v>270</v>
      </c>
      <c r="B70" s="24" t="s">
        <v>271</v>
      </c>
      <c r="C70" s="24" t="s">
        <v>272</v>
      </c>
      <c r="D70" s="24" t="s">
        <v>129</v>
      </c>
      <c r="E70" s="24" t="s">
        <v>273</v>
      </c>
      <c r="F70" s="24" t="s">
        <v>59</v>
      </c>
    </row>
    <row r="71">
      <c r="A71" s="24" t="s">
        <v>274</v>
      </c>
      <c r="B71" s="24" t="s">
        <v>275</v>
      </c>
      <c r="C71" s="24" t="s">
        <v>276</v>
      </c>
      <c r="D71" s="24" t="s">
        <v>129</v>
      </c>
      <c r="E71" s="24" t="s">
        <v>277</v>
      </c>
      <c r="F71" s="24" t="s">
        <v>59</v>
      </c>
    </row>
    <row r="72">
      <c r="A72" s="24" t="s">
        <v>278</v>
      </c>
      <c r="B72" s="24" t="s">
        <v>279</v>
      </c>
      <c r="C72" s="24" t="s">
        <v>280</v>
      </c>
      <c r="D72" s="24" t="s">
        <v>129</v>
      </c>
      <c r="E72" s="24" t="s">
        <v>281</v>
      </c>
      <c r="F72" s="24" t="s">
        <v>59</v>
      </c>
    </row>
    <row r="73">
      <c r="A73" s="24" t="s">
        <v>282</v>
      </c>
      <c r="B73" s="24" t="s">
        <v>283</v>
      </c>
      <c r="C73" s="24" t="s">
        <v>284</v>
      </c>
      <c r="D73" s="24" t="s">
        <v>264</v>
      </c>
      <c r="E73" s="24" t="s">
        <v>285</v>
      </c>
      <c r="F73" s="24" t="s">
        <v>59</v>
      </c>
    </row>
    <row r="74">
      <c r="A74" s="24" t="s">
        <v>286</v>
      </c>
      <c r="B74" s="24" t="s">
        <v>287</v>
      </c>
      <c r="C74" s="24" t="s">
        <v>288</v>
      </c>
      <c r="D74" s="24" t="s">
        <v>129</v>
      </c>
      <c r="E74" s="24" t="s">
        <v>289</v>
      </c>
      <c r="F74" s="24" t="s">
        <v>59</v>
      </c>
    </row>
    <row r="75">
      <c r="A75" s="24" t="s">
        <v>290</v>
      </c>
      <c r="B75" s="24" t="s">
        <v>291</v>
      </c>
      <c r="C75" s="24" t="s">
        <v>292</v>
      </c>
      <c r="D75" s="24" t="s">
        <v>129</v>
      </c>
      <c r="E75" s="24" t="s">
        <v>293</v>
      </c>
      <c r="F75" s="24" t="s">
        <v>59</v>
      </c>
    </row>
    <row r="76">
      <c r="A76" s="24" t="s">
        <v>294</v>
      </c>
      <c r="B76" s="24" t="s">
        <v>295</v>
      </c>
      <c r="C76" s="24" t="s">
        <v>296</v>
      </c>
      <c r="D76" s="24" t="s">
        <v>134</v>
      </c>
      <c r="E76" s="24" t="s">
        <v>297</v>
      </c>
      <c r="F76" s="24" t="s">
        <v>59</v>
      </c>
    </row>
    <row r="77">
      <c r="A77" s="24" t="s">
        <v>298</v>
      </c>
      <c r="B77" s="24" t="s">
        <v>299</v>
      </c>
      <c r="C77" s="24" t="s">
        <v>300</v>
      </c>
      <c r="D77" s="24" t="s">
        <v>124</v>
      </c>
      <c r="E77" s="24" t="s">
        <v>301</v>
      </c>
      <c r="F77" s="24" t="s">
        <v>59</v>
      </c>
    </row>
    <row r="78">
      <c r="A78" s="24" t="s">
        <v>302</v>
      </c>
      <c r="B78" s="24" t="s">
        <v>303</v>
      </c>
      <c r="C78" s="24" t="s">
        <v>304</v>
      </c>
      <c r="D78" s="24" t="s">
        <v>129</v>
      </c>
      <c r="E78" s="24" t="s">
        <v>305</v>
      </c>
      <c r="F78" s="24" t="s">
        <v>59</v>
      </c>
    </row>
    <row r="79">
      <c r="A79" s="24" t="s">
        <v>306</v>
      </c>
      <c r="B79" s="24" t="s">
        <v>307</v>
      </c>
      <c r="C79" s="24" t="s">
        <v>308</v>
      </c>
      <c r="D79" s="24" t="s">
        <v>134</v>
      </c>
      <c r="E79" s="24" t="s">
        <v>309</v>
      </c>
      <c r="F79" s="24" t="s">
        <v>59</v>
      </c>
    </row>
    <row r="80">
      <c r="A80" s="24" t="s">
        <v>310</v>
      </c>
      <c r="B80" s="24" t="s">
        <v>311</v>
      </c>
      <c r="C80" s="24" t="s">
        <v>312</v>
      </c>
      <c r="D80" s="24" t="s">
        <v>129</v>
      </c>
      <c r="E80" s="24" t="s">
        <v>313</v>
      </c>
      <c r="F80" s="24" t="s">
        <v>59</v>
      </c>
    </row>
    <row r="81">
      <c r="A81" s="24" t="s">
        <v>314</v>
      </c>
      <c r="B81" s="24" t="s">
        <v>315</v>
      </c>
      <c r="C81" s="24" t="s">
        <v>316</v>
      </c>
      <c r="D81" s="24" t="s">
        <v>129</v>
      </c>
      <c r="E81" s="24" t="s">
        <v>317</v>
      </c>
      <c r="F81" s="24" t="s">
        <v>59</v>
      </c>
    </row>
    <row r="82">
      <c r="A82" s="24" t="s">
        <v>318</v>
      </c>
      <c r="B82" s="24" t="s">
        <v>319</v>
      </c>
      <c r="C82" s="24" t="s">
        <v>320</v>
      </c>
      <c r="D82" s="24" t="s">
        <v>129</v>
      </c>
      <c r="E82" s="24" t="s">
        <v>321</v>
      </c>
      <c r="F82" s="24" t="s">
        <v>59</v>
      </c>
    </row>
    <row r="83">
      <c r="A83" s="24" t="s">
        <v>322</v>
      </c>
      <c r="B83" s="24" t="s">
        <v>323</v>
      </c>
      <c r="C83" s="24" t="s">
        <v>324</v>
      </c>
      <c r="D83" s="24" t="s">
        <v>134</v>
      </c>
      <c r="E83" s="24" t="s">
        <v>325</v>
      </c>
      <c r="F83" s="24" t="s">
        <v>59</v>
      </c>
    </row>
    <row r="84">
      <c r="A84" s="24" t="s">
        <v>326</v>
      </c>
      <c r="B84" s="24" t="s">
        <v>327</v>
      </c>
      <c r="C84" s="24" t="s">
        <v>328</v>
      </c>
      <c r="D84" s="24" t="s">
        <v>124</v>
      </c>
      <c r="E84" s="24" t="s">
        <v>329</v>
      </c>
      <c r="F84" s="24" t="s">
        <v>59</v>
      </c>
    </row>
    <row r="85">
      <c r="A85" s="24" t="s">
        <v>330</v>
      </c>
      <c r="B85" s="24" t="s">
        <v>331</v>
      </c>
      <c r="C85" s="24" t="s">
        <v>332</v>
      </c>
      <c r="D85" s="24" t="s">
        <v>134</v>
      </c>
      <c r="E85" s="24" t="s">
        <v>333</v>
      </c>
      <c r="F85" s="24" t="s">
        <v>59</v>
      </c>
    </row>
    <row r="86">
      <c r="A86" s="24" t="s">
        <v>334</v>
      </c>
      <c r="B86" s="24" t="s">
        <v>335</v>
      </c>
      <c r="C86" s="24" t="s">
        <v>336</v>
      </c>
      <c r="D86" s="24" t="s">
        <v>129</v>
      </c>
      <c r="E86" s="24" t="s">
        <v>337</v>
      </c>
      <c r="F86" s="24" t="s">
        <v>59</v>
      </c>
    </row>
    <row r="87">
      <c r="A87" s="24" t="s">
        <v>338</v>
      </c>
      <c r="B87" s="24" t="s">
        <v>339</v>
      </c>
      <c r="C87" s="24" t="s">
        <v>340</v>
      </c>
      <c r="D87" s="24" t="s">
        <v>129</v>
      </c>
      <c r="E87" s="24" t="s">
        <v>341</v>
      </c>
      <c r="F87" s="24" t="s">
        <v>59</v>
      </c>
    </row>
    <row r="88">
      <c r="A88" s="24" t="s">
        <v>342</v>
      </c>
      <c r="B88" s="24" t="s">
        <v>343</v>
      </c>
      <c r="C88" s="24" t="s">
        <v>344</v>
      </c>
      <c r="D88" s="24" t="s">
        <v>134</v>
      </c>
      <c r="E88" s="24" t="s">
        <v>345</v>
      </c>
      <c r="F88" s="24" t="s">
        <v>59</v>
      </c>
    </row>
    <row r="89">
      <c r="A89" s="24" t="s">
        <v>346</v>
      </c>
      <c r="B89" s="24" t="s">
        <v>347</v>
      </c>
      <c r="C89" s="24" t="s">
        <v>348</v>
      </c>
      <c r="D89" s="24" t="s">
        <v>129</v>
      </c>
      <c r="E89" s="24" t="s">
        <v>349</v>
      </c>
      <c r="F89" s="24" t="s">
        <v>59</v>
      </c>
    </row>
    <row r="90">
      <c r="A90" s="24" t="s">
        <v>350</v>
      </c>
      <c r="B90" s="24" t="s">
        <v>351</v>
      </c>
      <c r="C90" s="24" t="s">
        <v>352</v>
      </c>
      <c r="D90" s="24" t="s">
        <v>134</v>
      </c>
      <c r="E90" s="24" t="s">
        <v>353</v>
      </c>
      <c r="F90" s="24" t="s">
        <v>59</v>
      </c>
    </row>
    <row r="91">
      <c r="A91" s="24" t="s">
        <v>354</v>
      </c>
      <c r="B91" s="24" t="s">
        <v>355</v>
      </c>
      <c r="C91" s="24" t="s">
        <v>356</v>
      </c>
      <c r="D91" s="24" t="s">
        <v>134</v>
      </c>
      <c r="E91" s="24" t="s">
        <v>357</v>
      </c>
      <c r="F91" s="24" t="s">
        <v>59</v>
      </c>
    </row>
    <row r="92">
      <c r="A92" s="24" t="s">
        <v>358</v>
      </c>
      <c r="B92" s="24" t="s">
        <v>359</v>
      </c>
      <c r="C92" s="24" t="s">
        <v>360</v>
      </c>
      <c r="D92" s="24" t="s">
        <v>134</v>
      </c>
      <c r="E92" s="24" t="s">
        <v>361</v>
      </c>
      <c r="F92" s="24" t="s">
        <v>59</v>
      </c>
    </row>
    <row r="93">
      <c r="A93" s="24" t="s">
        <v>362</v>
      </c>
      <c r="B93" s="24" t="s">
        <v>363</v>
      </c>
      <c r="C93" s="24" t="s">
        <v>364</v>
      </c>
      <c r="D93" s="24" t="s">
        <v>129</v>
      </c>
      <c r="E93" s="24" t="s">
        <v>365</v>
      </c>
      <c r="F93" s="24" t="s">
        <v>59</v>
      </c>
    </row>
    <row r="94">
      <c r="A94" s="24" t="s">
        <v>366</v>
      </c>
      <c r="B94" s="24" t="s">
        <v>367</v>
      </c>
      <c r="C94" s="24" t="s">
        <v>368</v>
      </c>
      <c r="D94" s="24" t="s">
        <v>134</v>
      </c>
      <c r="E94" s="24" t="s">
        <v>369</v>
      </c>
      <c r="F94" s="24" t="s">
        <v>59</v>
      </c>
    </row>
    <row r="95">
      <c r="A95" s="24" t="s">
        <v>370</v>
      </c>
      <c r="B95" s="24" t="s">
        <v>371</v>
      </c>
      <c r="C95" s="24" t="s">
        <v>372</v>
      </c>
      <c r="D95" s="24" t="s">
        <v>129</v>
      </c>
      <c r="E95" s="24" t="s">
        <v>373</v>
      </c>
      <c r="F95" s="24" t="s">
        <v>59</v>
      </c>
    </row>
    <row r="96">
      <c r="A96" s="24" t="s">
        <v>374</v>
      </c>
      <c r="B96" s="24" t="s">
        <v>375</v>
      </c>
      <c r="C96" s="24" t="s">
        <v>376</v>
      </c>
      <c r="D96" s="24" t="s">
        <v>134</v>
      </c>
      <c r="E96" s="24" t="s">
        <v>377</v>
      </c>
      <c r="F96" s="24" t="s">
        <v>59</v>
      </c>
    </row>
    <row r="97">
      <c r="A97" s="24" t="s">
        <v>378</v>
      </c>
      <c r="B97" s="24" t="s">
        <v>379</v>
      </c>
      <c r="C97" s="24" t="s">
        <v>380</v>
      </c>
      <c r="D97" s="24" t="s">
        <v>124</v>
      </c>
      <c r="E97" s="24" t="s">
        <v>381</v>
      </c>
      <c r="F97" s="24" t="s">
        <v>59</v>
      </c>
    </row>
    <row r="98">
      <c r="A98" s="24" t="s">
        <v>382</v>
      </c>
      <c r="B98" s="24" t="s">
        <v>383</v>
      </c>
      <c r="C98" s="24" t="s">
        <v>384</v>
      </c>
      <c r="D98" s="24" t="s">
        <v>134</v>
      </c>
      <c r="E98" s="24" t="s">
        <v>385</v>
      </c>
      <c r="F98" s="24" t="s">
        <v>59</v>
      </c>
    </row>
    <row r="99">
      <c r="A99" s="24" t="s">
        <v>386</v>
      </c>
      <c r="B99" s="24" t="s">
        <v>387</v>
      </c>
      <c r="C99" s="24" t="s">
        <v>388</v>
      </c>
      <c r="D99" s="24" t="s">
        <v>134</v>
      </c>
      <c r="E99" s="24" t="s">
        <v>389</v>
      </c>
      <c r="F99" s="24" t="s">
        <v>59</v>
      </c>
    </row>
    <row r="100">
      <c r="A100" s="24" t="s">
        <v>390</v>
      </c>
      <c r="B100" s="24" t="s">
        <v>391</v>
      </c>
      <c r="C100" s="24" t="s">
        <v>392</v>
      </c>
      <c r="D100" s="24" t="s">
        <v>124</v>
      </c>
      <c r="E100" s="24" t="s">
        <v>393</v>
      </c>
      <c r="F100" s="24" t="s">
        <v>59</v>
      </c>
    </row>
    <row r="101">
      <c r="A101" s="24" t="s">
        <v>394</v>
      </c>
      <c r="B101" s="24" t="s">
        <v>395</v>
      </c>
      <c r="C101" s="24" t="s">
        <v>396</v>
      </c>
      <c r="D101" s="24" t="s">
        <v>129</v>
      </c>
      <c r="E101" s="24" t="s">
        <v>397</v>
      </c>
      <c r="F101" s="24" t="s">
        <v>59</v>
      </c>
    </row>
    <row r="102">
      <c r="A102" s="24" t="s">
        <v>398</v>
      </c>
      <c r="B102" s="24" t="s">
        <v>399</v>
      </c>
      <c r="C102" s="24" t="s">
        <v>400</v>
      </c>
      <c r="D102" s="24" t="s">
        <v>264</v>
      </c>
      <c r="E102" s="24" t="s">
        <v>401</v>
      </c>
      <c r="F102" s="24" t="s">
        <v>59</v>
      </c>
    </row>
    <row r="103">
      <c r="A103" s="24" t="s">
        <v>402</v>
      </c>
      <c r="B103" s="24" t="s">
        <v>403</v>
      </c>
      <c r="C103" s="24" t="s">
        <v>404</v>
      </c>
      <c r="D103" s="24" t="s">
        <v>124</v>
      </c>
      <c r="E103" s="24" t="s">
        <v>405</v>
      </c>
      <c r="F103" s="24" t="s">
        <v>59</v>
      </c>
    </row>
    <row r="104">
      <c r="A104" s="24" t="s">
        <v>406</v>
      </c>
      <c r="B104" s="24" t="s">
        <v>407</v>
      </c>
      <c r="C104" s="24" t="s">
        <v>408</v>
      </c>
      <c r="D104" s="24" t="s">
        <v>129</v>
      </c>
      <c r="E104" s="24" t="s">
        <v>409</v>
      </c>
      <c r="F104" s="24" t="s">
        <v>59</v>
      </c>
    </row>
    <row r="105">
      <c r="A105" s="24" t="s">
        <v>410</v>
      </c>
      <c r="B105" s="24" t="s">
        <v>411</v>
      </c>
      <c r="C105" s="24" t="s">
        <v>412</v>
      </c>
      <c r="D105" s="24" t="s">
        <v>124</v>
      </c>
      <c r="E105" s="24" t="s">
        <v>413</v>
      </c>
      <c r="F105" s="24" t="s">
        <v>59</v>
      </c>
    </row>
    <row r="106">
      <c r="A106" s="24" t="s">
        <v>414</v>
      </c>
      <c r="B106" s="24" t="s">
        <v>415</v>
      </c>
      <c r="C106" s="24" t="s">
        <v>416</v>
      </c>
      <c r="D106" s="24" t="s">
        <v>129</v>
      </c>
      <c r="E106" s="24" t="s">
        <v>417</v>
      </c>
      <c r="F106" s="24" t="s">
        <v>59</v>
      </c>
    </row>
    <row r="107">
      <c r="A107" s="24" t="s">
        <v>418</v>
      </c>
      <c r="B107" s="24" t="s">
        <v>419</v>
      </c>
      <c r="C107" s="24" t="s">
        <v>420</v>
      </c>
      <c r="D107" s="24" t="s">
        <v>264</v>
      </c>
      <c r="E107" s="24" t="s">
        <v>421</v>
      </c>
      <c r="F107" s="24" t="s">
        <v>59</v>
      </c>
    </row>
    <row r="108">
      <c r="A108" s="24" t="s">
        <v>422</v>
      </c>
      <c r="B108" s="24" t="s">
        <v>423</v>
      </c>
      <c r="C108" s="24" t="s">
        <v>424</v>
      </c>
      <c r="D108" s="24" t="s">
        <v>129</v>
      </c>
      <c r="E108" s="24" t="s">
        <v>425</v>
      </c>
      <c r="F108" s="24" t="s">
        <v>59</v>
      </c>
    </row>
    <row r="109">
      <c r="A109" s="24" t="s">
        <v>426</v>
      </c>
      <c r="B109" s="24" t="s">
        <v>427</v>
      </c>
      <c r="C109" s="24" t="s">
        <v>312</v>
      </c>
      <c r="D109" s="24" t="s">
        <v>129</v>
      </c>
      <c r="E109" s="24" t="s">
        <v>428</v>
      </c>
      <c r="F109" s="24" t="s">
        <v>59</v>
      </c>
    </row>
    <row r="110">
      <c r="A110" s="24" t="s">
        <v>429</v>
      </c>
      <c r="B110" s="24" t="s">
        <v>430</v>
      </c>
      <c r="C110" s="24" t="s">
        <v>431</v>
      </c>
      <c r="D110" s="24" t="s">
        <v>124</v>
      </c>
      <c r="E110" s="24" t="s">
        <v>432</v>
      </c>
      <c r="F110" s="24" t="s">
        <v>59</v>
      </c>
    </row>
    <row r="111">
      <c r="A111" s="24" t="s">
        <v>433</v>
      </c>
      <c r="B111" s="24" t="s">
        <v>434</v>
      </c>
      <c r="C111" s="24" t="s">
        <v>435</v>
      </c>
      <c r="D111" s="24" t="s">
        <v>134</v>
      </c>
      <c r="E111" s="24" t="s">
        <v>436</v>
      </c>
      <c r="F111" s="24" t="s">
        <v>59</v>
      </c>
    </row>
    <row r="112">
      <c r="A112" s="24" t="s">
        <v>437</v>
      </c>
      <c r="B112" s="24" t="s">
        <v>438</v>
      </c>
      <c r="C112" s="24" t="s">
        <v>439</v>
      </c>
      <c r="D112" s="24" t="s">
        <v>129</v>
      </c>
      <c r="E112" s="24" t="s">
        <v>440</v>
      </c>
      <c r="F112" s="24" t="s">
        <v>59</v>
      </c>
    </row>
    <row r="113">
      <c r="A113" s="24" t="s">
        <v>441</v>
      </c>
      <c r="B113" s="24" t="s">
        <v>442</v>
      </c>
      <c r="C113" s="24" t="s">
        <v>443</v>
      </c>
      <c r="D113" s="24" t="s">
        <v>129</v>
      </c>
      <c r="E113" s="24" t="s">
        <v>444</v>
      </c>
      <c r="F113" s="24" t="s">
        <v>59</v>
      </c>
    </row>
    <row r="114">
      <c r="A114" s="24" t="s">
        <v>445</v>
      </c>
      <c r="B114" s="24" t="s">
        <v>446</v>
      </c>
      <c r="C114" s="24" t="s">
        <v>447</v>
      </c>
      <c r="D114" s="24" t="s">
        <v>124</v>
      </c>
      <c r="E114" s="24" t="s">
        <v>448</v>
      </c>
      <c r="F114" s="24" t="s">
        <v>59</v>
      </c>
    </row>
    <row r="115">
      <c r="A115" s="24" t="s">
        <v>449</v>
      </c>
      <c r="B115" s="24" t="s">
        <v>450</v>
      </c>
      <c r="C115" s="24" t="s">
        <v>451</v>
      </c>
      <c r="D115" s="24" t="s">
        <v>129</v>
      </c>
      <c r="E115" s="24" t="s">
        <v>452</v>
      </c>
      <c r="F115" s="24" t="s">
        <v>59</v>
      </c>
    </row>
    <row r="116">
      <c r="A116" s="24" t="s">
        <v>453</v>
      </c>
      <c r="B116" s="24" t="s">
        <v>454</v>
      </c>
      <c r="C116" s="24" t="s">
        <v>455</v>
      </c>
      <c r="D116" s="24" t="s">
        <v>129</v>
      </c>
      <c r="E116" s="24" t="s">
        <v>456</v>
      </c>
      <c r="F116" s="24" t="s">
        <v>59</v>
      </c>
    </row>
    <row r="117">
      <c r="A117" s="24" t="s">
        <v>457</v>
      </c>
      <c r="B117" s="24" t="s">
        <v>458</v>
      </c>
      <c r="C117" s="24" t="s">
        <v>459</v>
      </c>
      <c r="D117" s="24" t="s">
        <v>134</v>
      </c>
      <c r="E117" s="24" t="s">
        <v>460</v>
      </c>
      <c r="F117" s="24" t="s">
        <v>59</v>
      </c>
    </row>
    <row r="118">
      <c r="A118" s="24" t="s">
        <v>461</v>
      </c>
      <c r="B118" s="24" t="s">
        <v>462</v>
      </c>
      <c r="C118" s="24" t="s">
        <v>463</v>
      </c>
      <c r="D118" s="24" t="s">
        <v>124</v>
      </c>
      <c r="E118" s="24" t="s">
        <v>464</v>
      </c>
      <c r="F118" s="24" t="s">
        <v>59</v>
      </c>
    </row>
    <row r="119">
      <c r="A119" s="24" t="s">
        <v>465</v>
      </c>
      <c r="B119" s="24" t="s">
        <v>466</v>
      </c>
      <c r="C119" s="24" t="s">
        <v>467</v>
      </c>
      <c r="D119" s="24" t="s">
        <v>134</v>
      </c>
      <c r="E119" s="24" t="s">
        <v>468</v>
      </c>
      <c r="F119" s="24" t="s">
        <v>59</v>
      </c>
    </row>
    <row r="120">
      <c r="A120" s="24" t="s">
        <v>469</v>
      </c>
      <c r="B120" s="24" t="s">
        <v>470</v>
      </c>
      <c r="C120" s="24" t="s">
        <v>471</v>
      </c>
      <c r="D120" s="24" t="s">
        <v>129</v>
      </c>
      <c r="E120" s="24" t="s">
        <v>472</v>
      </c>
      <c r="F120" s="24" t="s">
        <v>59</v>
      </c>
    </row>
    <row r="121">
      <c r="A121" s="24" t="s">
        <v>473</v>
      </c>
      <c r="B121" s="24" t="s">
        <v>474</v>
      </c>
      <c r="C121" s="24" t="s">
        <v>475</v>
      </c>
      <c r="D121" s="24" t="s">
        <v>124</v>
      </c>
      <c r="E121" s="24" t="s">
        <v>476</v>
      </c>
      <c r="F121" s="24" t="s">
        <v>59</v>
      </c>
    </row>
    <row r="122">
      <c r="A122" s="24" t="s">
        <v>477</v>
      </c>
      <c r="B122" s="24" t="s">
        <v>478</v>
      </c>
      <c r="C122" s="24" t="s">
        <v>479</v>
      </c>
      <c r="D122" s="24" t="s">
        <v>124</v>
      </c>
      <c r="E122" s="24" t="s">
        <v>480</v>
      </c>
      <c r="F122" s="24" t="s">
        <v>59</v>
      </c>
    </row>
    <row r="123">
      <c r="A123" s="24" t="s">
        <v>481</v>
      </c>
      <c r="B123" s="24" t="s">
        <v>482</v>
      </c>
      <c r="C123" s="24" t="s">
        <v>483</v>
      </c>
      <c r="D123" s="24" t="s">
        <v>134</v>
      </c>
      <c r="E123" s="24" t="s">
        <v>484</v>
      </c>
      <c r="F123" s="24" t="s">
        <v>59</v>
      </c>
    </row>
    <row r="124">
      <c r="A124" s="24" t="s">
        <v>485</v>
      </c>
      <c r="B124" s="24" t="s">
        <v>486</v>
      </c>
      <c r="C124" s="24" t="s">
        <v>487</v>
      </c>
      <c r="D124" s="24" t="s">
        <v>124</v>
      </c>
      <c r="E124" s="24" t="s">
        <v>488</v>
      </c>
      <c r="F124" s="24" t="s">
        <v>59</v>
      </c>
    </row>
    <row r="125">
      <c r="A125" s="24" t="s">
        <v>489</v>
      </c>
      <c r="B125" s="24" t="s">
        <v>490</v>
      </c>
      <c r="C125" s="24" t="s">
        <v>491</v>
      </c>
      <c r="D125" s="24" t="s">
        <v>264</v>
      </c>
      <c r="E125" s="24" t="s">
        <v>492</v>
      </c>
      <c r="F125" s="24" t="s">
        <v>59</v>
      </c>
    </row>
    <row r="126">
      <c r="A126" s="24" t="s">
        <v>493</v>
      </c>
      <c r="B126" s="24" t="s">
        <v>494</v>
      </c>
      <c r="C126" s="24" t="s">
        <v>495</v>
      </c>
      <c r="D126" s="24" t="s">
        <v>129</v>
      </c>
      <c r="E126" s="24" t="s">
        <v>496</v>
      </c>
      <c r="F126" s="24" t="s">
        <v>59</v>
      </c>
    </row>
    <row r="127">
      <c r="A127" s="24" t="s">
        <v>497</v>
      </c>
      <c r="B127" s="24" t="s">
        <v>498</v>
      </c>
      <c r="C127" s="24" t="s">
        <v>499</v>
      </c>
      <c r="D127" s="24" t="s">
        <v>124</v>
      </c>
      <c r="E127" s="24" t="s">
        <v>500</v>
      </c>
      <c r="F127" s="24" t="s">
        <v>59</v>
      </c>
    </row>
    <row r="128">
      <c r="A128" s="24" t="s">
        <v>501</v>
      </c>
      <c r="B128" s="24" t="s">
        <v>502</v>
      </c>
      <c r="C128" s="24" t="s">
        <v>503</v>
      </c>
      <c r="D128" s="24" t="s">
        <v>124</v>
      </c>
      <c r="E128" s="24" t="s">
        <v>504</v>
      </c>
      <c r="F128" s="24" t="s">
        <v>59</v>
      </c>
    </row>
    <row r="129">
      <c r="A129" s="24" t="s">
        <v>505</v>
      </c>
      <c r="B129" s="24" t="s">
        <v>506</v>
      </c>
      <c r="C129" s="24" t="s">
        <v>507</v>
      </c>
      <c r="D129" s="24" t="s">
        <v>134</v>
      </c>
      <c r="E129" s="24" t="s">
        <v>508</v>
      </c>
      <c r="F129" s="24" t="s">
        <v>59</v>
      </c>
    </row>
    <row r="130">
      <c r="A130" s="24" t="s">
        <v>509</v>
      </c>
      <c r="B130" s="24" t="s">
        <v>510</v>
      </c>
      <c r="C130" s="24" t="s">
        <v>511</v>
      </c>
      <c r="D130" s="24" t="s">
        <v>129</v>
      </c>
      <c r="E130" s="24" t="s">
        <v>512</v>
      </c>
      <c r="F130" s="24" t="s">
        <v>59</v>
      </c>
    </row>
    <row r="131">
      <c r="A131" s="24" t="s">
        <v>513</v>
      </c>
      <c r="B131" s="24" t="s">
        <v>514</v>
      </c>
      <c r="C131" s="24" t="s">
        <v>515</v>
      </c>
      <c r="D131" s="24" t="s">
        <v>134</v>
      </c>
      <c r="E131" s="24" t="s">
        <v>516</v>
      </c>
      <c r="F131" s="24" t="s">
        <v>59</v>
      </c>
    </row>
    <row r="132">
      <c r="A132" s="24" t="s">
        <v>517</v>
      </c>
      <c r="B132" s="24" t="s">
        <v>518</v>
      </c>
      <c r="C132" s="24" t="s">
        <v>519</v>
      </c>
      <c r="D132" s="24" t="s">
        <v>129</v>
      </c>
      <c r="E132" s="24" t="s">
        <v>520</v>
      </c>
      <c r="F132" s="24" t="s">
        <v>59</v>
      </c>
    </row>
    <row r="133">
      <c r="A133" s="24" t="s">
        <v>521</v>
      </c>
      <c r="B133" s="24" t="s">
        <v>522</v>
      </c>
      <c r="C133" s="24" t="s">
        <v>523</v>
      </c>
      <c r="D133" s="24" t="s">
        <v>134</v>
      </c>
      <c r="E133" s="24" t="s">
        <v>524</v>
      </c>
      <c r="F133" s="24" t="s">
        <v>59</v>
      </c>
    </row>
    <row r="134">
      <c r="A134" s="24" t="s">
        <v>525</v>
      </c>
      <c r="B134" s="24" t="s">
        <v>526</v>
      </c>
      <c r="C134" s="24" t="s">
        <v>527</v>
      </c>
      <c r="D134" s="24" t="s">
        <v>124</v>
      </c>
      <c r="E134" s="24" t="s">
        <v>528</v>
      </c>
      <c r="F134" s="24" t="s">
        <v>59</v>
      </c>
    </row>
    <row r="135">
      <c r="A135" s="24" t="s">
        <v>529</v>
      </c>
      <c r="B135" s="24" t="s">
        <v>530</v>
      </c>
      <c r="C135" s="24" t="s">
        <v>531</v>
      </c>
      <c r="D135" s="24" t="s">
        <v>134</v>
      </c>
      <c r="E135" s="24" t="s">
        <v>532</v>
      </c>
      <c r="F135" s="24" t="s">
        <v>59</v>
      </c>
    </row>
    <row r="136">
      <c r="A136" s="24" t="s">
        <v>533</v>
      </c>
      <c r="B136" s="24" t="s">
        <v>534</v>
      </c>
      <c r="C136" s="24" t="s">
        <v>535</v>
      </c>
      <c r="D136" s="24" t="s">
        <v>129</v>
      </c>
      <c r="E136" s="24" t="s">
        <v>536</v>
      </c>
      <c r="F136" s="24" t="s">
        <v>59</v>
      </c>
    </row>
    <row r="137">
      <c r="A137" s="24" t="s">
        <v>537</v>
      </c>
      <c r="B137" s="24" t="s">
        <v>538</v>
      </c>
      <c r="C137" s="24" t="s">
        <v>539</v>
      </c>
      <c r="D137" s="24" t="s">
        <v>129</v>
      </c>
      <c r="E137" s="24" t="s">
        <v>540</v>
      </c>
      <c r="F137" s="24" t="s">
        <v>59</v>
      </c>
    </row>
    <row r="138">
      <c r="A138" s="24" t="s">
        <v>541</v>
      </c>
      <c r="B138" s="24" t="s">
        <v>542</v>
      </c>
      <c r="C138" s="24" t="s">
        <v>543</v>
      </c>
      <c r="D138" s="24" t="s">
        <v>129</v>
      </c>
      <c r="E138" s="24" t="s">
        <v>544</v>
      </c>
      <c r="F138" s="24" t="s">
        <v>59</v>
      </c>
    </row>
    <row r="139">
      <c r="A139" s="24" t="s">
        <v>545</v>
      </c>
      <c r="B139" s="24" t="s">
        <v>546</v>
      </c>
      <c r="C139" s="24" t="s">
        <v>547</v>
      </c>
      <c r="D139" s="24" t="s">
        <v>124</v>
      </c>
      <c r="E139" s="24" t="s">
        <v>548</v>
      </c>
      <c r="F139" s="24" t="s">
        <v>59</v>
      </c>
    </row>
    <row r="140">
      <c r="A140" s="24" t="s">
        <v>549</v>
      </c>
      <c r="B140" s="24" t="s">
        <v>550</v>
      </c>
      <c r="C140" s="24" t="s">
        <v>551</v>
      </c>
      <c r="D140" s="24" t="s">
        <v>129</v>
      </c>
      <c r="E140" s="24" t="s">
        <v>552</v>
      </c>
      <c r="F140" s="24" t="s">
        <v>59</v>
      </c>
    </row>
    <row r="141">
      <c r="A141" s="24" t="s">
        <v>553</v>
      </c>
      <c r="B141" s="24" t="s">
        <v>554</v>
      </c>
      <c r="C141" s="24" t="s">
        <v>555</v>
      </c>
      <c r="D141" s="24" t="s">
        <v>124</v>
      </c>
      <c r="E141" s="24" t="s">
        <v>556</v>
      </c>
      <c r="F141" s="24" t="s">
        <v>59</v>
      </c>
    </row>
    <row r="142">
      <c r="A142" s="24" t="s">
        <v>557</v>
      </c>
      <c r="B142" s="24" t="s">
        <v>558</v>
      </c>
      <c r="C142" s="24" t="s">
        <v>559</v>
      </c>
      <c r="D142" s="24" t="s">
        <v>124</v>
      </c>
      <c r="E142" s="24" t="s">
        <v>560</v>
      </c>
      <c r="F142" s="24" t="s">
        <v>59</v>
      </c>
    </row>
    <row r="143">
      <c r="A143" s="24" t="s">
        <v>561</v>
      </c>
      <c r="B143" s="24" t="s">
        <v>562</v>
      </c>
      <c r="C143" s="24" t="s">
        <v>563</v>
      </c>
      <c r="D143" s="24" t="s">
        <v>124</v>
      </c>
      <c r="E143" s="24" t="s">
        <v>564</v>
      </c>
      <c r="F143" s="24" t="s">
        <v>59</v>
      </c>
    </row>
    <row r="144">
      <c r="A144" s="24" t="s">
        <v>565</v>
      </c>
      <c r="B144" s="24" t="s">
        <v>566</v>
      </c>
      <c r="C144" s="24" t="s">
        <v>567</v>
      </c>
      <c r="D144" s="24" t="s">
        <v>124</v>
      </c>
      <c r="E144" s="24" t="s">
        <v>568</v>
      </c>
      <c r="F144" s="24" t="s">
        <v>59</v>
      </c>
    </row>
    <row r="145">
      <c r="A145" s="24" t="s">
        <v>569</v>
      </c>
      <c r="B145" s="24" t="s">
        <v>570</v>
      </c>
      <c r="C145" s="24" t="s">
        <v>571</v>
      </c>
      <c r="D145" s="24" t="s">
        <v>134</v>
      </c>
      <c r="E145" s="24" t="s">
        <v>572</v>
      </c>
      <c r="F145" s="24" t="s">
        <v>59</v>
      </c>
    </row>
    <row r="146">
      <c r="A146" s="24" t="s">
        <v>573</v>
      </c>
      <c r="B146" s="24" t="s">
        <v>574</v>
      </c>
      <c r="C146" s="24" t="s">
        <v>575</v>
      </c>
      <c r="D146" s="24" t="s">
        <v>129</v>
      </c>
      <c r="E146" s="24" t="s">
        <v>576</v>
      </c>
      <c r="F146" s="24" t="s">
        <v>59</v>
      </c>
    </row>
    <row r="147">
      <c r="A147" s="24" t="s">
        <v>577</v>
      </c>
      <c r="B147" s="24" t="s">
        <v>578</v>
      </c>
      <c r="C147" s="24" t="s">
        <v>579</v>
      </c>
      <c r="D147" s="24" t="s">
        <v>124</v>
      </c>
      <c r="E147" s="24" t="s">
        <v>580</v>
      </c>
      <c r="F147" s="24" t="s">
        <v>59</v>
      </c>
    </row>
    <row r="148">
      <c r="A148" s="24" t="s">
        <v>581</v>
      </c>
      <c r="B148" s="24" t="s">
        <v>582</v>
      </c>
      <c r="C148" s="24" t="s">
        <v>312</v>
      </c>
      <c r="D148" s="24" t="s">
        <v>134</v>
      </c>
      <c r="E148" s="24" t="s">
        <v>583</v>
      </c>
      <c r="F148" s="24" t="s">
        <v>59</v>
      </c>
    </row>
    <row r="149">
      <c r="A149" s="24" t="s">
        <v>584</v>
      </c>
      <c r="B149" s="24" t="s">
        <v>585</v>
      </c>
      <c r="C149" s="24" t="s">
        <v>586</v>
      </c>
      <c r="D149" s="24" t="s">
        <v>134</v>
      </c>
      <c r="E149" s="24" t="s">
        <v>587</v>
      </c>
      <c r="F149" s="24" t="s">
        <v>59</v>
      </c>
    </row>
    <row r="150">
      <c r="A150" s="24" t="s">
        <v>588</v>
      </c>
      <c r="B150" s="24" t="s">
        <v>589</v>
      </c>
      <c r="C150" s="24" t="s">
        <v>590</v>
      </c>
      <c r="D150" s="24" t="s">
        <v>129</v>
      </c>
      <c r="E150" s="24" t="s">
        <v>591</v>
      </c>
      <c r="F150" s="24" t="s">
        <v>59</v>
      </c>
    </row>
    <row r="151">
      <c r="A151" s="24" t="s">
        <v>592</v>
      </c>
      <c r="B151" s="24" t="s">
        <v>593</v>
      </c>
      <c r="C151" s="24" t="s">
        <v>594</v>
      </c>
      <c r="D151" s="24" t="s">
        <v>134</v>
      </c>
      <c r="E151" s="24" t="s">
        <v>595</v>
      </c>
      <c r="F151" s="24" t="s">
        <v>59</v>
      </c>
    </row>
    <row r="152">
      <c r="A152" s="24" t="s">
        <v>596</v>
      </c>
      <c r="B152" s="24" t="s">
        <v>597</v>
      </c>
      <c r="C152" s="24" t="s">
        <v>598</v>
      </c>
      <c r="D152" s="24" t="s">
        <v>124</v>
      </c>
      <c r="E152" s="24" t="s">
        <v>599</v>
      </c>
      <c r="F152" s="24" t="s">
        <v>59</v>
      </c>
    </row>
    <row r="153">
      <c r="A153" s="24" t="s">
        <v>600</v>
      </c>
      <c r="B153" s="24" t="s">
        <v>601</v>
      </c>
      <c r="C153" s="24" t="s">
        <v>602</v>
      </c>
      <c r="D153" s="24" t="s">
        <v>134</v>
      </c>
      <c r="E153" s="24" t="s">
        <v>603</v>
      </c>
      <c r="F153" s="24" t="s">
        <v>59</v>
      </c>
    </row>
    <row r="154">
      <c r="A154" s="24" t="s">
        <v>604</v>
      </c>
      <c r="B154" s="24" t="s">
        <v>605</v>
      </c>
      <c r="C154" s="24" t="s">
        <v>606</v>
      </c>
      <c r="D154" s="24" t="s">
        <v>124</v>
      </c>
      <c r="E154" s="24" t="s">
        <v>607</v>
      </c>
      <c r="F154" s="24" t="s">
        <v>59</v>
      </c>
    </row>
    <row r="155">
      <c r="A155" s="24" t="s">
        <v>608</v>
      </c>
      <c r="B155" s="24" t="s">
        <v>609</v>
      </c>
      <c r="C155" s="24" t="s">
        <v>610</v>
      </c>
      <c r="D155" s="24" t="s">
        <v>129</v>
      </c>
      <c r="E155" s="24" t="s">
        <v>611</v>
      </c>
      <c r="F155" s="24" t="s">
        <v>59</v>
      </c>
    </row>
    <row r="156">
      <c r="A156" s="24" t="s">
        <v>612</v>
      </c>
      <c r="B156" s="24" t="s">
        <v>613</v>
      </c>
      <c r="C156" s="24" t="s">
        <v>614</v>
      </c>
      <c r="D156" s="24" t="s">
        <v>124</v>
      </c>
      <c r="E156" s="24" t="s">
        <v>615</v>
      </c>
      <c r="F156" s="24" t="s">
        <v>59</v>
      </c>
    </row>
    <row r="157">
      <c r="A157" s="24" t="s">
        <v>616</v>
      </c>
      <c r="B157" s="24" t="s">
        <v>617</v>
      </c>
      <c r="C157" s="24" t="s">
        <v>618</v>
      </c>
      <c r="D157" s="24" t="s">
        <v>264</v>
      </c>
      <c r="E157" s="24" t="s">
        <v>619</v>
      </c>
      <c r="F157" s="24" t="s">
        <v>59</v>
      </c>
    </row>
    <row r="158">
      <c r="A158" s="24" t="s">
        <v>620</v>
      </c>
      <c r="B158" s="24" t="s">
        <v>621</v>
      </c>
      <c r="C158" s="24" t="s">
        <v>622</v>
      </c>
      <c r="D158" s="24" t="s">
        <v>124</v>
      </c>
      <c r="E158" s="24" t="s">
        <v>623</v>
      </c>
      <c r="F158" s="24" t="s">
        <v>59</v>
      </c>
    </row>
    <row r="159">
      <c r="A159" s="24" t="s">
        <v>624</v>
      </c>
      <c r="B159" s="24" t="s">
        <v>625</v>
      </c>
      <c r="C159" s="24" t="s">
        <v>626</v>
      </c>
      <c r="D159" s="24" t="s">
        <v>124</v>
      </c>
      <c r="E159" s="24" t="s">
        <v>627</v>
      </c>
      <c r="F159" s="24" t="s">
        <v>59</v>
      </c>
    </row>
    <row r="160">
      <c r="A160" s="24" t="s">
        <v>628</v>
      </c>
      <c r="B160" s="24" t="s">
        <v>629</v>
      </c>
      <c r="C160" s="24" t="s">
        <v>630</v>
      </c>
      <c r="D160" s="24" t="s">
        <v>124</v>
      </c>
      <c r="E160" s="24" t="s">
        <v>631</v>
      </c>
      <c r="F160" s="24" t="s">
        <v>59</v>
      </c>
    </row>
    <row r="161">
      <c r="A161" s="24" t="s">
        <v>632</v>
      </c>
      <c r="B161" s="24" t="s">
        <v>633</v>
      </c>
      <c r="C161" s="24" t="s">
        <v>634</v>
      </c>
      <c r="D161" s="24" t="s">
        <v>124</v>
      </c>
      <c r="E161" s="24" t="s">
        <v>635</v>
      </c>
      <c r="F161" s="24" t="s">
        <v>59</v>
      </c>
    </row>
    <row r="162">
      <c r="A162" s="24" t="s">
        <v>636</v>
      </c>
      <c r="B162" s="24" t="s">
        <v>637</v>
      </c>
      <c r="C162" s="24" t="s">
        <v>638</v>
      </c>
      <c r="D162" s="24" t="s">
        <v>134</v>
      </c>
      <c r="E162" s="24" t="s">
        <v>639</v>
      </c>
      <c r="F162" s="24" t="s">
        <v>59</v>
      </c>
    </row>
    <row r="163">
      <c r="A163" s="24" t="s">
        <v>640</v>
      </c>
      <c r="B163" s="24" t="s">
        <v>641</v>
      </c>
      <c r="C163" s="24" t="s">
        <v>642</v>
      </c>
      <c r="D163" s="24" t="s">
        <v>129</v>
      </c>
      <c r="E163" s="24" t="s">
        <v>643</v>
      </c>
      <c r="F163" s="24" t="s">
        <v>59</v>
      </c>
    </row>
    <row r="164">
      <c r="A164" s="24" t="s">
        <v>644</v>
      </c>
      <c r="B164" s="24" t="s">
        <v>645</v>
      </c>
      <c r="C164" s="24" t="s">
        <v>646</v>
      </c>
      <c r="D164" s="24" t="s">
        <v>129</v>
      </c>
      <c r="E164" s="24" t="s">
        <v>647</v>
      </c>
      <c r="F164" s="24" t="s">
        <v>59</v>
      </c>
    </row>
    <row r="165">
      <c r="A165" s="24" t="s">
        <v>648</v>
      </c>
      <c r="B165" s="24" t="s">
        <v>649</v>
      </c>
      <c r="C165" s="24" t="s">
        <v>650</v>
      </c>
      <c r="D165" s="24" t="s">
        <v>124</v>
      </c>
      <c r="E165" s="24" t="s">
        <v>651</v>
      </c>
      <c r="F165" s="24" t="s">
        <v>59</v>
      </c>
    </row>
    <row r="166">
      <c r="A166" s="24" t="s">
        <v>652</v>
      </c>
      <c r="B166" s="24" t="s">
        <v>653</v>
      </c>
      <c r="C166" s="24" t="s">
        <v>654</v>
      </c>
      <c r="D166" s="24" t="s">
        <v>124</v>
      </c>
      <c r="E166" s="24" t="s">
        <v>655</v>
      </c>
      <c r="F166" s="24" t="s">
        <v>59</v>
      </c>
    </row>
    <row r="167">
      <c r="A167" s="24" t="s">
        <v>656</v>
      </c>
      <c r="B167" s="24" t="s">
        <v>657</v>
      </c>
      <c r="C167" s="24" t="s">
        <v>658</v>
      </c>
      <c r="D167" s="24" t="s">
        <v>124</v>
      </c>
      <c r="E167" s="24" t="s">
        <v>659</v>
      </c>
      <c r="F167" s="24" t="s">
        <v>59</v>
      </c>
    </row>
    <row r="168">
      <c r="A168" s="24" t="s">
        <v>660</v>
      </c>
      <c r="B168" s="24" t="s">
        <v>661</v>
      </c>
      <c r="C168" s="24" t="s">
        <v>662</v>
      </c>
      <c r="D168" s="24" t="s">
        <v>124</v>
      </c>
      <c r="E168" s="24" t="s">
        <v>663</v>
      </c>
      <c r="F168" s="24" t="s">
        <v>59</v>
      </c>
    </row>
    <row r="169">
      <c r="A169" s="24" t="s">
        <v>664</v>
      </c>
      <c r="B169" s="24" t="s">
        <v>665</v>
      </c>
      <c r="C169" s="24" t="s">
        <v>666</v>
      </c>
      <c r="D169" s="24" t="s">
        <v>124</v>
      </c>
      <c r="E169" s="24" t="s">
        <v>667</v>
      </c>
      <c r="F169" s="24" t="s">
        <v>59</v>
      </c>
    </row>
    <row r="170">
      <c r="A170" s="24" t="s">
        <v>668</v>
      </c>
      <c r="B170" s="24" t="s">
        <v>669</v>
      </c>
      <c r="C170" s="24" t="s">
        <v>670</v>
      </c>
      <c r="D170" s="24" t="s">
        <v>129</v>
      </c>
      <c r="E170" s="24" t="s">
        <v>671</v>
      </c>
      <c r="F170" s="24" t="s">
        <v>59</v>
      </c>
    </row>
    <row r="171">
      <c r="A171" s="24" t="s">
        <v>672</v>
      </c>
      <c r="B171" s="24" t="s">
        <v>673</v>
      </c>
      <c r="C171" s="24" t="s">
        <v>674</v>
      </c>
      <c r="D171" s="24" t="s">
        <v>134</v>
      </c>
      <c r="E171" s="24" t="s">
        <v>675</v>
      </c>
      <c r="F171" s="24" t="s">
        <v>59</v>
      </c>
    </row>
    <row r="172">
      <c r="A172" s="24" t="s">
        <v>676</v>
      </c>
      <c r="B172" s="24" t="s">
        <v>677</v>
      </c>
      <c r="C172" s="24" t="s">
        <v>678</v>
      </c>
      <c r="D172" s="24" t="s">
        <v>124</v>
      </c>
      <c r="E172" s="24" t="s">
        <v>679</v>
      </c>
      <c r="F172" s="24" t="s">
        <v>59</v>
      </c>
    </row>
    <row r="173">
      <c r="A173" s="24" t="s">
        <v>680</v>
      </c>
      <c r="B173" s="24" t="s">
        <v>681</v>
      </c>
      <c r="C173" s="24" t="s">
        <v>682</v>
      </c>
      <c r="D173" s="24" t="s">
        <v>134</v>
      </c>
      <c r="E173" s="24" t="s">
        <v>683</v>
      </c>
      <c r="F173" s="24" t="s">
        <v>59</v>
      </c>
    </row>
    <row r="174">
      <c r="A174" s="24" t="s">
        <v>684</v>
      </c>
      <c r="B174" s="24" t="s">
        <v>685</v>
      </c>
      <c r="C174" s="24" t="s">
        <v>686</v>
      </c>
      <c r="D174" s="24" t="s">
        <v>124</v>
      </c>
      <c r="E174" s="24" t="s">
        <v>687</v>
      </c>
      <c r="F174" s="24" t="s">
        <v>59</v>
      </c>
    </row>
    <row r="175">
      <c r="A175" s="24" t="s">
        <v>688</v>
      </c>
      <c r="B175" s="24" t="s">
        <v>689</v>
      </c>
      <c r="C175" s="24" t="s">
        <v>690</v>
      </c>
      <c r="D175" s="24" t="s">
        <v>124</v>
      </c>
      <c r="E175" s="24" t="s">
        <v>691</v>
      </c>
      <c r="F175" s="24" t="s">
        <v>59</v>
      </c>
    </row>
    <row r="176">
      <c r="A176" s="24" t="s">
        <v>692</v>
      </c>
      <c r="B176" s="24" t="s">
        <v>693</v>
      </c>
      <c r="C176" s="24" t="s">
        <v>694</v>
      </c>
      <c r="D176" s="24" t="s">
        <v>129</v>
      </c>
      <c r="E176" s="24" t="s">
        <v>695</v>
      </c>
      <c r="F176" s="24" t="s">
        <v>59</v>
      </c>
    </row>
    <row r="177">
      <c r="A177" s="24" t="s">
        <v>696</v>
      </c>
      <c r="B177" s="24" t="s">
        <v>697</v>
      </c>
      <c r="C177" s="24" t="s">
        <v>698</v>
      </c>
      <c r="D177" s="24" t="s">
        <v>129</v>
      </c>
      <c r="E177" s="24" t="s">
        <v>699</v>
      </c>
      <c r="F177" s="24" t="s">
        <v>59</v>
      </c>
    </row>
    <row r="178">
      <c r="A178" s="24" t="s">
        <v>700</v>
      </c>
      <c r="B178" s="24" t="s">
        <v>701</v>
      </c>
      <c r="C178" s="24" t="s">
        <v>702</v>
      </c>
      <c r="D178" s="24" t="s">
        <v>124</v>
      </c>
      <c r="E178" s="24" t="s">
        <v>703</v>
      </c>
      <c r="F178" s="24" t="s">
        <v>59</v>
      </c>
    </row>
    <row r="179">
      <c r="A179" s="24" t="s">
        <v>704</v>
      </c>
      <c r="B179" s="24" t="s">
        <v>705</v>
      </c>
      <c r="C179" s="24" t="s">
        <v>706</v>
      </c>
      <c r="D179" s="24" t="s">
        <v>129</v>
      </c>
      <c r="E179" s="24" t="s">
        <v>707</v>
      </c>
      <c r="F179" s="24" t="s">
        <v>59</v>
      </c>
    </row>
    <row r="180">
      <c r="A180" s="24" t="s">
        <v>708</v>
      </c>
      <c r="B180" s="24" t="s">
        <v>709</v>
      </c>
      <c r="C180" s="24" t="s">
        <v>710</v>
      </c>
      <c r="D180" s="24" t="s">
        <v>134</v>
      </c>
      <c r="E180" s="24" t="s">
        <v>711</v>
      </c>
      <c r="F180" s="24" t="s">
        <v>59</v>
      </c>
    </row>
    <row r="181">
      <c r="A181" s="24" t="s">
        <v>712</v>
      </c>
      <c r="B181" s="24" t="s">
        <v>713</v>
      </c>
      <c r="C181" s="24" t="s">
        <v>714</v>
      </c>
      <c r="D181" s="24" t="s">
        <v>124</v>
      </c>
      <c r="E181" s="24" t="s">
        <v>715</v>
      </c>
      <c r="F181" s="24" t="s">
        <v>59</v>
      </c>
    </row>
    <row r="182">
      <c r="A182" s="24" t="s">
        <v>716</v>
      </c>
      <c r="B182" s="24" t="s">
        <v>717</v>
      </c>
      <c r="C182" s="24" t="s">
        <v>718</v>
      </c>
      <c r="D182" s="24" t="s">
        <v>124</v>
      </c>
      <c r="E182" s="24" t="s">
        <v>719</v>
      </c>
      <c r="F182" s="24" t="s">
        <v>59</v>
      </c>
    </row>
    <row r="183">
      <c r="A183" s="24" t="s">
        <v>720</v>
      </c>
      <c r="B183" s="24" t="s">
        <v>721</v>
      </c>
      <c r="C183" s="24" t="s">
        <v>722</v>
      </c>
      <c r="D183" s="24" t="s">
        <v>129</v>
      </c>
      <c r="E183" s="24" t="s">
        <v>723</v>
      </c>
      <c r="F183" s="24" t="s">
        <v>59</v>
      </c>
    </row>
    <row r="184">
      <c r="A184" s="24" t="s">
        <v>724</v>
      </c>
      <c r="B184" s="24" t="s">
        <v>725</v>
      </c>
      <c r="C184" s="24" t="s">
        <v>726</v>
      </c>
      <c r="D184" s="24" t="s">
        <v>134</v>
      </c>
      <c r="E184" s="24" t="s">
        <v>727</v>
      </c>
      <c r="F184" s="24" t="s">
        <v>59</v>
      </c>
    </row>
    <row r="185">
      <c r="A185" s="24" t="s">
        <v>728</v>
      </c>
      <c r="B185" s="24" t="s">
        <v>729</v>
      </c>
      <c r="C185" s="24" t="s">
        <v>730</v>
      </c>
      <c r="D185" s="24" t="s">
        <v>129</v>
      </c>
      <c r="E185" s="24" t="s">
        <v>731</v>
      </c>
      <c r="F185" s="24" t="s">
        <v>59</v>
      </c>
    </row>
    <row r="186">
      <c r="A186" s="24" t="s">
        <v>732</v>
      </c>
      <c r="B186" s="24" t="s">
        <v>733</v>
      </c>
      <c r="C186" s="24" t="s">
        <v>734</v>
      </c>
      <c r="D186" s="24" t="s">
        <v>124</v>
      </c>
      <c r="E186" s="24" t="s">
        <v>735</v>
      </c>
      <c r="F186" s="24" t="s">
        <v>59</v>
      </c>
    </row>
    <row r="187">
      <c r="A187" s="24" t="s">
        <v>736</v>
      </c>
      <c r="B187" s="24" t="s">
        <v>737</v>
      </c>
      <c r="C187" s="24" t="s">
        <v>738</v>
      </c>
      <c r="D187" s="24" t="s">
        <v>124</v>
      </c>
      <c r="E187" s="24" t="s">
        <v>739</v>
      </c>
      <c r="F187" s="24" t="s">
        <v>59</v>
      </c>
    </row>
    <row r="188">
      <c r="A188" s="24" t="s">
        <v>740</v>
      </c>
      <c r="B188" s="24" t="s">
        <v>741</v>
      </c>
      <c r="C188" s="24" t="s">
        <v>742</v>
      </c>
      <c r="D188" s="24" t="s">
        <v>124</v>
      </c>
      <c r="E188" s="24" t="s">
        <v>743</v>
      </c>
      <c r="F188" s="24" t="s">
        <v>59</v>
      </c>
    </row>
    <row r="189">
      <c r="A189" s="24" t="s">
        <v>744</v>
      </c>
      <c r="B189" s="24" t="s">
        <v>745</v>
      </c>
      <c r="C189" s="24" t="s">
        <v>746</v>
      </c>
      <c r="D189" s="24" t="s">
        <v>124</v>
      </c>
      <c r="E189" s="24" t="s">
        <v>747</v>
      </c>
      <c r="F189" s="24" t="s">
        <v>59</v>
      </c>
    </row>
    <row r="190">
      <c r="A190" s="24" t="s">
        <v>748</v>
      </c>
      <c r="B190" s="24" t="s">
        <v>749</v>
      </c>
      <c r="C190" s="24" t="s">
        <v>750</v>
      </c>
      <c r="D190" s="24" t="s">
        <v>134</v>
      </c>
      <c r="E190" s="24" t="s">
        <v>751</v>
      </c>
      <c r="F190" s="24" t="s">
        <v>59</v>
      </c>
    </row>
    <row r="191">
      <c r="A191" s="24" t="s">
        <v>752</v>
      </c>
      <c r="B191" s="24" t="s">
        <v>753</v>
      </c>
      <c r="C191" s="24" t="s">
        <v>754</v>
      </c>
      <c r="D191" s="24" t="s">
        <v>124</v>
      </c>
      <c r="E191" s="24" t="s">
        <v>755</v>
      </c>
      <c r="F191" s="24" t="s">
        <v>59</v>
      </c>
    </row>
    <row r="192">
      <c r="A192" s="24" t="s">
        <v>756</v>
      </c>
      <c r="B192" s="24" t="s">
        <v>757</v>
      </c>
      <c r="C192" s="24" t="s">
        <v>758</v>
      </c>
      <c r="D192" s="24" t="s">
        <v>134</v>
      </c>
      <c r="E192" s="24" t="s">
        <v>759</v>
      </c>
      <c r="F192" s="24" t="s">
        <v>59</v>
      </c>
    </row>
    <row r="193">
      <c r="A193" s="24" t="s">
        <v>760</v>
      </c>
      <c r="B193" s="24" t="s">
        <v>761</v>
      </c>
      <c r="C193" s="24" t="s">
        <v>762</v>
      </c>
      <c r="D193" s="24" t="s">
        <v>124</v>
      </c>
      <c r="E193" s="24" t="s">
        <v>763</v>
      </c>
      <c r="F193" s="24" t="s">
        <v>59</v>
      </c>
    </row>
    <row r="194">
      <c r="A194" s="24" t="s">
        <v>764</v>
      </c>
      <c r="B194" s="24" t="s">
        <v>765</v>
      </c>
      <c r="C194" s="24" t="s">
        <v>766</v>
      </c>
      <c r="D194" s="24" t="s">
        <v>129</v>
      </c>
      <c r="E194" s="24" t="s">
        <v>767</v>
      </c>
      <c r="F194" s="24" t="s">
        <v>59</v>
      </c>
    </row>
    <row r="195">
      <c r="A195" s="24" t="s">
        <v>768</v>
      </c>
      <c r="B195" s="24" t="s">
        <v>769</v>
      </c>
      <c r="C195" s="24" t="s">
        <v>770</v>
      </c>
      <c r="D195" s="24" t="s">
        <v>129</v>
      </c>
      <c r="E195" s="24" t="s">
        <v>771</v>
      </c>
      <c r="F195" s="24" t="s">
        <v>59</v>
      </c>
    </row>
    <row r="196">
      <c r="A196" s="24" t="s">
        <v>772</v>
      </c>
      <c r="B196" s="24" t="s">
        <v>773</v>
      </c>
      <c r="C196" s="24" t="s">
        <v>774</v>
      </c>
      <c r="D196" s="24" t="s">
        <v>124</v>
      </c>
      <c r="E196" s="24" t="s">
        <v>775</v>
      </c>
      <c r="F196" s="24" t="s">
        <v>59</v>
      </c>
    </row>
    <row r="197">
      <c r="A197" s="24" t="s">
        <v>776</v>
      </c>
      <c r="B197" s="24" t="s">
        <v>777</v>
      </c>
      <c r="C197" s="24" t="s">
        <v>778</v>
      </c>
      <c r="D197" s="24" t="s">
        <v>129</v>
      </c>
      <c r="E197" s="24" t="s">
        <v>779</v>
      </c>
      <c r="F197" s="24" t="s">
        <v>59</v>
      </c>
    </row>
    <row r="198">
      <c r="A198" s="24" t="s">
        <v>780</v>
      </c>
      <c r="B198" s="24" t="s">
        <v>781</v>
      </c>
      <c r="C198" s="24" t="s">
        <v>782</v>
      </c>
      <c r="D198" s="24" t="s">
        <v>124</v>
      </c>
      <c r="E198" s="24" t="s">
        <v>783</v>
      </c>
      <c r="F198" s="24" t="s">
        <v>59</v>
      </c>
    </row>
    <row r="199">
      <c r="A199" s="24" t="s">
        <v>784</v>
      </c>
      <c r="B199" s="24" t="s">
        <v>785</v>
      </c>
      <c r="C199" s="24" t="s">
        <v>786</v>
      </c>
      <c r="D199" s="24" t="s">
        <v>129</v>
      </c>
      <c r="E199" s="24" t="s">
        <v>787</v>
      </c>
      <c r="F199" s="24" t="s">
        <v>59</v>
      </c>
    </row>
    <row r="200">
      <c r="A200" s="24" t="s">
        <v>788</v>
      </c>
      <c r="B200" s="24" t="s">
        <v>789</v>
      </c>
      <c r="C200" s="24" t="s">
        <v>790</v>
      </c>
      <c r="D200" s="24" t="s">
        <v>129</v>
      </c>
      <c r="E200" s="24" t="s">
        <v>791</v>
      </c>
      <c r="F200" s="24" t="s">
        <v>59</v>
      </c>
    </row>
    <row r="201">
      <c r="A201" s="24" t="s">
        <v>792</v>
      </c>
      <c r="B201" s="24" t="s">
        <v>793</v>
      </c>
      <c r="C201" s="24" t="s">
        <v>794</v>
      </c>
      <c r="D201" s="24" t="s">
        <v>124</v>
      </c>
      <c r="E201" s="24" t="s">
        <v>795</v>
      </c>
      <c r="F201" s="24" t="s">
        <v>59</v>
      </c>
    </row>
    <row r="202">
      <c r="A202" s="24" t="s">
        <v>796</v>
      </c>
      <c r="B202" s="24" t="s">
        <v>797</v>
      </c>
      <c r="C202" s="24" t="s">
        <v>798</v>
      </c>
      <c r="D202" s="24" t="s">
        <v>129</v>
      </c>
      <c r="E202" s="24" t="s">
        <v>799</v>
      </c>
      <c r="F202" s="24" t="s">
        <v>59</v>
      </c>
    </row>
    <row r="203">
      <c r="A203" s="24" t="s">
        <v>800</v>
      </c>
      <c r="B203" s="24" t="s">
        <v>801</v>
      </c>
      <c r="C203" s="24" t="s">
        <v>802</v>
      </c>
      <c r="D203" s="24" t="s">
        <v>264</v>
      </c>
      <c r="E203" s="24" t="s">
        <v>803</v>
      </c>
      <c r="F203" s="24" t="s">
        <v>59</v>
      </c>
    </row>
    <row r="204">
      <c r="A204" s="24" t="s">
        <v>804</v>
      </c>
      <c r="B204" s="24" t="s">
        <v>805</v>
      </c>
      <c r="C204" s="24" t="s">
        <v>806</v>
      </c>
      <c r="D204" s="24" t="s">
        <v>124</v>
      </c>
      <c r="E204" s="24" t="s">
        <v>807</v>
      </c>
      <c r="F204" s="24" t="s">
        <v>59</v>
      </c>
    </row>
    <row r="205">
      <c r="A205" s="24" t="s">
        <v>808</v>
      </c>
      <c r="B205" s="24" t="s">
        <v>809</v>
      </c>
      <c r="C205" s="24" t="s">
        <v>810</v>
      </c>
      <c r="D205" s="24" t="s">
        <v>129</v>
      </c>
      <c r="E205" s="24" t="s">
        <v>811</v>
      </c>
      <c r="F205" s="24" t="s">
        <v>59</v>
      </c>
    </row>
    <row r="206">
      <c r="A206" s="24" t="s">
        <v>812</v>
      </c>
      <c r="B206" s="24" t="s">
        <v>813</v>
      </c>
      <c r="C206" s="24" t="s">
        <v>814</v>
      </c>
      <c r="D206" s="24" t="s">
        <v>134</v>
      </c>
      <c r="E206" s="24" t="s">
        <v>815</v>
      </c>
      <c r="F206" s="24" t="s">
        <v>59</v>
      </c>
    </row>
    <row r="207">
      <c r="A207" s="24" t="s">
        <v>816</v>
      </c>
      <c r="B207" s="24" t="s">
        <v>817</v>
      </c>
      <c r="C207" s="24" t="s">
        <v>818</v>
      </c>
      <c r="D207" s="24" t="s">
        <v>124</v>
      </c>
      <c r="E207" s="24" t="s">
        <v>819</v>
      </c>
      <c r="F207" s="24" t="s">
        <v>59</v>
      </c>
    </row>
    <row r="208">
      <c r="A208" s="24" t="s">
        <v>820</v>
      </c>
      <c r="B208" s="24" t="s">
        <v>821</v>
      </c>
      <c r="C208" s="24" t="s">
        <v>822</v>
      </c>
      <c r="D208" s="24" t="s">
        <v>134</v>
      </c>
      <c r="E208" s="24" t="s">
        <v>823</v>
      </c>
      <c r="F208" s="24" t="s">
        <v>59</v>
      </c>
    </row>
    <row r="209">
      <c r="A209" s="24" t="s">
        <v>824</v>
      </c>
      <c r="B209" s="24" t="s">
        <v>825</v>
      </c>
      <c r="C209" s="24" t="s">
        <v>826</v>
      </c>
      <c r="D209" s="24" t="s">
        <v>134</v>
      </c>
      <c r="E209" s="24" t="s">
        <v>827</v>
      </c>
      <c r="F209" s="24" t="s">
        <v>59</v>
      </c>
    </row>
    <row r="210">
      <c r="A210" s="24" t="s">
        <v>828</v>
      </c>
      <c r="B210" s="24" t="s">
        <v>829</v>
      </c>
      <c r="C210" s="24" t="s">
        <v>830</v>
      </c>
      <c r="D210" s="24" t="s">
        <v>129</v>
      </c>
      <c r="E210" s="24" t="s">
        <v>831</v>
      </c>
      <c r="F210" s="24" t="s">
        <v>59</v>
      </c>
    </row>
    <row r="211">
      <c r="A211" s="24" t="s">
        <v>832</v>
      </c>
      <c r="B211" s="24" t="s">
        <v>833</v>
      </c>
      <c r="C211" s="24" t="s">
        <v>834</v>
      </c>
      <c r="D211" s="24" t="s">
        <v>134</v>
      </c>
      <c r="E211" s="24" t="s">
        <v>835</v>
      </c>
      <c r="F211" s="24" t="s">
        <v>59</v>
      </c>
    </row>
    <row r="212">
      <c r="A212" s="24" t="s">
        <v>836</v>
      </c>
      <c r="B212" s="24" t="s">
        <v>837</v>
      </c>
      <c r="C212" s="24" t="s">
        <v>838</v>
      </c>
      <c r="D212" s="24" t="s">
        <v>124</v>
      </c>
      <c r="E212" s="24" t="s">
        <v>839</v>
      </c>
      <c r="F212" s="24" t="s">
        <v>59</v>
      </c>
    </row>
    <row r="213">
      <c r="A213" s="24" t="s">
        <v>840</v>
      </c>
      <c r="B213" s="24" t="s">
        <v>841</v>
      </c>
      <c r="C213" s="24" t="s">
        <v>842</v>
      </c>
      <c r="D213" s="24" t="s">
        <v>134</v>
      </c>
      <c r="E213" s="24" t="s">
        <v>843</v>
      </c>
      <c r="F213" s="24" t="s">
        <v>59</v>
      </c>
    </row>
    <row r="214">
      <c r="A214" s="24" t="s">
        <v>844</v>
      </c>
      <c r="B214" s="24" t="s">
        <v>845</v>
      </c>
      <c r="C214" s="24" t="s">
        <v>846</v>
      </c>
      <c r="D214" s="24" t="s">
        <v>124</v>
      </c>
      <c r="E214" s="24" t="s">
        <v>847</v>
      </c>
      <c r="F214" s="24" t="s">
        <v>59</v>
      </c>
    </row>
    <row r="215">
      <c r="A215" s="24" t="s">
        <v>848</v>
      </c>
      <c r="B215" s="24" t="s">
        <v>849</v>
      </c>
      <c r="C215" s="24" t="s">
        <v>850</v>
      </c>
      <c r="D215" s="24" t="s">
        <v>124</v>
      </c>
      <c r="E215" s="24" t="s">
        <v>851</v>
      </c>
      <c r="F215" s="24" t="s">
        <v>59</v>
      </c>
    </row>
    <row r="216">
      <c r="A216" s="24" t="s">
        <v>852</v>
      </c>
      <c r="B216" s="24" t="s">
        <v>853</v>
      </c>
      <c r="C216" s="24" t="s">
        <v>854</v>
      </c>
      <c r="D216" s="24" t="s">
        <v>129</v>
      </c>
      <c r="E216" s="24" t="s">
        <v>855</v>
      </c>
      <c r="F216" s="24" t="s">
        <v>59</v>
      </c>
    </row>
    <row r="217">
      <c r="A217" s="24" t="s">
        <v>856</v>
      </c>
      <c r="B217" s="24" t="s">
        <v>857</v>
      </c>
      <c r="C217" s="24" t="s">
        <v>858</v>
      </c>
      <c r="D217" s="24" t="s">
        <v>124</v>
      </c>
      <c r="E217" s="24" t="s">
        <v>859</v>
      </c>
      <c r="F217" s="24" t="s">
        <v>59</v>
      </c>
    </row>
    <row r="218">
      <c r="A218" s="24" t="s">
        <v>860</v>
      </c>
      <c r="B218" s="24" t="s">
        <v>861</v>
      </c>
      <c r="C218" s="24" t="s">
        <v>862</v>
      </c>
      <c r="D218" s="24" t="s">
        <v>124</v>
      </c>
      <c r="E218" s="24" t="s">
        <v>863</v>
      </c>
      <c r="F218" s="24" t="s">
        <v>59</v>
      </c>
    </row>
    <row r="219">
      <c r="A219" s="24" t="s">
        <v>864</v>
      </c>
      <c r="B219" s="24" t="s">
        <v>865</v>
      </c>
      <c r="C219" s="24" t="s">
        <v>866</v>
      </c>
      <c r="D219" s="24" t="s">
        <v>134</v>
      </c>
      <c r="E219" s="24" t="s">
        <v>867</v>
      </c>
      <c r="F219" s="24" t="s">
        <v>59</v>
      </c>
    </row>
    <row r="220">
      <c r="A220" s="24" t="s">
        <v>868</v>
      </c>
      <c r="B220" s="24" t="s">
        <v>869</v>
      </c>
      <c r="C220" s="24" t="s">
        <v>870</v>
      </c>
      <c r="D220" s="24" t="s">
        <v>124</v>
      </c>
      <c r="E220" s="24" t="s">
        <v>871</v>
      </c>
      <c r="F220" s="24" t="s">
        <v>59</v>
      </c>
    </row>
    <row r="221">
      <c r="A221" s="24" t="s">
        <v>872</v>
      </c>
      <c r="B221" s="24" t="s">
        <v>873</v>
      </c>
      <c r="C221" s="24" t="s">
        <v>874</v>
      </c>
      <c r="D221" s="24" t="s">
        <v>134</v>
      </c>
      <c r="E221" s="24" t="s">
        <v>875</v>
      </c>
      <c r="F221" s="24" t="s">
        <v>59</v>
      </c>
    </row>
    <row r="222">
      <c r="A222" s="24" t="s">
        <v>876</v>
      </c>
      <c r="B222" s="24" t="s">
        <v>877</v>
      </c>
      <c r="C222" s="24" t="s">
        <v>878</v>
      </c>
      <c r="D222" s="24" t="s">
        <v>124</v>
      </c>
      <c r="E222" s="24" t="s">
        <v>879</v>
      </c>
      <c r="F222" s="24" t="s">
        <v>59</v>
      </c>
    </row>
    <row r="223">
      <c r="A223" s="24" t="s">
        <v>880</v>
      </c>
      <c r="B223" s="24" t="s">
        <v>881</v>
      </c>
      <c r="C223" s="24" t="s">
        <v>882</v>
      </c>
      <c r="D223" s="24" t="s">
        <v>124</v>
      </c>
      <c r="E223" s="24" t="s">
        <v>883</v>
      </c>
      <c r="F223" s="24" t="s">
        <v>59</v>
      </c>
    </row>
    <row r="224">
      <c r="A224" s="24" t="s">
        <v>884</v>
      </c>
      <c r="B224" s="24" t="s">
        <v>885</v>
      </c>
      <c r="C224" s="24" t="s">
        <v>886</v>
      </c>
      <c r="D224" s="24" t="s">
        <v>264</v>
      </c>
      <c r="E224" s="24" t="s">
        <v>887</v>
      </c>
      <c r="F224" s="24" t="s">
        <v>59</v>
      </c>
    </row>
    <row r="225">
      <c r="A225" s="24" t="s">
        <v>888</v>
      </c>
      <c r="B225" s="24" t="s">
        <v>889</v>
      </c>
      <c r="C225" s="24" t="s">
        <v>890</v>
      </c>
      <c r="D225" s="24" t="s">
        <v>124</v>
      </c>
      <c r="E225" s="24" t="s">
        <v>891</v>
      </c>
      <c r="F225" s="24" t="s">
        <v>59</v>
      </c>
    </row>
    <row r="226">
      <c r="A226" s="24" t="s">
        <v>892</v>
      </c>
      <c r="B226" s="24" t="s">
        <v>893</v>
      </c>
      <c r="C226" s="24" t="s">
        <v>894</v>
      </c>
      <c r="D226" s="24" t="s">
        <v>124</v>
      </c>
      <c r="E226" s="24" t="s">
        <v>895</v>
      </c>
      <c r="F226" s="24" t="s">
        <v>59</v>
      </c>
    </row>
    <row r="227">
      <c r="A227" s="24" t="s">
        <v>896</v>
      </c>
      <c r="B227" s="24" t="s">
        <v>897</v>
      </c>
      <c r="C227" s="24" t="s">
        <v>898</v>
      </c>
      <c r="D227" s="24" t="s">
        <v>124</v>
      </c>
      <c r="E227" s="24" t="s">
        <v>899</v>
      </c>
      <c r="F227" s="24" t="s">
        <v>59</v>
      </c>
    </row>
    <row r="228">
      <c r="A228" s="24" t="s">
        <v>900</v>
      </c>
      <c r="B228" s="24" t="s">
        <v>901</v>
      </c>
      <c r="C228" s="24" t="s">
        <v>902</v>
      </c>
      <c r="D228" s="24" t="s">
        <v>129</v>
      </c>
      <c r="E228" s="24" t="s">
        <v>903</v>
      </c>
      <c r="F228" s="24" t="s">
        <v>59</v>
      </c>
    </row>
    <row r="229">
      <c r="A229" s="24" t="s">
        <v>904</v>
      </c>
      <c r="B229" s="24" t="s">
        <v>905</v>
      </c>
      <c r="C229" s="24" t="s">
        <v>906</v>
      </c>
      <c r="D229" s="24" t="s">
        <v>134</v>
      </c>
      <c r="E229" s="24" t="s">
        <v>907</v>
      </c>
      <c r="F229" s="24" t="s">
        <v>59</v>
      </c>
    </row>
    <row r="230">
      <c r="A230" s="24" t="s">
        <v>908</v>
      </c>
      <c r="B230" s="24" t="s">
        <v>909</v>
      </c>
      <c r="C230" s="24" t="s">
        <v>910</v>
      </c>
      <c r="D230" s="24" t="s">
        <v>134</v>
      </c>
      <c r="E230" s="24" t="s">
        <v>911</v>
      </c>
      <c r="F230" s="24" t="s">
        <v>59</v>
      </c>
    </row>
    <row r="231">
      <c r="A231" s="24" t="s">
        <v>912</v>
      </c>
      <c r="B231" s="24" t="s">
        <v>913</v>
      </c>
      <c r="C231" s="24" t="s">
        <v>914</v>
      </c>
      <c r="D231" s="24" t="s">
        <v>124</v>
      </c>
      <c r="E231" s="24" t="s">
        <v>915</v>
      </c>
      <c r="F231" s="24" t="s">
        <v>59</v>
      </c>
    </row>
    <row r="232">
      <c r="A232" s="24" t="s">
        <v>916</v>
      </c>
      <c r="B232" s="24" t="s">
        <v>917</v>
      </c>
      <c r="C232" s="24" t="s">
        <v>918</v>
      </c>
      <c r="D232" s="24" t="s">
        <v>124</v>
      </c>
      <c r="E232" s="24" t="s">
        <v>919</v>
      </c>
      <c r="F232" s="24" t="s">
        <v>59</v>
      </c>
    </row>
    <row r="233">
      <c r="A233" s="24" t="s">
        <v>920</v>
      </c>
      <c r="B233" s="24" t="s">
        <v>921</v>
      </c>
      <c r="C233" s="24" t="s">
        <v>922</v>
      </c>
      <c r="D233" s="24" t="s">
        <v>124</v>
      </c>
      <c r="E233" s="24" t="s">
        <v>923</v>
      </c>
      <c r="F233" s="24" t="s">
        <v>59</v>
      </c>
    </row>
    <row r="234">
      <c r="A234" s="24" t="s">
        <v>924</v>
      </c>
      <c r="B234" s="24" t="s">
        <v>925</v>
      </c>
      <c r="C234" s="24" t="s">
        <v>926</v>
      </c>
      <c r="D234" s="24" t="s">
        <v>124</v>
      </c>
      <c r="E234" s="24" t="s">
        <v>927</v>
      </c>
      <c r="F234" s="24" t="s">
        <v>59</v>
      </c>
    </row>
    <row r="235">
      <c r="A235" s="24" t="s">
        <v>928</v>
      </c>
      <c r="B235" s="24" t="s">
        <v>929</v>
      </c>
      <c r="C235" s="24" t="s">
        <v>930</v>
      </c>
      <c r="D235" s="24" t="s">
        <v>134</v>
      </c>
      <c r="E235" s="24" t="s">
        <v>931</v>
      </c>
      <c r="F235" s="24" t="s">
        <v>59</v>
      </c>
    </row>
    <row r="236">
      <c r="A236" s="24" t="s">
        <v>932</v>
      </c>
      <c r="B236" s="24" t="s">
        <v>933</v>
      </c>
      <c r="C236" s="24" t="s">
        <v>934</v>
      </c>
      <c r="D236" s="24" t="s">
        <v>124</v>
      </c>
      <c r="E236" s="24" t="s">
        <v>935</v>
      </c>
      <c r="F236" s="24" t="s">
        <v>59</v>
      </c>
    </row>
    <row r="237">
      <c r="A237" s="24" t="s">
        <v>936</v>
      </c>
      <c r="B237" s="24" t="s">
        <v>937</v>
      </c>
      <c r="C237" s="24" t="s">
        <v>938</v>
      </c>
      <c r="D237" s="24" t="s">
        <v>124</v>
      </c>
      <c r="E237" s="24" t="s">
        <v>939</v>
      </c>
      <c r="F237" s="24" t="s">
        <v>59</v>
      </c>
    </row>
    <row r="238">
      <c r="A238" s="24" t="s">
        <v>940</v>
      </c>
      <c r="B238" s="24" t="s">
        <v>941</v>
      </c>
      <c r="C238" s="24" t="s">
        <v>942</v>
      </c>
      <c r="D238" s="24" t="s">
        <v>129</v>
      </c>
      <c r="E238" s="24" t="s">
        <v>943</v>
      </c>
      <c r="F238" s="24" t="s">
        <v>59</v>
      </c>
    </row>
    <row r="239">
      <c r="A239" s="24" t="s">
        <v>944</v>
      </c>
      <c r="B239" s="24" t="s">
        <v>945</v>
      </c>
      <c r="C239" s="24" t="s">
        <v>946</v>
      </c>
      <c r="D239" s="24" t="s">
        <v>124</v>
      </c>
      <c r="E239" s="24" t="s">
        <v>947</v>
      </c>
      <c r="F239" s="24" t="s">
        <v>59</v>
      </c>
    </row>
    <row r="240">
      <c r="A240" s="24" t="s">
        <v>948</v>
      </c>
      <c r="B240" s="24" t="s">
        <v>949</v>
      </c>
      <c r="C240" s="24" t="s">
        <v>950</v>
      </c>
      <c r="D240" s="24" t="s">
        <v>124</v>
      </c>
      <c r="E240" s="24" t="s">
        <v>951</v>
      </c>
      <c r="F240" s="24" t="s">
        <v>59</v>
      </c>
    </row>
    <row r="241">
      <c r="A241" s="24" t="s">
        <v>952</v>
      </c>
      <c r="B241" s="24" t="s">
        <v>953</v>
      </c>
      <c r="C241" s="24" t="s">
        <v>954</v>
      </c>
      <c r="D241" s="24" t="s">
        <v>124</v>
      </c>
      <c r="E241" s="24" t="s">
        <v>955</v>
      </c>
      <c r="F241" s="24" t="s">
        <v>59</v>
      </c>
    </row>
    <row r="242">
      <c r="A242" s="24" t="s">
        <v>956</v>
      </c>
      <c r="B242" s="24" t="s">
        <v>957</v>
      </c>
      <c r="C242" s="24" t="s">
        <v>958</v>
      </c>
      <c r="D242" s="24" t="s">
        <v>134</v>
      </c>
      <c r="E242" s="24" t="s">
        <v>959</v>
      </c>
      <c r="F242" s="24" t="s">
        <v>59</v>
      </c>
    </row>
    <row r="243">
      <c r="A243" s="24" t="s">
        <v>960</v>
      </c>
      <c r="B243" s="24" t="s">
        <v>961</v>
      </c>
      <c r="C243" s="24" t="s">
        <v>962</v>
      </c>
      <c r="D243" s="24" t="s">
        <v>134</v>
      </c>
      <c r="E243" s="24" t="s">
        <v>963</v>
      </c>
      <c r="F243" s="24" t="s">
        <v>59</v>
      </c>
    </row>
    <row r="244">
      <c r="A244" s="24" t="s">
        <v>964</v>
      </c>
      <c r="B244" s="24" t="s">
        <v>965</v>
      </c>
      <c r="C244" s="24" t="s">
        <v>966</v>
      </c>
      <c r="D244" s="24" t="s">
        <v>129</v>
      </c>
      <c r="E244" s="24" t="s">
        <v>967</v>
      </c>
      <c r="F244" s="24" t="s">
        <v>59</v>
      </c>
    </row>
    <row r="245">
      <c r="A245" s="24" t="s">
        <v>968</v>
      </c>
      <c r="B245" s="24" t="s">
        <v>969</v>
      </c>
      <c r="C245" s="24" t="s">
        <v>970</v>
      </c>
      <c r="D245" s="24" t="s">
        <v>134</v>
      </c>
      <c r="E245" s="24" t="s">
        <v>971</v>
      </c>
      <c r="F245" s="24" t="s">
        <v>59</v>
      </c>
    </row>
    <row r="246">
      <c r="A246" s="24" t="s">
        <v>972</v>
      </c>
      <c r="B246" s="24" t="s">
        <v>973</v>
      </c>
      <c r="C246" s="24" t="s">
        <v>974</v>
      </c>
      <c r="D246" s="24" t="s">
        <v>129</v>
      </c>
      <c r="E246" s="24" t="s">
        <v>975</v>
      </c>
      <c r="F246" s="24" t="s">
        <v>59</v>
      </c>
    </row>
    <row r="247">
      <c r="A247" s="24" t="s">
        <v>976</v>
      </c>
      <c r="B247" s="24" t="s">
        <v>977</v>
      </c>
      <c r="C247" s="24" t="s">
        <v>978</v>
      </c>
      <c r="D247" s="24" t="s">
        <v>124</v>
      </c>
      <c r="E247" s="24" t="s">
        <v>979</v>
      </c>
      <c r="F247" s="24" t="s">
        <v>59</v>
      </c>
    </row>
    <row r="248">
      <c r="A248" s="24" t="s">
        <v>980</v>
      </c>
      <c r="B248" s="24" t="s">
        <v>981</v>
      </c>
      <c r="C248" s="24" t="s">
        <v>982</v>
      </c>
      <c r="D248" s="24" t="s">
        <v>124</v>
      </c>
      <c r="E248" s="24" t="s">
        <v>983</v>
      </c>
      <c r="F248" s="24" t="s">
        <v>59</v>
      </c>
    </row>
    <row r="249">
      <c r="A249" s="24" t="s">
        <v>984</v>
      </c>
      <c r="B249" s="24" t="s">
        <v>985</v>
      </c>
      <c r="C249" s="24" t="s">
        <v>986</v>
      </c>
      <c r="D249" s="24" t="s">
        <v>129</v>
      </c>
      <c r="E249" s="24" t="s">
        <v>987</v>
      </c>
      <c r="F249" s="24" t="s">
        <v>59</v>
      </c>
    </row>
    <row r="250">
      <c r="A250" s="24" t="s">
        <v>988</v>
      </c>
      <c r="B250" s="24" t="s">
        <v>989</v>
      </c>
      <c r="C250" s="24" t="s">
        <v>990</v>
      </c>
      <c r="D250" s="24" t="s">
        <v>124</v>
      </c>
      <c r="E250" s="24" t="s">
        <v>991</v>
      </c>
      <c r="F250" s="24" t="s">
        <v>59</v>
      </c>
    </row>
    <row r="251">
      <c r="A251" s="24" t="s">
        <v>992</v>
      </c>
      <c r="B251" s="24" t="s">
        <v>993</v>
      </c>
      <c r="C251" s="24" t="s">
        <v>994</v>
      </c>
      <c r="D251" s="24" t="s">
        <v>124</v>
      </c>
      <c r="E251" s="24" t="s">
        <v>995</v>
      </c>
      <c r="F251" s="24" t="s">
        <v>59</v>
      </c>
    </row>
    <row r="252">
      <c r="A252" s="24" t="s">
        <v>996</v>
      </c>
      <c r="B252" s="24" t="s">
        <v>997</v>
      </c>
      <c r="C252" s="24" t="s">
        <v>998</v>
      </c>
      <c r="D252" s="24" t="s">
        <v>264</v>
      </c>
      <c r="E252" s="24" t="s">
        <v>999</v>
      </c>
      <c r="F252" s="24" t="s">
        <v>59</v>
      </c>
    </row>
    <row r="253">
      <c r="A253" s="24" t="s">
        <v>1000</v>
      </c>
      <c r="B253" s="24" t="s">
        <v>1001</v>
      </c>
      <c r="C253" s="24" t="s">
        <v>1002</v>
      </c>
      <c r="D253" s="24" t="s">
        <v>129</v>
      </c>
      <c r="E253" s="24" t="s">
        <v>1003</v>
      </c>
      <c r="F253" s="24" t="s">
        <v>59</v>
      </c>
    </row>
    <row r="254">
      <c r="A254" s="24" t="s">
        <v>1004</v>
      </c>
      <c r="B254" s="24" t="s">
        <v>1005</v>
      </c>
      <c r="C254" s="24" t="s">
        <v>1006</v>
      </c>
      <c r="D254" s="24" t="s">
        <v>264</v>
      </c>
      <c r="E254" s="24" t="s">
        <v>1007</v>
      </c>
      <c r="F254" s="24" t="s">
        <v>59</v>
      </c>
    </row>
    <row r="255">
      <c r="A255" s="24" t="s">
        <v>1008</v>
      </c>
      <c r="B255" s="24" t="s">
        <v>1009</v>
      </c>
      <c r="C255" s="24" t="s">
        <v>1010</v>
      </c>
      <c r="D255" s="24" t="s">
        <v>124</v>
      </c>
      <c r="E255" s="24" t="s">
        <v>1011</v>
      </c>
      <c r="F255" s="24" t="s">
        <v>59</v>
      </c>
    </row>
    <row r="256">
      <c r="A256" s="24" t="s">
        <v>1012</v>
      </c>
      <c r="B256" s="24" t="s">
        <v>1013</v>
      </c>
      <c r="C256" s="24" t="s">
        <v>1014</v>
      </c>
      <c r="D256" s="24" t="s">
        <v>129</v>
      </c>
      <c r="E256" s="24" t="s">
        <v>1015</v>
      </c>
      <c r="F256" s="24" t="s">
        <v>59</v>
      </c>
    </row>
    <row r="257">
      <c r="A257" s="24" t="s">
        <v>1016</v>
      </c>
      <c r="B257" s="24" t="s">
        <v>1017</v>
      </c>
      <c r="C257" s="24" t="s">
        <v>1018</v>
      </c>
      <c r="D257" s="24" t="s">
        <v>129</v>
      </c>
      <c r="E257" s="24" t="s">
        <v>1019</v>
      </c>
      <c r="F257" s="24" t="s">
        <v>59</v>
      </c>
    </row>
    <row r="258">
      <c r="A258" s="24" t="s">
        <v>1020</v>
      </c>
      <c r="B258" s="24" t="s">
        <v>1021</v>
      </c>
      <c r="C258" s="24" t="s">
        <v>1022</v>
      </c>
      <c r="D258" s="24" t="s">
        <v>124</v>
      </c>
      <c r="E258" s="24" t="s">
        <v>1023</v>
      </c>
      <c r="F258" s="24" t="s">
        <v>59</v>
      </c>
    </row>
    <row r="259">
      <c r="A259" s="24" t="s">
        <v>1024</v>
      </c>
      <c r="B259" s="24" t="s">
        <v>1025</v>
      </c>
      <c r="C259" s="24" t="s">
        <v>1026</v>
      </c>
      <c r="D259" s="24" t="s">
        <v>124</v>
      </c>
      <c r="E259" s="24" t="s">
        <v>1027</v>
      </c>
      <c r="F259" s="24" t="s">
        <v>59</v>
      </c>
    </row>
    <row r="260">
      <c r="A260" s="24" t="s">
        <v>1028</v>
      </c>
      <c r="B260" s="24" t="s">
        <v>1029</v>
      </c>
      <c r="C260" s="24" t="s">
        <v>1030</v>
      </c>
      <c r="D260" s="24" t="s">
        <v>129</v>
      </c>
      <c r="E260" s="24" t="s">
        <v>1031</v>
      </c>
      <c r="F260" s="24" t="s">
        <v>59</v>
      </c>
    </row>
    <row r="261">
      <c r="A261" s="24" t="s">
        <v>1032</v>
      </c>
      <c r="B261" s="24" t="s">
        <v>1033</v>
      </c>
      <c r="C261" s="24" t="s">
        <v>1034</v>
      </c>
      <c r="D261" s="24" t="s">
        <v>124</v>
      </c>
      <c r="E261" s="24" t="s">
        <v>1035</v>
      </c>
      <c r="F261" s="24" t="s">
        <v>59</v>
      </c>
    </row>
    <row r="262">
      <c r="A262" s="24" t="s">
        <v>1036</v>
      </c>
      <c r="B262" s="24" t="s">
        <v>1037</v>
      </c>
      <c r="C262" s="24" t="s">
        <v>1038</v>
      </c>
      <c r="D262" s="24" t="s">
        <v>129</v>
      </c>
      <c r="E262" s="24" t="s">
        <v>1039</v>
      </c>
      <c r="F262" s="24" t="s">
        <v>59</v>
      </c>
    </row>
    <row r="263">
      <c r="A263" s="24" t="s">
        <v>1040</v>
      </c>
      <c r="B263" s="24" t="s">
        <v>1041</v>
      </c>
      <c r="C263" s="24" t="s">
        <v>1042</v>
      </c>
      <c r="D263" s="24" t="s">
        <v>129</v>
      </c>
      <c r="E263" s="24" t="s">
        <v>1043</v>
      </c>
      <c r="F263" s="24" t="s">
        <v>59</v>
      </c>
    </row>
    <row r="264">
      <c r="A264" s="24" t="s">
        <v>1044</v>
      </c>
      <c r="B264" s="24" t="s">
        <v>1045</v>
      </c>
      <c r="C264" s="24" t="s">
        <v>1046</v>
      </c>
      <c r="D264" s="24" t="s">
        <v>124</v>
      </c>
      <c r="E264" s="24" t="s">
        <v>1047</v>
      </c>
      <c r="F264" s="24" t="s">
        <v>59</v>
      </c>
    </row>
    <row r="265">
      <c r="A265" s="24" t="s">
        <v>1048</v>
      </c>
      <c r="B265" s="24" t="s">
        <v>1049</v>
      </c>
      <c r="C265" s="24" t="s">
        <v>1050</v>
      </c>
      <c r="D265" s="24" t="s">
        <v>124</v>
      </c>
      <c r="E265" s="24" t="s">
        <v>1051</v>
      </c>
      <c r="F265" s="24" t="s">
        <v>59</v>
      </c>
    </row>
    <row r="266">
      <c r="A266" s="24" t="s">
        <v>1052</v>
      </c>
      <c r="B266" s="24" t="s">
        <v>1053</v>
      </c>
      <c r="C266" s="24" t="s">
        <v>1054</v>
      </c>
      <c r="D266" s="24" t="s">
        <v>124</v>
      </c>
      <c r="E266" s="24" t="s">
        <v>1055</v>
      </c>
      <c r="F266" s="24" t="s">
        <v>59</v>
      </c>
    </row>
    <row r="267">
      <c r="A267" s="24" t="s">
        <v>1056</v>
      </c>
      <c r="B267" s="24" t="s">
        <v>1057</v>
      </c>
      <c r="C267" s="24" t="s">
        <v>1058</v>
      </c>
      <c r="D267" s="24" t="s">
        <v>129</v>
      </c>
      <c r="E267" s="24" t="s">
        <v>1059</v>
      </c>
      <c r="F267" s="24" t="s">
        <v>59</v>
      </c>
    </row>
    <row r="268">
      <c r="A268" s="24" t="s">
        <v>1060</v>
      </c>
      <c r="B268" s="24" t="s">
        <v>1061</v>
      </c>
      <c r="C268" s="24" t="s">
        <v>1062</v>
      </c>
      <c r="D268" s="24" t="s">
        <v>124</v>
      </c>
      <c r="E268" s="24" t="s">
        <v>1063</v>
      </c>
      <c r="F268" s="24" t="s">
        <v>59</v>
      </c>
    </row>
    <row r="269">
      <c r="A269" s="24" t="s">
        <v>1064</v>
      </c>
      <c r="B269" s="24" t="s">
        <v>1065</v>
      </c>
      <c r="C269" s="24" t="s">
        <v>1066</v>
      </c>
      <c r="D269" s="24" t="s">
        <v>124</v>
      </c>
      <c r="E269" s="24" t="s">
        <v>1067</v>
      </c>
      <c r="F269" s="24" t="s">
        <v>59</v>
      </c>
    </row>
    <row r="270">
      <c r="A270" s="24" t="s">
        <v>1068</v>
      </c>
      <c r="B270" s="24" t="s">
        <v>1069</v>
      </c>
      <c r="C270" s="24" t="s">
        <v>312</v>
      </c>
      <c r="D270" s="24" t="s">
        <v>129</v>
      </c>
      <c r="E270" s="24" t="s">
        <v>1070</v>
      </c>
      <c r="F270" s="24" t="s">
        <v>59</v>
      </c>
    </row>
    <row r="271">
      <c r="A271" s="24" t="s">
        <v>1071</v>
      </c>
      <c r="B271" s="24" t="s">
        <v>1072</v>
      </c>
      <c r="C271" s="24" t="s">
        <v>1073</v>
      </c>
      <c r="D271" s="24" t="s">
        <v>124</v>
      </c>
      <c r="E271" s="24" t="s">
        <v>1074</v>
      </c>
      <c r="F271" s="24" t="s">
        <v>59</v>
      </c>
    </row>
    <row r="272">
      <c r="A272" s="24" t="s">
        <v>1075</v>
      </c>
      <c r="B272" s="24" t="s">
        <v>1076</v>
      </c>
      <c r="C272" s="24" t="s">
        <v>1077</v>
      </c>
      <c r="D272" s="24" t="s">
        <v>134</v>
      </c>
      <c r="E272" s="24" t="s">
        <v>1078</v>
      </c>
      <c r="F272" s="24" t="s">
        <v>59</v>
      </c>
    </row>
    <row r="273">
      <c r="A273" s="24" t="s">
        <v>1079</v>
      </c>
      <c r="B273" s="24" t="s">
        <v>1080</v>
      </c>
      <c r="C273" s="24" t="s">
        <v>1081</v>
      </c>
      <c r="D273" s="24" t="s">
        <v>124</v>
      </c>
      <c r="E273" s="24" t="s">
        <v>1082</v>
      </c>
      <c r="F273" s="24" t="s">
        <v>59</v>
      </c>
    </row>
    <row r="274">
      <c r="A274" s="24" t="s">
        <v>1083</v>
      </c>
      <c r="B274" s="24" t="s">
        <v>1084</v>
      </c>
      <c r="C274" s="24" t="s">
        <v>1085</v>
      </c>
      <c r="D274" s="24" t="s">
        <v>124</v>
      </c>
      <c r="E274" s="24" t="s">
        <v>1086</v>
      </c>
      <c r="F274" s="24" t="s">
        <v>59</v>
      </c>
    </row>
    <row r="275">
      <c r="A275" s="24" t="s">
        <v>1087</v>
      </c>
      <c r="B275" s="24" t="s">
        <v>1088</v>
      </c>
      <c r="C275" s="24" t="s">
        <v>1089</v>
      </c>
      <c r="D275" s="24" t="s">
        <v>264</v>
      </c>
      <c r="E275" s="24" t="s">
        <v>1090</v>
      </c>
      <c r="F275" s="24" t="s">
        <v>59</v>
      </c>
    </row>
    <row r="276">
      <c r="A276" s="24" t="s">
        <v>1091</v>
      </c>
      <c r="B276" s="24" t="s">
        <v>1092</v>
      </c>
      <c r="C276" s="24" t="s">
        <v>1093</v>
      </c>
      <c r="D276" s="24" t="s">
        <v>264</v>
      </c>
      <c r="E276" s="24" t="s">
        <v>1094</v>
      </c>
      <c r="F276" s="24" t="s">
        <v>59</v>
      </c>
    </row>
    <row r="277">
      <c r="A277" s="24" t="s">
        <v>1095</v>
      </c>
      <c r="B277" s="24" t="s">
        <v>1096</v>
      </c>
      <c r="C277" s="24" t="s">
        <v>1097</v>
      </c>
      <c r="D277" s="24" t="s">
        <v>124</v>
      </c>
      <c r="E277" s="24" t="s">
        <v>1098</v>
      </c>
      <c r="F277" s="24" t="s">
        <v>59</v>
      </c>
    </row>
    <row r="278">
      <c r="A278" s="24" t="s">
        <v>1099</v>
      </c>
      <c r="B278" s="24" t="s">
        <v>1100</v>
      </c>
      <c r="C278" s="24" t="s">
        <v>1101</v>
      </c>
      <c r="D278" s="24" t="s">
        <v>124</v>
      </c>
      <c r="E278" s="24" t="s">
        <v>1102</v>
      </c>
      <c r="F278" s="24" t="s">
        <v>59</v>
      </c>
    </row>
    <row r="279">
      <c r="A279" s="24" t="s">
        <v>1103</v>
      </c>
      <c r="B279" s="24" t="s">
        <v>1104</v>
      </c>
      <c r="C279" s="24" t="s">
        <v>1105</v>
      </c>
      <c r="D279" s="24" t="s">
        <v>134</v>
      </c>
      <c r="E279" s="24" t="s">
        <v>1106</v>
      </c>
      <c r="F279" s="24" t="s">
        <v>59</v>
      </c>
    </row>
    <row r="280">
      <c r="A280" s="24" t="s">
        <v>1107</v>
      </c>
      <c r="B280" s="24" t="s">
        <v>1108</v>
      </c>
      <c r="C280" s="24" t="s">
        <v>1109</v>
      </c>
      <c r="D280" s="24" t="s">
        <v>124</v>
      </c>
      <c r="E280" s="24" t="s">
        <v>1110</v>
      </c>
      <c r="F280" s="24" t="s">
        <v>59</v>
      </c>
    </row>
    <row r="281">
      <c r="A281" s="24" t="s">
        <v>1111</v>
      </c>
      <c r="B281" s="24" t="s">
        <v>1112</v>
      </c>
      <c r="C281" s="24" t="s">
        <v>1113</v>
      </c>
      <c r="D281" s="24" t="s">
        <v>124</v>
      </c>
      <c r="E281" s="24" t="s">
        <v>1114</v>
      </c>
      <c r="F281" s="24" t="s">
        <v>59</v>
      </c>
    </row>
    <row r="282">
      <c r="A282" s="24" t="s">
        <v>1115</v>
      </c>
      <c r="B282" s="24" t="s">
        <v>1116</v>
      </c>
      <c r="C282" s="24" t="s">
        <v>1117</v>
      </c>
      <c r="D282" s="24" t="s">
        <v>124</v>
      </c>
      <c r="E282" s="24" t="s">
        <v>1118</v>
      </c>
      <c r="F282" s="24" t="s">
        <v>59</v>
      </c>
    </row>
    <row r="283">
      <c r="A283" s="24" t="s">
        <v>1119</v>
      </c>
      <c r="B283" s="24" t="s">
        <v>1120</v>
      </c>
      <c r="C283" s="24" t="s">
        <v>1121</v>
      </c>
      <c r="D283" s="24" t="s">
        <v>124</v>
      </c>
      <c r="E283" s="24" t="s">
        <v>1122</v>
      </c>
      <c r="F283" s="24" t="s">
        <v>59</v>
      </c>
    </row>
    <row r="284">
      <c r="A284" s="24" t="s">
        <v>1123</v>
      </c>
      <c r="B284" s="24" t="s">
        <v>1124</v>
      </c>
      <c r="C284" s="24" t="s">
        <v>312</v>
      </c>
      <c r="D284" s="24" t="s">
        <v>129</v>
      </c>
      <c r="E284" s="24" t="s">
        <v>1125</v>
      </c>
      <c r="F284" s="24" t="s">
        <v>59</v>
      </c>
    </row>
    <row r="285">
      <c r="A285" s="24" t="s">
        <v>1126</v>
      </c>
      <c r="B285" s="24" t="s">
        <v>1127</v>
      </c>
      <c r="C285" s="24" t="s">
        <v>1128</v>
      </c>
      <c r="D285" s="24" t="s">
        <v>129</v>
      </c>
      <c r="E285" s="24" t="s">
        <v>1129</v>
      </c>
      <c r="F285" s="24" t="s">
        <v>59</v>
      </c>
    </row>
    <row r="286">
      <c r="A286" s="24" t="s">
        <v>1130</v>
      </c>
      <c r="B286" s="24" t="s">
        <v>1131</v>
      </c>
      <c r="C286" s="24" t="s">
        <v>1132</v>
      </c>
      <c r="D286" s="24" t="s">
        <v>129</v>
      </c>
      <c r="E286" s="24" t="s">
        <v>1133</v>
      </c>
      <c r="F286" s="24" t="s">
        <v>59</v>
      </c>
    </row>
    <row r="287">
      <c r="A287" s="24" t="s">
        <v>1134</v>
      </c>
      <c r="B287" s="24" t="s">
        <v>1135</v>
      </c>
      <c r="C287" s="24" t="s">
        <v>1136</v>
      </c>
      <c r="D287" s="24" t="s">
        <v>129</v>
      </c>
      <c r="E287" s="24" t="s">
        <v>1137</v>
      </c>
      <c r="F287" s="24" t="s">
        <v>59</v>
      </c>
    </row>
    <row r="288">
      <c r="A288" s="24" t="s">
        <v>1138</v>
      </c>
      <c r="B288" s="24" t="s">
        <v>1139</v>
      </c>
      <c r="C288" s="24" t="s">
        <v>1140</v>
      </c>
      <c r="D288" s="24" t="s">
        <v>124</v>
      </c>
      <c r="E288" s="24" t="s">
        <v>1141</v>
      </c>
      <c r="F288" s="24" t="s">
        <v>59</v>
      </c>
    </row>
    <row r="289">
      <c r="A289" s="24" t="s">
        <v>1142</v>
      </c>
      <c r="B289" s="24" t="s">
        <v>1143</v>
      </c>
      <c r="C289" s="24" t="s">
        <v>1144</v>
      </c>
      <c r="D289" s="24" t="s">
        <v>129</v>
      </c>
      <c r="E289" s="24" t="s">
        <v>1145</v>
      </c>
      <c r="F289" s="24" t="s">
        <v>59</v>
      </c>
    </row>
    <row r="290">
      <c r="A290" s="24" t="s">
        <v>1146</v>
      </c>
      <c r="B290" s="24" t="s">
        <v>1147</v>
      </c>
      <c r="C290" s="24" t="s">
        <v>1148</v>
      </c>
      <c r="D290" s="24" t="s">
        <v>124</v>
      </c>
      <c r="E290" s="24" t="s">
        <v>1149</v>
      </c>
      <c r="F290" s="24" t="s">
        <v>59</v>
      </c>
    </row>
    <row r="291">
      <c r="A291" s="24" t="s">
        <v>1150</v>
      </c>
      <c r="B291" s="24" t="s">
        <v>1151</v>
      </c>
      <c r="C291" s="24" t="s">
        <v>1152</v>
      </c>
      <c r="D291" s="24" t="s">
        <v>134</v>
      </c>
      <c r="E291" s="24" t="s">
        <v>1153</v>
      </c>
      <c r="F291" s="24" t="s">
        <v>59</v>
      </c>
    </row>
    <row r="292">
      <c r="A292" s="24" t="s">
        <v>1154</v>
      </c>
      <c r="B292" s="24" t="s">
        <v>1155</v>
      </c>
      <c r="C292" s="24" t="s">
        <v>1156</v>
      </c>
      <c r="D292" s="24" t="s">
        <v>129</v>
      </c>
      <c r="E292" s="24" t="s">
        <v>1157</v>
      </c>
      <c r="F292" s="24" t="s">
        <v>59</v>
      </c>
    </row>
    <row r="293">
      <c r="A293" s="24" t="s">
        <v>1158</v>
      </c>
      <c r="B293" s="24" t="s">
        <v>1159</v>
      </c>
      <c r="C293" s="24" t="s">
        <v>1160</v>
      </c>
      <c r="D293" s="24" t="s">
        <v>124</v>
      </c>
      <c r="E293" s="24" t="s">
        <v>1161</v>
      </c>
      <c r="F293" s="24" t="s">
        <v>59</v>
      </c>
    </row>
    <row r="294">
      <c r="A294" s="24" t="s">
        <v>1162</v>
      </c>
      <c r="B294" s="24" t="s">
        <v>1163</v>
      </c>
      <c r="C294" s="24" t="s">
        <v>1164</v>
      </c>
      <c r="D294" s="24" t="s">
        <v>129</v>
      </c>
      <c r="E294" s="24" t="s">
        <v>1165</v>
      </c>
      <c r="F294" s="24" t="s">
        <v>59</v>
      </c>
    </row>
    <row r="295">
      <c r="A295" s="24" t="s">
        <v>1166</v>
      </c>
      <c r="B295" s="24" t="s">
        <v>1167</v>
      </c>
      <c r="C295" s="24" t="s">
        <v>1168</v>
      </c>
      <c r="D295" s="24" t="s">
        <v>129</v>
      </c>
      <c r="E295" s="24" t="s">
        <v>1169</v>
      </c>
      <c r="F295" s="24" t="s">
        <v>59</v>
      </c>
    </row>
    <row r="296">
      <c r="A296" s="24" t="s">
        <v>1170</v>
      </c>
      <c r="B296" s="24" t="s">
        <v>1171</v>
      </c>
      <c r="C296" s="24" t="s">
        <v>1172</v>
      </c>
      <c r="D296" s="24" t="s">
        <v>124</v>
      </c>
      <c r="E296" s="24" t="s">
        <v>1173</v>
      </c>
      <c r="F296" s="24" t="s">
        <v>59</v>
      </c>
    </row>
    <row r="297">
      <c r="A297" s="24" t="s">
        <v>1174</v>
      </c>
      <c r="B297" s="24" t="s">
        <v>1175</v>
      </c>
      <c r="C297" s="24" t="s">
        <v>1176</v>
      </c>
      <c r="D297" s="24" t="s">
        <v>129</v>
      </c>
      <c r="E297" s="24" t="s">
        <v>1177</v>
      </c>
      <c r="F297" s="24" t="s">
        <v>59</v>
      </c>
    </row>
    <row r="298">
      <c r="A298" s="24" t="s">
        <v>1178</v>
      </c>
      <c r="B298" s="24" t="s">
        <v>1179</v>
      </c>
      <c r="C298" s="24" t="s">
        <v>1180</v>
      </c>
      <c r="D298" s="24" t="s">
        <v>124</v>
      </c>
      <c r="E298" s="24" t="s">
        <v>1181</v>
      </c>
      <c r="F298" s="24" t="s">
        <v>59</v>
      </c>
    </row>
    <row r="299">
      <c r="A299" s="24" t="s">
        <v>1182</v>
      </c>
      <c r="B299" s="24" t="s">
        <v>1183</v>
      </c>
      <c r="C299" s="24" t="s">
        <v>1184</v>
      </c>
      <c r="D299" s="24" t="s">
        <v>134</v>
      </c>
      <c r="E299" s="24" t="s">
        <v>1185</v>
      </c>
      <c r="F299" s="24" t="s">
        <v>59</v>
      </c>
    </row>
    <row r="300">
      <c r="A300" s="24" t="s">
        <v>1186</v>
      </c>
      <c r="B300" s="24" t="s">
        <v>1187</v>
      </c>
      <c r="C300" s="24" t="s">
        <v>1188</v>
      </c>
      <c r="D300" s="24" t="s">
        <v>124</v>
      </c>
      <c r="E300" s="24" t="s">
        <v>1189</v>
      </c>
      <c r="F300" s="24" t="s">
        <v>59</v>
      </c>
    </row>
    <row r="301">
      <c r="A301" s="24" t="s">
        <v>1190</v>
      </c>
      <c r="B301" s="24" t="s">
        <v>1191</v>
      </c>
      <c r="C301" s="24" t="s">
        <v>1192</v>
      </c>
      <c r="D301" s="24" t="s">
        <v>264</v>
      </c>
      <c r="E301" s="24" t="s">
        <v>1193</v>
      </c>
      <c r="F301" s="24" t="s">
        <v>59</v>
      </c>
    </row>
    <row r="302">
      <c r="A302" s="24" t="s">
        <v>1194</v>
      </c>
      <c r="B302" s="24" t="s">
        <v>1195</v>
      </c>
      <c r="C302" s="24" t="s">
        <v>1196</v>
      </c>
      <c r="D302" s="24" t="s">
        <v>124</v>
      </c>
      <c r="E302" s="24" t="s">
        <v>1197</v>
      </c>
      <c r="F302" s="24" t="s">
        <v>59</v>
      </c>
    </row>
    <row r="303">
      <c r="A303" s="24" t="s">
        <v>1198</v>
      </c>
      <c r="B303" s="24" t="s">
        <v>1199</v>
      </c>
      <c r="C303" s="24" t="s">
        <v>1200</v>
      </c>
      <c r="D303" s="24" t="s">
        <v>134</v>
      </c>
      <c r="E303" s="24" t="s">
        <v>1201</v>
      </c>
      <c r="F303" s="24" t="s">
        <v>59</v>
      </c>
    </row>
    <row r="304">
      <c r="A304" s="24" t="s">
        <v>1202</v>
      </c>
      <c r="B304" s="24" t="s">
        <v>1203</v>
      </c>
      <c r="C304" s="24" t="s">
        <v>1204</v>
      </c>
      <c r="D304" s="24" t="s">
        <v>129</v>
      </c>
      <c r="E304" s="24" t="s">
        <v>1205</v>
      </c>
      <c r="F304" s="24" t="s">
        <v>59</v>
      </c>
    </row>
    <row r="305">
      <c r="A305" s="24" t="s">
        <v>1206</v>
      </c>
      <c r="B305" s="24" t="s">
        <v>1207</v>
      </c>
      <c r="C305" s="24" t="s">
        <v>1208</v>
      </c>
      <c r="D305" s="24" t="s">
        <v>129</v>
      </c>
      <c r="E305" s="24" t="s">
        <v>1209</v>
      </c>
      <c r="F305" s="24" t="s">
        <v>59</v>
      </c>
    </row>
    <row r="306">
      <c r="A306" s="24" t="s">
        <v>1210</v>
      </c>
      <c r="B306" s="24" t="s">
        <v>1211</v>
      </c>
      <c r="C306" s="24" t="s">
        <v>1212</v>
      </c>
      <c r="D306" s="24" t="s">
        <v>134</v>
      </c>
      <c r="E306" s="24" t="s">
        <v>1213</v>
      </c>
      <c r="F306" s="24" t="s">
        <v>59</v>
      </c>
    </row>
    <row r="307">
      <c r="A307" s="24" t="s">
        <v>1214</v>
      </c>
      <c r="B307" s="24" t="s">
        <v>1215</v>
      </c>
      <c r="C307" s="24" t="s">
        <v>1216</v>
      </c>
      <c r="D307" s="24" t="s">
        <v>124</v>
      </c>
      <c r="E307" s="24" t="s">
        <v>1217</v>
      </c>
      <c r="F307" s="24" t="s">
        <v>59</v>
      </c>
    </row>
    <row r="308">
      <c r="A308" s="24" t="s">
        <v>1218</v>
      </c>
      <c r="B308" s="24" t="s">
        <v>1219</v>
      </c>
      <c r="C308" s="24" t="s">
        <v>1220</v>
      </c>
      <c r="D308" s="24" t="s">
        <v>129</v>
      </c>
      <c r="E308" s="24" t="s">
        <v>1221</v>
      </c>
      <c r="F308" s="24" t="s">
        <v>59</v>
      </c>
    </row>
    <row r="309">
      <c r="A309" s="24" t="s">
        <v>1222</v>
      </c>
      <c r="B309" s="24" t="s">
        <v>1223</v>
      </c>
      <c r="C309" s="24" t="s">
        <v>1224</v>
      </c>
      <c r="D309" s="24" t="s">
        <v>124</v>
      </c>
      <c r="E309" s="24" t="s">
        <v>1225</v>
      </c>
      <c r="F309" s="24" t="s">
        <v>59</v>
      </c>
    </row>
    <row r="310">
      <c r="A310" s="24" t="s">
        <v>1226</v>
      </c>
      <c r="B310" s="24" t="s">
        <v>1227</v>
      </c>
      <c r="C310" s="24" t="s">
        <v>1228</v>
      </c>
      <c r="D310" s="24" t="s">
        <v>134</v>
      </c>
      <c r="E310" s="24" t="s">
        <v>1229</v>
      </c>
      <c r="F310" s="24" t="s">
        <v>59</v>
      </c>
    </row>
    <row r="311">
      <c r="A311" s="24" t="s">
        <v>1230</v>
      </c>
      <c r="B311" s="24" t="s">
        <v>1231</v>
      </c>
      <c r="C311" s="24" t="s">
        <v>1232</v>
      </c>
      <c r="D311" s="24" t="s">
        <v>129</v>
      </c>
      <c r="E311" s="24" t="s">
        <v>1233</v>
      </c>
      <c r="F311" s="24" t="s">
        <v>59</v>
      </c>
    </row>
    <row r="312">
      <c r="A312" s="24" t="s">
        <v>1234</v>
      </c>
      <c r="B312" s="24" t="s">
        <v>1235</v>
      </c>
      <c r="C312" s="24" t="s">
        <v>1236</v>
      </c>
      <c r="D312" s="24" t="s">
        <v>124</v>
      </c>
      <c r="E312" s="24" t="s">
        <v>1237</v>
      </c>
      <c r="F312" s="24" t="s">
        <v>59</v>
      </c>
    </row>
    <row r="313">
      <c r="A313" s="24" t="s">
        <v>1238</v>
      </c>
      <c r="B313" s="24" t="s">
        <v>1239</v>
      </c>
      <c r="C313" s="24" t="s">
        <v>1240</v>
      </c>
      <c r="D313" s="24" t="s">
        <v>134</v>
      </c>
      <c r="E313" s="24" t="s">
        <v>1241</v>
      </c>
      <c r="F313" s="24" t="s">
        <v>59</v>
      </c>
    </row>
    <row r="314">
      <c r="A314" s="24" t="s">
        <v>1242</v>
      </c>
      <c r="B314" s="24" t="s">
        <v>1243</v>
      </c>
      <c r="C314" s="24" t="s">
        <v>1244</v>
      </c>
      <c r="D314" s="24" t="s">
        <v>124</v>
      </c>
      <c r="E314" s="24" t="s">
        <v>1245</v>
      </c>
      <c r="F314" s="24" t="s">
        <v>59</v>
      </c>
    </row>
    <row r="315">
      <c r="A315" s="24" t="s">
        <v>1246</v>
      </c>
      <c r="B315" s="24" t="s">
        <v>1247</v>
      </c>
      <c r="C315" s="24" t="s">
        <v>1248</v>
      </c>
      <c r="D315" s="24" t="s">
        <v>124</v>
      </c>
      <c r="E315" s="24" t="s">
        <v>1249</v>
      </c>
      <c r="F315" s="24" t="s">
        <v>59</v>
      </c>
    </row>
    <row r="316">
      <c r="A316" s="24" t="s">
        <v>1250</v>
      </c>
      <c r="B316" s="24" t="s">
        <v>1251</v>
      </c>
      <c r="C316" s="24" t="s">
        <v>1252</v>
      </c>
      <c r="D316" s="24" t="s">
        <v>134</v>
      </c>
      <c r="E316" s="24" t="s">
        <v>1253</v>
      </c>
      <c r="F316" s="24" t="s">
        <v>59</v>
      </c>
    </row>
    <row r="317">
      <c r="A317" s="24" t="s">
        <v>1254</v>
      </c>
      <c r="B317" s="24" t="s">
        <v>1255</v>
      </c>
      <c r="C317" s="24" t="s">
        <v>1256</v>
      </c>
      <c r="D317" s="24" t="s">
        <v>129</v>
      </c>
      <c r="E317" s="24" t="s">
        <v>1257</v>
      </c>
      <c r="F317" s="24" t="s">
        <v>59</v>
      </c>
    </row>
    <row r="318">
      <c r="A318" s="24" t="s">
        <v>1258</v>
      </c>
      <c r="B318" s="24" t="s">
        <v>1259</v>
      </c>
      <c r="C318" s="24" t="s">
        <v>1260</v>
      </c>
      <c r="D318" s="24" t="s">
        <v>124</v>
      </c>
      <c r="E318" s="24" t="s">
        <v>1261</v>
      </c>
      <c r="F318" s="24" t="s">
        <v>59</v>
      </c>
    </row>
    <row r="319">
      <c r="A319" s="24" t="s">
        <v>1262</v>
      </c>
      <c r="B319" s="24" t="s">
        <v>1263</v>
      </c>
      <c r="C319" s="24" t="s">
        <v>1264</v>
      </c>
      <c r="D319" s="24" t="s">
        <v>129</v>
      </c>
      <c r="E319" s="24" t="s">
        <v>1265</v>
      </c>
      <c r="F319" s="24" t="s">
        <v>59</v>
      </c>
    </row>
    <row r="320">
      <c r="A320" s="24" t="s">
        <v>1266</v>
      </c>
      <c r="B320" s="24" t="s">
        <v>1267</v>
      </c>
      <c r="C320" s="24" t="s">
        <v>1268</v>
      </c>
      <c r="D320" s="24" t="s">
        <v>124</v>
      </c>
      <c r="E320" s="24" t="s">
        <v>1269</v>
      </c>
      <c r="F320" s="24" t="s">
        <v>59</v>
      </c>
    </row>
    <row r="321">
      <c r="A321" s="24" t="s">
        <v>1270</v>
      </c>
      <c r="B321" s="24" t="s">
        <v>1271</v>
      </c>
      <c r="C321" s="24" t="s">
        <v>1272</v>
      </c>
      <c r="D321" s="24" t="s">
        <v>124</v>
      </c>
      <c r="E321" s="24" t="s">
        <v>1273</v>
      </c>
      <c r="F321" s="24" t="s">
        <v>59</v>
      </c>
    </row>
    <row r="322">
      <c r="A322" s="24" t="s">
        <v>1274</v>
      </c>
      <c r="B322" s="24" t="s">
        <v>1275</v>
      </c>
      <c r="C322" s="24" t="s">
        <v>1276</v>
      </c>
      <c r="D322" s="24" t="s">
        <v>124</v>
      </c>
      <c r="E322" s="24" t="s">
        <v>1277</v>
      </c>
      <c r="F322" s="24" t="s">
        <v>59</v>
      </c>
    </row>
    <row r="323">
      <c r="A323" s="24" t="s">
        <v>1278</v>
      </c>
      <c r="B323" s="24" t="s">
        <v>1279</v>
      </c>
      <c r="C323" s="24" t="s">
        <v>1280</v>
      </c>
      <c r="D323" s="24" t="s">
        <v>129</v>
      </c>
      <c r="E323" s="24" t="s">
        <v>1281</v>
      </c>
      <c r="F323" s="24" t="s">
        <v>59</v>
      </c>
    </row>
    <row r="324">
      <c r="A324" s="24" t="s">
        <v>1282</v>
      </c>
      <c r="B324" s="24" t="s">
        <v>1283</v>
      </c>
      <c r="C324" s="24" t="s">
        <v>1284</v>
      </c>
      <c r="D324" s="24" t="s">
        <v>134</v>
      </c>
      <c r="E324" s="24" t="s">
        <v>1285</v>
      </c>
      <c r="F324" s="24" t="s">
        <v>59</v>
      </c>
    </row>
    <row r="325">
      <c r="A325" s="24" t="s">
        <v>1286</v>
      </c>
      <c r="B325" s="24" t="s">
        <v>1287</v>
      </c>
      <c r="C325" s="24" t="s">
        <v>1288</v>
      </c>
      <c r="D325" s="24" t="s">
        <v>129</v>
      </c>
      <c r="E325" s="24" t="s">
        <v>1289</v>
      </c>
      <c r="F325" s="24" t="s">
        <v>59</v>
      </c>
    </row>
    <row r="326">
      <c r="A326" s="24" t="s">
        <v>1290</v>
      </c>
      <c r="B326" s="24" t="s">
        <v>1291</v>
      </c>
      <c r="C326" s="24" t="s">
        <v>1292</v>
      </c>
      <c r="D326" s="24" t="s">
        <v>124</v>
      </c>
      <c r="E326" s="24" t="s">
        <v>1293</v>
      </c>
      <c r="F326" s="24" t="s">
        <v>59</v>
      </c>
    </row>
    <row r="327">
      <c r="A327" s="24" t="s">
        <v>1294</v>
      </c>
      <c r="B327" s="24" t="s">
        <v>1295</v>
      </c>
      <c r="C327" s="24" t="s">
        <v>1296</v>
      </c>
      <c r="D327" s="24" t="s">
        <v>129</v>
      </c>
      <c r="E327" s="24" t="s">
        <v>1297</v>
      </c>
      <c r="F327" s="24" t="s">
        <v>59</v>
      </c>
    </row>
    <row r="328">
      <c r="A328" s="24" t="s">
        <v>1298</v>
      </c>
      <c r="B328" s="24" t="s">
        <v>1299</v>
      </c>
      <c r="C328" s="24" t="s">
        <v>1300</v>
      </c>
      <c r="D328" s="24" t="s">
        <v>124</v>
      </c>
      <c r="E328" s="24" t="s">
        <v>1301</v>
      </c>
      <c r="F328" s="24" t="s">
        <v>59</v>
      </c>
    </row>
    <row r="329">
      <c r="A329" s="24" t="s">
        <v>1302</v>
      </c>
      <c r="B329" s="24" t="s">
        <v>1303</v>
      </c>
      <c r="C329" s="24" t="s">
        <v>1304</v>
      </c>
      <c r="D329" s="24" t="s">
        <v>264</v>
      </c>
      <c r="E329" s="24" t="s">
        <v>1305</v>
      </c>
      <c r="F329" s="24" t="s">
        <v>59</v>
      </c>
    </row>
    <row r="330">
      <c r="A330" s="24" t="s">
        <v>1306</v>
      </c>
      <c r="B330" s="24" t="s">
        <v>1307</v>
      </c>
      <c r="C330" s="24" t="s">
        <v>1308</v>
      </c>
      <c r="D330" s="24" t="s">
        <v>134</v>
      </c>
      <c r="E330" s="24" t="s">
        <v>1309</v>
      </c>
      <c r="F330" s="24" t="s">
        <v>59</v>
      </c>
    </row>
    <row r="331">
      <c r="A331" s="24" t="s">
        <v>1310</v>
      </c>
      <c r="B331" s="24" t="s">
        <v>1311</v>
      </c>
      <c r="C331" s="24" t="s">
        <v>1312</v>
      </c>
      <c r="D331" s="24" t="s">
        <v>134</v>
      </c>
      <c r="E331" s="24" t="s">
        <v>1313</v>
      </c>
      <c r="F331" s="24" t="s">
        <v>59</v>
      </c>
    </row>
    <row r="332">
      <c r="A332" s="24" t="s">
        <v>1314</v>
      </c>
      <c r="B332" s="24" t="s">
        <v>1315</v>
      </c>
      <c r="C332" s="24" t="s">
        <v>1316</v>
      </c>
      <c r="D332" s="24" t="s">
        <v>134</v>
      </c>
      <c r="E332" s="24" t="s">
        <v>1317</v>
      </c>
      <c r="F332" s="24" t="s">
        <v>59</v>
      </c>
    </row>
    <row r="333">
      <c r="A333" s="24" t="s">
        <v>1318</v>
      </c>
      <c r="B333" s="24" t="s">
        <v>1319</v>
      </c>
      <c r="C333" s="24" t="s">
        <v>1320</v>
      </c>
      <c r="D333" s="24" t="s">
        <v>124</v>
      </c>
      <c r="E333" s="24" t="s">
        <v>1321</v>
      </c>
      <c r="F333" s="24" t="s">
        <v>59</v>
      </c>
    </row>
    <row r="334">
      <c r="A334" s="24" t="s">
        <v>1322</v>
      </c>
      <c r="B334" s="24" t="s">
        <v>1323</v>
      </c>
      <c r="C334" s="24" t="s">
        <v>1324</v>
      </c>
      <c r="D334" s="24" t="s">
        <v>124</v>
      </c>
      <c r="E334" s="24" t="s">
        <v>1325</v>
      </c>
      <c r="F334" s="24" t="s">
        <v>59</v>
      </c>
    </row>
    <row r="335">
      <c r="A335" s="24" t="s">
        <v>1326</v>
      </c>
      <c r="B335" s="24" t="s">
        <v>1327</v>
      </c>
      <c r="C335" s="24" t="s">
        <v>1328</v>
      </c>
      <c r="D335" s="24" t="s">
        <v>124</v>
      </c>
      <c r="E335" s="24" t="s">
        <v>1329</v>
      </c>
      <c r="F335" s="24" t="s">
        <v>59</v>
      </c>
    </row>
    <row r="336">
      <c r="A336" s="24" t="s">
        <v>1330</v>
      </c>
      <c r="B336" s="24" t="s">
        <v>1331</v>
      </c>
      <c r="C336" s="24" t="s">
        <v>1332</v>
      </c>
      <c r="D336" s="24" t="s">
        <v>134</v>
      </c>
      <c r="E336" s="24" t="s">
        <v>1333</v>
      </c>
      <c r="F336" s="24" t="s">
        <v>59</v>
      </c>
    </row>
    <row r="337">
      <c r="A337" s="24" t="s">
        <v>1334</v>
      </c>
      <c r="B337" s="24" t="s">
        <v>1335</v>
      </c>
      <c r="C337" s="24" t="s">
        <v>1336</v>
      </c>
      <c r="D337" s="24" t="s">
        <v>124</v>
      </c>
      <c r="E337" s="24" t="s">
        <v>1337</v>
      </c>
      <c r="F337" s="24" t="s">
        <v>59</v>
      </c>
    </row>
    <row r="338">
      <c r="A338" s="24" t="s">
        <v>1338</v>
      </c>
      <c r="B338" s="24" t="s">
        <v>1339</v>
      </c>
      <c r="C338" s="24" t="s">
        <v>1340</v>
      </c>
      <c r="D338" s="24" t="s">
        <v>124</v>
      </c>
      <c r="E338" s="24" t="s">
        <v>1341</v>
      </c>
      <c r="F338" s="24" t="s">
        <v>59</v>
      </c>
    </row>
    <row r="339">
      <c r="A339" s="24" t="s">
        <v>1342</v>
      </c>
      <c r="B339" s="24" t="s">
        <v>1343</v>
      </c>
      <c r="C339" s="24" t="s">
        <v>1344</v>
      </c>
      <c r="D339" s="24" t="s">
        <v>129</v>
      </c>
      <c r="E339" s="24" t="s">
        <v>1345</v>
      </c>
      <c r="F339" s="24" t="s">
        <v>59</v>
      </c>
    </row>
    <row r="340">
      <c r="A340" s="24" t="s">
        <v>1346</v>
      </c>
      <c r="B340" s="24" t="s">
        <v>1347</v>
      </c>
      <c r="C340" s="24" t="s">
        <v>1348</v>
      </c>
      <c r="D340" s="24" t="s">
        <v>124</v>
      </c>
      <c r="E340" s="24" t="s">
        <v>1349</v>
      </c>
      <c r="F340" s="24" t="s">
        <v>59</v>
      </c>
    </row>
    <row r="341">
      <c r="A341" s="24" t="s">
        <v>1350</v>
      </c>
      <c r="B341" s="24" t="s">
        <v>1351</v>
      </c>
      <c r="C341" s="24" t="s">
        <v>1352</v>
      </c>
      <c r="D341" s="24" t="s">
        <v>264</v>
      </c>
      <c r="E341" s="24" t="s">
        <v>1353</v>
      </c>
      <c r="F341" s="24" t="s">
        <v>59</v>
      </c>
    </row>
    <row r="342">
      <c r="A342" s="24" t="s">
        <v>1354</v>
      </c>
      <c r="B342" s="24" t="s">
        <v>1355</v>
      </c>
      <c r="C342" s="24" t="s">
        <v>1356</v>
      </c>
      <c r="D342" s="24" t="s">
        <v>124</v>
      </c>
      <c r="E342" s="24" t="s">
        <v>1357</v>
      </c>
      <c r="F342" s="24" t="s">
        <v>59</v>
      </c>
    </row>
    <row r="343">
      <c r="A343" s="24" t="s">
        <v>1358</v>
      </c>
      <c r="B343" s="24" t="s">
        <v>1359</v>
      </c>
      <c r="C343" s="24" t="s">
        <v>1360</v>
      </c>
      <c r="D343" s="24" t="s">
        <v>134</v>
      </c>
      <c r="E343" s="24" t="s">
        <v>1361</v>
      </c>
      <c r="F343" s="24" t="s">
        <v>59</v>
      </c>
    </row>
    <row r="344">
      <c r="A344" s="24" t="s">
        <v>1362</v>
      </c>
      <c r="B344" s="24" t="s">
        <v>1363</v>
      </c>
      <c r="C344" s="24" t="s">
        <v>1364</v>
      </c>
      <c r="D344" s="24" t="s">
        <v>124</v>
      </c>
      <c r="E344" s="24" t="s">
        <v>1365</v>
      </c>
      <c r="F344" s="24" t="s">
        <v>59</v>
      </c>
    </row>
    <row r="345">
      <c r="A345" s="24" t="s">
        <v>1366</v>
      </c>
      <c r="B345" s="24" t="s">
        <v>1367</v>
      </c>
      <c r="C345" s="24" t="s">
        <v>1368</v>
      </c>
      <c r="D345" s="24" t="s">
        <v>129</v>
      </c>
      <c r="E345" s="24" t="s">
        <v>1369</v>
      </c>
      <c r="F345" s="24" t="s">
        <v>59</v>
      </c>
    </row>
    <row r="346">
      <c r="A346" s="24" t="s">
        <v>1370</v>
      </c>
      <c r="B346" s="24" t="s">
        <v>1371</v>
      </c>
      <c r="C346" s="24" t="s">
        <v>1372</v>
      </c>
      <c r="D346" s="24" t="s">
        <v>124</v>
      </c>
      <c r="E346" s="24" t="s">
        <v>1373</v>
      </c>
      <c r="F346" s="24" t="s">
        <v>59</v>
      </c>
    </row>
    <row r="347">
      <c r="A347" s="24" t="s">
        <v>1374</v>
      </c>
      <c r="B347" s="24" t="s">
        <v>1375</v>
      </c>
      <c r="C347" s="24" t="s">
        <v>1376</v>
      </c>
      <c r="D347" s="24" t="s">
        <v>129</v>
      </c>
      <c r="E347" s="24" t="s">
        <v>1377</v>
      </c>
      <c r="F347" s="24" t="s">
        <v>59</v>
      </c>
    </row>
    <row r="348">
      <c r="A348" s="24" t="s">
        <v>1378</v>
      </c>
      <c r="B348" s="24" t="s">
        <v>1379</v>
      </c>
      <c r="C348" s="24" t="s">
        <v>1380</v>
      </c>
      <c r="D348" s="24" t="s">
        <v>124</v>
      </c>
      <c r="E348" s="24" t="s">
        <v>1381</v>
      </c>
      <c r="F348" s="24" t="s">
        <v>59</v>
      </c>
    </row>
    <row r="349">
      <c r="A349" s="24" t="s">
        <v>1382</v>
      </c>
      <c r="B349" s="24" t="s">
        <v>1383</v>
      </c>
      <c r="C349" s="24" t="s">
        <v>1384</v>
      </c>
      <c r="D349" s="24" t="s">
        <v>124</v>
      </c>
      <c r="E349" s="24" t="s">
        <v>1385</v>
      </c>
      <c r="F349" s="24" t="s">
        <v>59</v>
      </c>
    </row>
    <row r="350">
      <c r="A350" s="24" t="s">
        <v>1386</v>
      </c>
      <c r="B350" s="24" t="s">
        <v>1387</v>
      </c>
      <c r="C350" s="24" t="s">
        <v>1388</v>
      </c>
      <c r="D350" s="24" t="s">
        <v>134</v>
      </c>
      <c r="E350" s="24" t="s">
        <v>1389</v>
      </c>
      <c r="F350" s="24" t="s">
        <v>59</v>
      </c>
    </row>
    <row r="351">
      <c r="A351" s="24" t="s">
        <v>1390</v>
      </c>
      <c r="B351" s="24" t="s">
        <v>1391</v>
      </c>
      <c r="C351" s="24" t="s">
        <v>1392</v>
      </c>
      <c r="D351" s="24" t="s">
        <v>134</v>
      </c>
      <c r="E351" s="24" t="s">
        <v>1393</v>
      </c>
      <c r="F351" s="24" t="s">
        <v>59</v>
      </c>
    </row>
    <row r="352">
      <c r="A352" s="24" t="s">
        <v>1394</v>
      </c>
      <c r="B352" s="24" t="s">
        <v>1395</v>
      </c>
      <c r="C352" s="24" t="s">
        <v>1396</v>
      </c>
      <c r="D352" s="24" t="s">
        <v>134</v>
      </c>
      <c r="E352" s="24" t="s">
        <v>1397</v>
      </c>
      <c r="F352" s="24" t="s">
        <v>59</v>
      </c>
    </row>
    <row r="353">
      <c r="A353" s="24" t="s">
        <v>1398</v>
      </c>
      <c r="B353" s="24" t="s">
        <v>1399</v>
      </c>
      <c r="C353" s="24" t="s">
        <v>1400</v>
      </c>
      <c r="D353" s="24" t="s">
        <v>124</v>
      </c>
      <c r="E353" s="24" t="s">
        <v>1401</v>
      </c>
      <c r="F353" s="24" t="s">
        <v>59</v>
      </c>
    </row>
    <row r="354">
      <c r="A354" s="24" t="s">
        <v>1402</v>
      </c>
      <c r="B354" s="24" t="s">
        <v>1403</v>
      </c>
      <c r="C354" s="24" t="s">
        <v>1404</v>
      </c>
      <c r="D354" s="24" t="s">
        <v>129</v>
      </c>
      <c r="E354" s="24" t="s">
        <v>1405</v>
      </c>
      <c r="F354" s="24" t="s">
        <v>59</v>
      </c>
    </row>
    <row r="355">
      <c r="A355" s="24" t="s">
        <v>1406</v>
      </c>
      <c r="B355" s="24" t="s">
        <v>1407</v>
      </c>
      <c r="C355" s="24" t="s">
        <v>1408</v>
      </c>
      <c r="D355" s="24" t="s">
        <v>124</v>
      </c>
      <c r="E355" s="24" t="s">
        <v>1409</v>
      </c>
      <c r="F355" s="24" t="s">
        <v>59</v>
      </c>
    </row>
    <row r="356">
      <c r="A356" s="24" t="s">
        <v>1410</v>
      </c>
      <c r="B356" s="24" t="s">
        <v>1411</v>
      </c>
      <c r="C356" s="24" t="s">
        <v>1412</v>
      </c>
      <c r="D356" s="24" t="s">
        <v>124</v>
      </c>
      <c r="E356" s="24" t="s">
        <v>1413</v>
      </c>
      <c r="F356" s="24" t="s">
        <v>59</v>
      </c>
    </row>
    <row r="357">
      <c r="A357" s="24" t="s">
        <v>1414</v>
      </c>
      <c r="B357" s="24" t="s">
        <v>1415</v>
      </c>
      <c r="C357" s="24" t="s">
        <v>1416</v>
      </c>
      <c r="D357" s="24" t="s">
        <v>134</v>
      </c>
      <c r="E357" s="24" t="s">
        <v>1417</v>
      </c>
      <c r="F357" s="24" t="s">
        <v>59</v>
      </c>
    </row>
    <row r="358">
      <c r="A358" s="24" t="s">
        <v>1418</v>
      </c>
      <c r="B358" s="24" t="s">
        <v>1419</v>
      </c>
      <c r="C358" s="24" t="s">
        <v>1420</v>
      </c>
      <c r="D358" s="24" t="s">
        <v>134</v>
      </c>
      <c r="E358" s="24" t="s">
        <v>1421</v>
      </c>
      <c r="F358" s="24" t="s">
        <v>59</v>
      </c>
    </row>
    <row r="359">
      <c r="A359" s="24" t="s">
        <v>1422</v>
      </c>
      <c r="B359" s="24" t="s">
        <v>1423</v>
      </c>
      <c r="C359" s="24" t="s">
        <v>1424</v>
      </c>
      <c r="D359" s="24" t="s">
        <v>124</v>
      </c>
      <c r="E359" s="24" t="s">
        <v>1425</v>
      </c>
      <c r="F359" s="24" t="s">
        <v>59</v>
      </c>
    </row>
    <row r="360">
      <c r="A360" s="24" t="s">
        <v>1426</v>
      </c>
      <c r="B360" s="24" t="s">
        <v>1427</v>
      </c>
      <c r="C360" s="24" t="s">
        <v>1428</v>
      </c>
      <c r="D360" s="24" t="s">
        <v>264</v>
      </c>
      <c r="E360" s="24" t="s">
        <v>1429</v>
      </c>
      <c r="F360" s="24" t="s">
        <v>59</v>
      </c>
    </row>
    <row r="361">
      <c r="A361" s="24" t="s">
        <v>1430</v>
      </c>
      <c r="B361" s="24" t="s">
        <v>1431</v>
      </c>
      <c r="C361" s="24" t="s">
        <v>1432</v>
      </c>
      <c r="D361" s="24" t="s">
        <v>129</v>
      </c>
      <c r="E361" s="24" t="s">
        <v>1433</v>
      </c>
      <c r="F361" s="24" t="s">
        <v>59</v>
      </c>
    </row>
    <row r="362">
      <c r="A362" s="24" t="s">
        <v>1434</v>
      </c>
      <c r="B362" s="24" t="s">
        <v>1435</v>
      </c>
      <c r="C362" s="24" t="s">
        <v>1436</v>
      </c>
      <c r="D362" s="24" t="s">
        <v>124</v>
      </c>
      <c r="E362" s="24" t="s">
        <v>1437</v>
      </c>
      <c r="F362" s="24" t="s">
        <v>59</v>
      </c>
    </row>
    <row r="363">
      <c r="A363" s="24" t="s">
        <v>1438</v>
      </c>
      <c r="B363" s="24" t="s">
        <v>1439</v>
      </c>
      <c r="C363" s="24" t="s">
        <v>1440</v>
      </c>
      <c r="D363" s="24" t="s">
        <v>129</v>
      </c>
      <c r="E363" s="24" t="s">
        <v>1441</v>
      </c>
      <c r="F363" s="24" t="s">
        <v>59</v>
      </c>
    </row>
    <row r="364">
      <c r="A364" s="24" t="s">
        <v>1442</v>
      </c>
      <c r="B364" s="24" t="s">
        <v>1443</v>
      </c>
      <c r="C364" s="24" t="s">
        <v>1444</v>
      </c>
      <c r="D364" s="24" t="s">
        <v>124</v>
      </c>
      <c r="E364" s="24" t="s">
        <v>1445</v>
      </c>
      <c r="F364" s="24" t="s">
        <v>59</v>
      </c>
    </row>
    <row r="365">
      <c r="A365" s="24" t="s">
        <v>1446</v>
      </c>
      <c r="B365" s="24" t="s">
        <v>1447</v>
      </c>
      <c r="C365" s="24" t="s">
        <v>1448</v>
      </c>
      <c r="D365" s="24" t="s">
        <v>124</v>
      </c>
      <c r="E365" s="24" t="s">
        <v>1449</v>
      </c>
      <c r="F365" s="24" t="s">
        <v>59</v>
      </c>
    </row>
    <row r="366">
      <c r="A366" s="24" t="s">
        <v>1450</v>
      </c>
      <c r="B366" s="24" t="s">
        <v>1451</v>
      </c>
      <c r="C366" s="24" t="s">
        <v>1452</v>
      </c>
      <c r="D366" s="24" t="s">
        <v>129</v>
      </c>
      <c r="E366" s="24" t="s">
        <v>1453</v>
      </c>
      <c r="F366" s="24" t="s">
        <v>59</v>
      </c>
    </row>
    <row r="367">
      <c r="A367" s="24" t="s">
        <v>1454</v>
      </c>
      <c r="B367" s="24" t="s">
        <v>1455</v>
      </c>
      <c r="C367" s="24" t="s">
        <v>1456</v>
      </c>
      <c r="D367" s="24" t="s">
        <v>124</v>
      </c>
      <c r="E367" s="24" t="s">
        <v>1457</v>
      </c>
      <c r="F367" s="24" t="s">
        <v>59</v>
      </c>
    </row>
    <row r="368">
      <c r="A368" s="24" t="s">
        <v>1458</v>
      </c>
      <c r="B368" s="24" t="s">
        <v>1459</v>
      </c>
      <c r="C368" s="24" t="s">
        <v>1460</v>
      </c>
      <c r="D368" s="24" t="s">
        <v>124</v>
      </c>
      <c r="E368" s="24" t="s">
        <v>1461</v>
      </c>
      <c r="F368" s="24" t="s">
        <v>59</v>
      </c>
    </row>
    <row r="369">
      <c r="A369" s="24" t="s">
        <v>1462</v>
      </c>
      <c r="B369" s="24" t="s">
        <v>1463</v>
      </c>
      <c r="C369" s="24" t="s">
        <v>1464</v>
      </c>
      <c r="D369" s="24" t="s">
        <v>124</v>
      </c>
      <c r="E369" s="24" t="s">
        <v>1465</v>
      </c>
      <c r="F369" s="24" t="s">
        <v>59</v>
      </c>
    </row>
    <row r="370">
      <c r="A370" s="24" t="s">
        <v>1466</v>
      </c>
      <c r="B370" s="24" t="s">
        <v>1467</v>
      </c>
      <c r="C370" s="24" t="s">
        <v>1468</v>
      </c>
      <c r="D370" s="24" t="s">
        <v>129</v>
      </c>
      <c r="E370" s="24" t="s">
        <v>1469</v>
      </c>
      <c r="F370" s="24" t="s">
        <v>59</v>
      </c>
    </row>
    <row r="371">
      <c r="A371" s="24" t="s">
        <v>1470</v>
      </c>
      <c r="B371" s="24" t="s">
        <v>1471</v>
      </c>
      <c r="C371" s="24" t="s">
        <v>1472</v>
      </c>
      <c r="D371" s="24" t="s">
        <v>124</v>
      </c>
      <c r="E371" s="24" t="s">
        <v>1473</v>
      </c>
      <c r="F371" s="24" t="s">
        <v>59</v>
      </c>
    </row>
    <row r="372">
      <c r="A372" s="24" t="s">
        <v>1474</v>
      </c>
      <c r="B372" s="24" t="s">
        <v>1475</v>
      </c>
      <c r="C372" s="24" t="s">
        <v>1476</v>
      </c>
      <c r="D372" s="24" t="s">
        <v>134</v>
      </c>
      <c r="E372" s="24" t="s">
        <v>1477</v>
      </c>
      <c r="F372" s="24" t="s">
        <v>59</v>
      </c>
    </row>
    <row r="373">
      <c r="A373" s="24" t="s">
        <v>1478</v>
      </c>
      <c r="B373" s="24" t="s">
        <v>1479</v>
      </c>
      <c r="C373" s="24" t="s">
        <v>1480</v>
      </c>
      <c r="D373" s="24" t="s">
        <v>124</v>
      </c>
      <c r="E373" s="24" t="s">
        <v>1481</v>
      </c>
      <c r="F373" s="24" t="s">
        <v>59</v>
      </c>
    </row>
    <row r="374">
      <c r="A374" s="24" t="s">
        <v>1482</v>
      </c>
      <c r="B374" s="24" t="s">
        <v>1483</v>
      </c>
      <c r="C374" s="24" t="s">
        <v>1484</v>
      </c>
      <c r="D374" s="24" t="s">
        <v>124</v>
      </c>
      <c r="E374" s="24" t="s">
        <v>1485</v>
      </c>
      <c r="F374" s="24" t="s">
        <v>59</v>
      </c>
    </row>
    <row r="375">
      <c r="A375" s="24" t="s">
        <v>1486</v>
      </c>
      <c r="B375" s="24" t="s">
        <v>1487</v>
      </c>
      <c r="C375" s="24" t="s">
        <v>1488</v>
      </c>
      <c r="D375" s="24" t="s">
        <v>129</v>
      </c>
      <c r="E375" s="24" t="s">
        <v>1489</v>
      </c>
      <c r="F375" s="24" t="s">
        <v>59</v>
      </c>
    </row>
    <row r="376">
      <c r="A376" s="24" t="s">
        <v>1490</v>
      </c>
      <c r="B376" s="24" t="s">
        <v>1491</v>
      </c>
      <c r="C376" s="24" t="s">
        <v>1492</v>
      </c>
      <c r="D376" s="24" t="s">
        <v>129</v>
      </c>
      <c r="E376" s="24" t="s">
        <v>1493</v>
      </c>
      <c r="F376" s="24" t="s">
        <v>59</v>
      </c>
    </row>
    <row r="377">
      <c r="A377" s="24" t="s">
        <v>1494</v>
      </c>
      <c r="B377" s="24" t="s">
        <v>1495</v>
      </c>
      <c r="C377" s="24" t="s">
        <v>1496</v>
      </c>
      <c r="D377" s="24" t="s">
        <v>129</v>
      </c>
      <c r="E377" s="24" t="s">
        <v>1497</v>
      </c>
      <c r="F377" s="24" t="s">
        <v>59</v>
      </c>
    </row>
    <row r="378">
      <c r="A378" s="24" t="s">
        <v>1498</v>
      </c>
      <c r="B378" s="24" t="s">
        <v>1499</v>
      </c>
      <c r="C378" s="24" t="s">
        <v>1500</v>
      </c>
      <c r="D378" s="24" t="s">
        <v>129</v>
      </c>
      <c r="E378" s="24" t="s">
        <v>1501</v>
      </c>
      <c r="F378" s="24" t="s">
        <v>59</v>
      </c>
    </row>
    <row r="379">
      <c r="A379" s="24" t="s">
        <v>1502</v>
      </c>
      <c r="B379" s="24" t="s">
        <v>1503</v>
      </c>
      <c r="C379" s="24" t="s">
        <v>1504</v>
      </c>
      <c r="D379" s="24" t="s">
        <v>129</v>
      </c>
      <c r="E379" s="24" t="s">
        <v>1505</v>
      </c>
      <c r="F379" s="24" t="s">
        <v>59</v>
      </c>
    </row>
    <row r="380">
      <c r="A380" s="24" t="s">
        <v>1506</v>
      </c>
      <c r="B380" s="24" t="s">
        <v>1507</v>
      </c>
      <c r="C380" s="24" t="s">
        <v>1508</v>
      </c>
      <c r="D380" s="24" t="s">
        <v>129</v>
      </c>
      <c r="E380" s="24" t="s">
        <v>1509</v>
      </c>
      <c r="F380" s="24" t="s">
        <v>59</v>
      </c>
    </row>
    <row r="381">
      <c r="A381" s="24" t="s">
        <v>1510</v>
      </c>
      <c r="B381" s="24" t="s">
        <v>1511</v>
      </c>
      <c r="C381" s="24" t="s">
        <v>1512</v>
      </c>
      <c r="D381" s="24" t="s">
        <v>129</v>
      </c>
      <c r="E381" s="24" t="s">
        <v>1513</v>
      </c>
      <c r="F381" s="24" t="s">
        <v>59</v>
      </c>
    </row>
    <row r="382">
      <c r="A382" s="24" t="s">
        <v>1514</v>
      </c>
      <c r="B382" s="24" t="s">
        <v>1515</v>
      </c>
      <c r="C382" s="24" t="s">
        <v>1516</v>
      </c>
      <c r="D382" s="24" t="s">
        <v>124</v>
      </c>
      <c r="E382" s="24" t="s">
        <v>1517</v>
      </c>
      <c r="F382" s="24" t="s">
        <v>59</v>
      </c>
    </row>
    <row r="383">
      <c r="A383" s="24" t="s">
        <v>1518</v>
      </c>
      <c r="B383" s="24" t="s">
        <v>1519</v>
      </c>
      <c r="C383" s="24" t="s">
        <v>1520</v>
      </c>
      <c r="D383" s="24" t="s">
        <v>129</v>
      </c>
      <c r="E383" s="24" t="s">
        <v>1521</v>
      </c>
      <c r="F383" s="24" t="s">
        <v>59</v>
      </c>
    </row>
    <row r="384">
      <c r="A384" s="24" t="s">
        <v>1522</v>
      </c>
      <c r="B384" s="24" t="s">
        <v>1523</v>
      </c>
      <c r="C384" s="24" t="s">
        <v>1524</v>
      </c>
      <c r="D384" s="24" t="s">
        <v>129</v>
      </c>
      <c r="E384" s="24" t="s">
        <v>1525</v>
      </c>
      <c r="F384" s="24" t="s">
        <v>59</v>
      </c>
    </row>
    <row r="385">
      <c r="A385" s="24" t="s">
        <v>1526</v>
      </c>
      <c r="B385" s="24" t="s">
        <v>1527</v>
      </c>
      <c r="C385" s="24" t="s">
        <v>1528</v>
      </c>
      <c r="D385" s="24" t="s">
        <v>264</v>
      </c>
      <c r="E385" s="24" t="s">
        <v>1529</v>
      </c>
      <c r="F385" s="24" t="s">
        <v>59</v>
      </c>
    </row>
    <row r="386">
      <c r="A386" s="24" t="s">
        <v>1530</v>
      </c>
      <c r="B386" s="24" t="s">
        <v>1531</v>
      </c>
      <c r="C386" s="24" t="s">
        <v>1532</v>
      </c>
      <c r="D386" s="24" t="s">
        <v>134</v>
      </c>
      <c r="E386" s="24" t="s">
        <v>1533</v>
      </c>
      <c r="F386" s="24" t="s">
        <v>59</v>
      </c>
    </row>
    <row r="387">
      <c r="A387" s="24" t="s">
        <v>1534</v>
      </c>
      <c r="B387" s="24" t="s">
        <v>1535</v>
      </c>
      <c r="C387" s="24" t="s">
        <v>1536</v>
      </c>
      <c r="D387" s="24" t="s">
        <v>129</v>
      </c>
      <c r="E387" s="24" t="s">
        <v>1537</v>
      </c>
      <c r="F387" s="24" t="s">
        <v>59</v>
      </c>
    </row>
    <row r="388">
      <c r="A388" s="24" t="s">
        <v>1538</v>
      </c>
      <c r="B388" s="24" t="s">
        <v>1539</v>
      </c>
      <c r="C388" s="24" t="s">
        <v>1540</v>
      </c>
      <c r="D388" s="24" t="s">
        <v>124</v>
      </c>
      <c r="E388" s="24" t="s">
        <v>1541</v>
      </c>
      <c r="F388" s="24" t="s">
        <v>59</v>
      </c>
    </row>
    <row r="389">
      <c r="A389" s="24" t="s">
        <v>1542</v>
      </c>
      <c r="B389" s="24" t="s">
        <v>1543</v>
      </c>
      <c r="C389" s="24" t="s">
        <v>1544</v>
      </c>
      <c r="D389" s="24" t="s">
        <v>124</v>
      </c>
      <c r="E389" s="24" t="s">
        <v>1545</v>
      </c>
      <c r="F389" s="24" t="s">
        <v>59</v>
      </c>
    </row>
    <row r="390">
      <c r="A390" s="24" t="s">
        <v>1546</v>
      </c>
      <c r="B390" s="24" t="s">
        <v>1547</v>
      </c>
      <c r="C390" s="24" t="s">
        <v>1548</v>
      </c>
      <c r="D390" s="24" t="s">
        <v>134</v>
      </c>
      <c r="E390" s="24" t="s">
        <v>1549</v>
      </c>
      <c r="F390" s="24" t="s">
        <v>59</v>
      </c>
    </row>
    <row r="391">
      <c r="A391" s="24" t="s">
        <v>1550</v>
      </c>
      <c r="B391" s="24" t="s">
        <v>1551</v>
      </c>
      <c r="C391" s="24" t="s">
        <v>1552</v>
      </c>
      <c r="D391" s="24" t="s">
        <v>124</v>
      </c>
      <c r="E391" s="24" t="s">
        <v>1553</v>
      </c>
      <c r="F391" s="24" t="s">
        <v>59</v>
      </c>
    </row>
    <row r="392">
      <c r="A392" s="24" t="s">
        <v>1554</v>
      </c>
      <c r="B392" s="24" t="s">
        <v>1555</v>
      </c>
      <c r="C392" s="24" t="s">
        <v>1556</v>
      </c>
      <c r="D392" s="24" t="s">
        <v>124</v>
      </c>
      <c r="E392" s="24" t="s">
        <v>1557</v>
      </c>
      <c r="F392" s="24" t="s">
        <v>59</v>
      </c>
    </row>
    <row r="393">
      <c r="A393" s="24" t="s">
        <v>1558</v>
      </c>
      <c r="B393" s="24" t="s">
        <v>1559</v>
      </c>
      <c r="C393" s="24" t="s">
        <v>1560</v>
      </c>
      <c r="D393" s="24" t="s">
        <v>124</v>
      </c>
      <c r="E393" s="24" t="s">
        <v>1561</v>
      </c>
      <c r="F393" s="24" t="s">
        <v>59</v>
      </c>
    </row>
    <row r="394">
      <c r="A394" s="24" t="s">
        <v>1562</v>
      </c>
      <c r="B394" s="24" t="s">
        <v>1563</v>
      </c>
      <c r="C394" s="24" t="s">
        <v>1564</v>
      </c>
      <c r="D394" s="24" t="s">
        <v>124</v>
      </c>
      <c r="E394" s="24" t="s">
        <v>1565</v>
      </c>
      <c r="F394" s="24" t="s">
        <v>59</v>
      </c>
    </row>
    <row r="395">
      <c r="A395" s="24" t="s">
        <v>1566</v>
      </c>
      <c r="B395" s="24" t="s">
        <v>1567</v>
      </c>
      <c r="C395" s="24" t="s">
        <v>1568</v>
      </c>
      <c r="D395" s="24" t="s">
        <v>124</v>
      </c>
      <c r="E395" s="24" t="s">
        <v>1569</v>
      </c>
      <c r="F395" s="24" t="s">
        <v>59</v>
      </c>
    </row>
    <row r="396">
      <c r="A396" s="24" t="s">
        <v>1570</v>
      </c>
      <c r="B396" s="24" t="s">
        <v>1571</v>
      </c>
      <c r="C396" s="24" t="s">
        <v>1572</v>
      </c>
      <c r="D396" s="24" t="s">
        <v>124</v>
      </c>
      <c r="E396" s="24" t="s">
        <v>1573</v>
      </c>
      <c r="F396" s="24" t="s">
        <v>59</v>
      </c>
    </row>
    <row r="397">
      <c r="A397" s="24" t="s">
        <v>1574</v>
      </c>
      <c r="B397" s="24" t="s">
        <v>1575</v>
      </c>
      <c r="C397" s="24" t="s">
        <v>1576</v>
      </c>
      <c r="D397" s="24" t="s">
        <v>134</v>
      </c>
      <c r="E397" s="24" t="s">
        <v>1577</v>
      </c>
      <c r="F397" s="24" t="s">
        <v>59</v>
      </c>
    </row>
    <row r="398">
      <c r="A398" s="24" t="s">
        <v>1578</v>
      </c>
      <c r="B398" s="24" t="s">
        <v>1579</v>
      </c>
      <c r="C398" s="24" t="s">
        <v>1580</v>
      </c>
      <c r="D398" s="24" t="s">
        <v>124</v>
      </c>
      <c r="E398" s="24" t="s">
        <v>1581</v>
      </c>
      <c r="F398" s="24" t="s">
        <v>59</v>
      </c>
    </row>
    <row r="399">
      <c r="A399" s="24" t="s">
        <v>1582</v>
      </c>
      <c r="B399" s="24" t="s">
        <v>1583</v>
      </c>
      <c r="C399" s="24" t="s">
        <v>1584</v>
      </c>
      <c r="D399" s="24" t="s">
        <v>124</v>
      </c>
      <c r="E399" s="24" t="s">
        <v>1585</v>
      </c>
      <c r="F399" s="24" t="s">
        <v>59</v>
      </c>
    </row>
    <row r="400">
      <c r="A400" s="24" t="s">
        <v>1586</v>
      </c>
      <c r="B400" s="24" t="s">
        <v>1587</v>
      </c>
      <c r="C400" s="24" t="s">
        <v>1588</v>
      </c>
      <c r="D400" s="24" t="s">
        <v>129</v>
      </c>
      <c r="E400" s="24" t="s">
        <v>1589</v>
      </c>
      <c r="F400" s="24" t="s">
        <v>59</v>
      </c>
    </row>
    <row r="401">
      <c r="A401" s="24" t="s">
        <v>1590</v>
      </c>
      <c r="B401" s="24" t="s">
        <v>1591</v>
      </c>
      <c r="C401" s="24" t="s">
        <v>1592</v>
      </c>
      <c r="D401" s="24" t="s">
        <v>134</v>
      </c>
      <c r="E401" s="24" t="s">
        <v>1593</v>
      </c>
      <c r="F401" s="24" t="s">
        <v>59</v>
      </c>
    </row>
    <row r="402">
      <c r="A402" s="24" t="s">
        <v>1594</v>
      </c>
      <c r="B402" s="24" t="s">
        <v>1595</v>
      </c>
      <c r="C402" s="24" t="s">
        <v>1596</v>
      </c>
      <c r="D402" s="24" t="s">
        <v>124</v>
      </c>
      <c r="E402" s="24" t="s">
        <v>1597</v>
      </c>
      <c r="F402" s="24" t="s">
        <v>59</v>
      </c>
    </row>
    <row r="403">
      <c r="A403" s="24" t="s">
        <v>1598</v>
      </c>
      <c r="B403" s="24" t="s">
        <v>1599</v>
      </c>
      <c r="C403" s="24" t="s">
        <v>1600</v>
      </c>
      <c r="D403" s="24" t="s">
        <v>124</v>
      </c>
      <c r="E403" s="24" t="s">
        <v>1601</v>
      </c>
      <c r="F403" s="24" t="s">
        <v>59</v>
      </c>
    </row>
    <row r="404">
      <c r="A404" s="24" t="s">
        <v>1602</v>
      </c>
      <c r="B404" s="24" t="s">
        <v>1603</v>
      </c>
      <c r="C404" s="24" t="s">
        <v>1604</v>
      </c>
      <c r="D404" s="24" t="s">
        <v>124</v>
      </c>
      <c r="E404" s="24" t="s">
        <v>1605</v>
      </c>
      <c r="F404" s="24" t="s">
        <v>59</v>
      </c>
    </row>
    <row r="405">
      <c r="A405" s="24" t="s">
        <v>1606</v>
      </c>
      <c r="B405" s="24" t="s">
        <v>1607</v>
      </c>
      <c r="C405" s="24" t="s">
        <v>1608</v>
      </c>
      <c r="D405" s="24" t="s">
        <v>124</v>
      </c>
      <c r="E405" s="24" t="s">
        <v>1609</v>
      </c>
      <c r="F405" s="24" t="s">
        <v>59</v>
      </c>
    </row>
    <row r="406">
      <c r="A406" s="24" t="s">
        <v>1610</v>
      </c>
      <c r="B406" s="24" t="s">
        <v>1611</v>
      </c>
      <c r="C406" s="24" t="s">
        <v>1612</v>
      </c>
      <c r="D406" s="24" t="s">
        <v>129</v>
      </c>
      <c r="E406" s="24" t="s">
        <v>1613</v>
      </c>
      <c r="F406" s="24" t="s">
        <v>59</v>
      </c>
    </row>
    <row r="407">
      <c r="A407" s="24" t="s">
        <v>1614</v>
      </c>
      <c r="B407" s="24" t="s">
        <v>1615</v>
      </c>
      <c r="C407" s="24" t="s">
        <v>1616</v>
      </c>
      <c r="D407" s="24" t="s">
        <v>129</v>
      </c>
      <c r="E407" s="24" t="s">
        <v>1617</v>
      </c>
      <c r="F407" s="24" t="s">
        <v>59</v>
      </c>
    </row>
    <row r="408">
      <c r="A408" s="24" t="s">
        <v>1618</v>
      </c>
      <c r="B408" s="24" t="s">
        <v>1619</v>
      </c>
      <c r="C408" s="24" t="s">
        <v>1620</v>
      </c>
      <c r="D408" s="24" t="s">
        <v>134</v>
      </c>
      <c r="E408" s="24" t="s">
        <v>1621</v>
      </c>
      <c r="F408" s="24" t="s">
        <v>59</v>
      </c>
    </row>
    <row r="409">
      <c r="A409" s="24" t="s">
        <v>1622</v>
      </c>
      <c r="B409" s="24" t="s">
        <v>1623</v>
      </c>
      <c r="C409" s="24" t="s">
        <v>1624</v>
      </c>
      <c r="D409" s="24" t="s">
        <v>124</v>
      </c>
      <c r="E409" s="24" t="s">
        <v>1625</v>
      </c>
      <c r="F409" s="24" t="s">
        <v>59</v>
      </c>
    </row>
    <row r="410">
      <c r="A410" s="24" t="s">
        <v>1626</v>
      </c>
      <c r="B410" s="24" t="s">
        <v>1627</v>
      </c>
      <c r="C410" s="24" t="s">
        <v>1628</v>
      </c>
      <c r="D410" s="24" t="s">
        <v>124</v>
      </c>
      <c r="E410" s="24" t="s">
        <v>1629</v>
      </c>
      <c r="F410" s="24" t="s">
        <v>59</v>
      </c>
    </row>
    <row r="411">
      <c r="A411" s="24" t="s">
        <v>1630</v>
      </c>
      <c r="B411" s="24" t="s">
        <v>1631</v>
      </c>
      <c r="C411" s="24" t="s">
        <v>1632</v>
      </c>
      <c r="D411" s="24" t="s">
        <v>124</v>
      </c>
      <c r="E411" s="24" t="s">
        <v>1633</v>
      </c>
      <c r="F411" s="24" t="s">
        <v>59</v>
      </c>
    </row>
    <row r="412">
      <c r="A412" s="24" t="s">
        <v>1634</v>
      </c>
      <c r="B412" s="24" t="s">
        <v>1635</v>
      </c>
      <c r="C412" s="24" t="s">
        <v>1636</v>
      </c>
      <c r="D412" s="24" t="s">
        <v>124</v>
      </c>
      <c r="E412" s="24" t="s">
        <v>1637</v>
      </c>
      <c r="F412" s="24" t="s">
        <v>59</v>
      </c>
    </row>
    <row r="413">
      <c r="A413" s="24" t="s">
        <v>1638</v>
      </c>
      <c r="B413" s="24" t="s">
        <v>1639</v>
      </c>
      <c r="C413" s="24" t="s">
        <v>1640</v>
      </c>
      <c r="D413" s="24" t="s">
        <v>124</v>
      </c>
      <c r="E413" s="24" t="s">
        <v>1641</v>
      </c>
      <c r="F413" s="24" t="s">
        <v>59</v>
      </c>
    </row>
    <row r="414">
      <c r="A414" s="24" t="s">
        <v>1642</v>
      </c>
      <c r="B414" s="24" t="s">
        <v>1643</v>
      </c>
      <c r="C414" s="24" t="s">
        <v>1644</v>
      </c>
      <c r="D414" s="24" t="s">
        <v>124</v>
      </c>
      <c r="E414" s="24" t="s">
        <v>1645</v>
      </c>
      <c r="F414" s="24" t="s">
        <v>59</v>
      </c>
    </row>
    <row r="415">
      <c r="A415" s="24" t="s">
        <v>1646</v>
      </c>
      <c r="B415" s="24" t="s">
        <v>1647</v>
      </c>
      <c r="C415" s="24" t="s">
        <v>1648</v>
      </c>
      <c r="D415" s="24" t="s">
        <v>124</v>
      </c>
      <c r="E415" s="24" t="s">
        <v>1649</v>
      </c>
      <c r="F415" s="24" t="s">
        <v>59</v>
      </c>
    </row>
    <row r="416">
      <c r="A416" s="24" t="s">
        <v>1650</v>
      </c>
      <c r="B416" s="24" t="s">
        <v>1651</v>
      </c>
      <c r="C416" s="24" t="s">
        <v>1652</v>
      </c>
      <c r="D416" s="24" t="s">
        <v>264</v>
      </c>
      <c r="E416" s="24" t="s">
        <v>1653</v>
      </c>
      <c r="F416" s="24" t="s">
        <v>59</v>
      </c>
    </row>
    <row r="417">
      <c r="A417" s="24" t="s">
        <v>1654</v>
      </c>
      <c r="B417" s="24" t="s">
        <v>1655</v>
      </c>
      <c r="C417" s="24" t="s">
        <v>1656</v>
      </c>
      <c r="D417" s="24" t="s">
        <v>134</v>
      </c>
      <c r="E417" s="24" t="s">
        <v>1657</v>
      </c>
      <c r="F417" s="24" t="s">
        <v>59</v>
      </c>
    </row>
    <row r="418">
      <c r="A418" s="24" t="s">
        <v>1658</v>
      </c>
      <c r="B418" s="24" t="s">
        <v>1659</v>
      </c>
      <c r="C418" s="24" t="s">
        <v>1660</v>
      </c>
      <c r="D418" s="24" t="s">
        <v>124</v>
      </c>
      <c r="E418" s="24" t="s">
        <v>1661</v>
      </c>
      <c r="F418" s="24" t="s">
        <v>59</v>
      </c>
    </row>
    <row r="419">
      <c r="A419" s="24" t="s">
        <v>1662</v>
      </c>
      <c r="B419" s="24" t="s">
        <v>1663</v>
      </c>
      <c r="C419" s="24" t="s">
        <v>1664</v>
      </c>
      <c r="D419" s="24" t="s">
        <v>129</v>
      </c>
      <c r="E419" s="24" t="s">
        <v>1665</v>
      </c>
      <c r="F419" s="24" t="s">
        <v>59</v>
      </c>
    </row>
    <row r="420">
      <c r="A420" s="24" t="s">
        <v>1666</v>
      </c>
      <c r="B420" s="24" t="s">
        <v>1667</v>
      </c>
      <c r="C420" s="24" t="s">
        <v>1668</v>
      </c>
      <c r="D420" s="24" t="s">
        <v>129</v>
      </c>
      <c r="E420" s="24" t="s">
        <v>1669</v>
      </c>
      <c r="F420" s="24" t="s">
        <v>59</v>
      </c>
    </row>
    <row r="421">
      <c r="A421" s="24" t="s">
        <v>1670</v>
      </c>
      <c r="B421" s="24" t="s">
        <v>1671</v>
      </c>
      <c r="C421" s="24" t="s">
        <v>1672</v>
      </c>
      <c r="D421" s="24" t="s">
        <v>264</v>
      </c>
      <c r="E421" s="24" t="s">
        <v>1673</v>
      </c>
      <c r="F421" s="24" t="s">
        <v>59</v>
      </c>
    </row>
    <row r="422">
      <c r="A422" s="24" t="s">
        <v>1674</v>
      </c>
      <c r="B422" s="24" t="s">
        <v>1675</v>
      </c>
      <c r="C422" s="24" t="s">
        <v>1676</v>
      </c>
      <c r="D422" s="24" t="s">
        <v>124</v>
      </c>
      <c r="E422" s="24" t="s">
        <v>1677</v>
      </c>
      <c r="F422" s="24" t="s">
        <v>59</v>
      </c>
    </row>
    <row r="423">
      <c r="A423" s="24" t="s">
        <v>1678</v>
      </c>
      <c r="B423" s="24" t="s">
        <v>1679</v>
      </c>
      <c r="C423" s="24" t="s">
        <v>1680</v>
      </c>
      <c r="D423" s="24" t="s">
        <v>124</v>
      </c>
      <c r="E423" s="24" t="s">
        <v>1681</v>
      </c>
      <c r="F423" s="24" t="s">
        <v>59</v>
      </c>
    </row>
    <row r="424">
      <c r="A424" s="24" t="s">
        <v>1682</v>
      </c>
      <c r="B424" s="24" t="s">
        <v>1683</v>
      </c>
      <c r="C424" s="24" t="s">
        <v>1684</v>
      </c>
      <c r="D424" s="24" t="s">
        <v>129</v>
      </c>
      <c r="E424" s="24" t="s">
        <v>1685</v>
      </c>
      <c r="F424" s="24" t="s">
        <v>59</v>
      </c>
    </row>
    <row r="425">
      <c r="A425" s="24" t="s">
        <v>1686</v>
      </c>
      <c r="B425" s="24" t="s">
        <v>1687</v>
      </c>
      <c r="C425" s="24" t="s">
        <v>1688</v>
      </c>
      <c r="D425" s="24" t="s">
        <v>134</v>
      </c>
      <c r="E425" s="24" t="s">
        <v>1689</v>
      </c>
      <c r="F425" s="24" t="s">
        <v>59</v>
      </c>
    </row>
    <row r="426">
      <c r="A426" s="24" t="s">
        <v>1690</v>
      </c>
      <c r="B426" s="24" t="s">
        <v>1691</v>
      </c>
      <c r="C426" s="24" t="s">
        <v>1692</v>
      </c>
      <c r="D426" s="24" t="s">
        <v>124</v>
      </c>
      <c r="E426" s="24" t="s">
        <v>1693</v>
      </c>
      <c r="F426" s="24" t="s">
        <v>59</v>
      </c>
    </row>
    <row r="427">
      <c r="A427" s="24" t="s">
        <v>1694</v>
      </c>
      <c r="B427" s="24" t="s">
        <v>1695</v>
      </c>
      <c r="C427" s="24" t="s">
        <v>1696</v>
      </c>
      <c r="D427" s="24" t="s">
        <v>124</v>
      </c>
      <c r="E427" s="24" t="s">
        <v>1697</v>
      </c>
      <c r="F427" s="24" t="s">
        <v>59</v>
      </c>
    </row>
    <row r="428">
      <c r="A428" s="24" t="s">
        <v>1698</v>
      </c>
      <c r="B428" s="24" t="s">
        <v>1699</v>
      </c>
      <c r="C428" s="24" t="s">
        <v>1700</v>
      </c>
      <c r="D428" s="24" t="s">
        <v>134</v>
      </c>
      <c r="E428" s="24" t="s">
        <v>1701</v>
      </c>
      <c r="F428" s="24" t="s">
        <v>59</v>
      </c>
    </row>
    <row r="429">
      <c r="A429" s="24" t="s">
        <v>1702</v>
      </c>
      <c r="B429" s="24" t="s">
        <v>1703</v>
      </c>
      <c r="C429" s="24" t="s">
        <v>1704</v>
      </c>
      <c r="D429" s="24" t="s">
        <v>134</v>
      </c>
      <c r="E429" s="24" t="s">
        <v>1705</v>
      </c>
      <c r="F429" s="24" t="s">
        <v>59</v>
      </c>
    </row>
    <row r="430">
      <c r="A430" s="24" t="s">
        <v>1706</v>
      </c>
      <c r="B430" s="24" t="s">
        <v>1707</v>
      </c>
      <c r="C430" s="24" t="s">
        <v>1708</v>
      </c>
      <c r="D430" s="24" t="s">
        <v>129</v>
      </c>
      <c r="E430" s="24" t="s">
        <v>1709</v>
      </c>
      <c r="F430" s="24" t="s">
        <v>59</v>
      </c>
    </row>
    <row r="431">
      <c r="A431" s="24" t="s">
        <v>1710</v>
      </c>
      <c r="B431" s="24" t="s">
        <v>1711</v>
      </c>
      <c r="C431" s="24" t="s">
        <v>1712</v>
      </c>
      <c r="D431" s="24" t="s">
        <v>124</v>
      </c>
      <c r="E431" s="24" t="s">
        <v>1713</v>
      </c>
      <c r="F431" s="24" t="s">
        <v>59</v>
      </c>
    </row>
    <row r="432">
      <c r="A432" s="24" t="s">
        <v>1714</v>
      </c>
      <c r="B432" s="24" t="s">
        <v>1715</v>
      </c>
      <c r="C432" s="24" t="s">
        <v>1716</v>
      </c>
      <c r="D432" s="24" t="s">
        <v>129</v>
      </c>
      <c r="E432" s="24" t="s">
        <v>1717</v>
      </c>
      <c r="F432" s="24" t="s">
        <v>59</v>
      </c>
    </row>
    <row r="433">
      <c r="A433" s="24" t="s">
        <v>1718</v>
      </c>
      <c r="B433" s="24" t="s">
        <v>1719</v>
      </c>
      <c r="C433" s="24" t="s">
        <v>1720</v>
      </c>
      <c r="D433" s="24" t="s">
        <v>124</v>
      </c>
      <c r="E433" s="24" t="s">
        <v>1721</v>
      </c>
      <c r="F433" s="24" t="s">
        <v>59</v>
      </c>
    </row>
    <row r="434">
      <c r="A434" s="24" t="s">
        <v>1722</v>
      </c>
      <c r="B434" s="24" t="s">
        <v>1723</v>
      </c>
      <c r="C434" s="24" t="s">
        <v>1724</v>
      </c>
      <c r="D434" s="24" t="s">
        <v>124</v>
      </c>
      <c r="E434" s="24" t="s">
        <v>1725</v>
      </c>
      <c r="F434" s="24" t="s">
        <v>59</v>
      </c>
    </row>
    <row r="435">
      <c r="A435" s="24" t="s">
        <v>1726</v>
      </c>
      <c r="B435" s="24" t="s">
        <v>1727</v>
      </c>
      <c r="C435" s="24" t="s">
        <v>1728</v>
      </c>
      <c r="D435" s="24" t="s">
        <v>124</v>
      </c>
      <c r="E435" s="24" t="s">
        <v>1729</v>
      </c>
      <c r="F435" s="24" t="s">
        <v>59</v>
      </c>
    </row>
    <row r="436">
      <c r="A436" s="24" t="s">
        <v>1730</v>
      </c>
      <c r="B436" s="24" t="s">
        <v>1731</v>
      </c>
      <c r="C436" s="24" t="s">
        <v>1732</v>
      </c>
      <c r="D436" s="24" t="s">
        <v>129</v>
      </c>
      <c r="E436" s="24" t="s">
        <v>1733</v>
      </c>
      <c r="F436" s="24" t="s">
        <v>59</v>
      </c>
    </row>
    <row r="437">
      <c r="A437" s="24" t="s">
        <v>1734</v>
      </c>
      <c r="B437" s="24" t="s">
        <v>1735</v>
      </c>
      <c r="C437" s="24" t="s">
        <v>1736</v>
      </c>
      <c r="D437" s="24" t="s">
        <v>134</v>
      </c>
      <c r="E437" s="24" t="s">
        <v>1737</v>
      </c>
      <c r="F437" s="24" t="s">
        <v>59</v>
      </c>
    </row>
    <row r="438">
      <c r="A438" s="24" t="s">
        <v>1738</v>
      </c>
      <c r="B438" s="24" t="s">
        <v>1739</v>
      </c>
      <c r="C438" s="24" t="s">
        <v>1740</v>
      </c>
      <c r="D438" s="24" t="s">
        <v>124</v>
      </c>
      <c r="E438" s="24" t="s">
        <v>1741</v>
      </c>
      <c r="F438" s="24" t="s">
        <v>59</v>
      </c>
    </row>
    <row r="439">
      <c r="A439" s="24" t="s">
        <v>1742</v>
      </c>
      <c r="B439" s="24" t="s">
        <v>1743</v>
      </c>
      <c r="C439" s="24" t="s">
        <v>1744</v>
      </c>
      <c r="D439" s="24" t="s">
        <v>124</v>
      </c>
      <c r="E439" s="24" t="s">
        <v>1745</v>
      </c>
      <c r="F439" s="24" t="s">
        <v>59</v>
      </c>
    </row>
    <row r="440">
      <c r="A440" s="24" t="s">
        <v>1746</v>
      </c>
      <c r="B440" s="24" t="s">
        <v>1747</v>
      </c>
      <c r="C440" s="24" t="s">
        <v>1748</v>
      </c>
      <c r="D440" s="24" t="s">
        <v>124</v>
      </c>
      <c r="E440" s="24" t="s">
        <v>1749</v>
      </c>
      <c r="F440" s="24" t="s">
        <v>59</v>
      </c>
    </row>
    <row r="441">
      <c r="A441" s="24" t="s">
        <v>1750</v>
      </c>
      <c r="B441" s="24" t="s">
        <v>1751</v>
      </c>
      <c r="C441" s="24" t="s">
        <v>1752</v>
      </c>
      <c r="D441" s="24" t="s">
        <v>129</v>
      </c>
      <c r="E441" s="24" t="s">
        <v>1753</v>
      </c>
      <c r="F441" s="24" t="s">
        <v>59</v>
      </c>
    </row>
    <row r="442">
      <c r="A442" s="24" t="s">
        <v>1754</v>
      </c>
      <c r="B442" s="24" t="s">
        <v>1755</v>
      </c>
      <c r="C442" s="24" t="s">
        <v>1756</v>
      </c>
      <c r="D442" s="24" t="s">
        <v>124</v>
      </c>
      <c r="E442" s="24" t="s">
        <v>1757</v>
      </c>
      <c r="F442" s="24" t="s">
        <v>59</v>
      </c>
    </row>
    <row r="443">
      <c r="A443" s="24" t="s">
        <v>1758</v>
      </c>
      <c r="B443" s="24" t="s">
        <v>1759</v>
      </c>
      <c r="C443" s="24" t="s">
        <v>1760</v>
      </c>
      <c r="D443" s="24" t="s">
        <v>264</v>
      </c>
      <c r="E443" s="24" t="s">
        <v>1761</v>
      </c>
      <c r="F443" s="24" t="s">
        <v>59</v>
      </c>
    </row>
    <row r="444">
      <c r="A444" s="24" t="s">
        <v>1762</v>
      </c>
      <c r="B444" s="24" t="s">
        <v>1763</v>
      </c>
      <c r="C444" s="24" t="s">
        <v>1764</v>
      </c>
      <c r="D444" s="24" t="s">
        <v>129</v>
      </c>
      <c r="E444" s="24" t="s">
        <v>1765</v>
      </c>
      <c r="F444" s="24" t="s">
        <v>59</v>
      </c>
    </row>
    <row r="445">
      <c r="A445" s="24" t="s">
        <v>1766</v>
      </c>
      <c r="B445" s="24" t="s">
        <v>1767</v>
      </c>
      <c r="C445" s="24" t="s">
        <v>1768</v>
      </c>
      <c r="D445" s="24" t="s">
        <v>124</v>
      </c>
      <c r="E445" s="24" t="s">
        <v>1769</v>
      </c>
      <c r="F445" s="24" t="s">
        <v>59</v>
      </c>
    </row>
    <row r="446">
      <c r="A446" s="24" t="s">
        <v>1770</v>
      </c>
      <c r="B446" s="24" t="s">
        <v>1771</v>
      </c>
      <c r="C446" s="24" t="s">
        <v>1772</v>
      </c>
      <c r="D446" s="24" t="s">
        <v>129</v>
      </c>
      <c r="E446" s="24" t="s">
        <v>1773</v>
      </c>
      <c r="F446" s="24" t="s">
        <v>59</v>
      </c>
    </row>
    <row r="447">
      <c r="A447" s="24" t="s">
        <v>1774</v>
      </c>
      <c r="B447" s="24" t="s">
        <v>1775</v>
      </c>
      <c r="C447" s="24" t="s">
        <v>1776</v>
      </c>
      <c r="D447" s="24" t="s">
        <v>124</v>
      </c>
      <c r="E447" s="24" t="s">
        <v>1777</v>
      </c>
      <c r="F447" s="24" t="s">
        <v>59</v>
      </c>
    </row>
    <row r="448">
      <c r="A448" s="24" t="s">
        <v>1778</v>
      </c>
      <c r="B448" s="24" t="s">
        <v>1779</v>
      </c>
      <c r="C448" s="24" t="s">
        <v>1780</v>
      </c>
      <c r="D448" s="24" t="s">
        <v>124</v>
      </c>
      <c r="E448" s="24" t="s">
        <v>1781</v>
      </c>
      <c r="F448" s="24" t="s">
        <v>59</v>
      </c>
    </row>
    <row r="449">
      <c r="A449" s="24" t="s">
        <v>1782</v>
      </c>
      <c r="B449" s="24" t="s">
        <v>1783</v>
      </c>
      <c r="C449" s="24" t="s">
        <v>1784</v>
      </c>
      <c r="D449" s="24" t="s">
        <v>124</v>
      </c>
      <c r="E449" s="24" t="s">
        <v>1785</v>
      </c>
      <c r="F449" s="24" t="s">
        <v>59</v>
      </c>
    </row>
    <row r="450">
      <c r="A450" s="24" t="s">
        <v>1786</v>
      </c>
      <c r="B450" s="24" t="s">
        <v>1787</v>
      </c>
      <c r="C450" s="24" t="s">
        <v>1788</v>
      </c>
      <c r="D450" s="24" t="s">
        <v>129</v>
      </c>
      <c r="E450" s="24" t="s">
        <v>1789</v>
      </c>
      <c r="F450" s="24" t="s">
        <v>59</v>
      </c>
    </row>
    <row r="451">
      <c r="A451" s="24" t="s">
        <v>1790</v>
      </c>
      <c r="B451" s="24" t="s">
        <v>1791</v>
      </c>
      <c r="C451" s="24" t="s">
        <v>1792</v>
      </c>
      <c r="D451" s="24" t="s">
        <v>124</v>
      </c>
      <c r="E451" s="24" t="s">
        <v>1793</v>
      </c>
      <c r="F451" s="24" t="s">
        <v>59</v>
      </c>
    </row>
    <row r="452">
      <c r="A452" s="24" t="s">
        <v>1794</v>
      </c>
      <c r="B452" s="24" t="s">
        <v>1795</v>
      </c>
      <c r="C452" s="24" t="s">
        <v>1796</v>
      </c>
      <c r="D452" s="24" t="s">
        <v>129</v>
      </c>
      <c r="E452" s="24" t="s">
        <v>1797</v>
      </c>
      <c r="F452" s="24" t="s">
        <v>59</v>
      </c>
    </row>
    <row r="453">
      <c r="A453" s="24" t="s">
        <v>1798</v>
      </c>
      <c r="B453" s="24" t="s">
        <v>1799</v>
      </c>
      <c r="C453" s="24" t="s">
        <v>1800</v>
      </c>
      <c r="D453" s="24" t="s">
        <v>134</v>
      </c>
      <c r="E453" s="24" t="s">
        <v>1801</v>
      </c>
      <c r="F453" s="24" t="s">
        <v>59</v>
      </c>
    </row>
    <row r="454">
      <c r="A454" s="24" t="s">
        <v>1802</v>
      </c>
      <c r="B454" s="24" t="s">
        <v>1803</v>
      </c>
      <c r="C454" s="24" t="s">
        <v>1804</v>
      </c>
      <c r="D454" s="24" t="s">
        <v>134</v>
      </c>
      <c r="E454" s="24" t="s">
        <v>1805</v>
      </c>
      <c r="F454" s="24" t="s">
        <v>59</v>
      </c>
    </row>
    <row r="455">
      <c r="A455" s="24" t="s">
        <v>1806</v>
      </c>
      <c r="B455" s="24" t="s">
        <v>1807</v>
      </c>
      <c r="C455" s="24" t="s">
        <v>1808</v>
      </c>
      <c r="D455" s="24" t="s">
        <v>124</v>
      </c>
      <c r="E455" s="24" t="s">
        <v>1809</v>
      </c>
      <c r="F455" s="24" t="s">
        <v>59</v>
      </c>
    </row>
    <row r="456">
      <c r="A456" s="24" t="s">
        <v>1810</v>
      </c>
      <c r="B456" s="24" t="s">
        <v>1811</v>
      </c>
      <c r="C456" s="24" t="s">
        <v>1812</v>
      </c>
      <c r="D456" s="24" t="s">
        <v>134</v>
      </c>
      <c r="E456" s="24" t="s">
        <v>1813</v>
      </c>
      <c r="F456" s="24" t="s">
        <v>59</v>
      </c>
    </row>
    <row r="457">
      <c r="A457" s="24" t="s">
        <v>1814</v>
      </c>
      <c r="B457" s="24" t="s">
        <v>1815</v>
      </c>
      <c r="C457" s="24" t="s">
        <v>1816</v>
      </c>
      <c r="D457" s="24" t="s">
        <v>134</v>
      </c>
      <c r="E457" s="24" t="s">
        <v>1817</v>
      </c>
      <c r="F457" s="24" t="s">
        <v>59</v>
      </c>
    </row>
    <row r="458">
      <c r="A458" s="24" t="s">
        <v>1818</v>
      </c>
      <c r="B458" s="24" t="s">
        <v>1819</v>
      </c>
      <c r="C458" s="24" t="s">
        <v>1820</v>
      </c>
      <c r="D458" s="24" t="s">
        <v>124</v>
      </c>
      <c r="E458" s="24" t="s">
        <v>1821</v>
      </c>
      <c r="F458" s="24" t="s">
        <v>59</v>
      </c>
    </row>
    <row r="459">
      <c r="A459" s="24" t="s">
        <v>1822</v>
      </c>
      <c r="B459" s="24" t="s">
        <v>1823</v>
      </c>
      <c r="C459" s="24" t="s">
        <v>1824</v>
      </c>
      <c r="D459" s="24" t="s">
        <v>124</v>
      </c>
      <c r="E459" s="24" t="s">
        <v>1825</v>
      </c>
      <c r="F459" s="24" t="s">
        <v>59</v>
      </c>
    </row>
    <row r="460">
      <c r="A460" s="24" t="s">
        <v>1826</v>
      </c>
      <c r="B460" s="24" t="s">
        <v>1827</v>
      </c>
      <c r="C460" s="24" t="s">
        <v>1828</v>
      </c>
      <c r="D460" s="24" t="s">
        <v>124</v>
      </c>
      <c r="E460" s="24" t="s">
        <v>1829</v>
      </c>
      <c r="F460" s="24" t="s">
        <v>59</v>
      </c>
    </row>
    <row r="461">
      <c r="A461" s="24" t="s">
        <v>1830</v>
      </c>
      <c r="B461" s="24" t="s">
        <v>1831</v>
      </c>
      <c r="C461" s="24" t="s">
        <v>1832</v>
      </c>
      <c r="D461" s="24" t="s">
        <v>124</v>
      </c>
      <c r="E461" s="24" t="s">
        <v>1833</v>
      </c>
      <c r="F461" s="24" t="s">
        <v>59</v>
      </c>
    </row>
    <row r="462">
      <c r="A462" s="24" t="s">
        <v>1834</v>
      </c>
      <c r="B462" s="24" t="s">
        <v>1835</v>
      </c>
      <c r="C462" s="24" t="s">
        <v>1836</v>
      </c>
      <c r="D462" s="24" t="s">
        <v>264</v>
      </c>
      <c r="E462" s="24" t="s">
        <v>1837</v>
      </c>
      <c r="F462" s="24" t="s">
        <v>59</v>
      </c>
    </row>
    <row r="463">
      <c r="A463" s="24" t="s">
        <v>1838</v>
      </c>
      <c r="B463" s="24" t="s">
        <v>1839</v>
      </c>
      <c r="C463" s="24" t="s">
        <v>1840</v>
      </c>
      <c r="D463" s="24" t="s">
        <v>124</v>
      </c>
      <c r="E463" s="24" t="s">
        <v>1841</v>
      </c>
      <c r="F463" s="24" t="s">
        <v>59</v>
      </c>
    </row>
    <row r="464">
      <c r="A464" s="24" t="s">
        <v>1842</v>
      </c>
      <c r="B464" s="24" t="s">
        <v>1843</v>
      </c>
      <c r="C464" s="24" t="s">
        <v>1844</v>
      </c>
      <c r="D464" s="24" t="s">
        <v>129</v>
      </c>
      <c r="E464" s="24" t="s">
        <v>1845</v>
      </c>
      <c r="F464" s="24" t="s">
        <v>59</v>
      </c>
    </row>
    <row r="465">
      <c r="A465" s="24" t="s">
        <v>1846</v>
      </c>
      <c r="B465" s="24" t="s">
        <v>1847</v>
      </c>
      <c r="C465" s="24" t="s">
        <v>1848</v>
      </c>
      <c r="D465" s="24" t="s">
        <v>134</v>
      </c>
      <c r="E465" s="24" t="s">
        <v>1849</v>
      </c>
      <c r="F465" s="24" t="s">
        <v>59</v>
      </c>
    </row>
    <row r="466">
      <c r="A466" s="24" t="s">
        <v>1850</v>
      </c>
      <c r="B466" s="24" t="s">
        <v>1851</v>
      </c>
      <c r="C466" s="24" t="s">
        <v>1852</v>
      </c>
      <c r="D466" s="24" t="s">
        <v>264</v>
      </c>
      <c r="E466" s="24" t="s">
        <v>1853</v>
      </c>
      <c r="F466" s="24" t="s">
        <v>59</v>
      </c>
    </row>
    <row r="467">
      <c r="A467" s="24" t="s">
        <v>1854</v>
      </c>
      <c r="B467" s="24" t="s">
        <v>1855</v>
      </c>
      <c r="C467" s="24" t="s">
        <v>1856</v>
      </c>
      <c r="D467" s="24" t="s">
        <v>134</v>
      </c>
      <c r="E467" s="24" t="s">
        <v>1857</v>
      </c>
      <c r="F467" s="24" t="s">
        <v>59</v>
      </c>
    </row>
    <row r="468">
      <c r="A468" s="24" t="s">
        <v>1858</v>
      </c>
      <c r="B468" s="24" t="s">
        <v>1859</v>
      </c>
      <c r="C468" s="24" t="s">
        <v>1860</v>
      </c>
      <c r="D468" s="24" t="s">
        <v>124</v>
      </c>
      <c r="E468" s="24" t="s">
        <v>1861</v>
      </c>
      <c r="F468" s="24" t="s">
        <v>59</v>
      </c>
    </row>
    <row r="469">
      <c r="A469" s="24" t="s">
        <v>1862</v>
      </c>
      <c r="B469" s="24" t="s">
        <v>1863</v>
      </c>
      <c r="C469" s="24" t="s">
        <v>1864</v>
      </c>
      <c r="D469" s="24" t="s">
        <v>124</v>
      </c>
      <c r="E469" s="24" t="s">
        <v>1865</v>
      </c>
      <c r="F469" s="24" t="s">
        <v>59</v>
      </c>
    </row>
    <row r="470">
      <c r="A470" s="24" t="s">
        <v>1866</v>
      </c>
      <c r="B470" s="24" t="s">
        <v>1867</v>
      </c>
      <c r="C470" s="24" t="s">
        <v>1868</v>
      </c>
      <c r="D470" s="24" t="s">
        <v>129</v>
      </c>
      <c r="E470" s="24" t="s">
        <v>1869</v>
      </c>
      <c r="F470" s="24" t="s">
        <v>59</v>
      </c>
    </row>
    <row r="471">
      <c r="A471" s="24" t="s">
        <v>1870</v>
      </c>
      <c r="B471" s="24" t="s">
        <v>1871</v>
      </c>
      <c r="C471" s="24" t="s">
        <v>1872</v>
      </c>
      <c r="D471" s="24" t="s">
        <v>129</v>
      </c>
      <c r="E471" s="24" t="s">
        <v>1873</v>
      </c>
      <c r="F471" s="24" t="s">
        <v>59</v>
      </c>
    </row>
    <row r="472">
      <c r="A472" s="24" t="s">
        <v>1874</v>
      </c>
      <c r="B472" s="24" t="s">
        <v>1875</v>
      </c>
      <c r="C472" s="24" t="s">
        <v>1876</v>
      </c>
      <c r="D472" s="24" t="s">
        <v>129</v>
      </c>
      <c r="E472" s="24" t="s">
        <v>1877</v>
      </c>
      <c r="F472" s="24" t="s">
        <v>59</v>
      </c>
    </row>
    <row r="473">
      <c r="A473" s="24" t="s">
        <v>1878</v>
      </c>
      <c r="B473" s="24" t="s">
        <v>1879</v>
      </c>
      <c r="C473" s="24" t="s">
        <v>1880</v>
      </c>
      <c r="D473" s="24" t="s">
        <v>124</v>
      </c>
      <c r="E473" s="24" t="s">
        <v>1881</v>
      </c>
      <c r="F473" s="24" t="s">
        <v>59</v>
      </c>
    </row>
    <row r="474">
      <c r="A474" s="24" t="s">
        <v>1882</v>
      </c>
      <c r="B474" s="24" t="s">
        <v>1883</v>
      </c>
      <c r="C474" s="24" t="s">
        <v>1884</v>
      </c>
      <c r="D474" s="24" t="s">
        <v>124</v>
      </c>
      <c r="E474" s="24" t="s">
        <v>1885</v>
      </c>
      <c r="F474" s="24" t="s">
        <v>59</v>
      </c>
    </row>
    <row r="475">
      <c r="A475" s="24" t="s">
        <v>1886</v>
      </c>
      <c r="B475" s="24" t="s">
        <v>1887</v>
      </c>
      <c r="C475" s="24" t="s">
        <v>1888</v>
      </c>
      <c r="D475" s="24" t="s">
        <v>124</v>
      </c>
      <c r="E475" s="24" t="s">
        <v>1889</v>
      </c>
      <c r="F475" s="24" t="s">
        <v>59</v>
      </c>
    </row>
    <row r="476">
      <c r="A476" s="24" t="s">
        <v>1890</v>
      </c>
      <c r="B476" s="24" t="s">
        <v>1891</v>
      </c>
      <c r="C476" s="24" t="s">
        <v>1892</v>
      </c>
      <c r="D476" s="24" t="s">
        <v>134</v>
      </c>
      <c r="E476" s="24" t="s">
        <v>1893</v>
      </c>
      <c r="F476" s="24" t="s">
        <v>59</v>
      </c>
    </row>
    <row r="477">
      <c r="A477" s="24" t="s">
        <v>1894</v>
      </c>
      <c r="B477" s="24" t="s">
        <v>1895</v>
      </c>
      <c r="C477" s="24" t="s">
        <v>1896</v>
      </c>
      <c r="D477" s="24" t="s">
        <v>124</v>
      </c>
      <c r="E477" s="24" t="s">
        <v>1897</v>
      </c>
      <c r="F477" s="24" t="s">
        <v>59</v>
      </c>
    </row>
    <row r="478">
      <c r="A478" s="24" t="s">
        <v>1898</v>
      </c>
      <c r="B478" s="24" t="s">
        <v>1899</v>
      </c>
      <c r="C478" s="24" t="s">
        <v>1900</v>
      </c>
      <c r="D478" s="24" t="s">
        <v>124</v>
      </c>
      <c r="E478" s="24" t="s">
        <v>1901</v>
      </c>
      <c r="F478" s="24" t="s">
        <v>59</v>
      </c>
    </row>
    <row r="479">
      <c r="A479" s="24" t="s">
        <v>1902</v>
      </c>
      <c r="B479" s="24" t="s">
        <v>1903</v>
      </c>
      <c r="C479" s="24" t="s">
        <v>1904</v>
      </c>
      <c r="D479" s="24" t="s">
        <v>264</v>
      </c>
      <c r="E479" s="24" t="s">
        <v>1905</v>
      </c>
      <c r="F479" s="24" t="s">
        <v>59</v>
      </c>
    </row>
    <row r="480">
      <c r="A480" s="24" t="s">
        <v>1906</v>
      </c>
      <c r="B480" s="24" t="s">
        <v>1907</v>
      </c>
      <c r="C480" s="24" t="s">
        <v>1908</v>
      </c>
      <c r="D480" s="24" t="s">
        <v>134</v>
      </c>
      <c r="E480" s="24" t="s">
        <v>1909</v>
      </c>
      <c r="F480" s="24" t="s">
        <v>59</v>
      </c>
    </row>
    <row r="481">
      <c r="A481" s="24" t="s">
        <v>1910</v>
      </c>
      <c r="B481" s="24" t="s">
        <v>1911</v>
      </c>
      <c r="C481" s="24" t="s">
        <v>1912</v>
      </c>
      <c r="D481" s="24" t="s">
        <v>124</v>
      </c>
      <c r="E481" s="24" t="s">
        <v>1913</v>
      </c>
      <c r="F481" s="24" t="s">
        <v>59</v>
      </c>
    </row>
    <row r="482">
      <c r="A482" s="24" t="s">
        <v>1914</v>
      </c>
      <c r="B482" s="24" t="s">
        <v>1915</v>
      </c>
      <c r="C482" s="24" t="s">
        <v>1916</v>
      </c>
      <c r="D482" s="24" t="s">
        <v>129</v>
      </c>
      <c r="E482" s="24" t="s">
        <v>1917</v>
      </c>
      <c r="F482" s="24" t="s">
        <v>59</v>
      </c>
    </row>
    <row r="483">
      <c r="A483" s="24" t="s">
        <v>1918</v>
      </c>
      <c r="B483" s="24" t="s">
        <v>1919</v>
      </c>
      <c r="C483" s="24" t="s">
        <v>1920</v>
      </c>
      <c r="D483" s="24" t="s">
        <v>124</v>
      </c>
      <c r="E483" s="24" t="s">
        <v>1921</v>
      </c>
      <c r="F483" s="24" t="s">
        <v>59</v>
      </c>
    </row>
    <row r="484">
      <c r="A484" s="24" t="s">
        <v>1922</v>
      </c>
      <c r="B484" s="24" t="s">
        <v>1923</v>
      </c>
      <c r="C484" s="24" t="s">
        <v>1924</v>
      </c>
      <c r="D484" s="24" t="s">
        <v>124</v>
      </c>
      <c r="E484" s="24" t="s">
        <v>1925</v>
      </c>
      <c r="F484" s="24" t="s">
        <v>59</v>
      </c>
    </row>
    <row r="485">
      <c r="A485" s="24" t="s">
        <v>1926</v>
      </c>
      <c r="B485" s="24" t="s">
        <v>1927</v>
      </c>
      <c r="C485" s="24" t="s">
        <v>1928</v>
      </c>
      <c r="D485" s="24" t="s">
        <v>124</v>
      </c>
      <c r="E485" s="24" t="s">
        <v>1929</v>
      </c>
      <c r="F485" s="24" t="s">
        <v>59</v>
      </c>
    </row>
    <row r="486">
      <c r="A486" s="24" t="s">
        <v>1930</v>
      </c>
      <c r="B486" s="24" t="s">
        <v>1931</v>
      </c>
      <c r="C486" s="24" t="s">
        <v>1932</v>
      </c>
      <c r="D486" s="24" t="s">
        <v>124</v>
      </c>
      <c r="E486" s="24" t="s">
        <v>1933</v>
      </c>
      <c r="F486" s="24" t="s">
        <v>59</v>
      </c>
    </row>
    <row r="487">
      <c r="A487" s="24" t="s">
        <v>1934</v>
      </c>
      <c r="B487" s="24" t="s">
        <v>1935</v>
      </c>
      <c r="C487" s="24" t="s">
        <v>1936</v>
      </c>
      <c r="D487" s="24" t="s">
        <v>124</v>
      </c>
      <c r="E487" s="24" t="s">
        <v>1937</v>
      </c>
      <c r="F487" s="24" t="s">
        <v>59</v>
      </c>
    </row>
    <row r="488">
      <c r="A488" s="24" t="s">
        <v>1938</v>
      </c>
      <c r="B488" s="24" t="s">
        <v>1939</v>
      </c>
      <c r="C488" s="24" t="s">
        <v>1940</v>
      </c>
      <c r="D488" s="24" t="s">
        <v>124</v>
      </c>
      <c r="E488" s="24" t="s">
        <v>1941</v>
      </c>
      <c r="F488" s="24" t="s">
        <v>59</v>
      </c>
    </row>
    <row r="489">
      <c r="A489" s="24" t="s">
        <v>1942</v>
      </c>
      <c r="B489" s="24" t="s">
        <v>1943</v>
      </c>
      <c r="C489" s="24" t="s">
        <v>1944</v>
      </c>
      <c r="D489" s="24" t="s">
        <v>124</v>
      </c>
      <c r="E489" s="24" t="s">
        <v>1945</v>
      </c>
      <c r="F489" s="24" t="s">
        <v>59</v>
      </c>
    </row>
    <row r="490">
      <c r="A490" s="24" t="s">
        <v>1946</v>
      </c>
      <c r="B490" s="24" t="s">
        <v>1947</v>
      </c>
      <c r="C490" s="24" t="s">
        <v>1948</v>
      </c>
      <c r="D490" s="24" t="s">
        <v>124</v>
      </c>
      <c r="E490" s="24" t="s">
        <v>1949</v>
      </c>
      <c r="F490" s="24" t="s">
        <v>59</v>
      </c>
    </row>
    <row r="491">
      <c r="A491" s="24" t="s">
        <v>1950</v>
      </c>
      <c r="B491" s="24" t="s">
        <v>1951</v>
      </c>
      <c r="C491" s="24" t="s">
        <v>1952</v>
      </c>
      <c r="D491" s="24" t="s">
        <v>129</v>
      </c>
      <c r="E491" s="24" t="s">
        <v>1953</v>
      </c>
      <c r="F491" s="24" t="s">
        <v>59</v>
      </c>
    </row>
    <row r="492">
      <c r="A492" s="24" t="s">
        <v>1954</v>
      </c>
      <c r="B492" s="24" t="s">
        <v>1955</v>
      </c>
      <c r="C492" s="24" t="s">
        <v>1956</v>
      </c>
      <c r="D492" s="24" t="s">
        <v>124</v>
      </c>
      <c r="E492" s="24" t="s">
        <v>1957</v>
      </c>
      <c r="F492" s="24" t="s">
        <v>59</v>
      </c>
    </row>
    <row r="493">
      <c r="A493" s="24" t="s">
        <v>1958</v>
      </c>
      <c r="B493" s="24" t="s">
        <v>1959</v>
      </c>
      <c r="C493" s="24" t="s">
        <v>1960</v>
      </c>
      <c r="D493" s="24" t="s">
        <v>129</v>
      </c>
      <c r="E493" s="24" t="s">
        <v>1961</v>
      </c>
      <c r="F493" s="24" t="s">
        <v>59</v>
      </c>
    </row>
    <row r="494">
      <c r="A494" s="24" t="s">
        <v>1962</v>
      </c>
      <c r="B494" s="24" t="s">
        <v>1963</v>
      </c>
      <c r="C494" s="24" t="s">
        <v>1964</v>
      </c>
      <c r="D494" s="24" t="s">
        <v>124</v>
      </c>
      <c r="E494" s="24" t="s">
        <v>1965</v>
      </c>
      <c r="F494" s="24" t="s">
        <v>59</v>
      </c>
    </row>
    <row r="495">
      <c r="A495" s="24" t="s">
        <v>1966</v>
      </c>
      <c r="B495" s="24" t="s">
        <v>1967</v>
      </c>
      <c r="C495" s="24" t="s">
        <v>1968</v>
      </c>
      <c r="D495" s="24" t="s">
        <v>129</v>
      </c>
      <c r="E495" s="24" t="s">
        <v>1969</v>
      </c>
      <c r="F495" s="24" t="s">
        <v>59</v>
      </c>
    </row>
    <row r="496">
      <c r="A496" s="24" t="s">
        <v>1970</v>
      </c>
      <c r="B496" s="24" t="s">
        <v>1971</v>
      </c>
      <c r="C496" s="24" t="s">
        <v>1972</v>
      </c>
      <c r="D496" s="24" t="s">
        <v>124</v>
      </c>
      <c r="E496" s="24" t="s">
        <v>1973</v>
      </c>
      <c r="F496" s="24" t="s">
        <v>59</v>
      </c>
    </row>
    <row r="497">
      <c r="A497" s="24" t="s">
        <v>1974</v>
      </c>
      <c r="B497" s="24" t="s">
        <v>1975</v>
      </c>
      <c r="C497" s="24" t="s">
        <v>1976</v>
      </c>
      <c r="D497" s="24" t="s">
        <v>124</v>
      </c>
      <c r="E497" s="24" t="s">
        <v>1977</v>
      </c>
      <c r="F497" s="24" t="s">
        <v>59</v>
      </c>
    </row>
    <row r="498">
      <c r="A498" s="24" t="s">
        <v>1978</v>
      </c>
      <c r="B498" s="24" t="s">
        <v>1979</v>
      </c>
      <c r="C498" s="24" t="s">
        <v>1980</v>
      </c>
      <c r="D498" s="24" t="s">
        <v>124</v>
      </c>
      <c r="E498" s="24" t="s">
        <v>1981</v>
      </c>
      <c r="F498" s="24" t="s">
        <v>59</v>
      </c>
    </row>
    <row r="499">
      <c r="A499" s="24" t="s">
        <v>1982</v>
      </c>
      <c r="B499" s="24" t="s">
        <v>1983</v>
      </c>
      <c r="C499" s="24" t="s">
        <v>1984</v>
      </c>
      <c r="D499" s="24" t="s">
        <v>264</v>
      </c>
      <c r="E499" s="24" t="s">
        <v>1985</v>
      </c>
      <c r="F499" s="24" t="s">
        <v>59</v>
      </c>
    </row>
    <row r="500">
      <c r="A500" s="24" t="s">
        <v>1986</v>
      </c>
      <c r="B500" s="24" t="s">
        <v>1987</v>
      </c>
      <c r="C500" s="24" t="s">
        <v>1988</v>
      </c>
      <c r="D500" s="24" t="s">
        <v>124</v>
      </c>
      <c r="E500" s="24" t="s">
        <v>1989</v>
      </c>
      <c r="F500" s="24" t="s">
        <v>59</v>
      </c>
    </row>
    <row r="501">
      <c r="A501" s="24" t="s">
        <v>1990</v>
      </c>
      <c r="B501" s="24" t="s">
        <v>1991</v>
      </c>
      <c r="C501" s="24" t="s">
        <v>1992</v>
      </c>
      <c r="D501" s="24" t="s">
        <v>134</v>
      </c>
      <c r="E501" s="24" t="s">
        <v>1993</v>
      </c>
      <c r="F501" s="24" t="s">
        <v>59</v>
      </c>
    </row>
    <row r="502">
      <c r="A502" s="24" t="s">
        <v>1994</v>
      </c>
      <c r="B502" s="24" t="s">
        <v>1995</v>
      </c>
      <c r="C502" s="24" t="s">
        <v>1996</v>
      </c>
      <c r="D502" s="24" t="s">
        <v>134</v>
      </c>
      <c r="E502" s="24" t="s">
        <v>1997</v>
      </c>
      <c r="F502" s="24" t="s">
        <v>59</v>
      </c>
    </row>
    <row r="503">
      <c r="A503" s="24" t="s">
        <v>1998</v>
      </c>
      <c r="B503" s="24" t="s">
        <v>1999</v>
      </c>
      <c r="C503" s="24" t="s">
        <v>2000</v>
      </c>
      <c r="D503" s="24" t="s">
        <v>124</v>
      </c>
      <c r="E503" s="24" t="s">
        <v>2001</v>
      </c>
      <c r="F503" s="24" t="s">
        <v>59</v>
      </c>
    </row>
    <row r="504">
      <c r="A504" s="24" t="s">
        <v>2002</v>
      </c>
      <c r="B504" s="24" t="s">
        <v>2003</v>
      </c>
      <c r="C504" s="24" t="s">
        <v>2004</v>
      </c>
      <c r="D504" s="24" t="s">
        <v>124</v>
      </c>
      <c r="E504" s="24" t="s">
        <v>2005</v>
      </c>
      <c r="F504" s="24" t="s">
        <v>59</v>
      </c>
    </row>
    <row r="505">
      <c r="A505" s="24" t="s">
        <v>2006</v>
      </c>
      <c r="B505" s="24" t="s">
        <v>2007</v>
      </c>
      <c r="C505" s="24" t="s">
        <v>2008</v>
      </c>
      <c r="D505" s="24" t="s">
        <v>129</v>
      </c>
      <c r="E505" s="24" t="s">
        <v>2009</v>
      </c>
      <c r="F505" s="24" t="s">
        <v>59</v>
      </c>
    </row>
    <row r="506">
      <c r="A506" s="24" t="s">
        <v>2010</v>
      </c>
      <c r="B506" s="24" t="s">
        <v>2011</v>
      </c>
      <c r="C506" s="24" t="s">
        <v>2012</v>
      </c>
      <c r="D506" s="24" t="s">
        <v>124</v>
      </c>
      <c r="E506" s="24" t="s">
        <v>2013</v>
      </c>
      <c r="F506" s="24" t="s">
        <v>59</v>
      </c>
    </row>
    <row r="507">
      <c r="A507" s="24" t="s">
        <v>2014</v>
      </c>
      <c r="B507" s="24" t="s">
        <v>2015</v>
      </c>
      <c r="C507" s="24" t="s">
        <v>2016</v>
      </c>
      <c r="D507" s="24" t="s">
        <v>124</v>
      </c>
      <c r="E507" s="24" t="s">
        <v>2017</v>
      </c>
      <c r="F507" s="24" t="s">
        <v>59</v>
      </c>
    </row>
    <row r="508">
      <c r="A508" s="24" t="s">
        <v>2018</v>
      </c>
      <c r="B508" s="24" t="s">
        <v>2019</v>
      </c>
      <c r="C508" s="24" t="s">
        <v>2020</v>
      </c>
      <c r="D508" s="24" t="s">
        <v>124</v>
      </c>
      <c r="E508" s="24" t="s">
        <v>2021</v>
      </c>
      <c r="F508" s="24" t="s">
        <v>59</v>
      </c>
    </row>
    <row r="509">
      <c r="A509" s="24" t="s">
        <v>2022</v>
      </c>
      <c r="B509" s="24" t="s">
        <v>2023</v>
      </c>
      <c r="C509" s="24" t="s">
        <v>2024</v>
      </c>
      <c r="D509" s="24" t="s">
        <v>264</v>
      </c>
      <c r="E509" s="24" t="s">
        <v>2025</v>
      </c>
      <c r="F509" s="24" t="s">
        <v>59</v>
      </c>
    </row>
    <row r="510">
      <c r="A510" s="24" t="s">
        <v>2026</v>
      </c>
      <c r="B510" s="24" t="s">
        <v>2027</v>
      </c>
      <c r="C510" s="24" t="s">
        <v>2028</v>
      </c>
      <c r="D510" s="24" t="s">
        <v>134</v>
      </c>
      <c r="E510" s="24" t="s">
        <v>2029</v>
      </c>
      <c r="F510" s="24" t="s">
        <v>59</v>
      </c>
    </row>
    <row r="511">
      <c r="A511" s="24" t="s">
        <v>2030</v>
      </c>
      <c r="B511" s="24" t="s">
        <v>2031</v>
      </c>
      <c r="C511" s="24" t="s">
        <v>2032</v>
      </c>
      <c r="D511" s="24" t="s">
        <v>124</v>
      </c>
      <c r="E511" s="24" t="s">
        <v>2033</v>
      </c>
      <c r="F511" s="24" t="s">
        <v>59</v>
      </c>
    </row>
    <row r="512">
      <c r="A512" s="24" t="s">
        <v>2034</v>
      </c>
      <c r="B512" s="24" t="s">
        <v>2035</v>
      </c>
      <c r="C512" s="24" t="s">
        <v>2036</v>
      </c>
      <c r="D512" s="24" t="s">
        <v>129</v>
      </c>
      <c r="E512" s="24" t="s">
        <v>2037</v>
      </c>
      <c r="F512" s="24" t="s">
        <v>59</v>
      </c>
    </row>
    <row r="513">
      <c r="A513" s="24" t="s">
        <v>2038</v>
      </c>
      <c r="B513" s="24" t="s">
        <v>2039</v>
      </c>
      <c r="C513" s="24" t="s">
        <v>2040</v>
      </c>
      <c r="D513" s="24" t="s">
        <v>134</v>
      </c>
      <c r="E513" s="24" t="s">
        <v>2041</v>
      </c>
      <c r="F513" s="24" t="s">
        <v>59</v>
      </c>
    </row>
    <row r="514">
      <c r="A514" s="24" t="s">
        <v>2042</v>
      </c>
      <c r="B514" s="24" t="s">
        <v>2043</v>
      </c>
      <c r="C514" s="24" t="s">
        <v>2044</v>
      </c>
      <c r="D514" s="24" t="s">
        <v>129</v>
      </c>
      <c r="E514" s="24" t="s">
        <v>2045</v>
      </c>
      <c r="F514" s="24" t="s">
        <v>59</v>
      </c>
    </row>
    <row r="515">
      <c r="A515" s="24" t="s">
        <v>2046</v>
      </c>
      <c r="B515" s="24" t="s">
        <v>2047</v>
      </c>
      <c r="C515" s="24" t="s">
        <v>2048</v>
      </c>
      <c r="D515" s="24" t="s">
        <v>129</v>
      </c>
      <c r="E515" s="24" t="s">
        <v>2049</v>
      </c>
      <c r="F515" s="24" t="s">
        <v>59</v>
      </c>
    </row>
    <row r="516">
      <c r="A516" s="24" t="s">
        <v>2050</v>
      </c>
      <c r="B516" s="24" t="s">
        <v>2051</v>
      </c>
      <c r="C516" s="24" t="s">
        <v>2052</v>
      </c>
      <c r="D516" s="24" t="s">
        <v>129</v>
      </c>
      <c r="E516" s="24" t="s">
        <v>2053</v>
      </c>
      <c r="F516" s="24" t="s">
        <v>59</v>
      </c>
    </row>
    <row r="517">
      <c r="A517" s="24" t="s">
        <v>2054</v>
      </c>
      <c r="B517" s="24" t="s">
        <v>2055</v>
      </c>
      <c r="C517" s="24" t="s">
        <v>2056</v>
      </c>
      <c r="D517" s="24" t="s">
        <v>129</v>
      </c>
      <c r="E517" s="24" t="s">
        <v>2057</v>
      </c>
      <c r="F517" s="24" t="s">
        <v>59</v>
      </c>
    </row>
    <row r="518">
      <c r="A518" s="24" t="s">
        <v>2058</v>
      </c>
      <c r="B518" s="24" t="s">
        <v>2059</v>
      </c>
      <c r="C518" s="24" t="s">
        <v>2060</v>
      </c>
      <c r="D518" s="24" t="s">
        <v>264</v>
      </c>
      <c r="E518" s="24" t="s">
        <v>2061</v>
      </c>
      <c r="F518" s="24" t="s">
        <v>59</v>
      </c>
    </row>
    <row r="519">
      <c r="A519" s="24" t="s">
        <v>2062</v>
      </c>
      <c r="B519" s="24" t="s">
        <v>2063</v>
      </c>
      <c r="C519" s="24" t="s">
        <v>2064</v>
      </c>
      <c r="D519" s="24" t="s">
        <v>129</v>
      </c>
      <c r="E519" s="24" t="s">
        <v>2065</v>
      </c>
      <c r="F519" s="24" t="s">
        <v>59</v>
      </c>
    </row>
    <row r="520">
      <c r="A520" s="24" t="s">
        <v>2066</v>
      </c>
      <c r="B520" s="24" t="s">
        <v>2067</v>
      </c>
      <c r="C520" s="24" t="s">
        <v>2068</v>
      </c>
      <c r="D520" s="24" t="s">
        <v>129</v>
      </c>
      <c r="E520" s="24" t="s">
        <v>2069</v>
      </c>
      <c r="F520" s="24" t="s">
        <v>59</v>
      </c>
    </row>
    <row r="521">
      <c r="A521" s="24" t="s">
        <v>2070</v>
      </c>
      <c r="B521" s="24" t="s">
        <v>2071</v>
      </c>
      <c r="C521" s="24" t="s">
        <v>2072</v>
      </c>
      <c r="D521" s="24" t="s">
        <v>129</v>
      </c>
      <c r="E521" s="24" t="s">
        <v>2073</v>
      </c>
      <c r="F521" s="24" t="s">
        <v>59</v>
      </c>
    </row>
    <row r="522">
      <c r="A522" s="24" t="s">
        <v>2074</v>
      </c>
      <c r="B522" s="24" t="s">
        <v>2075</v>
      </c>
      <c r="C522" s="24" t="s">
        <v>2076</v>
      </c>
      <c r="D522" s="24" t="s">
        <v>124</v>
      </c>
      <c r="E522" s="24" t="s">
        <v>2077</v>
      </c>
      <c r="F522" s="24" t="s">
        <v>59</v>
      </c>
    </row>
    <row r="523">
      <c r="A523" s="24" t="s">
        <v>2078</v>
      </c>
      <c r="B523" s="24" t="s">
        <v>2079</v>
      </c>
      <c r="C523" s="24" t="s">
        <v>2080</v>
      </c>
      <c r="D523" s="24" t="s">
        <v>129</v>
      </c>
      <c r="E523" s="24" t="s">
        <v>2081</v>
      </c>
      <c r="F523" s="24" t="s">
        <v>59</v>
      </c>
    </row>
    <row r="524">
      <c r="A524" s="24" t="s">
        <v>2082</v>
      </c>
      <c r="B524" s="24" t="s">
        <v>2083</v>
      </c>
      <c r="C524" s="24" t="s">
        <v>2084</v>
      </c>
      <c r="D524" s="24" t="s">
        <v>124</v>
      </c>
      <c r="E524" s="24" t="s">
        <v>2085</v>
      </c>
      <c r="F524" s="24" t="s">
        <v>59</v>
      </c>
    </row>
    <row r="525">
      <c r="A525" s="24" t="s">
        <v>2086</v>
      </c>
      <c r="B525" s="24" t="s">
        <v>2087</v>
      </c>
      <c r="C525" s="24" t="s">
        <v>2088</v>
      </c>
      <c r="D525" s="24" t="s">
        <v>124</v>
      </c>
      <c r="E525" s="24" t="s">
        <v>2089</v>
      </c>
      <c r="F525" s="24" t="s">
        <v>59</v>
      </c>
    </row>
    <row r="526">
      <c r="A526" s="24" t="s">
        <v>2090</v>
      </c>
      <c r="B526" s="24" t="s">
        <v>2091</v>
      </c>
      <c r="C526" s="24" t="s">
        <v>2092</v>
      </c>
      <c r="D526" s="24" t="s">
        <v>124</v>
      </c>
      <c r="E526" s="24" t="s">
        <v>2093</v>
      </c>
      <c r="F526" s="24" t="s">
        <v>59</v>
      </c>
    </row>
    <row r="527">
      <c r="A527" s="24" t="s">
        <v>2094</v>
      </c>
      <c r="B527" s="24" t="s">
        <v>2095</v>
      </c>
      <c r="C527" s="24" t="s">
        <v>2096</v>
      </c>
      <c r="D527" s="24" t="s">
        <v>124</v>
      </c>
      <c r="E527" s="24" t="s">
        <v>2097</v>
      </c>
      <c r="F527" s="24" t="s">
        <v>59</v>
      </c>
    </row>
    <row r="528">
      <c r="A528" s="24" t="s">
        <v>2098</v>
      </c>
      <c r="B528" s="24" t="s">
        <v>2099</v>
      </c>
      <c r="C528" s="24" t="s">
        <v>2100</v>
      </c>
      <c r="D528" s="24" t="s">
        <v>124</v>
      </c>
      <c r="E528" s="24" t="s">
        <v>2101</v>
      </c>
      <c r="F528" s="24" t="s">
        <v>59</v>
      </c>
    </row>
    <row r="529">
      <c r="A529" s="24" t="s">
        <v>2102</v>
      </c>
      <c r="B529" s="24" t="s">
        <v>2103</v>
      </c>
      <c r="C529" s="24" t="s">
        <v>2104</v>
      </c>
      <c r="D529" s="24" t="s">
        <v>129</v>
      </c>
      <c r="E529" s="24" t="s">
        <v>2105</v>
      </c>
      <c r="F529" s="24" t="s">
        <v>59</v>
      </c>
    </row>
    <row r="530">
      <c r="A530" s="24" t="s">
        <v>2106</v>
      </c>
      <c r="B530" s="24" t="s">
        <v>2107</v>
      </c>
      <c r="C530" s="24" t="s">
        <v>2108</v>
      </c>
      <c r="D530" s="24" t="s">
        <v>129</v>
      </c>
      <c r="E530" s="24" t="s">
        <v>2109</v>
      </c>
      <c r="F530" s="24" t="s">
        <v>59</v>
      </c>
    </row>
    <row r="531">
      <c r="A531" s="24" t="s">
        <v>2110</v>
      </c>
      <c r="B531" s="24" t="s">
        <v>2111</v>
      </c>
      <c r="C531" s="24" t="s">
        <v>2112</v>
      </c>
      <c r="D531" s="24" t="s">
        <v>129</v>
      </c>
      <c r="E531" s="24" t="s">
        <v>2113</v>
      </c>
      <c r="F531" s="24" t="s">
        <v>59</v>
      </c>
    </row>
    <row r="532">
      <c r="A532" s="24" t="s">
        <v>2114</v>
      </c>
      <c r="B532" s="24" t="s">
        <v>2115</v>
      </c>
      <c r="C532" s="24" t="s">
        <v>2116</v>
      </c>
      <c r="D532" s="24" t="s">
        <v>134</v>
      </c>
      <c r="E532" s="24" t="s">
        <v>2117</v>
      </c>
      <c r="F532" s="24" t="s">
        <v>59</v>
      </c>
    </row>
    <row r="533">
      <c r="A533" s="24" t="s">
        <v>2118</v>
      </c>
      <c r="B533" s="24" t="s">
        <v>2119</v>
      </c>
      <c r="C533" s="24" t="s">
        <v>2120</v>
      </c>
      <c r="D533" s="24" t="s">
        <v>124</v>
      </c>
      <c r="E533" s="24" t="s">
        <v>2121</v>
      </c>
      <c r="F533" s="24" t="s">
        <v>59</v>
      </c>
    </row>
    <row r="534">
      <c r="A534" s="24" t="s">
        <v>2122</v>
      </c>
      <c r="B534" s="24" t="s">
        <v>2123</v>
      </c>
      <c r="C534" s="24" t="s">
        <v>2124</v>
      </c>
      <c r="D534" s="24" t="s">
        <v>124</v>
      </c>
      <c r="E534" s="24" t="s">
        <v>2125</v>
      </c>
      <c r="F534" s="24" t="s">
        <v>59</v>
      </c>
    </row>
    <row r="535">
      <c r="A535" s="24" t="s">
        <v>2126</v>
      </c>
      <c r="B535" s="24" t="s">
        <v>2127</v>
      </c>
      <c r="C535" s="24" t="s">
        <v>2128</v>
      </c>
      <c r="D535" s="24" t="s">
        <v>124</v>
      </c>
      <c r="E535" s="24" t="s">
        <v>2129</v>
      </c>
      <c r="F535" s="24" t="s">
        <v>59</v>
      </c>
    </row>
    <row r="536">
      <c r="A536" s="24" t="s">
        <v>2130</v>
      </c>
      <c r="B536" s="24" t="s">
        <v>2131</v>
      </c>
      <c r="C536" s="24" t="s">
        <v>2132</v>
      </c>
      <c r="D536" s="24" t="s">
        <v>134</v>
      </c>
      <c r="E536" s="24" t="s">
        <v>2133</v>
      </c>
      <c r="F536" s="24" t="s">
        <v>59</v>
      </c>
    </row>
    <row r="537">
      <c r="A537" s="24" t="s">
        <v>2134</v>
      </c>
      <c r="B537" s="24" t="s">
        <v>2135</v>
      </c>
      <c r="C537" s="24" t="s">
        <v>2136</v>
      </c>
      <c r="D537" s="24" t="s">
        <v>124</v>
      </c>
      <c r="E537" s="24" t="s">
        <v>2137</v>
      </c>
      <c r="F537" s="24" t="s">
        <v>59</v>
      </c>
    </row>
    <row r="538">
      <c r="A538" s="24" t="s">
        <v>2138</v>
      </c>
      <c r="B538" s="24" t="s">
        <v>2139</v>
      </c>
      <c r="C538" s="24" t="s">
        <v>2140</v>
      </c>
      <c r="D538" s="24" t="s">
        <v>124</v>
      </c>
      <c r="E538" s="24" t="s">
        <v>2141</v>
      </c>
      <c r="F538" s="24" t="s">
        <v>59</v>
      </c>
    </row>
    <row r="539">
      <c r="A539" s="24" t="s">
        <v>2142</v>
      </c>
      <c r="B539" s="24" t="s">
        <v>2143</v>
      </c>
      <c r="C539" s="24" t="s">
        <v>2144</v>
      </c>
      <c r="D539" s="24" t="s">
        <v>264</v>
      </c>
      <c r="E539" s="24" t="s">
        <v>2145</v>
      </c>
      <c r="F539" s="24" t="s">
        <v>59</v>
      </c>
    </row>
    <row r="540">
      <c r="A540" s="24" t="s">
        <v>2146</v>
      </c>
      <c r="B540" s="24" t="s">
        <v>2147</v>
      </c>
      <c r="C540" s="24" t="s">
        <v>2148</v>
      </c>
      <c r="D540" s="24" t="s">
        <v>124</v>
      </c>
      <c r="E540" s="24" t="s">
        <v>2149</v>
      </c>
      <c r="F540" s="24" t="s">
        <v>59</v>
      </c>
    </row>
    <row r="541">
      <c r="A541" s="24" t="s">
        <v>2150</v>
      </c>
      <c r="B541" s="24" t="s">
        <v>2151</v>
      </c>
      <c r="C541" s="24" t="s">
        <v>2152</v>
      </c>
      <c r="D541" s="24" t="s">
        <v>129</v>
      </c>
      <c r="E541" s="24" t="s">
        <v>2153</v>
      </c>
      <c r="F541" s="24" t="s">
        <v>59</v>
      </c>
    </row>
    <row r="542">
      <c r="A542" s="24" t="s">
        <v>2154</v>
      </c>
      <c r="B542" s="24" t="s">
        <v>2155</v>
      </c>
      <c r="C542" s="24" t="s">
        <v>2156</v>
      </c>
      <c r="D542" s="24" t="s">
        <v>124</v>
      </c>
      <c r="E542" s="24" t="s">
        <v>2157</v>
      </c>
      <c r="F542" s="24" t="s">
        <v>59</v>
      </c>
    </row>
    <row r="543">
      <c r="A543" s="24" t="s">
        <v>2158</v>
      </c>
      <c r="B543" s="24" t="s">
        <v>2159</v>
      </c>
      <c r="C543" s="24" t="s">
        <v>2160</v>
      </c>
      <c r="D543" s="24" t="s">
        <v>124</v>
      </c>
      <c r="E543" s="24" t="s">
        <v>2161</v>
      </c>
      <c r="F543" s="24" t="s">
        <v>59</v>
      </c>
    </row>
    <row r="544">
      <c r="A544" s="24" t="s">
        <v>2162</v>
      </c>
      <c r="B544" s="24" t="s">
        <v>2163</v>
      </c>
      <c r="C544" s="24" t="s">
        <v>2164</v>
      </c>
      <c r="D544" s="24" t="s">
        <v>129</v>
      </c>
      <c r="E544" s="24" t="s">
        <v>2165</v>
      </c>
      <c r="F544" s="24" t="s">
        <v>59</v>
      </c>
    </row>
    <row r="545">
      <c r="A545" s="24" t="s">
        <v>2166</v>
      </c>
      <c r="B545" s="24" t="s">
        <v>2167</v>
      </c>
      <c r="C545" s="24" t="s">
        <v>2168</v>
      </c>
      <c r="D545" s="24" t="s">
        <v>129</v>
      </c>
      <c r="E545" s="24" t="s">
        <v>2169</v>
      </c>
      <c r="F545" s="24" t="s">
        <v>59</v>
      </c>
    </row>
    <row r="546">
      <c r="A546" s="24" t="s">
        <v>2170</v>
      </c>
      <c r="B546" s="24" t="s">
        <v>2171</v>
      </c>
      <c r="C546" s="24" t="s">
        <v>2172</v>
      </c>
      <c r="D546" s="24" t="s">
        <v>129</v>
      </c>
      <c r="E546" s="24" t="s">
        <v>2173</v>
      </c>
      <c r="F546" s="24" t="s">
        <v>59</v>
      </c>
    </row>
    <row r="547">
      <c r="A547" s="24" t="s">
        <v>2174</v>
      </c>
      <c r="B547" s="24" t="s">
        <v>2175</v>
      </c>
      <c r="C547" s="24" t="s">
        <v>2176</v>
      </c>
      <c r="D547" s="24" t="s">
        <v>124</v>
      </c>
      <c r="E547" s="24" t="s">
        <v>2177</v>
      </c>
      <c r="F547" s="24" t="s">
        <v>59</v>
      </c>
    </row>
    <row r="548">
      <c r="A548" s="24" t="s">
        <v>2178</v>
      </c>
      <c r="B548" s="24" t="s">
        <v>2179</v>
      </c>
      <c r="C548" s="24" t="s">
        <v>2180</v>
      </c>
      <c r="D548" s="24" t="s">
        <v>124</v>
      </c>
      <c r="E548" s="24" t="s">
        <v>2181</v>
      </c>
      <c r="F548" s="24" t="s">
        <v>59</v>
      </c>
    </row>
    <row r="549">
      <c r="A549" s="24" t="s">
        <v>2182</v>
      </c>
      <c r="B549" s="24" t="s">
        <v>2183</v>
      </c>
      <c r="C549" s="24" t="s">
        <v>2184</v>
      </c>
      <c r="D549" s="24" t="s">
        <v>134</v>
      </c>
      <c r="E549" s="24" t="s">
        <v>2185</v>
      </c>
      <c r="F549" s="24" t="s">
        <v>59</v>
      </c>
    </row>
    <row r="550">
      <c r="A550" s="24" t="s">
        <v>2186</v>
      </c>
      <c r="B550" s="24" t="s">
        <v>2187</v>
      </c>
      <c r="C550" s="24" t="s">
        <v>2188</v>
      </c>
      <c r="D550" s="24" t="s">
        <v>124</v>
      </c>
      <c r="E550" s="24" t="s">
        <v>2189</v>
      </c>
      <c r="F550" s="24" t="s">
        <v>59</v>
      </c>
    </row>
    <row r="551">
      <c r="A551" s="24" t="s">
        <v>2190</v>
      </c>
      <c r="B551" s="24" t="s">
        <v>2191</v>
      </c>
      <c r="C551" s="24" t="s">
        <v>2192</v>
      </c>
      <c r="D551" s="24" t="s">
        <v>124</v>
      </c>
      <c r="E551" s="24" t="s">
        <v>2193</v>
      </c>
      <c r="F551" s="24" t="s">
        <v>59</v>
      </c>
    </row>
    <row r="552">
      <c r="A552" s="24" t="s">
        <v>2194</v>
      </c>
      <c r="B552" s="24" t="s">
        <v>2195</v>
      </c>
      <c r="C552" s="24" t="s">
        <v>2196</v>
      </c>
      <c r="D552" s="24" t="s">
        <v>124</v>
      </c>
      <c r="E552" s="24" t="s">
        <v>2197</v>
      </c>
      <c r="F552" s="24" t="s">
        <v>59</v>
      </c>
    </row>
    <row r="553">
      <c r="A553" s="24" t="s">
        <v>2198</v>
      </c>
      <c r="B553" s="24" t="s">
        <v>2199</v>
      </c>
      <c r="C553" s="24" t="s">
        <v>2200</v>
      </c>
      <c r="D553" s="24" t="s">
        <v>134</v>
      </c>
      <c r="E553" s="24" t="s">
        <v>2201</v>
      </c>
      <c r="F553" s="24" t="s">
        <v>59</v>
      </c>
    </row>
    <row r="554">
      <c r="A554" s="24" t="s">
        <v>2202</v>
      </c>
      <c r="B554" s="24" t="s">
        <v>2203</v>
      </c>
      <c r="C554" s="24" t="s">
        <v>2204</v>
      </c>
      <c r="D554" s="24" t="s">
        <v>129</v>
      </c>
      <c r="E554" s="24" t="s">
        <v>2205</v>
      </c>
      <c r="F554" s="24" t="s">
        <v>59</v>
      </c>
    </row>
    <row r="555">
      <c r="A555" s="24" t="s">
        <v>2206</v>
      </c>
      <c r="B555" s="24" t="s">
        <v>2207</v>
      </c>
      <c r="C555" s="24" t="s">
        <v>2208</v>
      </c>
      <c r="D555" s="24" t="s">
        <v>124</v>
      </c>
      <c r="E555" s="24" t="s">
        <v>2209</v>
      </c>
      <c r="F555" s="24" t="s">
        <v>59</v>
      </c>
    </row>
    <row r="556">
      <c r="A556" s="24" t="s">
        <v>2210</v>
      </c>
      <c r="B556" s="24" t="s">
        <v>2211</v>
      </c>
      <c r="C556" s="24" t="s">
        <v>2212</v>
      </c>
      <c r="D556" s="24" t="s">
        <v>124</v>
      </c>
      <c r="E556" s="24" t="s">
        <v>2213</v>
      </c>
      <c r="F556" s="24" t="s">
        <v>59</v>
      </c>
    </row>
    <row r="557">
      <c r="A557" s="24" t="s">
        <v>2214</v>
      </c>
      <c r="B557" s="24" t="s">
        <v>2215</v>
      </c>
      <c r="C557" s="24" t="s">
        <v>2216</v>
      </c>
      <c r="D557" s="24" t="s">
        <v>129</v>
      </c>
      <c r="E557" s="24" t="s">
        <v>2217</v>
      </c>
      <c r="F557" s="24" t="s">
        <v>59</v>
      </c>
    </row>
    <row r="558">
      <c r="A558" s="24" t="s">
        <v>2218</v>
      </c>
      <c r="B558" s="24" t="s">
        <v>2219</v>
      </c>
      <c r="C558" s="24" t="s">
        <v>2220</v>
      </c>
      <c r="D558" s="24" t="s">
        <v>129</v>
      </c>
      <c r="E558" s="24" t="s">
        <v>2221</v>
      </c>
      <c r="F558" s="24" t="s">
        <v>59</v>
      </c>
    </row>
    <row r="559">
      <c r="A559" s="24" t="s">
        <v>2222</v>
      </c>
      <c r="B559" s="24" t="s">
        <v>2223</v>
      </c>
      <c r="C559" s="24" t="s">
        <v>2224</v>
      </c>
      <c r="D559" s="24" t="s">
        <v>264</v>
      </c>
      <c r="E559" s="24" t="s">
        <v>2225</v>
      </c>
      <c r="F559" s="24" t="s">
        <v>59</v>
      </c>
    </row>
    <row r="560">
      <c r="A560" s="24" t="s">
        <v>2226</v>
      </c>
      <c r="B560" s="24" t="s">
        <v>2227</v>
      </c>
      <c r="C560" s="24" t="s">
        <v>2228</v>
      </c>
      <c r="D560" s="24" t="s">
        <v>124</v>
      </c>
      <c r="E560" s="24" t="s">
        <v>2229</v>
      </c>
      <c r="F560" s="24" t="s">
        <v>59</v>
      </c>
    </row>
    <row r="561">
      <c r="A561" s="24" t="s">
        <v>2230</v>
      </c>
      <c r="B561" s="24" t="s">
        <v>2231</v>
      </c>
      <c r="C561" s="24" t="s">
        <v>2232</v>
      </c>
      <c r="D561" s="24" t="s">
        <v>124</v>
      </c>
      <c r="E561" s="24" t="s">
        <v>2233</v>
      </c>
      <c r="F561" s="24" t="s">
        <v>59</v>
      </c>
    </row>
    <row r="562">
      <c r="A562" s="24" t="s">
        <v>2234</v>
      </c>
      <c r="B562" s="24" t="s">
        <v>2235</v>
      </c>
      <c r="C562" s="24" t="s">
        <v>2236</v>
      </c>
      <c r="D562" s="24" t="s">
        <v>129</v>
      </c>
      <c r="E562" s="24" t="s">
        <v>2237</v>
      </c>
      <c r="F562" s="24" t="s">
        <v>59</v>
      </c>
    </row>
    <row r="563">
      <c r="A563" s="24" t="s">
        <v>2238</v>
      </c>
      <c r="B563" s="24" t="s">
        <v>2239</v>
      </c>
      <c r="C563" s="24" t="s">
        <v>2240</v>
      </c>
      <c r="D563" s="24" t="s">
        <v>129</v>
      </c>
      <c r="E563" s="24" t="s">
        <v>2241</v>
      </c>
      <c r="F563" s="24" t="s">
        <v>59</v>
      </c>
    </row>
    <row r="564">
      <c r="A564" s="24" t="s">
        <v>2242</v>
      </c>
      <c r="B564" s="24" t="s">
        <v>2243</v>
      </c>
      <c r="C564" s="24" t="s">
        <v>2244</v>
      </c>
      <c r="D564" s="24" t="s">
        <v>124</v>
      </c>
      <c r="E564" s="24" t="s">
        <v>2245</v>
      </c>
      <c r="F564" s="24" t="s">
        <v>59</v>
      </c>
    </row>
    <row r="565">
      <c r="A565" s="24" t="s">
        <v>2246</v>
      </c>
      <c r="B565" s="24" t="s">
        <v>2247</v>
      </c>
      <c r="C565" s="24" t="s">
        <v>2248</v>
      </c>
      <c r="D565" s="24" t="s">
        <v>134</v>
      </c>
      <c r="E565" s="24" t="s">
        <v>2249</v>
      </c>
      <c r="F565" s="24" t="s">
        <v>59</v>
      </c>
    </row>
    <row r="566">
      <c r="A566" s="24" t="s">
        <v>2250</v>
      </c>
      <c r="B566" s="24" t="s">
        <v>2251</v>
      </c>
      <c r="C566" s="24" t="s">
        <v>2252</v>
      </c>
      <c r="D566" s="24" t="s">
        <v>134</v>
      </c>
      <c r="E566" s="24" t="s">
        <v>2253</v>
      </c>
      <c r="F566" s="24" t="s">
        <v>59</v>
      </c>
    </row>
    <row r="567">
      <c r="A567" s="24" t="s">
        <v>2254</v>
      </c>
      <c r="B567" s="24" t="s">
        <v>2255</v>
      </c>
      <c r="C567" s="24" t="s">
        <v>2256</v>
      </c>
      <c r="D567" s="24" t="s">
        <v>124</v>
      </c>
      <c r="E567" s="24" t="s">
        <v>2257</v>
      </c>
      <c r="F567" s="24" t="s">
        <v>59</v>
      </c>
    </row>
    <row r="568">
      <c r="A568" s="24" t="s">
        <v>2258</v>
      </c>
      <c r="B568" s="24" t="s">
        <v>2259</v>
      </c>
      <c r="C568" s="24" t="s">
        <v>2260</v>
      </c>
      <c r="D568" s="24" t="s">
        <v>129</v>
      </c>
      <c r="E568" s="24" t="s">
        <v>2261</v>
      </c>
      <c r="F568" s="24" t="s">
        <v>59</v>
      </c>
    </row>
    <row r="569">
      <c r="A569" s="24" t="s">
        <v>2262</v>
      </c>
      <c r="B569" s="24" t="s">
        <v>2263</v>
      </c>
      <c r="C569" s="24" t="s">
        <v>2264</v>
      </c>
      <c r="D569" s="24" t="s">
        <v>129</v>
      </c>
      <c r="E569" s="24" t="s">
        <v>2265</v>
      </c>
      <c r="F569" s="24" t="s">
        <v>59</v>
      </c>
    </row>
    <row r="570">
      <c r="A570" s="24" t="s">
        <v>2266</v>
      </c>
      <c r="B570" s="24" t="s">
        <v>2267</v>
      </c>
      <c r="C570" s="24" t="s">
        <v>2268</v>
      </c>
      <c r="D570" s="24" t="s">
        <v>129</v>
      </c>
      <c r="E570" s="24" t="s">
        <v>2269</v>
      </c>
      <c r="F570" s="24" t="s">
        <v>59</v>
      </c>
    </row>
    <row r="571">
      <c r="A571" s="24" t="s">
        <v>2270</v>
      </c>
      <c r="B571" s="24" t="s">
        <v>2271</v>
      </c>
      <c r="C571" s="24" t="s">
        <v>2272</v>
      </c>
      <c r="D571" s="24" t="s">
        <v>124</v>
      </c>
      <c r="E571" s="24" t="s">
        <v>2273</v>
      </c>
      <c r="F571" s="24" t="s">
        <v>59</v>
      </c>
    </row>
    <row r="572">
      <c r="A572" s="24" t="s">
        <v>2274</v>
      </c>
      <c r="B572" s="24" t="s">
        <v>2275</v>
      </c>
      <c r="C572" s="24" t="s">
        <v>2276</v>
      </c>
      <c r="D572" s="24" t="s">
        <v>129</v>
      </c>
      <c r="E572" s="24" t="s">
        <v>2277</v>
      </c>
      <c r="F572" s="24" t="s">
        <v>59</v>
      </c>
    </row>
    <row r="573">
      <c r="A573" s="24" t="s">
        <v>2278</v>
      </c>
      <c r="B573" s="24" t="s">
        <v>2279</v>
      </c>
      <c r="C573" s="24" t="s">
        <v>2280</v>
      </c>
      <c r="D573" s="24" t="s">
        <v>124</v>
      </c>
      <c r="E573" s="24" t="s">
        <v>2281</v>
      </c>
      <c r="F573" s="24" t="s">
        <v>59</v>
      </c>
    </row>
    <row r="574">
      <c r="A574" s="24" t="s">
        <v>2282</v>
      </c>
      <c r="B574" s="24" t="s">
        <v>2283</v>
      </c>
      <c r="C574" s="24" t="s">
        <v>2284</v>
      </c>
      <c r="D574" s="24" t="s">
        <v>134</v>
      </c>
      <c r="E574" s="24" t="s">
        <v>2285</v>
      </c>
      <c r="F574" s="24" t="s">
        <v>59</v>
      </c>
    </row>
    <row r="575">
      <c r="A575" s="24" t="s">
        <v>2286</v>
      </c>
      <c r="B575" s="24" t="s">
        <v>2287</v>
      </c>
      <c r="C575" s="24" t="s">
        <v>2288</v>
      </c>
      <c r="D575" s="24" t="s">
        <v>124</v>
      </c>
      <c r="E575" s="24" t="s">
        <v>2289</v>
      </c>
      <c r="F575" s="24" t="s">
        <v>59</v>
      </c>
    </row>
    <row r="576">
      <c r="A576" s="24" t="s">
        <v>2290</v>
      </c>
      <c r="B576" s="24" t="s">
        <v>2291</v>
      </c>
      <c r="C576" s="24" t="s">
        <v>2292</v>
      </c>
      <c r="D576" s="24" t="s">
        <v>124</v>
      </c>
      <c r="E576" s="24" t="s">
        <v>2293</v>
      </c>
      <c r="F576" s="24" t="s">
        <v>59</v>
      </c>
    </row>
    <row r="577">
      <c r="A577" s="24" t="s">
        <v>2294</v>
      </c>
      <c r="B577" s="24" t="s">
        <v>2295</v>
      </c>
      <c r="C577" s="24" t="s">
        <v>2296</v>
      </c>
      <c r="D577" s="24" t="s">
        <v>124</v>
      </c>
      <c r="E577" s="24" t="s">
        <v>2297</v>
      </c>
      <c r="F577" s="24" t="s">
        <v>59</v>
      </c>
    </row>
    <row r="578">
      <c r="A578" s="24" t="s">
        <v>2298</v>
      </c>
      <c r="B578" s="24" t="s">
        <v>2299</v>
      </c>
      <c r="C578" s="24" t="s">
        <v>2300</v>
      </c>
      <c r="D578" s="24" t="s">
        <v>124</v>
      </c>
      <c r="E578" s="24" t="s">
        <v>2301</v>
      </c>
      <c r="F578" s="24" t="s">
        <v>59</v>
      </c>
    </row>
    <row r="579">
      <c r="A579" s="24" t="s">
        <v>2302</v>
      </c>
      <c r="B579" s="24" t="s">
        <v>2303</v>
      </c>
      <c r="C579" s="24" t="s">
        <v>2304</v>
      </c>
      <c r="D579" s="24" t="s">
        <v>124</v>
      </c>
      <c r="E579" s="24" t="s">
        <v>2305</v>
      </c>
      <c r="F579" s="24" t="s">
        <v>59</v>
      </c>
    </row>
    <row r="580">
      <c r="A580" s="24" t="s">
        <v>2306</v>
      </c>
      <c r="B580" s="24" t="s">
        <v>2307</v>
      </c>
      <c r="C580" s="24" t="s">
        <v>2308</v>
      </c>
      <c r="D580" s="24" t="s">
        <v>124</v>
      </c>
      <c r="E580" s="24" t="s">
        <v>2309</v>
      </c>
      <c r="F580" s="24" t="s">
        <v>59</v>
      </c>
    </row>
    <row r="581">
      <c r="A581" s="24" t="s">
        <v>2310</v>
      </c>
      <c r="B581" s="24" t="s">
        <v>2311</v>
      </c>
      <c r="C581" s="24" t="s">
        <v>2312</v>
      </c>
      <c r="D581" s="24" t="s">
        <v>124</v>
      </c>
      <c r="E581" s="24" t="s">
        <v>2313</v>
      </c>
      <c r="F581" s="24" t="s">
        <v>59</v>
      </c>
    </row>
    <row r="582">
      <c r="A582" s="24" t="s">
        <v>2314</v>
      </c>
      <c r="B582" s="24" t="s">
        <v>2315</v>
      </c>
      <c r="C582" s="24" t="s">
        <v>2316</v>
      </c>
      <c r="D582" s="24" t="s">
        <v>129</v>
      </c>
      <c r="E582" s="24" t="s">
        <v>2317</v>
      </c>
      <c r="F582" s="24" t="s">
        <v>59</v>
      </c>
    </row>
    <row r="583">
      <c r="A583" s="24" t="s">
        <v>2318</v>
      </c>
      <c r="B583" s="24" t="s">
        <v>2319</v>
      </c>
      <c r="C583" s="24" t="s">
        <v>2320</v>
      </c>
      <c r="D583" s="24" t="s">
        <v>124</v>
      </c>
      <c r="E583" s="24" t="s">
        <v>2321</v>
      </c>
      <c r="F583" s="24" t="s">
        <v>59</v>
      </c>
    </row>
    <row r="584">
      <c r="A584" s="24" t="s">
        <v>2322</v>
      </c>
      <c r="B584" s="24" t="s">
        <v>2323</v>
      </c>
      <c r="C584" s="24" t="s">
        <v>2324</v>
      </c>
      <c r="D584" s="24" t="s">
        <v>124</v>
      </c>
      <c r="E584" s="24" t="s">
        <v>2325</v>
      </c>
      <c r="F584" s="24" t="s">
        <v>59</v>
      </c>
    </row>
    <row r="585">
      <c r="A585" s="24" t="s">
        <v>2326</v>
      </c>
      <c r="B585" s="24" t="s">
        <v>2327</v>
      </c>
      <c r="C585" s="24" t="s">
        <v>2328</v>
      </c>
      <c r="D585" s="24" t="s">
        <v>124</v>
      </c>
      <c r="E585" s="24" t="s">
        <v>2329</v>
      </c>
      <c r="F585" s="24" t="s">
        <v>59</v>
      </c>
    </row>
    <row r="586">
      <c r="A586" s="24" t="s">
        <v>2330</v>
      </c>
      <c r="B586" s="24" t="s">
        <v>2331</v>
      </c>
      <c r="C586" s="24" t="s">
        <v>2332</v>
      </c>
      <c r="D586" s="24" t="s">
        <v>124</v>
      </c>
      <c r="E586" s="24" t="s">
        <v>2333</v>
      </c>
      <c r="F586" s="24" t="s">
        <v>59</v>
      </c>
    </row>
    <row r="587">
      <c r="A587" s="24" t="s">
        <v>2334</v>
      </c>
      <c r="B587" s="24" t="s">
        <v>2335</v>
      </c>
      <c r="C587" s="24" t="s">
        <v>2336</v>
      </c>
      <c r="D587" s="24" t="s">
        <v>124</v>
      </c>
      <c r="E587" s="24" t="s">
        <v>2337</v>
      </c>
      <c r="F587" s="24" t="s">
        <v>59</v>
      </c>
    </row>
    <row r="588">
      <c r="A588" s="24" t="s">
        <v>2338</v>
      </c>
      <c r="B588" s="24" t="s">
        <v>2339</v>
      </c>
      <c r="C588" s="24" t="s">
        <v>2340</v>
      </c>
      <c r="D588" s="24" t="s">
        <v>124</v>
      </c>
      <c r="E588" s="24" t="s">
        <v>2341</v>
      </c>
      <c r="F588" s="24" t="s">
        <v>59</v>
      </c>
    </row>
    <row r="589">
      <c r="A589" s="24" t="s">
        <v>2342</v>
      </c>
      <c r="B589" s="24" t="s">
        <v>2343</v>
      </c>
      <c r="C589" s="24" t="s">
        <v>2344</v>
      </c>
      <c r="D589" s="24" t="s">
        <v>124</v>
      </c>
      <c r="E589" s="24" t="s">
        <v>2345</v>
      </c>
      <c r="F589" s="24" t="s">
        <v>59</v>
      </c>
    </row>
    <row r="590">
      <c r="A590" s="24" t="s">
        <v>2346</v>
      </c>
      <c r="B590" s="24" t="s">
        <v>2347</v>
      </c>
      <c r="C590" s="24" t="s">
        <v>2348</v>
      </c>
      <c r="D590" s="24" t="s">
        <v>134</v>
      </c>
      <c r="E590" s="24" t="s">
        <v>2349</v>
      </c>
      <c r="F590" s="24" t="s">
        <v>59</v>
      </c>
    </row>
    <row r="591">
      <c r="A591" s="24" t="s">
        <v>2350</v>
      </c>
      <c r="B591" s="24" t="s">
        <v>2351</v>
      </c>
      <c r="C591" s="24" t="s">
        <v>2352</v>
      </c>
      <c r="D591" s="24" t="s">
        <v>129</v>
      </c>
      <c r="E591" s="24" t="s">
        <v>2353</v>
      </c>
      <c r="F591" s="24" t="s">
        <v>59</v>
      </c>
    </row>
    <row r="592">
      <c r="A592" s="24" t="s">
        <v>2354</v>
      </c>
      <c r="B592" s="24" t="s">
        <v>2355</v>
      </c>
      <c r="C592" s="24" t="s">
        <v>2356</v>
      </c>
      <c r="D592" s="24" t="s">
        <v>264</v>
      </c>
      <c r="E592" s="24" t="s">
        <v>2357</v>
      </c>
      <c r="F592" s="24" t="s">
        <v>59</v>
      </c>
    </row>
    <row r="593">
      <c r="A593" s="24" t="s">
        <v>2358</v>
      </c>
      <c r="B593" s="24" t="s">
        <v>2359</v>
      </c>
      <c r="C593" s="24" t="s">
        <v>2360</v>
      </c>
      <c r="D593" s="24" t="s">
        <v>124</v>
      </c>
      <c r="E593" s="24" t="s">
        <v>2361</v>
      </c>
      <c r="F593" s="24" t="s">
        <v>59</v>
      </c>
    </row>
    <row r="594">
      <c r="A594" s="24" t="s">
        <v>2362</v>
      </c>
      <c r="B594" s="24" t="s">
        <v>2363</v>
      </c>
      <c r="C594" s="24" t="s">
        <v>2364</v>
      </c>
      <c r="D594" s="24" t="s">
        <v>134</v>
      </c>
      <c r="E594" s="24" t="s">
        <v>2365</v>
      </c>
      <c r="F594" s="24" t="s">
        <v>59</v>
      </c>
    </row>
    <row r="595">
      <c r="A595" s="24" t="s">
        <v>2366</v>
      </c>
      <c r="B595" s="24" t="s">
        <v>2367</v>
      </c>
      <c r="C595" s="24" t="s">
        <v>2368</v>
      </c>
      <c r="D595" s="24" t="s">
        <v>134</v>
      </c>
      <c r="E595" s="24" t="s">
        <v>2369</v>
      </c>
      <c r="F595" s="24" t="s">
        <v>59</v>
      </c>
    </row>
    <row r="596">
      <c r="A596" s="24" t="s">
        <v>2370</v>
      </c>
      <c r="B596" s="24" t="s">
        <v>2371</v>
      </c>
      <c r="C596" s="24" t="s">
        <v>2372</v>
      </c>
      <c r="D596" s="24" t="s">
        <v>124</v>
      </c>
      <c r="E596" s="24" t="s">
        <v>2373</v>
      </c>
      <c r="F596" s="24" t="s">
        <v>59</v>
      </c>
    </row>
    <row r="597">
      <c r="A597" s="24" t="s">
        <v>2374</v>
      </c>
      <c r="B597" s="24" t="s">
        <v>2375</v>
      </c>
      <c r="C597" s="24" t="s">
        <v>2376</v>
      </c>
      <c r="D597" s="24" t="s">
        <v>124</v>
      </c>
      <c r="E597" s="24" t="s">
        <v>2377</v>
      </c>
      <c r="F597" s="24" t="s">
        <v>59</v>
      </c>
    </row>
    <row r="598">
      <c r="A598" s="24" t="s">
        <v>2378</v>
      </c>
      <c r="B598" s="24" t="s">
        <v>2379</v>
      </c>
      <c r="C598" s="24" t="s">
        <v>2380</v>
      </c>
      <c r="D598" s="24" t="s">
        <v>124</v>
      </c>
      <c r="E598" s="24" t="s">
        <v>2381</v>
      </c>
      <c r="F598" s="24" t="s">
        <v>59</v>
      </c>
    </row>
    <row r="599">
      <c r="A599" s="24" t="s">
        <v>2382</v>
      </c>
      <c r="B599" s="24" t="s">
        <v>2383</v>
      </c>
      <c r="C599" s="24" t="s">
        <v>2384</v>
      </c>
      <c r="D599" s="24" t="s">
        <v>124</v>
      </c>
      <c r="E599" s="24" t="s">
        <v>2385</v>
      </c>
      <c r="F599" s="24" t="s">
        <v>59</v>
      </c>
    </row>
    <row r="600">
      <c r="A600" s="24" t="s">
        <v>2386</v>
      </c>
      <c r="B600" s="24" t="s">
        <v>2387</v>
      </c>
      <c r="C600" s="24" t="s">
        <v>2388</v>
      </c>
      <c r="D600" s="24" t="s">
        <v>124</v>
      </c>
      <c r="E600" s="24" t="s">
        <v>2389</v>
      </c>
      <c r="F600" s="24" t="s">
        <v>59</v>
      </c>
    </row>
    <row r="601">
      <c r="A601" s="24" t="s">
        <v>2390</v>
      </c>
      <c r="B601" s="24" t="s">
        <v>2391</v>
      </c>
      <c r="C601" s="24" t="s">
        <v>2392</v>
      </c>
      <c r="D601" s="24" t="s">
        <v>134</v>
      </c>
      <c r="E601" s="24" t="s">
        <v>2393</v>
      </c>
      <c r="F601" s="24" t="s">
        <v>59</v>
      </c>
    </row>
    <row r="602">
      <c r="A602" s="24" t="s">
        <v>2394</v>
      </c>
      <c r="B602" s="24" t="s">
        <v>2395</v>
      </c>
      <c r="C602" s="24" t="s">
        <v>2396</v>
      </c>
      <c r="D602" s="24" t="s">
        <v>124</v>
      </c>
      <c r="E602" s="24" t="s">
        <v>2397</v>
      </c>
      <c r="F602" s="24" t="s">
        <v>59</v>
      </c>
    </row>
    <row r="603">
      <c r="A603" s="24" t="s">
        <v>2398</v>
      </c>
      <c r="B603" s="24" t="s">
        <v>2399</v>
      </c>
      <c r="C603" s="24" t="s">
        <v>2400</v>
      </c>
      <c r="D603" s="24" t="s">
        <v>124</v>
      </c>
      <c r="E603" s="24" t="s">
        <v>2401</v>
      </c>
      <c r="F603" s="24" t="s">
        <v>59</v>
      </c>
    </row>
    <row r="604">
      <c r="A604" s="24" t="s">
        <v>2402</v>
      </c>
      <c r="B604" s="24" t="s">
        <v>2403</v>
      </c>
      <c r="C604" s="24" t="s">
        <v>2404</v>
      </c>
      <c r="D604" s="24" t="s">
        <v>129</v>
      </c>
      <c r="E604" s="24" t="s">
        <v>2405</v>
      </c>
      <c r="F604" s="24" t="s">
        <v>59</v>
      </c>
    </row>
    <row r="605">
      <c r="A605" s="24" t="s">
        <v>2406</v>
      </c>
      <c r="B605" s="24" t="s">
        <v>2407</v>
      </c>
      <c r="C605" s="24" t="s">
        <v>2408</v>
      </c>
      <c r="D605" s="24" t="s">
        <v>129</v>
      </c>
      <c r="E605" s="24" t="s">
        <v>2409</v>
      </c>
      <c r="F605" s="24" t="s">
        <v>59</v>
      </c>
    </row>
    <row r="606">
      <c r="A606" s="24" t="s">
        <v>2410</v>
      </c>
      <c r="B606" s="24" t="s">
        <v>2411</v>
      </c>
      <c r="C606" s="24" t="s">
        <v>2412</v>
      </c>
      <c r="D606" s="24" t="s">
        <v>134</v>
      </c>
      <c r="E606" s="24" t="s">
        <v>2413</v>
      </c>
      <c r="F606" s="24" t="s">
        <v>59</v>
      </c>
    </row>
    <row r="607">
      <c r="A607" s="24" t="s">
        <v>2414</v>
      </c>
      <c r="B607" s="24" t="s">
        <v>2415</v>
      </c>
      <c r="C607" s="24" t="s">
        <v>2416</v>
      </c>
      <c r="D607" s="24" t="s">
        <v>129</v>
      </c>
      <c r="E607" s="24" t="s">
        <v>2417</v>
      </c>
      <c r="F607" s="24" t="s">
        <v>59</v>
      </c>
    </row>
    <row r="608">
      <c r="A608" s="24" t="s">
        <v>2418</v>
      </c>
      <c r="B608" s="24" t="s">
        <v>2419</v>
      </c>
      <c r="C608" s="24" t="s">
        <v>2420</v>
      </c>
      <c r="D608" s="24" t="s">
        <v>129</v>
      </c>
      <c r="E608" s="24" t="s">
        <v>2421</v>
      </c>
      <c r="F608" s="24" t="s">
        <v>59</v>
      </c>
    </row>
    <row r="609">
      <c r="A609" s="24" t="s">
        <v>2422</v>
      </c>
      <c r="B609" s="24" t="s">
        <v>2423</v>
      </c>
      <c r="C609" s="24" t="s">
        <v>2424</v>
      </c>
      <c r="D609" s="24" t="s">
        <v>124</v>
      </c>
      <c r="E609" s="24" t="s">
        <v>2425</v>
      </c>
      <c r="F609" s="24" t="s">
        <v>59</v>
      </c>
    </row>
    <row r="610">
      <c r="A610" s="24" t="s">
        <v>2426</v>
      </c>
      <c r="B610" s="24" t="s">
        <v>2427</v>
      </c>
      <c r="C610" s="24" t="s">
        <v>2428</v>
      </c>
      <c r="D610" s="24" t="s">
        <v>124</v>
      </c>
      <c r="E610" s="24" t="s">
        <v>2429</v>
      </c>
      <c r="F610" s="24" t="s">
        <v>59</v>
      </c>
    </row>
    <row r="611">
      <c r="A611" s="24" t="s">
        <v>2430</v>
      </c>
      <c r="B611" s="24" t="s">
        <v>2431</v>
      </c>
      <c r="C611" s="24" t="s">
        <v>2432</v>
      </c>
      <c r="D611" s="24" t="s">
        <v>134</v>
      </c>
      <c r="E611" s="24" t="s">
        <v>2433</v>
      </c>
      <c r="F611" s="24" t="s">
        <v>59</v>
      </c>
    </row>
    <row r="612">
      <c r="A612" s="24" t="s">
        <v>2434</v>
      </c>
      <c r="B612" s="24" t="s">
        <v>2435</v>
      </c>
      <c r="C612" s="24" t="s">
        <v>2436</v>
      </c>
      <c r="D612" s="24" t="s">
        <v>124</v>
      </c>
      <c r="E612" s="24" t="s">
        <v>2437</v>
      </c>
      <c r="F612" s="24" t="s">
        <v>59</v>
      </c>
    </row>
    <row r="613">
      <c r="A613" s="24" t="s">
        <v>2438</v>
      </c>
      <c r="B613" s="24" t="s">
        <v>2439</v>
      </c>
      <c r="C613" s="24" t="s">
        <v>2440</v>
      </c>
      <c r="D613" s="24" t="s">
        <v>124</v>
      </c>
      <c r="E613" s="24" t="s">
        <v>2441</v>
      </c>
      <c r="F613" s="24" t="s">
        <v>59</v>
      </c>
    </row>
    <row r="614">
      <c r="A614" s="24" t="s">
        <v>2442</v>
      </c>
      <c r="B614" s="24" t="s">
        <v>2443</v>
      </c>
      <c r="C614" s="24" t="s">
        <v>2444</v>
      </c>
      <c r="D614" s="24" t="s">
        <v>124</v>
      </c>
      <c r="E614" s="24" t="s">
        <v>2445</v>
      </c>
      <c r="F614" s="24" t="s">
        <v>59</v>
      </c>
    </row>
    <row r="615">
      <c r="A615" s="24" t="s">
        <v>2446</v>
      </c>
      <c r="B615" s="24" t="s">
        <v>2447</v>
      </c>
      <c r="C615" s="24" t="s">
        <v>2448</v>
      </c>
      <c r="D615" s="24" t="s">
        <v>124</v>
      </c>
      <c r="E615" s="24" t="s">
        <v>2449</v>
      </c>
      <c r="F615" s="24" t="s">
        <v>59</v>
      </c>
    </row>
    <row r="616">
      <c r="A616" s="24" t="s">
        <v>2450</v>
      </c>
      <c r="B616" s="24" t="s">
        <v>2451</v>
      </c>
      <c r="C616" s="24" t="s">
        <v>2452</v>
      </c>
      <c r="D616" s="24" t="s">
        <v>124</v>
      </c>
      <c r="E616" s="24" t="s">
        <v>2453</v>
      </c>
      <c r="F616" s="24" t="s">
        <v>59</v>
      </c>
    </row>
    <row r="617">
      <c r="A617" s="24" t="s">
        <v>2454</v>
      </c>
      <c r="B617" s="24" t="s">
        <v>2455</v>
      </c>
      <c r="C617" s="24" t="s">
        <v>312</v>
      </c>
      <c r="D617" s="24" t="s">
        <v>129</v>
      </c>
      <c r="E617" s="24" t="s">
        <v>2456</v>
      </c>
      <c r="F617" s="24" t="s">
        <v>59</v>
      </c>
    </row>
    <row r="618">
      <c r="A618" s="24" t="s">
        <v>2457</v>
      </c>
      <c r="B618" s="24" t="s">
        <v>2458</v>
      </c>
      <c r="C618" s="24" t="s">
        <v>2459</v>
      </c>
      <c r="D618" s="24" t="s">
        <v>124</v>
      </c>
      <c r="E618" s="24" t="s">
        <v>2460</v>
      </c>
      <c r="F618" s="24" t="s">
        <v>59</v>
      </c>
    </row>
    <row r="619">
      <c r="A619" s="24" t="s">
        <v>2461</v>
      </c>
      <c r="B619" s="24" t="s">
        <v>2462</v>
      </c>
      <c r="C619" s="24" t="s">
        <v>2463</v>
      </c>
      <c r="D619" s="24" t="s">
        <v>129</v>
      </c>
      <c r="E619" s="24" t="s">
        <v>2464</v>
      </c>
      <c r="F619" s="24" t="s">
        <v>59</v>
      </c>
    </row>
    <row r="620">
      <c r="A620" s="24" t="s">
        <v>2465</v>
      </c>
      <c r="B620" s="24" t="s">
        <v>2466</v>
      </c>
      <c r="C620" s="24" t="s">
        <v>2467</v>
      </c>
      <c r="D620" s="24" t="s">
        <v>134</v>
      </c>
      <c r="E620" s="24" t="s">
        <v>2468</v>
      </c>
      <c r="F620" s="24" t="s">
        <v>59</v>
      </c>
    </row>
    <row r="621">
      <c r="A621" s="24" t="s">
        <v>2469</v>
      </c>
      <c r="B621" s="24" t="s">
        <v>2470</v>
      </c>
      <c r="C621" s="24" t="s">
        <v>2471</v>
      </c>
      <c r="D621" s="24" t="s">
        <v>264</v>
      </c>
      <c r="E621" s="24" t="s">
        <v>2472</v>
      </c>
      <c r="F621" s="24" t="s">
        <v>59</v>
      </c>
    </row>
    <row r="622">
      <c r="A622" s="24" t="s">
        <v>2473</v>
      </c>
      <c r="B622" s="24" t="s">
        <v>2474</v>
      </c>
      <c r="C622" s="24" t="s">
        <v>2475</v>
      </c>
      <c r="D622" s="24" t="s">
        <v>134</v>
      </c>
      <c r="E622" s="24" t="s">
        <v>2476</v>
      </c>
      <c r="F622" s="24" t="s">
        <v>59</v>
      </c>
    </row>
    <row r="623">
      <c r="A623" s="24" t="s">
        <v>2477</v>
      </c>
      <c r="B623" s="24" t="s">
        <v>2478</v>
      </c>
      <c r="C623" s="24" t="s">
        <v>2479</v>
      </c>
      <c r="D623" s="24" t="s">
        <v>124</v>
      </c>
      <c r="E623" s="24" t="s">
        <v>2480</v>
      </c>
      <c r="F623" s="24" t="s">
        <v>59</v>
      </c>
    </row>
    <row r="624">
      <c r="A624" s="24" t="s">
        <v>2481</v>
      </c>
      <c r="B624" s="24" t="s">
        <v>2482</v>
      </c>
      <c r="C624" s="24" t="s">
        <v>2483</v>
      </c>
      <c r="D624" s="24" t="s">
        <v>124</v>
      </c>
      <c r="E624" s="24" t="s">
        <v>2484</v>
      </c>
      <c r="F624" s="24" t="s">
        <v>59</v>
      </c>
    </row>
    <row r="625">
      <c r="A625" s="24" t="s">
        <v>2485</v>
      </c>
      <c r="B625" s="24" t="s">
        <v>2486</v>
      </c>
      <c r="C625" s="24" t="s">
        <v>2487</v>
      </c>
      <c r="D625" s="24" t="s">
        <v>124</v>
      </c>
      <c r="E625" s="24" t="s">
        <v>2488</v>
      </c>
      <c r="F625" s="24" t="s">
        <v>59</v>
      </c>
    </row>
    <row r="626">
      <c r="A626" s="24" t="s">
        <v>2489</v>
      </c>
      <c r="B626" s="24" t="s">
        <v>2490</v>
      </c>
      <c r="C626" s="24" t="s">
        <v>2491</v>
      </c>
      <c r="D626" s="24" t="s">
        <v>264</v>
      </c>
      <c r="E626" s="24" t="s">
        <v>2492</v>
      </c>
      <c r="F626" s="24" t="s">
        <v>59</v>
      </c>
    </row>
    <row r="627">
      <c r="A627" s="24" t="s">
        <v>2493</v>
      </c>
      <c r="B627" s="24" t="s">
        <v>2494</v>
      </c>
      <c r="C627" s="24" t="s">
        <v>2495</v>
      </c>
      <c r="D627" s="24" t="s">
        <v>129</v>
      </c>
      <c r="E627" s="24" t="s">
        <v>2496</v>
      </c>
      <c r="F627" s="24" t="s">
        <v>59</v>
      </c>
    </row>
    <row r="628">
      <c r="A628" s="24" t="s">
        <v>2497</v>
      </c>
      <c r="B628" s="24" t="s">
        <v>2498</v>
      </c>
      <c r="C628" s="24" t="s">
        <v>2499</v>
      </c>
      <c r="D628" s="24" t="s">
        <v>124</v>
      </c>
      <c r="E628" s="24" t="s">
        <v>2500</v>
      </c>
      <c r="F628" s="24" t="s">
        <v>59</v>
      </c>
    </row>
    <row r="629">
      <c r="A629" s="24" t="s">
        <v>2501</v>
      </c>
      <c r="B629" s="24" t="s">
        <v>2502</v>
      </c>
      <c r="C629" s="24" t="s">
        <v>2503</v>
      </c>
      <c r="D629" s="24" t="s">
        <v>124</v>
      </c>
      <c r="E629" s="24" t="s">
        <v>2504</v>
      </c>
      <c r="F629" s="24" t="s">
        <v>59</v>
      </c>
    </row>
    <row r="630">
      <c r="A630" s="24" t="s">
        <v>2505</v>
      </c>
      <c r="B630" s="24" t="s">
        <v>2506</v>
      </c>
      <c r="C630" s="24" t="s">
        <v>2507</v>
      </c>
      <c r="D630" s="24" t="s">
        <v>124</v>
      </c>
      <c r="E630" s="24" t="s">
        <v>2508</v>
      </c>
      <c r="F630" s="24" t="s">
        <v>59</v>
      </c>
    </row>
    <row r="631">
      <c r="A631" s="24" t="s">
        <v>2509</v>
      </c>
      <c r="B631" s="24" t="s">
        <v>2510</v>
      </c>
      <c r="C631" s="24" t="s">
        <v>2511</v>
      </c>
      <c r="D631" s="24" t="s">
        <v>124</v>
      </c>
      <c r="E631" s="24" t="s">
        <v>2512</v>
      </c>
      <c r="F631" s="24" t="s">
        <v>59</v>
      </c>
    </row>
    <row r="632">
      <c r="A632" s="24" t="s">
        <v>2513</v>
      </c>
      <c r="B632" s="24" t="s">
        <v>2514</v>
      </c>
      <c r="C632" s="24" t="s">
        <v>2515</v>
      </c>
      <c r="D632" s="24" t="s">
        <v>124</v>
      </c>
      <c r="E632" s="24" t="s">
        <v>2516</v>
      </c>
      <c r="F632" s="24" t="s">
        <v>59</v>
      </c>
    </row>
    <row r="633">
      <c r="A633" s="24" t="s">
        <v>2517</v>
      </c>
      <c r="B633" s="24" t="s">
        <v>2518</v>
      </c>
      <c r="C633" s="24" t="s">
        <v>2519</v>
      </c>
      <c r="D633" s="24" t="s">
        <v>124</v>
      </c>
      <c r="E633" s="24" t="s">
        <v>2520</v>
      </c>
      <c r="F633" s="24" t="s">
        <v>59</v>
      </c>
    </row>
    <row r="634">
      <c r="A634" s="24" t="s">
        <v>2521</v>
      </c>
      <c r="B634" s="24" t="s">
        <v>2522</v>
      </c>
      <c r="C634" s="24" t="s">
        <v>2523</v>
      </c>
      <c r="D634" s="24" t="s">
        <v>124</v>
      </c>
      <c r="E634" s="24" t="s">
        <v>2524</v>
      </c>
      <c r="F634" s="24" t="s">
        <v>59</v>
      </c>
    </row>
    <row r="635">
      <c r="A635" s="24" t="s">
        <v>2525</v>
      </c>
      <c r="B635" s="24" t="s">
        <v>2526</v>
      </c>
      <c r="C635" s="24" t="s">
        <v>2527</v>
      </c>
      <c r="D635" s="24" t="s">
        <v>124</v>
      </c>
      <c r="E635" s="24" t="s">
        <v>2528</v>
      </c>
      <c r="F635" s="24" t="s">
        <v>59</v>
      </c>
    </row>
    <row r="636">
      <c r="A636" s="24" t="s">
        <v>2529</v>
      </c>
      <c r="B636" s="24" t="s">
        <v>2530</v>
      </c>
      <c r="C636" s="24" t="s">
        <v>2531</v>
      </c>
      <c r="D636" s="24" t="s">
        <v>124</v>
      </c>
      <c r="E636" s="24" t="s">
        <v>2532</v>
      </c>
      <c r="F636" s="24" t="s">
        <v>59</v>
      </c>
    </row>
    <row r="637">
      <c r="A637" s="24" t="s">
        <v>2533</v>
      </c>
      <c r="B637" s="24" t="s">
        <v>2534</v>
      </c>
      <c r="C637" s="24" t="s">
        <v>2535</v>
      </c>
      <c r="D637" s="24" t="s">
        <v>124</v>
      </c>
      <c r="E637" s="24" t="s">
        <v>2536</v>
      </c>
      <c r="F637" s="24" t="s">
        <v>59</v>
      </c>
    </row>
    <row r="638">
      <c r="A638" s="24" t="s">
        <v>2537</v>
      </c>
      <c r="B638" s="24" t="s">
        <v>2538</v>
      </c>
      <c r="C638" s="24" t="s">
        <v>2539</v>
      </c>
      <c r="D638" s="24" t="s">
        <v>129</v>
      </c>
      <c r="E638" s="24" t="s">
        <v>2540</v>
      </c>
      <c r="F638" s="24" t="s">
        <v>59</v>
      </c>
    </row>
    <row r="639">
      <c r="A639" s="24" t="s">
        <v>2541</v>
      </c>
      <c r="B639" s="24" t="s">
        <v>2542</v>
      </c>
      <c r="C639" s="24" t="s">
        <v>2543</v>
      </c>
      <c r="D639" s="24" t="s">
        <v>264</v>
      </c>
      <c r="E639" s="24" t="s">
        <v>2544</v>
      </c>
      <c r="F639" s="24" t="s">
        <v>59</v>
      </c>
    </row>
    <row r="640">
      <c r="A640" s="24" t="s">
        <v>2545</v>
      </c>
      <c r="B640" s="24" t="s">
        <v>2546</v>
      </c>
      <c r="C640" s="24" t="s">
        <v>2547</v>
      </c>
      <c r="D640" s="24" t="s">
        <v>124</v>
      </c>
      <c r="E640" s="24" t="s">
        <v>2548</v>
      </c>
      <c r="F640" s="24" t="s">
        <v>59</v>
      </c>
    </row>
    <row r="641">
      <c r="A641" s="24" t="s">
        <v>2549</v>
      </c>
      <c r="B641" s="24" t="s">
        <v>2550</v>
      </c>
      <c r="C641" s="24" t="s">
        <v>2551</v>
      </c>
      <c r="D641" s="24" t="s">
        <v>129</v>
      </c>
      <c r="E641" s="24" t="s">
        <v>2552</v>
      </c>
      <c r="F641" s="24" t="s">
        <v>59</v>
      </c>
    </row>
    <row r="642">
      <c r="A642" s="24" t="s">
        <v>2553</v>
      </c>
      <c r="B642" s="24" t="s">
        <v>2554</v>
      </c>
      <c r="C642" s="24" t="s">
        <v>2555</v>
      </c>
      <c r="D642" s="24" t="s">
        <v>129</v>
      </c>
      <c r="E642" s="24" t="s">
        <v>2556</v>
      </c>
      <c r="F642" s="24" t="s">
        <v>59</v>
      </c>
    </row>
    <row r="643">
      <c r="A643" s="24" t="s">
        <v>2557</v>
      </c>
      <c r="B643" s="24" t="s">
        <v>2558</v>
      </c>
      <c r="C643" s="24" t="s">
        <v>2559</v>
      </c>
      <c r="D643" s="24" t="s">
        <v>124</v>
      </c>
      <c r="E643" s="24" t="s">
        <v>2560</v>
      </c>
      <c r="F643" s="24" t="s">
        <v>59</v>
      </c>
    </row>
    <row r="644">
      <c r="A644" s="24" t="s">
        <v>2561</v>
      </c>
      <c r="B644" s="24" t="s">
        <v>2562</v>
      </c>
      <c r="C644" s="24" t="s">
        <v>2563</v>
      </c>
      <c r="D644" s="24" t="s">
        <v>124</v>
      </c>
      <c r="E644" s="24" t="s">
        <v>2564</v>
      </c>
      <c r="F644" s="24" t="s">
        <v>59</v>
      </c>
    </row>
    <row r="645">
      <c r="A645" s="24" t="s">
        <v>2565</v>
      </c>
      <c r="B645" s="24" t="s">
        <v>2566</v>
      </c>
      <c r="C645" s="24" t="s">
        <v>2567</v>
      </c>
      <c r="D645" s="24" t="s">
        <v>124</v>
      </c>
      <c r="E645" s="24" t="s">
        <v>2568</v>
      </c>
      <c r="F645" s="24" t="s">
        <v>59</v>
      </c>
    </row>
    <row r="646">
      <c r="A646" s="24" t="s">
        <v>2569</v>
      </c>
      <c r="B646" s="24" t="s">
        <v>2570</v>
      </c>
      <c r="C646" s="24" t="s">
        <v>2571</v>
      </c>
      <c r="D646" s="24" t="s">
        <v>129</v>
      </c>
      <c r="E646" s="24" t="s">
        <v>2572</v>
      </c>
      <c r="F646" s="24" t="s">
        <v>59</v>
      </c>
    </row>
    <row r="647">
      <c r="A647" s="24" t="s">
        <v>2573</v>
      </c>
      <c r="B647" s="24" t="s">
        <v>2574</v>
      </c>
      <c r="C647" s="24" t="s">
        <v>2575</v>
      </c>
      <c r="D647" s="24" t="s">
        <v>129</v>
      </c>
      <c r="E647" s="24" t="s">
        <v>2576</v>
      </c>
      <c r="F647" s="24" t="s">
        <v>59</v>
      </c>
    </row>
    <row r="648">
      <c r="A648" s="24" t="s">
        <v>2577</v>
      </c>
      <c r="B648" s="24" t="s">
        <v>2578</v>
      </c>
      <c r="C648" s="24" t="s">
        <v>2579</v>
      </c>
      <c r="D648" s="24" t="s">
        <v>129</v>
      </c>
      <c r="E648" s="24" t="s">
        <v>2580</v>
      </c>
      <c r="F648" s="24" t="s">
        <v>59</v>
      </c>
    </row>
    <row r="649">
      <c r="A649" s="24" t="s">
        <v>2581</v>
      </c>
      <c r="B649" s="24" t="s">
        <v>2582</v>
      </c>
      <c r="C649" s="24" t="s">
        <v>2583</v>
      </c>
      <c r="D649" s="24" t="s">
        <v>124</v>
      </c>
      <c r="E649" s="24" t="s">
        <v>2584</v>
      </c>
      <c r="F649" s="24" t="s">
        <v>59</v>
      </c>
    </row>
    <row r="650">
      <c r="A650" s="24" t="s">
        <v>2585</v>
      </c>
      <c r="B650" s="24" t="s">
        <v>2586</v>
      </c>
      <c r="C650" s="24" t="s">
        <v>2587</v>
      </c>
      <c r="D650" s="24" t="s">
        <v>124</v>
      </c>
      <c r="E650" s="24" t="s">
        <v>2588</v>
      </c>
      <c r="F650" s="24" t="s">
        <v>59</v>
      </c>
    </row>
    <row r="651">
      <c r="A651" s="24" t="s">
        <v>2589</v>
      </c>
      <c r="B651" s="24" t="s">
        <v>2590</v>
      </c>
      <c r="C651" s="24" t="s">
        <v>2591</v>
      </c>
      <c r="D651" s="24" t="s">
        <v>129</v>
      </c>
      <c r="E651" s="24" t="s">
        <v>2592</v>
      </c>
      <c r="F651" s="24" t="s">
        <v>59</v>
      </c>
    </row>
    <row r="652">
      <c r="A652" s="24" t="s">
        <v>2593</v>
      </c>
      <c r="B652" s="24" t="s">
        <v>2594</v>
      </c>
      <c r="C652" s="24" t="s">
        <v>2595</v>
      </c>
      <c r="D652" s="24" t="s">
        <v>129</v>
      </c>
      <c r="E652" s="24" t="s">
        <v>2596</v>
      </c>
      <c r="F652" s="24" t="s">
        <v>59</v>
      </c>
    </row>
    <row r="653">
      <c r="A653" s="24" t="s">
        <v>2597</v>
      </c>
      <c r="B653" s="24" t="s">
        <v>2598</v>
      </c>
      <c r="C653" s="24" t="s">
        <v>2599</v>
      </c>
      <c r="D653" s="24" t="s">
        <v>124</v>
      </c>
      <c r="E653" s="24" t="s">
        <v>2600</v>
      </c>
      <c r="F653" s="24" t="s">
        <v>59</v>
      </c>
    </row>
    <row r="654">
      <c r="A654" s="24" t="s">
        <v>2601</v>
      </c>
      <c r="B654" s="24" t="s">
        <v>2602</v>
      </c>
      <c r="C654" s="24" t="s">
        <v>2603</v>
      </c>
      <c r="D654" s="24" t="s">
        <v>264</v>
      </c>
      <c r="E654" s="24" t="s">
        <v>2604</v>
      </c>
      <c r="F654" s="24" t="s">
        <v>59</v>
      </c>
    </row>
    <row r="655">
      <c r="A655" s="24" t="s">
        <v>2605</v>
      </c>
      <c r="B655" s="24" t="s">
        <v>2606</v>
      </c>
      <c r="C655" s="24" t="s">
        <v>2607</v>
      </c>
      <c r="D655" s="24" t="s">
        <v>124</v>
      </c>
      <c r="E655" s="24" t="s">
        <v>2608</v>
      </c>
      <c r="F655" s="24" t="s">
        <v>59</v>
      </c>
    </row>
    <row r="656">
      <c r="A656" s="24" t="s">
        <v>2609</v>
      </c>
      <c r="B656" s="24" t="s">
        <v>2610</v>
      </c>
      <c r="C656" s="24" t="s">
        <v>2611</v>
      </c>
      <c r="D656" s="24" t="s">
        <v>124</v>
      </c>
      <c r="E656" s="24" t="s">
        <v>2612</v>
      </c>
      <c r="F656" s="24" t="s">
        <v>59</v>
      </c>
    </row>
    <row r="657">
      <c r="A657" s="24" t="s">
        <v>2613</v>
      </c>
      <c r="B657" s="24" t="s">
        <v>2614</v>
      </c>
      <c r="C657" s="24" t="s">
        <v>2615</v>
      </c>
      <c r="D657" s="24" t="s">
        <v>124</v>
      </c>
      <c r="E657" s="24" t="s">
        <v>2616</v>
      </c>
      <c r="F657" s="24" t="s">
        <v>59</v>
      </c>
    </row>
    <row r="658">
      <c r="A658" s="24" t="s">
        <v>2617</v>
      </c>
      <c r="B658" s="24" t="s">
        <v>2618</v>
      </c>
      <c r="C658" s="24" t="s">
        <v>2619</v>
      </c>
      <c r="D658" s="24" t="s">
        <v>124</v>
      </c>
      <c r="E658" s="24" t="s">
        <v>2620</v>
      </c>
      <c r="F658" s="24" t="s">
        <v>59</v>
      </c>
    </row>
    <row r="659">
      <c r="A659" s="24" t="s">
        <v>2621</v>
      </c>
      <c r="B659" s="24" t="s">
        <v>2622</v>
      </c>
      <c r="C659" s="24" t="s">
        <v>2623</v>
      </c>
      <c r="D659" s="24" t="s">
        <v>129</v>
      </c>
      <c r="E659" s="24" t="s">
        <v>2624</v>
      </c>
      <c r="F659" s="24" t="s">
        <v>59</v>
      </c>
    </row>
    <row r="660">
      <c r="A660" s="24" t="s">
        <v>2625</v>
      </c>
      <c r="B660" s="24" t="s">
        <v>2626</v>
      </c>
      <c r="C660" s="24" t="s">
        <v>2627</v>
      </c>
      <c r="D660" s="24" t="s">
        <v>124</v>
      </c>
      <c r="E660" s="24" t="s">
        <v>2628</v>
      </c>
      <c r="F660" s="24" t="s">
        <v>59</v>
      </c>
    </row>
    <row r="661">
      <c r="A661" s="24" t="s">
        <v>2629</v>
      </c>
      <c r="B661" s="24" t="s">
        <v>2630</v>
      </c>
      <c r="C661" s="24" t="s">
        <v>2631</v>
      </c>
      <c r="D661" s="24" t="s">
        <v>124</v>
      </c>
      <c r="E661" s="24" t="s">
        <v>2632</v>
      </c>
      <c r="F661" s="24" t="s">
        <v>59</v>
      </c>
    </row>
    <row r="662">
      <c r="A662" s="24" t="s">
        <v>2633</v>
      </c>
      <c r="B662" s="24" t="s">
        <v>2634</v>
      </c>
      <c r="C662" s="24" t="s">
        <v>2635</v>
      </c>
      <c r="D662" s="24" t="s">
        <v>129</v>
      </c>
      <c r="E662" s="24" t="s">
        <v>2636</v>
      </c>
      <c r="F662" s="24" t="s">
        <v>59</v>
      </c>
    </row>
    <row r="663">
      <c r="A663" s="24" t="s">
        <v>2637</v>
      </c>
      <c r="B663" s="24" t="s">
        <v>2638</v>
      </c>
      <c r="C663" s="24" t="s">
        <v>2639</v>
      </c>
      <c r="D663" s="24" t="s">
        <v>124</v>
      </c>
      <c r="E663" s="24" t="s">
        <v>2640</v>
      </c>
      <c r="F663" s="24" t="s">
        <v>59</v>
      </c>
    </row>
    <row r="664">
      <c r="A664" s="24" t="s">
        <v>2641</v>
      </c>
      <c r="B664" s="24" t="s">
        <v>2642</v>
      </c>
      <c r="C664" s="24" t="s">
        <v>2643</v>
      </c>
      <c r="D664" s="24" t="s">
        <v>129</v>
      </c>
      <c r="E664" s="24" t="s">
        <v>2644</v>
      </c>
      <c r="F664" s="24" t="s">
        <v>59</v>
      </c>
    </row>
    <row r="665">
      <c r="A665" s="24" t="s">
        <v>2645</v>
      </c>
      <c r="B665" s="24" t="s">
        <v>2646</v>
      </c>
      <c r="C665" s="24" t="s">
        <v>2647</v>
      </c>
      <c r="D665" s="24" t="s">
        <v>124</v>
      </c>
      <c r="E665" s="24" t="s">
        <v>2648</v>
      </c>
      <c r="F665" s="24" t="s">
        <v>59</v>
      </c>
    </row>
    <row r="666">
      <c r="A666" s="24" t="s">
        <v>2649</v>
      </c>
      <c r="B666" s="24" t="s">
        <v>2650</v>
      </c>
      <c r="C666" s="24" t="s">
        <v>2651</v>
      </c>
      <c r="D666" s="24" t="s">
        <v>264</v>
      </c>
      <c r="E666" s="24" t="s">
        <v>2652</v>
      </c>
      <c r="F666" s="24" t="s">
        <v>59</v>
      </c>
    </row>
    <row r="667">
      <c r="A667" s="24" t="s">
        <v>2653</v>
      </c>
      <c r="B667" s="24" t="s">
        <v>2654</v>
      </c>
      <c r="C667" s="24" t="s">
        <v>2655</v>
      </c>
      <c r="D667" s="24" t="s">
        <v>124</v>
      </c>
      <c r="E667" s="24" t="s">
        <v>2656</v>
      </c>
      <c r="F667" s="24" t="s">
        <v>59</v>
      </c>
    </row>
    <row r="668">
      <c r="A668" s="24" t="s">
        <v>2657</v>
      </c>
      <c r="B668" s="24" t="s">
        <v>2658</v>
      </c>
      <c r="C668" s="24" t="s">
        <v>2659</v>
      </c>
      <c r="D668" s="24" t="s">
        <v>124</v>
      </c>
      <c r="E668" s="24" t="s">
        <v>2660</v>
      </c>
      <c r="F668" s="24" t="s">
        <v>59</v>
      </c>
    </row>
    <row r="669">
      <c r="A669" s="24" t="s">
        <v>2661</v>
      </c>
      <c r="B669" s="24" t="s">
        <v>2662</v>
      </c>
      <c r="C669" s="24" t="s">
        <v>2663</v>
      </c>
      <c r="D669" s="24" t="s">
        <v>129</v>
      </c>
      <c r="E669" s="24" t="s">
        <v>2664</v>
      </c>
      <c r="F669" s="24" t="s">
        <v>59</v>
      </c>
    </row>
    <row r="670">
      <c r="A670" s="24" t="s">
        <v>2665</v>
      </c>
      <c r="B670" s="24" t="s">
        <v>2666</v>
      </c>
      <c r="C670" s="24" t="s">
        <v>2667</v>
      </c>
      <c r="D670" s="24" t="s">
        <v>124</v>
      </c>
      <c r="E670" s="24" t="s">
        <v>2668</v>
      </c>
      <c r="F670" s="24" t="s">
        <v>59</v>
      </c>
    </row>
    <row r="671">
      <c r="A671" s="24" t="s">
        <v>2669</v>
      </c>
      <c r="B671" s="24" t="s">
        <v>2670</v>
      </c>
      <c r="C671" s="24" t="s">
        <v>2671</v>
      </c>
      <c r="D671" s="24" t="s">
        <v>124</v>
      </c>
      <c r="E671" s="24" t="s">
        <v>2672</v>
      </c>
      <c r="F671" s="24" t="s">
        <v>59</v>
      </c>
    </row>
    <row r="672">
      <c r="A672" s="24" t="s">
        <v>2673</v>
      </c>
      <c r="B672" s="24" t="s">
        <v>2674</v>
      </c>
      <c r="C672" s="24" t="s">
        <v>2675</v>
      </c>
      <c r="D672" s="24" t="s">
        <v>129</v>
      </c>
      <c r="E672" s="24" t="s">
        <v>2676</v>
      </c>
      <c r="F672" s="24" t="s">
        <v>59</v>
      </c>
    </row>
    <row r="673">
      <c r="A673" s="24" t="s">
        <v>2677</v>
      </c>
      <c r="B673" s="24" t="s">
        <v>2678</v>
      </c>
      <c r="C673" s="24" t="s">
        <v>2679</v>
      </c>
      <c r="D673" s="24" t="s">
        <v>129</v>
      </c>
      <c r="E673" s="24" t="s">
        <v>2680</v>
      </c>
      <c r="F673" s="24" t="s">
        <v>59</v>
      </c>
    </row>
    <row r="674">
      <c r="A674" s="24" t="s">
        <v>2681</v>
      </c>
      <c r="B674" s="24" t="s">
        <v>2682</v>
      </c>
      <c r="C674" s="24" t="s">
        <v>2683</v>
      </c>
      <c r="D674" s="24" t="s">
        <v>124</v>
      </c>
      <c r="E674" s="24" t="s">
        <v>2684</v>
      </c>
      <c r="F674" s="24" t="s">
        <v>59</v>
      </c>
    </row>
    <row r="675">
      <c r="A675" s="24" t="s">
        <v>2685</v>
      </c>
      <c r="B675" s="24" t="s">
        <v>2686</v>
      </c>
      <c r="C675" s="24" t="s">
        <v>2687</v>
      </c>
      <c r="D675" s="24" t="s">
        <v>129</v>
      </c>
      <c r="E675" s="24" t="s">
        <v>2688</v>
      </c>
      <c r="F675" s="24" t="s">
        <v>59</v>
      </c>
    </row>
    <row r="676">
      <c r="A676" s="24" t="s">
        <v>2689</v>
      </c>
      <c r="B676" s="24" t="s">
        <v>2690</v>
      </c>
      <c r="C676" s="24" t="s">
        <v>2691</v>
      </c>
      <c r="D676" s="24" t="s">
        <v>124</v>
      </c>
      <c r="E676" s="24" t="s">
        <v>2692</v>
      </c>
      <c r="F676" s="24" t="s">
        <v>59</v>
      </c>
    </row>
    <row r="677">
      <c r="A677" s="24" t="s">
        <v>2693</v>
      </c>
      <c r="B677" s="24" t="s">
        <v>2694</v>
      </c>
      <c r="C677" s="24" t="s">
        <v>2695</v>
      </c>
      <c r="D677" s="24" t="s">
        <v>124</v>
      </c>
      <c r="E677" s="24" t="s">
        <v>2696</v>
      </c>
      <c r="F677" s="24" t="s">
        <v>59</v>
      </c>
    </row>
    <row r="678">
      <c r="A678" s="24" t="s">
        <v>2697</v>
      </c>
      <c r="B678" s="24" t="s">
        <v>2698</v>
      </c>
      <c r="C678" s="24" t="s">
        <v>2699</v>
      </c>
      <c r="D678" s="24" t="s">
        <v>124</v>
      </c>
      <c r="E678" s="24" t="s">
        <v>2700</v>
      </c>
      <c r="F678" s="24" t="s">
        <v>59</v>
      </c>
    </row>
    <row r="679">
      <c r="A679" s="24" t="s">
        <v>2701</v>
      </c>
      <c r="B679" s="24" t="s">
        <v>2702</v>
      </c>
      <c r="C679" s="24" t="s">
        <v>2703</v>
      </c>
      <c r="D679" s="24" t="s">
        <v>124</v>
      </c>
      <c r="E679" s="24" t="s">
        <v>2704</v>
      </c>
      <c r="F679" s="24" t="s">
        <v>59</v>
      </c>
    </row>
    <row r="680">
      <c r="A680" s="24" t="s">
        <v>2705</v>
      </c>
      <c r="B680" s="24" t="s">
        <v>2706</v>
      </c>
      <c r="C680" s="24" t="s">
        <v>2707</v>
      </c>
      <c r="D680" s="24" t="s">
        <v>124</v>
      </c>
      <c r="E680" s="24" t="s">
        <v>2708</v>
      </c>
      <c r="F680" s="24" t="s">
        <v>59</v>
      </c>
    </row>
    <row r="681">
      <c r="A681" s="24" t="s">
        <v>2709</v>
      </c>
      <c r="B681" s="24" t="s">
        <v>2710</v>
      </c>
      <c r="C681" s="24" t="s">
        <v>2711</v>
      </c>
      <c r="D681" s="24" t="s">
        <v>124</v>
      </c>
      <c r="E681" s="24" t="s">
        <v>2712</v>
      </c>
      <c r="F681" s="24" t="s">
        <v>59</v>
      </c>
    </row>
    <row r="682">
      <c r="A682" s="24" t="s">
        <v>2713</v>
      </c>
      <c r="B682" s="24" t="s">
        <v>2714</v>
      </c>
      <c r="C682" s="24" t="s">
        <v>2715</v>
      </c>
      <c r="D682" s="24" t="s">
        <v>124</v>
      </c>
      <c r="E682" s="24" t="s">
        <v>2716</v>
      </c>
      <c r="F682" s="24" t="s">
        <v>59</v>
      </c>
    </row>
    <row r="683">
      <c r="A683" s="24" t="s">
        <v>2717</v>
      </c>
      <c r="B683" s="24" t="s">
        <v>2718</v>
      </c>
      <c r="C683" s="24" t="s">
        <v>2719</v>
      </c>
      <c r="D683" s="24" t="s">
        <v>124</v>
      </c>
      <c r="E683" s="24" t="s">
        <v>2720</v>
      </c>
      <c r="F683" s="24" t="s">
        <v>59</v>
      </c>
    </row>
    <row r="684">
      <c r="A684" s="24" t="s">
        <v>2721</v>
      </c>
      <c r="B684" s="24" t="s">
        <v>2722</v>
      </c>
      <c r="C684" s="24" t="s">
        <v>2723</v>
      </c>
      <c r="D684" s="24" t="s">
        <v>124</v>
      </c>
      <c r="E684" s="24" t="s">
        <v>2724</v>
      </c>
      <c r="F684" s="24" t="s">
        <v>59</v>
      </c>
    </row>
    <row r="685">
      <c r="A685" s="24" t="s">
        <v>2725</v>
      </c>
      <c r="B685" s="24" t="s">
        <v>2726</v>
      </c>
      <c r="C685" s="24" t="s">
        <v>2727</v>
      </c>
      <c r="D685" s="24" t="s">
        <v>264</v>
      </c>
      <c r="E685" s="24" t="s">
        <v>2728</v>
      </c>
      <c r="F685" s="24" t="s">
        <v>59</v>
      </c>
    </row>
    <row r="686">
      <c r="A686" s="24" t="s">
        <v>2729</v>
      </c>
      <c r="B686" s="24" t="s">
        <v>2730</v>
      </c>
      <c r="C686" s="24" t="s">
        <v>2731</v>
      </c>
      <c r="D686" s="24" t="s">
        <v>124</v>
      </c>
      <c r="E686" s="24" t="s">
        <v>2732</v>
      </c>
      <c r="F686" s="24" t="s">
        <v>59</v>
      </c>
    </row>
    <row r="687">
      <c r="A687" s="24" t="s">
        <v>2733</v>
      </c>
      <c r="B687" s="24" t="s">
        <v>2734</v>
      </c>
      <c r="C687" s="24" t="s">
        <v>2735</v>
      </c>
      <c r="D687" s="24" t="s">
        <v>264</v>
      </c>
      <c r="E687" s="24" t="s">
        <v>2736</v>
      </c>
      <c r="F687" s="24" t="s">
        <v>59</v>
      </c>
    </row>
    <row r="688">
      <c r="A688" s="24" t="s">
        <v>2737</v>
      </c>
      <c r="B688" s="24" t="s">
        <v>2738</v>
      </c>
      <c r="C688" s="24" t="s">
        <v>2739</v>
      </c>
      <c r="D688" s="24" t="s">
        <v>124</v>
      </c>
      <c r="E688" s="24" t="s">
        <v>2740</v>
      </c>
      <c r="F688" s="24" t="s">
        <v>59</v>
      </c>
    </row>
    <row r="689">
      <c r="A689" s="24" t="s">
        <v>2741</v>
      </c>
      <c r="B689" s="24" t="s">
        <v>2742</v>
      </c>
      <c r="C689" s="24" t="s">
        <v>2743</v>
      </c>
      <c r="D689" s="24" t="s">
        <v>264</v>
      </c>
      <c r="E689" s="24" t="s">
        <v>2744</v>
      </c>
      <c r="F689" s="24" t="s">
        <v>59</v>
      </c>
    </row>
    <row r="690">
      <c r="A690" s="24" t="s">
        <v>2745</v>
      </c>
      <c r="B690" s="24" t="s">
        <v>2746</v>
      </c>
      <c r="C690" s="24" t="s">
        <v>2747</v>
      </c>
      <c r="D690" s="24" t="s">
        <v>124</v>
      </c>
      <c r="E690" s="24" t="s">
        <v>2748</v>
      </c>
      <c r="F690" s="24" t="s">
        <v>59</v>
      </c>
    </row>
    <row r="691">
      <c r="A691" s="24" t="s">
        <v>2749</v>
      </c>
      <c r="B691" s="24" t="s">
        <v>2750</v>
      </c>
      <c r="C691" s="24" t="s">
        <v>2751</v>
      </c>
      <c r="D691" s="24" t="s">
        <v>124</v>
      </c>
      <c r="E691" s="24" t="s">
        <v>2752</v>
      </c>
      <c r="F691" s="24" t="s">
        <v>59</v>
      </c>
    </row>
    <row r="692">
      <c r="A692" s="24" t="s">
        <v>2753</v>
      </c>
      <c r="B692" s="24" t="s">
        <v>2754</v>
      </c>
      <c r="C692" s="24" t="s">
        <v>2755</v>
      </c>
      <c r="D692" s="24" t="s">
        <v>129</v>
      </c>
      <c r="E692" s="24" t="s">
        <v>2756</v>
      </c>
      <c r="F692" s="24" t="s">
        <v>59</v>
      </c>
    </row>
    <row r="693">
      <c r="A693" s="24" t="s">
        <v>2757</v>
      </c>
      <c r="B693" s="24" t="s">
        <v>2758</v>
      </c>
      <c r="C693" s="24" t="s">
        <v>2759</v>
      </c>
      <c r="D693" s="24" t="s">
        <v>129</v>
      </c>
      <c r="E693" s="24" t="s">
        <v>2760</v>
      </c>
      <c r="F693" s="24" t="s">
        <v>59</v>
      </c>
    </row>
    <row r="694">
      <c r="A694" s="24" t="s">
        <v>2761</v>
      </c>
      <c r="B694" s="24" t="s">
        <v>2762</v>
      </c>
      <c r="C694" s="24" t="s">
        <v>2763</v>
      </c>
      <c r="D694" s="24" t="s">
        <v>124</v>
      </c>
      <c r="E694" s="24" t="s">
        <v>2764</v>
      </c>
      <c r="F694" s="24" t="s">
        <v>59</v>
      </c>
    </row>
    <row r="695">
      <c r="A695" s="24" t="s">
        <v>2765</v>
      </c>
      <c r="B695" s="24" t="s">
        <v>2766</v>
      </c>
      <c r="C695" s="24" t="s">
        <v>2767</v>
      </c>
      <c r="D695" s="24" t="s">
        <v>129</v>
      </c>
      <c r="E695" s="24" t="s">
        <v>2768</v>
      </c>
      <c r="F695" s="24" t="s">
        <v>59</v>
      </c>
    </row>
    <row r="696">
      <c r="A696" s="24" t="s">
        <v>2769</v>
      </c>
      <c r="B696" s="24" t="s">
        <v>2770</v>
      </c>
      <c r="C696" s="24" t="s">
        <v>2771</v>
      </c>
      <c r="D696" s="24" t="s">
        <v>129</v>
      </c>
      <c r="E696" s="24" t="s">
        <v>2772</v>
      </c>
      <c r="F696" s="24" t="s">
        <v>59</v>
      </c>
    </row>
    <row r="697">
      <c r="A697" s="24" t="s">
        <v>2773</v>
      </c>
      <c r="B697" s="24" t="s">
        <v>2774</v>
      </c>
      <c r="C697" s="24" t="s">
        <v>2775</v>
      </c>
      <c r="D697" s="24" t="s">
        <v>264</v>
      </c>
      <c r="E697" s="24" t="s">
        <v>2776</v>
      </c>
      <c r="F697" s="24" t="s">
        <v>59</v>
      </c>
    </row>
    <row r="698">
      <c r="A698" s="24" t="s">
        <v>2777</v>
      </c>
      <c r="B698" s="24" t="s">
        <v>2778</v>
      </c>
      <c r="C698" s="24" t="s">
        <v>2779</v>
      </c>
      <c r="D698" s="24" t="s">
        <v>124</v>
      </c>
      <c r="E698" s="24" t="s">
        <v>2780</v>
      </c>
      <c r="F698" s="24" t="s">
        <v>59</v>
      </c>
    </row>
    <row r="699">
      <c r="A699" s="24" t="s">
        <v>2781</v>
      </c>
      <c r="B699" s="24" t="s">
        <v>2782</v>
      </c>
      <c r="C699" s="24" t="s">
        <v>2783</v>
      </c>
      <c r="D699" s="24" t="s">
        <v>124</v>
      </c>
      <c r="E699" s="24" t="s">
        <v>2784</v>
      </c>
      <c r="F699" s="24" t="s">
        <v>59</v>
      </c>
    </row>
    <row r="700">
      <c r="A700" s="24" t="s">
        <v>2785</v>
      </c>
      <c r="B700" s="24" t="s">
        <v>2786</v>
      </c>
      <c r="C700" s="24" t="s">
        <v>2787</v>
      </c>
      <c r="D700" s="24" t="s">
        <v>124</v>
      </c>
      <c r="E700" s="24" t="s">
        <v>2788</v>
      </c>
      <c r="F700" s="24" t="s">
        <v>59</v>
      </c>
    </row>
    <row r="701">
      <c r="A701" s="24" t="s">
        <v>2789</v>
      </c>
      <c r="B701" s="24" t="s">
        <v>2790</v>
      </c>
      <c r="C701" s="24" t="s">
        <v>2791</v>
      </c>
      <c r="D701" s="24" t="s">
        <v>124</v>
      </c>
      <c r="E701" s="24" t="s">
        <v>2792</v>
      </c>
      <c r="F701" s="24" t="s">
        <v>59</v>
      </c>
    </row>
    <row r="702">
      <c r="A702" s="24" t="s">
        <v>2793</v>
      </c>
      <c r="B702" s="24" t="s">
        <v>2794</v>
      </c>
      <c r="C702" s="24" t="s">
        <v>2795</v>
      </c>
      <c r="D702" s="24" t="s">
        <v>124</v>
      </c>
      <c r="E702" s="24" t="s">
        <v>2796</v>
      </c>
      <c r="F702" s="24" t="s">
        <v>59</v>
      </c>
    </row>
    <row r="703">
      <c r="A703" s="24" t="s">
        <v>2797</v>
      </c>
      <c r="B703" s="24" t="s">
        <v>2798</v>
      </c>
      <c r="C703" s="24" t="s">
        <v>2799</v>
      </c>
      <c r="D703" s="24" t="s">
        <v>134</v>
      </c>
      <c r="E703" s="24" t="s">
        <v>2800</v>
      </c>
      <c r="F703" s="24" t="s">
        <v>59</v>
      </c>
    </row>
    <row r="704">
      <c r="A704" s="24" t="s">
        <v>2801</v>
      </c>
      <c r="B704" s="24" t="s">
        <v>2802</v>
      </c>
      <c r="C704" s="24" t="s">
        <v>2803</v>
      </c>
      <c r="D704" s="24" t="s">
        <v>124</v>
      </c>
      <c r="E704" s="24" t="s">
        <v>2804</v>
      </c>
      <c r="F704" s="24" t="s">
        <v>59</v>
      </c>
    </row>
    <row r="705">
      <c r="A705" s="24" t="s">
        <v>2805</v>
      </c>
      <c r="B705" s="24" t="s">
        <v>2806</v>
      </c>
      <c r="C705" s="24" t="s">
        <v>2807</v>
      </c>
      <c r="D705" s="24" t="s">
        <v>264</v>
      </c>
      <c r="E705" s="24" t="s">
        <v>2808</v>
      </c>
      <c r="F705" s="24" t="s">
        <v>59</v>
      </c>
    </row>
    <row r="706">
      <c r="A706" s="24" t="s">
        <v>2809</v>
      </c>
      <c r="B706" s="24" t="s">
        <v>2810</v>
      </c>
      <c r="C706" s="24" t="s">
        <v>2811</v>
      </c>
      <c r="D706" s="24" t="s">
        <v>124</v>
      </c>
      <c r="E706" s="24" t="s">
        <v>2812</v>
      </c>
      <c r="F706" s="24" t="s">
        <v>59</v>
      </c>
    </row>
    <row r="707">
      <c r="A707" s="24" t="s">
        <v>2813</v>
      </c>
      <c r="B707" s="24" t="s">
        <v>2814</v>
      </c>
      <c r="C707" s="24" t="s">
        <v>2815</v>
      </c>
      <c r="D707" s="24" t="s">
        <v>124</v>
      </c>
      <c r="E707" s="24" t="s">
        <v>2816</v>
      </c>
      <c r="F707" s="24" t="s">
        <v>59</v>
      </c>
    </row>
    <row r="708">
      <c r="A708" s="24" t="s">
        <v>2817</v>
      </c>
      <c r="B708" s="24" t="s">
        <v>2818</v>
      </c>
      <c r="C708" s="24" t="s">
        <v>2819</v>
      </c>
      <c r="D708" s="24" t="s">
        <v>124</v>
      </c>
      <c r="E708" s="24" t="s">
        <v>2820</v>
      </c>
      <c r="F708" s="24" t="s">
        <v>59</v>
      </c>
    </row>
    <row r="709">
      <c r="A709" s="24" t="s">
        <v>2821</v>
      </c>
      <c r="B709" s="24" t="s">
        <v>2822</v>
      </c>
      <c r="C709" s="24" t="s">
        <v>2823</v>
      </c>
      <c r="D709" s="24" t="s">
        <v>134</v>
      </c>
      <c r="E709" s="24" t="s">
        <v>2824</v>
      </c>
      <c r="F709" s="24" t="s">
        <v>59</v>
      </c>
    </row>
    <row r="710">
      <c r="A710" s="24" t="s">
        <v>2825</v>
      </c>
      <c r="B710" s="24" t="s">
        <v>2826</v>
      </c>
      <c r="C710" s="24" t="s">
        <v>2827</v>
      </c>
      <c r="D710" s="24" t="s">
        <v>124</v>
      </c>
      <c r="E710" s="24" t="s">
        <v>2828</v>
      </c>
      <c r="F710" s="24" t="s">
        <v>59</v>
      </c>
    </row>
    <row r="711">
      <c r="A711" s="24" t="s">
        <v>2829</v>
      </c>
      <c r="B711" s="24" t="s">
        <v>2830</v>
      </c>
      <c r="C711" s="24" t="s">
        <v>2831</v>
      </c>
      <c r="D711" s="24" t="s">
        <v>124</v>
      </c>
      <c r="E711" s="24" t="s">
        <v>2832</v>
      </c>
      <c r="F711" s="24" t="s">
        <v>59</v>
      </c>
    </row>
    <row r="712">
      <c r="A712" s="24" t="s">
        <v>2833</v>
      </c>
      <c r="B712" s="24" t="s">
        <v>2834</v>
      </c>
      <c r="C712" s="24" t="s">
        <v>2835</v>
      </c>
      <c r="D712" s="24" t="s">
        <v>124</v>
      </c>
      <c r="E712" s="24" t="s">
        <v>2836</v>
      </c>
      <c r="F712" s="24" t="s">
        <v>59</v>
      </c>
    </row>
    <row r="713">
      <c r="A713" s="24" t="s">
        <v>2837</v>
      </c>
      <c r="B713" s="24" t="s">
        <v>2838</v>
      </c>
      <c r="C713" s="24" t="s">
        <v>2839</v>
      </c>
      <c r="D713" s="24" t="s">
        <v>134</v>
      </c>
      <c r="E713" s="24" t="s">
        <v>2840</v>
      </c>
      <c r="F713" s="24" t="s">
        <v>59</v>
      </c>
    </row>
    <row r="714">
      <c r="A714" s="24" t="s">
        <v>2841</v>
      </c>
      <c r="B714" s="24" t="s">
        <v>2842</v>
      </c>
      <c r="C714" s="24" t="s">
        <v>2843</v>
      </c>
      <c r="D714" s="24" t="s">
        <v>129</v>
      </c>
      <c r="E714" s="24" t="s">
        <v>2844</v>
      </c>
      <c r="F714" s="24" t="s">
        <v>59</v>
      </c>
    </row>
    <row r="715">
      <c r="A715" s="24" t="s">
        <v>2845</v>
      </c>
      <c r="B715" s="24" t="s">
        <v>2846</v>
      </c>
      <c r="C715" s="24" t="s">
        <v>2847</v>
      </c>
      <c r="D715" s="24" t="s">
        <v>134</v>
      </c>
      <c r="E715" s="24" t="s">
        <v>2848</v>
      </c>
      <c r="F715" s="24" t="s">
        <v>59</v>
      </c>
    </row>
    <row r="716">
      <c r="A716" s="24" t="s">
        <v>2849</v>
      </c>
      <c r="B716" s="24" t="s">
        <v>2850</v>
      </c>
      <c r="C716" s="24" t="s">
        <v>2851</v>
      </c>
      <c r="D716" s="24" t="s">
        <v>129</v>
      </c>
      <c r="E716" s="24" t="s">
        <v>2852</v>
      </c>
      <c r="F716" s="24" t="s">
        <v>59</v>
      </c>
    </row>
    <row r="717">
      <c r="A717" s="24" t="s">
        <v>2853</v>
      </c>
      <c r="B717" s="24" t="s">
        <v>2854</v>
      </c>
      <c r="C717" s="24" t="s">
        <v>2855</v>
      </c>
      <c r="D717" s="24" t="s">
        <v>124</v>
      </c>
      <c r="E717" s="24" t="s">
        <v>2856</v>
      </c>
      <c r="F717" s="24" t="s">
        <v>59</v>
      </c>
    </row>
    <row r="718">
      <c r="A718" s="24" t="s">
        <v>2857</v>
      </c>
      <c r="B718" s="24" t="s">
        <v>2858</v>
      </c>
      <c r="C718" s="24" t="s">
        <v>2859</v>
      </c>
      <c r="D718" s="24" t="s">
        <v>129</v>
      </c>
      <c r="E718" s="24" t="s">
        <v>2860</v>
      </c>
      <c r="F718" s="24" t="s">
        <v>59</v>
      </c>
    </row>
    <row r="719">
      <c r="A719" s="24" t="s">
        <v>2861</v>
      </c>
      <c r="B719" s="24" t="s">
        <v>2862</v>
      </c>
      <c r="C719" s="24" t="s">
        <v>2863</v>
      </c>
      <c r="D719" s="24" t="s">
        <v>134</v>
      </c>
      <c r="E719" s="24" t="s">
        <v>2864</v>
      </c>
      <c r="F719" s="24" t="s">
        <v>59</v>
      </c>
    </row>
    <row r="720">
      <c r="A720" s="24" t="s">
        <v>2865</v>
      </c>
      <c r="B720" s="24" t="s">
        <v>2866</v>
      </c>
      <c r="C720" s="24" t="s">
        <v>2867</v>
      </c>
      <c r="D720" s="24" t="s">
        <v>129</v>
      </c>
      <c r="E720" s="24" t="s">
        <v>2868</v>
      </c>
      <c r="F720" s="24" t="s">
        <v>59</v>
      </c>
    </row>
    <row r="721">
      <c r="A721" s="24" t="s">
        <v>2869</v>
      </c>
      <c r="B721" s="24" t="s">
        <v>2870</v>
      </c>
      <c r="C721" s="24" t="s">
        <v>2871</v>
      </c>
      <c r="D721" s="24" t="s">
        <v>129</v>
      </c>
      <c r="E721" s="24" t="s">
        <v>2872</v>
      </c>
      <c r="F721" s="24" t="s">
        <v>59</v>
      </c>
    </row>
    <row r="722">
      <c r="A722" s="24" t="s">
        <v>2873</v>
      </c>
      <c r="B722" s="24" t="s">
        <v>2874</v>
      </c>
      <c r="C722" s="24" t="s">
        <v>2875</v>
      </c>
      <c r="D722" s="24" t="s">
        <v>134</v>
      </c>
      <c r="E722" s="24" t="s">
        <v>2876</v>
      </c>
      <c r="F722" s="24" t="s">
        <v>59</v>
      </c>
    </row>
    <row r="723">
      <c r="A723" s="24" t="s">
        <v>2877</v>
      </c>
      <c r="B723" s="24" t="s">
        <v>2878</v>
      </c>
      <c r="C723" s="24" t="s">
        <v>2879</v>
      </c>
      <c r="D723" s="24" t="s">
        <v>124</v>
      </c>
      <c r="E723" s="24" t="s">
        <v>2880</v>
      </c>
      <c r="F723" s="24" t="s">
        <v>59</v>
      </c>
    </row>
    <row r="724">
      <c r="A724" s="24" t="s">
        <v>2881</v>
      </c>
      <c r="B724" s="24" t="s">
        <v>2882</v>
      </c>
      <c r="C724" s="24" t="s">
        <v>2883</v>
      </c>
      <c r="D724" s="24" t="s">
        <v>124</v>
      </c>
      <c r="E724" s="24" t="s">
        <v>2884</v>
      </c>
      <c r="F724" s="24" t="s">
        <v>59</v>
      </c>
    </row>
    <row r="725">
      <c r="A725" s="24" t="s">
        <v>2885</v>
      </c>
      <c r="B725" s="24" t="s">
        <v>2886</v>
      </c>
      <c r="C725" s="24" t="s">
        <v>2887</v>
      </c>
      <c r="D725" s="24" t="s">
        <v>129</v>
      </c>
      <c r="E725" s="24" t="s">
        <v>2888</v>
      </c>
      <c r="F725" s="24" t="s">
        <v>59</v>
      </c>
    </row>
    <row r="726">
      <c r="A726" s="24" t="s">
        <v>2889</v>
      </c>
      <c r="B726" s="24" t="s">
        <v>2890</v>
      </c>
      <c r="C726" s="24" t="s">
        <v>2891</v>
      </c>
      <c r="D726" s="24" t="s">
        <v>129</v>
      </c>
      <c r="E726" s="24" t="s">
        <v>2892</v>
      </c>
      <c r="F726" s="24" t="s">
        <v>59</v>
      </c>
    </row>
    <row r="727">
      <c r="A727" s="24" t="s">
        <v>2893</v>
      </c>
      <c r="B727" s="24" t="s">
        <v>2894</v>
      </c>
      <c r="C727" s="24" t="s">
        <v>2895</v>
      </c>
      <c r="D727" s="24" t="s">
        <v>129</v>
      </c>
      <c r="E727" s="24" t="s">
        <v>2896</v>
      </c>
      <c r="F727" s="24" t="s">
        <v>59</v>
      </c>
    </row>
    <row r="728">
      <c r="A728" s="24" t="s">
        <v>2897</v>
      </c>
      <c r="B728" s="24" t="s">
        <v>2898</v>
      </c>
      <c r="C728" s="24" t="s">
        <v>2899</v>
      </c>
      <c r="D728" s="24" t="s">
        <v>264</v>
      </c>
      <c r="E728" s="24" t="s">
        <v>2900</v>
      </c>
      <c r="F728" s="24" t="s">
        <v>59</v>
      </c>
    </row>
    <row r="729">
      <c r="A729" s="24" t="s">
        <v>2901</v>
      </c>
      <c r="B729" s="24" t="s">
        <v>2902</v>
      </c>
      <c r="C729" s="24" t="s">
        <v>2903</v>
      </c>
      <c r="D729" s="24" t="s">
        <v>264</v>
      </c>
      <c r="E729" s="24" t="s">
        <v>2904</v>
      </c>
      <c r="F729" s="24" t="s">
        <v>59</v>
      </c>
    </row>
    <row r="730">
      <c r="A730" s="24" t="s">
        <v>2905</v>
      </c>
      <c r="B730" s="24" t="s">
        <v>2906</v>
      </c>
      <c r="C730" s="24" t="s">
        <v>2907</v>
      </c>
      <c r="D730" s="24" t="s">
        <v>134</v>
      </c>
      <c r="E730" s="24" t="s">
        <v>2908</v>
      </c>
      <c r="F730" s="24" t="s">
        <v>59</v>
      </c>
    </row>
    <row r="731">
      <c r="A731" s="24" t="s">
        <v>2909</v>
      </c>
      <c r="B731" s="24" t="s">
        <v>2910</v>
      </c>
      <c r="C731" s="24" t="s">
        <v>2911</v>
      </c>
      <c r="D731" s="24" t="s">
        <v>124</v>
      </c>
      <c r="E731" s="24" t="s">
        <v>2912</v>
      </c>
      <c r="F731" s="24" t="s">
        <v>59</v>
      </c>
    </row>
    <row r="732">
      <c r="A732" s="24" t="s">
        <v>2913</v>
      </c>
      <c r="B732" s="24" t="s">
        <v>2914</v>
      </c>
      <c r="C732" s="24" t="s">
        <v>2915</v>
      </c>
      <c r="D732" s="24" t="s">
        <v>129</v>
      </c>
      <c r="E732" s="24" t="s">
        <v>2916</v>
      </c>
      <c r="F732" s="24" t="s">
        <v>59</v>
      </c>
    </row>
    <row r="733">
      <c r="A733" s="24" t="s">
        <v>2917</v>
      </c>
      <c r="B733" s="24" t="s">
        <v>2918</v>
      </c>
      <c r="C733" s="24" t="s">
        <v>2919</v>
      </c>
      <c r="D733" s="24" t="s">
        <v>124</v>
      </c>
      <c r="E733" s="24" t="s">
        <v>2920</v>
      </c>
      <c r="F733" s="24" t="s">
        <v>59</v>
      </c>
    </row>
    <row r="734">
      <c r="A734" s="24" t="s">
        <v>2921</v>
      </c>
      <c r="B734" s="24" t="s">
        <v>2922</v>
      </c>
      <c r="C734" s="24" t="s">
        <v>2923</v>
      </c>
      <c r="D734" s="24" t="s">
        <v>134</v>
      </c>
      <c r="E734" s="24" t="s">
        <v>2924</v>
      </c>
      <c r="F734" s="24" t="s">
        <v>59</v>
      </c>
    </row>
    <row r="735">
      <c r="A735" s="24" t="s">
        <v>2925</v>
      </c>
      <c r="B735" s="24" t="s">
        <v>2926</v>
      </c>
      <c r="C735" s="24" t="s">
        <v>2927</v>
      </c>
      <c r="D735" s="24" t="s">
        <v>129</v>
      </c>
      <c r="E735" s="24" t="s">
        <v>2928</v>
      </c>
      <c r="F735" s="24" t="s">
        <v>59</v>
      </c>
    </row>
    <row r="736">
      <c r="A736" s="24" t="s">
        <v>2929</v>
      </c>
      <c r="B736" s="24" t="s">
        <v>2930</v>
      </c>
      <c r="C736" s="24" t="s">
        <v>2931</v>
      </c>
      <c r="D736" s="24" t="s">
        <v>129</v>
      </c>
      <c r="E736" s="24" t="s">
        <v>2932</v>
      </c>
      <c r="F736" s="24" t="s">
        <v>59</v>
      </c>
    </row>
    <row r="737">
      <c r="A737" s="24" t="s">
        <v>2933</v>
      </c>
      <c r="B737" s="24" t="s">
        <v>2934</v>
      </c>
      <c r="C737" s="24" t="s">
        <v>2935</v>
      </c>
      <c r="D737" s="24" t="s">
        <v>124</v>
      </c>
      <c r="E737" s="24" t="s">
        <v>2936</v>
      </c>
      <c r="F737" s="24" t="s">
        <v>59</v>
      </c>
    </row>
    <row r="738">
      <c r="A738" s="24" t="s">
        <v>2937</v>
      </c>
      <c r="B738" s="24" t="s">
        <v>2938</v>
      </c>
      <c r="C738" s="24" t="s">
        <v>2939</v>
      </c>
      <c r="D738" s="24" t="s">
        <v>124</v>
      </c>
      <c r="E738" s="24" t="s">
        <v>2940</v>
      </c>
      <c r="F738" s="24" t="s">
        <v>59</v>
      </c>
    </row>
    <row r="739">
      <c r="A739" s="24" t="s">
        <v>2941</v>
      </c>
      <c r="B739" s="24" t="s">
        <v>2942</v>
      </c>
      <c r="C739" s="24" t="s">
        <v>2943</v>
      </c>
      <c r="D739" s="24" t="s">
        <v>124</v>
      </c>
      <c r="E739" s="24" t="s">
        <v>2944</v>
      </c>
      <c r="F739" s="24" t="s">
        <v>59</v>
      </c>
    </row>
    <row r="740">
      <c r="A740" s="24" t="s">
        <v>2945</v>
      </c>
      <c r="B740" s="24" t="s">
        <v>2946</v>
      </c>
      <c r="C740" s="24" t="s">
        <v>2947</v>
      </c>
      <c r="D740" s="24" t="s">
        <v>129</v>
      </c>
      <c r="E740" s="24" t="s">
        <v>2948</v>
      </c>
      <c r="F740" s="24" t="s">
        <v>59</v>
      </c>
    </row>
    <row r="741">
      <c r="A741" s="24" t="s">
        <v>2949</v>
      </c>
      <c r="B741" s="24" t="s">
        <v>2950</v>
      </c>
      <c r="C741" s="24" t="s">
        <v>2951</v>
      </c>
      <c r="D741" s="24" t="s">
        <v>129</v>
      </c>
      <c r="E741" s="24" t="s">
        <v>2952</v>
      </c>
      <c r="F741" s="24" t="s">
        <v>59</v>
      </c>
    </row>
    <row r="742">
      <c r="A742" s="24" t="s">
        <v>2953</v>
      </c>
      <c r="B742" s="24" t="s">
        <v>2954</v>
      </c>
      <c r="C742" s="24" t="s">
        <v>2955</v>
      </c>
      <c r="D742" s="24" t="s">
        <v>124</v>
      </c>
      <c r="E742" s="24" t="s">
        <v>2956</v>
      </c>
      <c r="F742" s="24" t="s">
        <v>59</v>
      </c>
    </row>
    <row r="743">
      <c r="A743" s="24" t="s">
        <v>2957</v>
      </c>
      <c r="B743" s="24" t="s">
        <v>2958</v>
      </c>
      <c r="C743" s="24" t="s">
        <v>2959</v>
      </c>
      <c r="D743" s="24" t="s">
        <v>134</v>
      </c>
      <c r="E743" s="24" t="s">
        <v>2960</v>
      </c>
      <c r="F743" s="24" t="s">
        <v>59</v>
      </c>
    </row>
    <row r="744">
      <c r="A744" s="24" t="s">
        <v>2961</v>
      </c>
      <c r="B744" s="24" t="s">
        <v>2962</v>
      </c>
      <c r="C744" s="24" t="s">
        <v>2963</v>
      </c>
      <c r="D744" s="24" t="s">
        <v>124</v>
      </c>
      <c r="E744" s="24" t="s">
        <v>2964</v>
      </c>
      <c r="F744" s="24" t="s">
        <v>59</v>
      </c>
    </row>
    <row r="745">
      <c r="A745" s="24" t="s">
        <v>2965</v>
      </c>
      <c r="B745" s="24" t="s">
        <v>2966</v>
      </c>
      <c r="C745" s="24" t="s">
        <v>2967</v>
      </c>
      <c r="D745" s="24" t="s">
        <v>134</v>
      </c>
      <c r="E745" s="24" t="s">
        <v>2968</v>
      </c>
      <c r="F745" s="24" t="s">
        <v>59</v>
      </c>
    </row>
    <row r="746">
      <c r="A746" s="24" t="s">
        <v>2969</v>
      </c>
      <c r="B746" s="24" t="s">
        <v>2970</v>
      </c>
      <c r="C746" s="24" t="s">
        <v>2971</v>
      </c>
      <c r="D746" s="24" t="s">
        <v>124</v>
      </c>
      <c r="E746" s="24" t="s">
        <v>2972</v>
      </c>
      <c r="F746" s="24" t="s">
        <v>59</v>
      </c>
    </row>
    <row r="747">
      <c r="A747" s="24" t="s">
        <v>2973</v>
      </c>
      <c r="B747" s="24" t="s">
        <v>2974</v>
      </c>
      <c r="C747" s="24" t="s">
        <v>2975</v>
      </c>
      <c r="D747" s="24" t="s">
        <v>124</v>
      </c>
      <c r="E747" s="24" t="s">
        <v>2976</v>
      </c>
      <c r="F747" s="24" t="s">
        <v>59</v>
      </c>
    </row>
    <row r="748">
      <c r="A748" s="24" t="s">
        <v>2977</v>
      </c>
      <c r="B748" s="24" t="s">
        <v>2978</v>
      </c>
      <c r="C748" s="24" t="s">
        <v>2979</v>
      </c>
      <c r="D748" s="24" t="s">
        <v>124</v>
      </c>
      <c r="E748" s="24" t="s">
        <v>2980</v>
      </c>
      <c r="F748" s="24" t="s">
        <v>59</v>
      </c>
    </row>
    <row r="749">
      <c r="A749" s="24" t="s">
        <v>2981</v>
      </c>
      <c r="B749" s="24" t="s">
        <v>2982</v>
      </c>
      <c r="C749" s="24" t="s">
        <v>2983</v>
      </c>
      <c r="D749" s="24" t="s">
        <v>264</v>
      </c>
      <c r="E749" s="24" t="s">
        <v>2984</v>
      </c>
      <c r="F749" s="24" t="s">
        <v>59</v>
      </c>
    </row>
    <row r="750">
      <c r="A750" s="24" t="s">
        <v>2985</v>
      </c>
      <c r="B750" s="24" t="s">
        <v>2986</v>
      </c>
      <c r="C750" s="24" t="s">
        <v>2987</v>
      </c>
      <c r="D750" s="24" t="s">
        <v>124</v>
      </c>
      <c r="E750" s="24" t="s">
        <v>2988</v>
      </c>
      <c r="F750" s="24" t="s">
        <v>59</v>
      </c>
    </row>
    <row r="751">
      <c r="A751" s="24" t="s">
        <v>2989</v>
      </c>
      <c r="B751" s="24" t="s">
        <v>2990</v>
      </c>
      <c r="C751" s="24" t="s">
        <v>2991</v>
      </c>
      <c r="D751" s="24" t="s">
        <v>134</v>
      </c>
      <c r="E751" s="24" t="s">
        <v>2992</v>
      </c>
      <c r="F751" s="24" t="s">
        <v>59</v>
      </c>
    </row>
    <row r="752">
      <c r="A752" s="24" t="s">
        <v>2993</v>
      </c>
      <c r="B752" s="24" t="s">
        <v>2994</v>
      </c>
      <c r="C752" s="24" t="s">
        <v>2995</v>
      </c>
      <c r="D752" s="24" t="s">
        <v>124</v>
      </c>
      <c r="E752" s="24" t="s">
        <v>2996</v>
      </c>
      <c r="F752" s="24" t="s">
        <v>59</v>
      </c>
    </row>
    <row r="753">
      <c r="A753" s="24" t="s">
        <v>2997</v>
      </c>
      <c r="B753" s="24" t="s">
        <v>2998</v>
      </c>
      <c r="C753" s="24" t="s">
        <v>2999</v>
      </c>
      <c r="D753" s="24" t="s">
        <v>134</v>
      </c>
      <c r="E753" s="24" t="s">
        <v>3000</v>
      </c>
      <c r="F753" s="24" t="s">
        <v>59</v>
      </c>
    </row>
    <row r="754">
      <c r="A754" s="24" t="s">
        <v>3001</v>
      </c>
      <c r="B754" s="24" t="s">
        <v>3002</v>
      </c>
      <c r="C754" s="24" t="s">
        <v>3003</v>
      </c>
      <c r="D754" s="24" t="s">
        <v>129</v>
      </c>
      <c r="E754" s="24" t="s">
        <v>3004</v>
      </c>
      <c r="F754" s="24" t="s">
        <v>59</v>
      </c>
    </row>
    <row r="755">
      <c r="A755" s="24" t="s">
        <v>3005</v>
      </c>
      <c r="B755" s="24" t="s">
        <v>3006</v>
      </c>
      <c r="C755" s="24" t="s">
        <v>3007</v>
      </c>
      <c r="D755" s="24" t="s">
        <v>124</v>
      </c>
      <c r="E755" s="24" t="s">
        <v>3008</v>
      </c>
      <c r="F755" s="24" t="s">
        <v>59</v>
      </c>
    </row>
    <row r="756">
      <c r="A756" s="24" t="s">
        <v>3009</v>
      </c>
      <c r="B756" s="24" t="s">
        <v>3010</v>
      </c>
      <c r="C756" s="24" t="s">
        <v>3011</v>
      </c>
      <c r="D756" s="24" t="s">
        <v>124</v>
      </c>
      <c r="E756" s="24" t="s">
        <v>3012</v>
      </c>
      <c r="F756" s="24" t="s">
        <v>59</v>
      </c>
    </row>
    <row r="757">
      <c r="A757" s="24" t="s">
        <v>3013</v>
      </c>
      <c r="B757" s="24" t="s">
        <v>3014</v>
      </c>
      <c r="C757" s="24" t="s">
        <v>3015</v>
      </c>
      <c r="D757" s="24" t="s">
        <v>124</v>
      </c>
      <c r="E757" s="24" t="s">
        <v>3016</v>
      </c>
      <c r="F757" s="24" t="s">
        <v>59</v>
      </c>
    </row>
    <row r="758">
      <c r="A758" s="24" t="s">
        <v>3017</v>
      </c>
      <c r="B758" s="24" t="s">
        <v>3018</v>
      </c>
      <c r="C758" s="24" t="s">
        <v>3019</v>
      </c>
      <c r="D758" s="24" t="s">
        <v>134</v>
      </c>
      <c r="E758" s="24" t="s">
        <v>3020</v>
      </c>
      <c r="F758" s="24" t="s">
        <v>59</v>
      </c>
    </row>
    <row r="759">
      <c r="A759" s="24" t="s">
        <v>3021</v>
      </c>
      <c r="B759" s="24" t="s">
        <v>3022</v>
      </c>
      <c r="C759" s="24" t="s">
        <v>3023</v>
      </c>
      <c r="D759" s="24" t="s">
        <v>124</v>
      </c>
      <c r="E759" s="24" t="s">
        <v>3024</v>
      </c>
      <c r="F759" s="24" t="s">
        <v>59</v>
      </c>
    </row>
    <row r="760">
      <c r="A760" s="24" t="s">
        <v>3025</v>
      </c>
      <c r="B760" s="24" t="s">
        <v>3026</v>
      </c>
      <c r="C760" s="24" t="s">
        <v>3027</v>
      </c>
      <c r="D760" s="24" t="s">
        <v>264</v>
      </c>
      <c r="E760" s="24" t="s">
        <v>3028</v>
      </c>
      <c r="F760" s="24" t="s">
        <v>59</v>
      </c>
    </row>
    <row r="761">
      <c r="A761" s="24" t="s">
        <v>3029</v>
      </c>
      <c r="B761" s="24" t="s">
        <v>3030</v>
      </c>
      <c r="C761" s="24" t="s">
        <v>3031</v>
      </c>
      <c r="D761" s="24" t="s">
        <v>124</v>
      </c>
      <c r="E761" s="24" t="s">
        <v>3032</v>
      </c>
      <c r="F761" s="24" t="s">
        <v>59</v>
      </c>
    </row>
    <row r="762">
      <c r="A762" s="24" t="s">
        <v>3033</v>
      </c>
      <c r="B762" s="24" t="s">
        <v>3034</v>
      </c>
      <c r="C762" s="24" t="s">
        <v>3035</v>
      </c>
      <c r="D762" s="24" t="s">
        <v>124</v>
      </c>
      <c r="E762" s="24" t="s">
        <v>3036</v>
      </c>
      <c r="F762" s="24" t="s">
        <v>59</v>
      </c>
    </row>
    <row r="763">
      <c r="A763" s="24" t="s">
        <v>3037</v>
      </c>
      <c r="B763" s="24" t="s">
        <v>3038</v>
      </c>
      <c r="C763" s="24" t="s">
        <v>3039</v>
      </c>
      <c r="D763" s="24" t="s">
        <v>134</v>
      </c>
      <c r="E763" s="24" t="s">
        <v>3040</v>
      </c>
      <c r="F763" s="24" t="s">
        <v>59</v>
      </c>
    </row>
    <row r="764">
      <c r="A764" s="24" t="s">
        <v>3041</v>
      </c>
      <c r="B764" s="24" t="s">
        <v>3042</v>
      </c>
      <c r="C764" s="24" t="s">
        <v>3043</v>
      </c>
      <c r="D764" s="24" t="s">
        <v>124</v>
      </c>
      <c r="E764" s="24" t="s">
        <v>3044</v>
      </c>
      <c r="F764" s="24" t="s">
        <v>59</v>
      </c>
    </row>
    <row r="765">
      <c r="A765" s="24" t="s">
        <v>3045</v>
      </c>
      <c r="B765" s="24" t="s">
        <v>3046</v>
      </c>
      <c r="C765" s="24" t="s">
        <v>3047</v>
      </c>
      <c r="D765" s="24" t="s">
        <v>129</v>
      </c>
      <c r="E765" s="24" t="s">
        <v>3048</v>
      </c>
      <c r="F765" s="24" t="s">
        <v>59</v>
      </c>
    </row>
    <row r="766">
      <c r="A766" s="24" t="s">
        <v>3049</v>
      </c>
      <c r="B766" s="24" t="s">
        <v>3050</v>
      </c>
      <c r="C766" s="24" t="s">
        <v>3051</v>
      </c>
      <c r="D766" s="24" t="s">
        <v>124</v>
      </c>
      <c r="E766" s="24" t="s">
        <v>3052</v>
      </c>
      <c r="F766" s="24" t="s">
        <v>59</v>
      </c>
    </row>
    <row r="767">
      <c r="A767" s="24" t="s">
        <v>3053</v>
      </c>
      <c r="B767" s="24" t="s">
        <v>3054</v>
      </c>
      <c r="C767" s="24" t="s">
        <v>3055</v>
      </c>
      <c r="D767" s="24" t="s">
        <v>124</v>
      </c>
      <c r="E767" s="24" t="s">
        <v>3056</v>
      </c>
      <c r="F767" s="24" t="s">
        <v>59</v>
      </c>
    </row>
    <row r="768">
      <c r="A768" s="24" t="s">
        <v>3057</v>
      </c>
      <c r="B768" s="24" t="s">
        <v>3058</v>
      </c>
      <c r="C768" s="24" t="s">
        <v>3059</v>
      </c>
      <c r="D768" s="24" t="s">
        <v>264</v>
      </c>
      <c r="E768" s="24" t="s">
        <v>3060</v>
      </c>
      <c r="F768" s="24" t="s">
        <v>59</v>
      </c>
    </row>
    <row r="769">
      <c r="A769" s="24" t="s">
        <v>3061</v>
      </c>
      <c r="B769" s="24" t="s">
        <v>3062</v>
      </c>
      <c r="C769" s="24" t="s">
        <v>3063</v>
      </c>
      <c r="D769" s="24" t="s">
        <v>124</v>
      </c>
      <c r="E769" s="24" t="s">
        <v>3064</v>
      </c>
      <c r="F769" s="24" t="s">
        <v>59</v>
      </c>
    </row>
    <row r="770">
      <c r="A770" s="24" t="s">
        <v>3065</v>
      </c>
      <c r="B770" s="24" t="s">
        <v>3066</v>
      </c>
      <c r="C770" s="24" t="s">
        <v>3067</v>
      </c>
      <c r="D770" s="24" t="s">
        <v>124</v>
      </c>
      <c r="E770" s="24" t="s">
        <v>3068</v>
      </c>
      <c r="F770" s="24" t="s">
        <v>59</v>
      </c>
    </row>
    <row r="771">
      <c r="A771" s="24" t="s">
        <v>3069</v>
      </c>
      <c r="B771" s="24" t="s">
        <v>3070</v>
      </c>
      <c r="C771" s="24" t="s">
        <v>3071</v>
      </c>
      <c r="D771" s="24" t="s">
        <v>124</v>
      </c>
      <c r="E771" s="24" t="s">
        <v>3072</v>
      </c>
      <c r="F771" s="24" t="s">
        <v>59</v>
      </c>
    </row>
    <row r="772">
      <c r="A772" s="24" t="s">
        <v>3073</v>
      </c>
      <c r="B772" s="24" t="s">
        <v>3074</v>
      </c>
      <c r="C772" s="24" t="s">
        <v>3075</v>
      </c>
      <c r="D772" s="24" t="s">
        <v>124</v>
      </c>
      <c r="E772" s="24" t="s">
        <v>3076</v>
      </c>
      <c r="F772" s="24" t="s">
        <v>59</v>
      </c>
    </row>
    <row r="773">
      <c r="A773" s="24" t="s">
        <v>3077</v>
      </c>
      <c r="B773" s="24" t="s">
        <v>3078</v>
      </c>
      <c r="C773" s="24" t="s">
        <v>3079</v>
      </c>
      <c r="D773" s="24" t="s">
        <v>124</v>
      </c>
      <c r="E773" s="24" t="s">
        <v>3080</v>
      </c>
      <c r="F773" s="24" t="s">
        <v>59</v>
      </c>
    </row>
    <row r="774">
      <c r="A774" s="24" t="s">
        <v>3081</v>
      </c>
      <c r="B774" s="24" t="s">
        <v>3082</v>
      </c>
      <c r="C774" s="24" t="s">
        <v>3083</v>
      </c>
      <c r="D774" s="24" t="s">
        <v>124</v>
      </c>
      <c r="E774" s="24" t="s">
        <v>3084</v>
      </c>
      <c r="F774" s="24" t="s">
        <v>59</v>
      </c>
    </row>
    <row r="775">
      <c r="A775" s="24" t="s">
        <v>3085</v>
      </c>
      <c r="B775" s="24" t="s">
        <v>3086</v>
      </c>
      <c r="C775" s="24" t="s">
        <v>3087</v>
      </c>
      <c r="D775" s="24" t="s">
        <v>129</v>
      </c>
      <c r="E775" s="24" t="s">
        <v>3088</v>
      </c>
      <c r="F775" s="24" t="s">
        <v>59</v>
      </c>
    </row>
    <row r="776">
      <c r="A776" s="24" t="s">
        <v>3089</v>
      </c>
      <c r="B776" s="24" t="s">
        <v>3090</v>
      </c>
      <c r="C776" s="24" t="s">
        <v>3091</v>
      </c>
      <c r="D776" s="24" t="s">
        <v>129</v>
      </c>
      <c r="E776" s="24" t="s">
        <v>3092</v>
      </c>
      <c r="F776" s="24" t="s">
        <v>59</v>
      </c>
    </row>
    <row r="777">
      <c r="A777" s="24" t="s">
        <v>3093</v>
      </c>
      <c r="B777" s="24" t="s">
        <v>3094</v>
      </c>
      <c r="C777" s="24" t="s">
        <v>3095</v>
      </c>
      <c r="D777" s="24" t="s">
        <v>134</v>
      </c>
      <c r="E777" s="24" t="s">
        <v>3096</v>
      </c>
      <c r="F777" s="24" t="s">
        <v>59</v>
      </c>
    </row>
    <row r="778">
      <c r="A778" s="24" t="s">
        <v>3097</v>
      </c>
      <c r="B778" s="24" t="s">
        <v>3098</v>
      </c>
      <c r="C778" s="24" t="s">
        <v>3099</v>
      </c>
      <c r="D778" s="24" t="s">
        <v>124</v>
      </c>
      <c r="E778" s="24" t="s">
        <v>3100</v>
      </c>
      <c r="F778" s="24" t="s">
        <v>59</v>
      </c>
    </row>
    <row r="779">
      <c r="A779" s="24" t="s">
        <v>3101</v>
      </c>
      <c r="B779" s="24" t="s">
        <v>3102</v>
      </c>
      <c r="C779" s="24" t="s">
        <v>3103</v>
      </c>
      <c r="D779" s="24" t="s">
        <v>124</v>
      </c>
      <c r="E779" s="24" t="s">
        <v>3104</v>
      </c>
      <c r="F779" s="24" t="s">
        <v>59</v>
      </c>
    </row>
    <row r="780">
      <c r="A780" s="24" t="s">
        <v>3105</v>
      </c>
      <c r="B780" s="24" t="s">
        <v>3106</v>
      </c>
      <c r="C780" s="24" t="s">
        <v>3107</v>
      </c>
      <c r="D780" s="24" t="s">
        <v>124</v>
      </c>
      <c r="E780" s="24" t="s">
        <v>3108</v>
      </c>
      <c r="F780" s="24" t="s">
        <v>59</v>
      </c>
    </row>
    <row r="781">
      <c r="A781" s="24" t="s">
        <v>3109</v>
      </c>
      <c r="B781" s="24" t="s">
        <v>3110</v>
      </c>
      <c r="C781" s="24" t="s">
        <v>3111</v>
      </c>
      <c r="D781" s="24" t="s">
        <v>124</v>
      </c>
      <c r="E781" s="24" t="s">
        <v>3112</v>
      </c>
      <c r="F781" s="24" t="s">
        <v>59</v>
      </c>
    </row>
    <row r="782">
      <c r="A782" s="24" t="s">
        <v>3113</v>
      </c>
      <c r="B782" s="24" t="s">
        <v>3114</v>
      </c>
      <c r="C782" s="24" t="s">
        <v>3115</v>
      </c>
      <c r="D782" s="24" t="s">
        <v>124</v>
      </c>
      <c r="E782" s="24" t="s">
        <v>3116</v>
      </c>
      <c r="F782" s="24" t="s">
        <v>59</v>
      </c>
    </row>
    <row r="783">
      <c r="A783" s="24" t="s">
        <v>3117</v>
      </c>
      <c r="B783" s="24" t="s">
        <v>3118</v>
      </c>
      <c r="C783" s="24" t="s">
        <v>3119</v>
      </c>
      <c r="D783" s="24" t="s">
        <v>124</v>
      </c>
      <c r="E783" s="24" t="s">
        <v>3120</v>
      </c>
      <c r="F783" s="24" t="s">
        <v>59</v>
      </c>
    </row>
    <row r="784">
      <c r="A784" s="24" t="s">
        <v>3121</v>
      </c>
      <c r="B784" s="24" t="s">
        <v>3122</v>
      </c>
      <c r="C784" s="24" t="s">
        <v>3123</v>
      </c>
      <c r="D784" s="24" t="s">
        <v>129</v>
      </c>
      <c r="E784" s="24" t="s">
        <v>3124</v>
      </c>
      <c r="F784" s="24" t="s">
        <v>59</v>
      </c>
    </row>
    <row r="785">
      <c r="A785" s="24" t="s">
        <v>3125</v>
      </c>
      <c r="B785" s="24" t="s">
        <v>3126</v>
      </c>
      <c r="C785" s="24" t="s">
        <v>3127</v>
      </c>
      <c r="D785" s="24" t="s">
        <v>124</v>
      </c>
      <c r="E785" s="24" t="s">
        <v>3128</v>
      </c>
      <c r="F785" s="24" t="s">
        <v>59</v>
      </c>
    </row>
    <row r="786">
      <c r="A786" s="24" t="s">
        <v>3129</v>
      </c>
      <c r="B786" s="24" t="s">
        <v>3130</v>
      </c>
      <c r="C786" s="24" t="s">
        <v>3131</v>
      </c>
      <c r="D786" s="24" t="s">
        <v>124</v>
      </c>
      <c r="E786" s="24" t="s">
        <v>3132</v>
      </c>
      <c r="F786" s="24" t="s">
        <v>59</v>
      </c>
    </row>
    <row r="787">
      <c r="A787" s="24" t="s">
        <v>3133</v>
      </c>
      <c r="B787" s="24" t="s">
        <v>3134</v>
      </c>
      <c r="C787" s="24" t="s">
        <v>3135</v>
      </c>
      <c r="D787" s="24" t="s">
        <v>129</v>
      </c>
      <c r="E787" s="24" t="s">
        <v>3136</v>
      </c>
      <c r="F787" s="24" t="s">
        <v>59</v>
      </c>
    </row>
    <row r="788">
      <c r="A788" s="24" t="s">
        <v>3137</v>
      </c>
      <c r="B788" s="24" t="s">
        <v>3138</v>
      </c>
      <c r="C788" s="24" t="s">
        <v>3139</v>
      </c>
      <c r="D788" s="24" t="s">
        <v>124</v>
      </c>
      <c r="E788" s="24" t="s">
        <v>3140</v>
      </c>
      <c r="F788" s="24" t="s">
        <v>59</v>
      </c>
    </row>
    <row r="789">
      <c r="A789" s="24" t="s">
        <v>3141</v>
      </c>
      <c r="B789" s="24" t="s">
        <v>3142</v>
      </c>
      <c r="C789" s="24" t="s">
        <v>3143</v>
      </c>
      <c r="D789" s="24" t="s">
        <v>124</v>
      </c>
      <c r="E789" s="24" t="s">
        <v>3144</v>
      </c>
      <c r="F789" s="24" t="s">
        <v>59</v>
      </c>
    </row>
    <row r="790">
      <c r="A790" s="24" t="s">
        <v>3145</v>
      </c>
      <c r="B790" s="24" t="s">
        <v>3146</v>
      </c>
      <c r="C790" s="24" t="s">
        <v>3147</v>
      </c>
      <c r="D790" s="24" t="s">
        <v>124</v>
      </c>
      <c r="E790" s="24" t="s">
        <v>3148</v>
      </c>
      <c r="F790" s="24" t="s">
        <v>59</v>
      </c>
    </row>
    <row r="791">
      <c r="A791" s="24" t="s">
        <v>3149</v>
      </c>
      <c r="B791" s="24" t="s">
        <v>3150</v>
      </c>
      <c r="C791" s="24" t="s">
        <v>3151</v>
      </c>
      <c r="D791" s="24" t="s">
        <v>124</v>
      </c>
      <c r="E791" s="24" t="s">
        <v>3152</v>
      </c>
      <c r="F791" s="24" t="s">
        <v>59</v>
      </c>
    </row>
    <row r="792">
      <c r="A792" s="24" t="s">
        <v>3153</v>
      </c>
      <c r="B792" s="24" t="s">
        <v>3154</v>
      </c>
      <c r="C792" s="24" t="s">
        <v>3155</v>
      </c>
      <c r="D792" s="24" t="s">
        <v>264</v>
      </c>
      <c r="E792" s="24" t="s">
        <v>3156</v>
      </c>
      <c r="F792" s="24" t="s">
        <v>59</v>
      </c>
    </row>
    <row r="793">
      <c r="A793" s="24" t="s">
        <v>3157</v>
      </c>
      <c r="B793" s="24" t="s">
        <v>3158</v>
      </c>
      <c r="C793" s="24" t="s">
        <v>3159</v>
      </c>
      <c r="D793" s="24" t="s">
        <v>129</v>
      </c>
      <c r="E793" s="24" t="s">
        <v>3160</v>
      </c>
      <c r="F793" s="24" t="s">
        <v>59</v>
      </c>
    </row>
    <row r="794">
      <c r="A794" s="24" t="s">
        <v>3161</v>
      </c>
      <c r="B794" s="24" t="s">
        <v>3162</v>
      </c>
      <c r="C794" s="24" t="s">
        <v>3163</v>
      </c>
      <c r="D794" s="24" t="s">
        <v>124</v>
      </c>
      <c r="E794" s="24" t="s">
        <v>3164</v>
      </c>
      <c r="F794" s="24" t="s">
        <v>59</v>
      </c>
    </row>
    <row r="795">
      <c r="A795" s="24" t="s">
        <v>3165</v>
      </c>
      <c r="B795" s="24" t="s">
        <v>3166</v>
      </c>
      <c r="C795" s="24" t="s">
        <v>3167</v>
      </c>
      <c r="D795" s="24" t="s">
        <v>124</v>
      </c>
      <c r="E795" s="24" t="s">
        <v>3168</v>
      </c>
      <c r="F795" s="24" t="s">
        <v>59</v>
      </c>
    </row>
    <row r="796">
      <c r="A796" s="24" t="s">
        <v>3169</v>
      </c>
      <c r="B796" s="24" t="s">
        <v>3170</v>
      </c>
      <c r="C796" s="24" t="s">
        <v>3171</v>
      </c>
      <c r="D796" s="24" t="s">
        <v>264</v>
      </c>
      <c r="E796" s="24" t="s">
        <v>3172</v>
      </c>
      <c r="F796" s="24" t="s">
        <v>59</v>
      </c>
    </row>
    <row r="797">
      <c r="A797" s="24" t="s">
        <v>3173</v>
      </c>
      <c r="B797" s="24" t="s">
        <v>3174</v>
      </c>
      <c r="C797" s="24" t="s">
        <v>3175</v>
      </c>
      <c r="D797" s="24" t="s">
        <v>124</v>
      </c>
      <c r="E797" s="24" t="s">
        <v>3176</v>
      </c>
      <c r="F797" s="24" t="s">
        <v>59</v>
      </c>
    </row>
    <row r="798">
      <c r="A798" s="24" t="s">
        <v>3177</v>
      </c>
      <c r="B798" s="24" t="s">
        <v>3178</v>
      </c>
      <c r="C798" s="24" t="s">
        <v>3179</v>
      </c>
      <c r="D798" s="24" t="s">
        <v>124</v>
      </c>
      <c r="E798" s="24" t="s">
        <v>3180</v>
      </c>
      <c r="F798" s="24" t="s">
        <v>59</v>
      </c>
    </row>
    <row r="799">
      <c r="A799" s="24" t="s">
        <v>3181</v>
      </c>
      <c r="B799" s="24" t="s">
        <v>3182</v>
      </c>
      <c r="C799" s="24" t="s">
        <v>3183</v>
      </c>
      <c r="D799" s="24" t="s">
        <v>124</v>
      </c>
      <c r="E799" s="24" t="s">
        <v>3184</v>
      </c>
      <c r="F799" s="24" t="s">
        <v>59</v>
      </c>
    </row>
    <row r="800">
      <c r="A800" s="24" t="s">
        <v>3185</v>
      </c>
      <c r="B800" s="24" t="s">
        <v>3186</v>
      </c>
      <c r="C800" s="24" t="s">
        <v>3187</v>
      </c>
      <c r="D800" s="24" t="s">
        <v>124</v>
      </c>
      <c r="E800" s="24" t="s">
        <v>3188</v>
      </c>
      <c r="F800" s="24" t="s">
        <v>59</v>
      </c>
    </row>
    <row r="801">
      <c r="A801" s="24" t="s">
        <v>3189</v>
      </c>
      <c r="B801" s="24" t="s">
        <v>3190</v>
      </c>
      <c r="C801" s="24" t="s">
        <v>3191</v>
      </c>
      <c r="D801" s="24" t="s">
        <v>124</v>
      </c>
      <c r="E801" s="24" t="s">
        <v>3192</v>
      </c>
      <c r="F801" s="24" t="s">
        <v>59</v>
      </c>
    </row>
    <row r="802">
      <c r="A802" s="24" t="s">
        <v>3193</v>
      </c>
      <c r="B802" s="24" t="s">
        <v>3194</v>
      </c>
      <c r="C802" s="24" t="s">
        <v>3195</v>
      </c>
      <c r="D802" s="24" t="s">
        <v>124</v>
      </c>
      <c r="E802" s="24" t="s">
        <v>3196</v>
      </c>
      <c r="F802" s="24" t="s">
        <v>59</v>
      </c>
    </row>
    <row r="803">
      <c r="A803" s="24" t="s">
        <v>3197</v>
      </c>
      <c r="B803" s="24" t="s">
        <v>3198</v>
      </c>
      <c r="C803" s="24" t="s">
        <v>3199</v>
      </c>
      <c r="D803" s="24" t="s">
        <v>264</v>
      </c>
      <c r="E803" s="24" t="s">
        <v>3200</v>
      </c>
      <c r="F803" s="24" t="s">
        <v>59</v>
      </c>
    </row>
    <row r="804">
      <c r="A804" s="24" t="s">
        <v>3201</v>
      </c>
      <c r="B804" s="24" t="s">
        <v>3202</v>
      </c>
      <c r="C804" s="24" t="s">
        <v>3203</v>
      </c>
      <c r="D804" s="24" t="s">
        <v>124</v>
      </c>
      <c r="E804" s="24" t="s">
        <v>3204</v>
      </c>
      <c r="F804" s="24" t="s">
        <v>59</v>
      </c>
    </row>
    <row r="805">
      <c r="A805" s="24" t="s">
        <v>3205</v>
      </c>
      <c r="B805" s="24" t="s">
        <v>3206</v>
      </c>
      <c r="C805" s="24" t="s">
        <v>3207</v>
      </c>
      <c r="D805" s="24" t="s">
        <v>124</v>
      </c>
      <c r="E805" s="24" t="s">
        <v>3208</v>
      </c>
      <c r="F805" s="24" t="s">
        <v>59</v>
      </c>
    </row>
    <row r="806">
      <c r="A806" s="24" t="s">
        <v>3209</v>
      </c>
      <c r="B806" s="24" t="s">
        <v>3210</v>
      </c>
      <c r="C806" s="24" t="s">
        <v>3211</v>
      </c>
      <c r="D806" s="24" t="s">
        <v>129</v>
      </c>
      <c r="E806" s="24" t="s">
        <v>3212</v>
      </c>
      <c r="F806" s="24" t="s">
        <v>59</v>
      </c>
    </row>
    <row r="807">
      <c r="A807" s="24" t="s">
        <v>3213</v>
      </c>
      <c r="B807" s="24" t="s">
        <v>3214</v>
      </c>
      <c r="C807" s="24" t="s">
        <v>3215</v>
      </c>
      <c r="D807" s="24" t="s">
        <v>264</v>
      </c>
      <c r="E807" s="24" t="s">
        <v>3216</v>
      </c>
      <c r="F807" s="24" t="s">
        <v>59</v>
      </c>
    </row>
    <row r="808">
      <c r="A808" s="24" t="s">
        <v>3217</v>
      </c>
      <c r="B808" s="24" t="s">
        <v>3218</v>
      </c>
      <c r="C808" s="24" t="s">
        <v>3219</v>
      </c>
      <c r="D808" s="24" t="s">
        <v>124</v>
      </c>
      <c r="E808" s="24" t="s">
        <v>3220</v>
      </c>
      <c r="F808" s="24" t="s">
        <v>59</v>
      </c>
    </row>
    <row r="809">
      <c r="A809" s="24" t="s">
        <v>3221</v>
      </c>
      <c r="B809" s="24" t="s">
        <v>3222</v>
      </c>
      <c r="C809" s="24" t="s">
        <v>3223</v>
      </c>
      <c r="D809" s="24" t="s">
        <v>124</v>
      </c>
      <c r="E809" s="24" t="s">
        <v>3224</v>
      </c>
      <c r="F809" s="24" t="s">
        <v>59</v>
      </c>
    </row>
    <row r="810">
      <c r="A810" s="24" t="s">
        <v>3225</v>
      </c>
      <c r="B810" s="24" t="s">
        <v>3226</v>
      </c>
      <c r="C810" s="24" t="s">
        <v>3227</v>
      </c>
      <c r="D810" s="24" t="s">
        <v>264</v>
      </c>
      <c r="E810" s="24" t="s">
        <v>3228</v>
      </c>
      <c r="F810" s="24" t="s">
        <v>59</v>
      </c>
    </row>
    <row r="811">
      <c r="A811" s="24" t="s">
        <v>3229</v>
      </c>
      <c r="B811" s="24" t="s">
        <v>3230</v>
      </c>
      <c r="C811" s="24" t="s">
        <v>3231</v>
      </c>
      <c r="D811" s="24" t="s">
        <v>129</v>
      </c>
      <c r="E811" s="24" t="s">
        <v>3232</v>
      </c>
      <c r="F811" s="24" t="s">
        <v>59</v>
      </c>
    </row>
    <row r="812">
      <c r="A812" s="24" t="s">
        <v>3233</v>
      </c>
      <c r="B812" s="24" t="s">
        <v>3234</v>
      </c>
      <c r="C812" s="24" t="s">
        <v>3235</v>
      </c>
      <c r="D812" s="24" t="s">
        <v>124</v>
      </c>
      <c r="E812" s="24" t="s">
        <v>3236</v>
      </c>
      <c r="F812" s="24" t="s">
        <v>59</v>
      </c>
    </row>
    <row r="813">
      <c r="A813" s="24" t="s">
        <v>3237</v>
      </c>
      <c r="B813" s="24" t="s">
        <v>3238</v>
      </c>
      <c r="C813" s="24" t="s">
        <v>3239</v>
      </c>
      <c r="D813" s="24" t="s">
        <v>124</v>
      </c>
      <c r="E813" s="24" t="s">
        <v>3240</v>
      </c>
      <c r="F813" s="24" t="s">
        <v>59</v>
      </c>
    </row>
    <row r="814">
      <c r="A814" s="24" t="s">
        <v>3241</v>
      </c>
      <c r="B814" s="24" t="s">
        <v>3242</v>
      </c>
      <c r="C814" s="24" t="s">
        <v>3243</v>
      </c>
      <c r="D814" s="24" t="s">
        <v>124</v>
      </c>
      <c r="E814" s="24" t="s">
        <v>3244</v>
      </c>
      <c r="F814" s="24" t="s">
        <v>59</v>
      </c>
    </row>
    <row r="815">
      <c r="A815" s="24" t="s">
        <v>3245</v>
      </c>
      <c r="B815" s="24" t="s">
        <v>3246</v>
      </c>
      <c r="C815" s="24" t="s">
        <v>3247</v>
      </c>
      <c r="D815" s="24" t="s">
        <v>124</v>
      </c>
      <c r="E815" s="24" t="s">
        <v>3248</v>
      </c>
      <c r="F815" s="24" t="s">
        <v>59</v>
      </c>
    </row>
    <row r="816">
      <c r="A816" s="24" t="s">
        <v>3249</v>
      </c>
      <c r="B816" s="24" t="s">
        <v>3250</v>
      </c>
      <c r="C816" s="24" t="s">
        <v>3251</v>
      </c>
      <c r="D816" s="24" t="s">
        <v>124</v>
      </c>
      <c r="E816" s="24" t="s">
        <v>3252</v>
      </c>
      <c r="F816" s="24" t="s">
        <v>59</v>
      </c>
    </row>
    <row r="817">
      <c r="A817" s="24" t="s">
        <v>3253</v>
      </c>
      <c r="B817" s="24" t="s">
        <v>3254</v>
      </c>
      <c r="C817" s="24" t="s">
        <v>3255</v>
      </c>
      <c r="D817" s="24" t="s">
        <v>124</v>
      </c>
      <c r="E817" s="24" t="s">
        <v>3256</v>
      </c>
      <c r="F817" s="24" t="s">
        <v>59</v>
      </c>
    </row>
    <row r="818">
      <c r="A818" s="24" t="s">
        <v>3257</v>
      </c>
      <c r="B818" s="24" t="s">
        <v>3258</v>
      </c>
      <c r="C818" s="24" t="s">
        <v>3259</v>
      </c>
      <c r="D818" s="24" t="s">
        <v>264</v>
      </c>
      <c r="E818" s="24" t="s">
        <v>3260</v>
      </c>
      <c r="F818" s="24" t="s">
        <v>59</v>
      </c>
    </row>
    <row r="819">
      <c r="A819" s="24" t="s">
        <v>3261</v>
      </c>
      <c r="B819" s="24" t="s">
        <v>3262</v>
      </c>
      <c r="C819" s="24" t="s">
        <v>3263</v>
      </c>
      <c r="D819" s="24" t="s">
        <v>124</v>
      </c>
      <c r="E819" s="24" t="s">
        <v>3264</v>
      </c>
      <c r="F819" s="24" t="s">
        <v>59</v>
      </c>
    </row>
    <row r="820">
      <c r="A820" s="24" t="s">
        <v>3265</v>
      </c>
      <c r="B820" s="24" t="s">
        <v>3266</v>
      </c>
      <c r="C820" s="24" t="s">
        <v>3267</v>
      </c>
      <c r="D820" s="24" t="s">
        <v>129</v>
      </c>
      <c r="E820" s="24" t="s">
        <v>3268</v>
      </c>
      <c r="F820" s="24" t="s">
        <v>59</v>
      </c>
    </row>
    <row r="821">
      <c r="A821" s="24" t="s">
        <v>3269</v>
      </c>
      <c r="B821" s="24" t="s">
        <v>3270</v>
      </c>
      <c r="C821" s="24" t="s">
        <v>3271</v>
      </c>
      <c r="D821" s="24" t="s">
        <v>264</v>
      </c>
      <c r="E821" s="24" t="s">
        <v>3272</v>
      </c>
      <c r="F821" s="24" t="s">
        <v>59</v>
      </c>
    </row>
    <row r="822">
      <c r="A822" s="24" t="s">
        <v>3273</v>
      </c>
      <c r="B822" s="24" t="s">
        <v>3274</v>
      </c>
      <c r="C822" s="24" t="s">
        <v>3275</v>
      </c>
      <c r="D822" s="24" t="s">
        <v>124</v>
      </c>
      <c r="E822" s="24" t="s">
        <v>3276</v>
      </c>
      <c r="F822" s="24" t="s">
        <v>59</v>
      </c>
    </row>
    <row r="823">
      <c r="A823" s="24" t="s">
        <v>3277</v>
      </c>
      <c r="B823" s="24" t="s">
        <v>3278</v>
      </c>
      <c r="C823" s="24" t="s">
        <v>3279</v>
      </c>
      <c r="D823" s="24" t="s">
        <v>124</v>
      </c>
      <c r="E823" s="24" t="s">
        <v>3280</v>
      </c>
      <c r="F823" s="24" t="s">
        <v>59</v>
      </c>
    </row>
    <row r="824">
      <c r="A824" s="24" t="s">
        <v>3281</v>
      </c>
      <c r="B824" s="24" t="s">
        <v>3282</v>
      </c>
      <c r="C824" s="24" t="s">
        <v>3283</v>
      </c>
      <c r="D824" s="24" t="s">
        <v>124</v>
      </c>
      <c r="E824" s="24" t="s">
        <v>3284</v>
      </c>
      <c r="F824" s="24" t="s">
        <v>59</v>
      </c>
    </row>
    <row r="825">
      <c r="A825" s="24" t="s">
        <v>3285</v>
      </c>
      <c r="B825" s="24" t="s">
        <v>3286</v>
      </c>
      <c r="C825" s="24" t="s">
        <v>3287</v>
      </c>
      <c r="D825" s="24" t="s">
        <v>124</v>
      </c>
      <c r="E825" s="24" t="s">
        <v>3288</v>
      </c>
      <c r="F825" s="24" t="s">
        <v>59</v>
      </c>
    </row>
    <row r="826">
      <c r="A826" s="24" t="s">
        <v>3289</v>
      </c>
      <c r="B826" s="24" t="s">
        <v>3290</v>
      </c>
      <c r="C826" s="24" t="s">
        <v>3291</v>
      </c>
      <c r="D826" s="24" t="s">
        <v>124</v>
      </c>
      <c r="E826" s="24" t="s">
        <v>3292</v>
      </c>
      <c r="F826" s="24" t="s">
        <v>59</v>
      </c>
    </row>
    <row r="827">
      <c r="A827" s="24" t="s">
        <v>3293</v>
      </c>
      <c r="B827" s="24" t="s">
        <v>3294</v>
      </c>
      <c r="C827" s="24" t="s">
        <v>3295</v>
      </c>
      <c r="D827" s="24" t="s">
        <v>124</v>
      </c>
      <c r="E827" s="24" t="s">
        <v>3296</v>
      </c>
      <c r="F827" s="24" t="s">
        <v>59</v>
      </c>
    </row>
    <row r="828">
      <c r="A828" s="24" t="s">
        <v>3297</v>
      </c>
      <c r="B828" s="24" t="s">
        <v>3298</v>
      </c>
      <c r="C828" s="24" t="s">
        <v>3299</v>
      </c>
      <c r="D828" s="24" t="s">
        <v>264</v>
      </c>
      <c r="E828" s="24" t="s">
        <v>3300</v>
      </c>
      <c r="F828" s="24" t="s">
        <v>59</v>
      </c>
    </row>
    <row r="829">
      <c r="A829" s="24" t="s">
        <v>3301</v>
      </c>
      <c r="B829" s="24" t="s">
        <v>3302</v>
      </c>
      <c r="C829" s="24" t="s">
        <v>3303</v>
      </c>
      <c r="D829" s="24" t="s">
        <v>124</v>
      </c>
      <c r="E829" s="24" t="s">
        <v>3304</v>
      </c>
      <c r="F829" s="24" t="s">
        <v>59</v>
      </c>
    </row>
    <row r="830">
      <c r="A830" s="24" t="s">
        <v>3305</v>
      </c>
      <c r="B830" s="24" t="s">
        <v>3306</v>
      </c>
      <c r="C830" s="24" t="s">
        <v>3307</v>
      </c>
      <c r="D830" s="24" t="s">
        <v>124</v>
      </c>
      <c r="E830" s="24" t="s">
        <v>3308</v>
      </c>
      <c r="F830" s="24" t="s">
        <v>59</v>
      </c>
    </row>
    <row r="831">
      <c r="A831" s="24" t="s">
        <v>3309</v>
      </c>
      <c r="B831" s="24" t="s">
        <v>3310</v>
      </c>
      <c r="C831" s="24" t="s">
        <v>3311</v>
      </c>
      <c r="D831" s="24" t="s">
        <v>129</v>
      </c>
      <c r="E831" s="24" t="s">
        <v>3312</v>
      </c>
      <c r="F831" s="24" t="s">
        <v>59</v>
      </c>
    </row>
    <row r="832">
      <c r="A832" s="24" t="s">
        <v>3313</v>
      </c>
      <c r="B832" s="24" t="s">
        <v>3314</v>
      </c>
      <c r="C832" s="24" t="s">
        <v>3315</v>
      </c>
      <c r="D832" s="24" t="s">
        <v>124</v>
      </c>
      <c r="E832" s="24" t="s">
        <v>3316</v>
      </c>
      <c r="F832" s="24" t="s">
        <v>59</v>
      </c>
    </row>
    <row r="833">
      <c r="A833" s="24" t="s">
        <v>3317</v>
      </c>
      <c r="B833" s="24" t="s">
        <v>3318</v>
      </c>
      <c r="C833" s="24" t="s">
        <v>3319</v>
      </c>
      <c r="D833" s="24" t="s">
        <v>124</v>
      </c>
      <c r="E833" s="24" t="s">
        <v>3320</v>
      </c>
      <c r="F833" s="24" t="s">
        <v>59</v>
      </c>
    </row>
    <row r="834">
      <c r="A834" s="24" t="s">
        <v>3321</v>
      </c>
      <c r="B834" s="24" t="s">
        <v>3322</v>
      </c>
      <c r="C834" s="24" t="s">
        <v>3323</v>
      </c>
      <c r="D834" s="24" t="s">
        <v>129</v>
      </c>
      <c r="E834" s="24" t="s">
        <v>3324</v>
      </c>
      <c r="F834" s="24" t="s">
        <v>59</v>
      </c>
    </row>
    <row r="835">
      <c r="A835" s="24" t="s">
        <v>3325</v>
      </c>
      <c r="B835" s="24" t="s">
        <v>3326</v>
      </c>
      <c r="C835" s="24" t="s">
        <v>3327</v>
      </c>
      <c r="D835" s="24" t="s">
        <v>129</v>
      </c>
      <c r="E835" s="24" t="s">
        <v>3328</v>
      </c>
      <c r="F835" s="24" t="s">
        <v>59</v>
      </c>
    </row>
    <row r="836">
      <c r="A836" s="24" t="s">
        <v>3329</v>
      </c>
      <c r="B836" s="24" t="s">
        <v>3330</v>
      </c>
      <c r="C836" s="24" t="s">
        <v>3331</v>
      </c>
      <c r="D836" s="24" t="s">
        <v>129</v>
      </c>
      <c r="E836" s="24" t="s">
        <v>3332</v>
      </c>
      <c r="F836" s="24" t="s">
        <v>59</v>
      </c>
    </row>
    <row r="837">
      <c r="A837" s="24" t="s">
        <v>3333</v>
      </c>
      <c r="B837" s="24" t="s">
        <v>3334</v>
      </c>
      <c r="C837" s="24" t="s">
        <v>3335</v>
      </c>
      <c r="D837" s="24" t="s">
        <v>124</v>
      </c>
      <c r="E837" s="24" t="s">
        <v>3336</v>
      </c>
      <c r="F837" s="24" t="s">
        <v>59</v>
      </c>
    </row>
    <row r="838">
      <c r="A838" s="24" t="s">
        <v>3337</v>
      </c>
      <c r="B838" s="24" t="s">
        <v>3338</v>
      </c>
      <c r="C838" s="24" t="s">
        <v>3339</v>
      </c>
      <c r="D838" s="24" t="s">
        <v>124</v>
      </c>
      <c r="E838" s="24" t="s">
        <v>3340</v>
      </c>
      <c r="F838" s="24" t="s">
        <v>59</v>
      </c>
    </row>
    <row r="839">
      <c r="A839" s="24" t="s">
        <v>3341</v>
      </c>
      <c r="B839" s="24" t="s">
        <v>3342</v>
      </c>
      <c r="C839" s="24" t="s">
        <v>3343</v>
      </c>
      <c r="D839" s="24" t="s">
        <v>264</v>
      </c>
      <c r="E839" s="24" t="s">
        <v>3344</v>
      </c>
      <c r="F839" s="24" t="s">
        <v>59</v>
      </c>
    </row>
    <row r="840">
      <c r="A840" s="24" t="s">
        <v>3345</v>
      </c>
      <c r="B840" s="24" t="s">
        <v>3346</v>
      </c>
      <c r="C840" s="24" t="s">
        <v>3347</v>
      </c>
      <c r="D840" s="24" t="s">
        <v>129</v>
      </c>
      <c r="E840" s="24" t="s">
        <v>3348</v>
      </c>
      <c r="F840" s="24" t="s">
        <v>59</v>
      </c>
    </row>
    <row r="841">
      <c r="A841" s="24" t="s">
        <v>3349</v>
      </c>
      <c r="B841" s="24" t="s">
        <v>3350</v>
      </c>
      <c r="C841" s="24" t="s">
        <v>3351</v>
      </c>
      <c r="D841" s="24" t="s">
        <v>124</v>
      </c>
      <c r="E841" s="24" t="s">
        <v>3352</v>
      </c>
      <c r="F841" s="24" t="s">
        <v>59</v>
      </c>
    </row>
    <row r="842">
      <c r="A842" s="24" t="s">
        <v>3353</v>
      </c>
      <c r="B842" s="24" t="s">
        <v>3354</v>
      </c>
      <c r="C842" s="24" t="s">
        <v>3355</v>
      </c>
      <c r="D842" s="24" t="s">
        <v>129</v>
      </c>
      <c r="E842" s="24" t="s">
        <v>3356</v>
      </c>
      <c r="F842" s="24" t="s">
        <v>59</v>
      </c>
    </row>
    <row r="843">
      <c r="A843" s="24" t="s">
        <v>3357</v>
      </c>
      <c r="B843" s="24" t="s">
        <v>3358</v>
      </c>
      <c r="C843" s="24" t="s">
        <v>3359</v>
      </c>
      <c r="D843" s="24" t="s">
        <v>129</v>
      </c>
      <c r="E843" s="24" t="s">
        <v>3360</v>
      </c>
      <c r="F843" s="24" t="s">
        <v>59</v>
      </c>
    </row>
    <row r="844">
      <c r="A844" s="24" t="s">
        <v>3361</v>
      </c>
      <c r="B844" s="24" t="s">
        <v>3362</v>
      </c>
      <c r="C844" s="24" t="s">
        <v>3363</v>
      </c>
      <c r="D844" s="24" t="s">
        <v>124</v>
      </c>
      <c r="E844" s="24" t="s">
        <v>3364</v>
      </c>
      <c r="F844" s="24" t="s">
        <v>59</v>
      </c>
    </row>
    <row r="845">
      <c r="A845" s="24" t="s">
        <v>3365</v>
      </c>
      <c r="B845" s="24" t="s">
        <v>3366</v>
      </c>
      <c r="C845" s="24" t="s">
        <v>3367</v>
      </c>
      <c r="D845" s="24" t="s">
        <v>124</v>
      </c>
      <c r="E845" s="24" t="s">
        <v>3368</v>
      </c>
      <c r="F845" s="24" t="s">
        <v>59</v>
      </c>
    </row>
    <row r="846">
      <c r="A846" s="24" t="s">
        <v>3369</v>
      </c>
      <c r="B846" s="24" t="s">
        <v>3370</v>
      </c>
      <c r="C846" s="24" t="s">
        <v>3371</v>
      </c>
      <c r="D846" s="24" t="s">
        <v>129</v>
      </c>
      <c r="E846" s="24" t="s">
        <v>3372</v>
      </c>
      <c r="F846" s="24" t="s">
        <v>59</v>
      </c>
    </row>
    <row r="847">
      <c r="A847" s="24" t="s">
        <v>3373</v>
      </c>
      <c r="B847" s="24" t="s">
        <v>3374</v>
      </c>
      <c r="C847" s="24" t="s">
        <v>3375</v>
      </c>
      <c r="D847" s="24" t="s">
        <v>129</v>
      </c>
      <c r="E847" s="24" t="s">
        <v>3376</v>
      </c>
      <c r="F847" s="24" t="s">
        <v>59</v>
      </c>
    </row>
    <row r="848">
      <c r="A848" s="24" t="s">
        <v>3377</v>
      </c>
      <c r="B848" s="24" t="s">
        <v>3378</v>
      </c>
      <c r="C848" s="24" t="s">
        <v>3379</v>
      </c>
      <c r="D848" s="24" t="s">
        <v>124</v>
      </c>
      <c r="E848" s="24" t="s">
        <v>3380</v>
      </c>
      <c r="F848" s="24" t="s">
        <v>59</v>
      </c>
    </row>
    <row r="849">
      <c r="A849" s="24" t="s">
        <v>3381</v>
      </c>
      <c r="B849" s="24" t="s">
        <v>3382</v>
      </c>
      <c r="C849" s="24" t="s">
        <v>3383</v>
      </c>
      <c r="D849" s="24" t="s">
        <v>129</v>
      </c>
      <c r="E849" s="24" t="s">
        <v>3384</v>
      </c>
      <c r="F849" s="24" t="s">
        <v>59</v>
      </c>
    </row>
    <row r="850">
      <c r="A850" s="24" t="s">
        <v>3385</v>
      </c>
      <c r="B850" s="24" t="s">
        <v>3386</v>
      </c>
      <c r="C850" s="24" t="s">
        <v>3387</v>
      </c>
      <c r="D850" s="24" t="s">
        <v>124</v>
      </c>
      <c r="E850" s="24" t="s">
        <v>3388</v>
      </c>
      <c r="F850" s="24" t="s">
        <v>59</v>
      </c>
    </row>
    <row r="851">
      <c r="A851" s="24" t="s">
        <v>3389</v>
      </c>
      <c r="B851" s="24" t="s">
        <v>3390</v>
      </c>
      <c r="C851" s="24" t="s">
        <v>3391</v>
      </c>
      <c r="D851" s="24" t="s">
        <v>124</v>
      </c>
      <c r="E851" s="24" t="s">
        <v>3392</v>
      </c>
      <c r="F851" s="24" t="s">
        <v>59</v>
      </c>
    </row>
    <row r="852">
      <c r="A852" s="24" t="s">
        <v>3393</v>
      </c>
      <c r="B852" s="24" t="s">
        <v>3394</v>
      </c>
      <c r="C852" s="24" t="s">
        <v>3395</v>
      </c>
      <c r="D852" s="24" t="s">
        <v>129</v>
      </c>
      <c r="E852" s="24" t="s">
        <v>3396</v>
      </c>
      <c r="F852" s="24" t="s">
        <v>59</v>
      </c>
    </row>
    <row r="853">
      <c r="A853" s="24" t="s">
        <v>3397</v>
      </c>
      <c r="B853" s="24" t="s">
        <v>3398</v>
      </c>
      <c r="C853" s="24" t="s">
        <v>3399</v>
      </c>
      <c r="D853" s="24" t="s">
        <v>129</v>
      </c>
      <c r="E853" s="24" t="s">
        <v>3400</v>
      </c>
      <c r="F853" s="24" t="s">
        <v>59</v>
      </c>
    </row>
    <row r="854">
      <c r="A854" s="24" t="s">
        <v>3401</v>
      </c>
      <c r="B854" s="24" t="s">
        <v>3402</v>
      </c>
      <c r="C854" s="24" t="s">
        <v>3403</v>
      </c>
      <c r="D854" s="24" t="s">
        <v>124</v>
      </c>
      <c r="E854" s="24" t="s">
        <v>3404</v>
      </c>
      <c r="F854" s="24" t="s">
        <v>59</v>
      </c>
    </row>
    <row r="855">
      <c r="A855" s="24" t="s">
        <v>3405</v>
      </c>
      <c r="B855" s="24" t="s">
        <v>3406</v>
      </c>
      <c r="C855" s="24" t="s">
        <v>3407</v>
      </c>
      <c r="D855" s="24" t="s">
        <v>124</v>
      </c>
      <c r="E855" s="24" t="s">
        <v>3408</v>
      </c>
      <c r="F855" s="24" t="s">
        <v>59</v>
      </c>
    </row>
    <row r="856">
      <c r="A856" s="24" t="s">
        <v>3409</v>
      </c>
      <c r="B856" s="24" t="s">
        <v>3410</v>
      </c>
      <c r="C856" s="24" t="s">
        <v>3411</v>
      </c>
      <c r="D856" s="24" t="s">
        <v>124</v>
      </c>
      <c r="E856" s="24" t="s">
        <v>3412</v>
      </c>
      <c r="F856" s="24" t="s">
        <v>59</v>
      </c>
    </row>
    <row r="857">
      <c r="A857" s="24" t="s">
        <v>3413</v>
      </c>
      <c r="B857" s="24" t="s">
        <v>3414</v>
      </c>
      <c r="C857" s="24" t="s">
        <v>3415</v>
      </c>
      <c r="D857" s="24" t="s">
        <v>124</v>
      </c>
      <c r="E857" s="24" t="s">
        <v>3416</v>
      </c>
      <c r="F857" s="24" t="s">
        <v>59</v>
      </c>
    </row>
    <row r="858">
      <c r="A858" s="24" t="s">
        <v>3417</v>
      </c>
      <c r="B858" s="24" t="s">
        <v>3418</v>
      </c>
      <c r="C858" s="24" t="s">
        <v>3419</v>
      </c>
      <c r="D858" s="24" t="s">
        <v>124</v>
      </c>
      <c r="E858" s="24" t="s">
        <v>3420</v>
      </c>
      <c r="F858" s="24" t="s">
        <v>59</v>
      </c>
    </row>
    <row r="859">
      <c r="A859" s="24" t="s">
        <v>3421</v>
      </c>
      <c r="B859" s="24" t="s">
        <v>3422</v>
      </c>
      <c r="C859" s="24" t="s">
        <v>3423</v>
      </c>
      <c r="D859" s="24" t="s">
        <v>124</v>
      </c>
      <c r="E859" s="24" t="s">
        <v>3424</v>
      </c>
      <c r="F859" s="24" t="s">
        <v>59</v>
      </c>
    </row>
    <row r="860">
      <c r="A860" s="24" t="s">
        <v>3425</v>
      </c>
      <c r="B860" s="24" t="s">
        <v>3426</v>
      </c>
      <c r="C860" s="24" t="s">
        <v>3427</v>
      </c>
      <c r="D860" s="24" t="s">
        <v>264</v>
      </c>
      <c r="E860" s="24" t="s">
        <v>3428</v>
      </c>
      <c r="F860" s="24" t="s">
        <v>59</v>
      </c>
    </row>
    <row r="861">
      <c r="A861" s="24" t="s">
        <v>3429</v>
      </c>
      <c r="B861" s="24" t="s">
        <v>3430</v>
      </c>
      <c r="C861" s="24" t="s">
        <v>3431</v>
      </c>
      <c r="D861" s="24" t="s">
        <v>129</v>
      </c>
      <c r="E861" s="24" t="s">
        <v>3432</v>
      </c>
      <c r="F861" s="24" t="s">
        <v>59</v>
      </c>
    </row>
    <row r="862">
      <c r="A862" s="24" t="s">
        <v>3433</v>
      </c>
      <c r="B862" s="24" t="s">
        <v>3434</v>
      </c>
      <c r="C862" s="24" t="s">
        <v>3435</v>
      </c>
      <c r="D862" s="24" t="s">
        <v>124</v>
      </c>
      <c r="E862" s="24" t="s">
        <v>3436</v>
      </c>
      <c r="F862" s="24" t="s">
        <v>59</v>
      </c>
    </row>
    <row r="863">
      <c r="A863" s="24" t="s">
        <v>3437</v>
      </c>
      <c r="B863" s="24" t="s">
        <v>3438</v>
      </c>
      <c r="C863" s="24" t="s">
        <v>3439</v>
      </c>
      <c r="D863" s="24" t="s">
        <v>124</v>
      </c>
      <c r="E863" s="24" t="s">
        <v>3440</v>
      </c>
      <c r="F863" s="24" t="s">
        <v>59</v>
      </c>
    </row>
    <row r="864">
      <c r="A864" s="24" t="s">
        <v>3441</v>
      </c>
      <c r="B864" s="24" t="s">
        <v>3442</v>
      </c>
      <c r="C864" s="24" t="s">
        <v>3443</v>
      </c>
      <c r="D864" s="24" t="s">
        <v>129</v>
      </c>
      <c r="E864" s="24" t="s">
        <v>3444</v>
      </c>
      <c r="F864" s="24" t="s">
        <v>59</v>
      </c>
    </row>
    <row r="865">
      <c r="A865" s="24" t="s">
        <v>3445</v>
      </c>
      <c r="B865" s="24" t="s">
        <v>3446</v>
      </c>
      <c r="C865" s="24" t="s">
        <v>3447</v>
      </c>
      <c r="D865" s="24" t="s">
        <v>124</v>
      </c>
      <c r="E865" s="24" t="s">
        <v>3448</v>
      </c>
      <c r="F865" s="24" t="s">
        <v>59</v>
      </c>
    </row>
    <row r="866">
      <c r="A866" s="24" t="s">
        <v>3449</v>
      </c>
      <c r="B866" s="24" t="s">
        <v>3450</v>
      </c>
      <c r="C866" s="24" t="s">
        <v>3451</v>
      </c>
      <c r="D866" s="24" t="s">
        <v>264</v>
      </c>
      <c r="E866" s="24" t="s">
        <v>3452</v>
      </c>
      <c r="F866" s="24" t="s">
        <v>59</v>
      </c>
    </row>
    <row r="867">
      <c r="A867" s="24" t="s">
        <v>3453</v>
      </c>
      <c r="B867" s="24" t="s">
        <v>3454</v>
      </c>
      <c r="C867" s="24" t="s">
        <v>3455</v>
      </c>
      <c r="D867" s="24" t="s">
        <v>124</v>
      </c>
      <c r="E867" s="24" t="s">
        <v>3456</v>
      </c>
      <c r="F867" s="24" t="s">
        <v>59</v>
      </c>
    </row>
    <row r="868">
      <c r="A868" s="24" t="s">
        <v>3457</v>
      </c>
      <c r="B868" s="24" t="s">
        <v>3458</v>
      </c>
      <c r="C868" s="24" t="s">
        <v>3459</v>
      </c>
      <c r="D868" s="24" t="s">
        <v>124</v>
      </c>
      <c r="E868" s="24" t="s">
        <v>3460</v>
      </c>
      <c r="F868" s="24" t="s">
        <v>59</v>
      </c>
    </row>
    <row r="869">
      <c r="A869" s="24" t="s">
        <v>3461</v>
      </c>
      <c r="B869" s="24" t="s">
        <v>3462</v>
      </c>
      <c r="C869" s="24" t="s">
        <v>3463</v>
      </c>
      <c r="D869" s="24" t="s">
        <v>129</v>
      </c>
      <c r="E869" s="24" t="s">
        <v>3464</v>
      </c>
      <c r="F869" s="24" t="s">
        <v>59</v>
      </c>
    </row>
    <row r="870">
      <c r="A870" s="24" t="s">
        <v>3465</v>
      </c>
      <c r="B870" s="24" t="s">
        <v>3466</v>
      </c>
      <c r="C870" s="24" t="s">
        <v>3467</v>
      </c>
      <c r="D870" s="24" t="s">
        <v>124</v>
      </c>
      <c r="E870" s="24" t="s">
        <v>3468</v>
      </c>
      <c r="F870" s="24" t="s">
        <v>59</v>
      </c>
    </row>
    <row r="871">
      <c r="A871" s="24" t="s">
        <v>3469</v>
      </c>
      <c r="B871" s="24" t="s">
        <v>3470</v>
      </c>
      <c r="C871" s="24" t="s">
        <v>3471</v>
      </c>
      <c r="D871" s="24" t="s">
        <v>264</v>
      </c>
      <c r="E871" s="24" t="s">
        <v>3472</v>
      </c>
      <c r="F871" s="24" t="s">
        <v>59</v>
      </c>
    </row>
    <row r="872">
      <c r="A872" s="24" t="s">
        <v>3473</v>
      </c>
      <c r="B872" s="24" t="s">
        <v>3474</v>
      </c>
      <c r="C872" s="24" t="s">
        <v>3475</v>
      </c>
      <c r="D872" s="24" t="s">
        <v>124</v>
      </c>
      <c r="E872" s="24" t="s">
        <v>3476</v>
      </c>
      <c r="F872" s="24" t="s">
        <v>59</v>
      </c>
    </row>
    <row r="873">
      <c r="A873" s="24" t="s">
        <v>3477</v>
      </c>
      <c r="B873" s="24" t="s">
        <v>3478</v>
      </c>
      <c r="C873" s="24" t="s">
        <v>3479</v>
      </c>
      <c r="D873" s="24" t="s">
        <v>124</v>
      </c>
      <c r="E873" s="24" t="s">
        <v>3480</v>
      </c>
      <c r="F873" s="24" t="s">
        <v>59</v>
      </c>
    </row>
    <row r="874">
      <c r="A874" s="24" t="s">
        <v>3481</v>
      </c>
      <c r="B874" s="24" t="s">
        <v>3482</v>
      </c>
      <c r="C874" s="24" t="s">
        <v>3483</v>
      </c>
      <c r="D874" s="24" t="s">
        <v>124</v>
      </c>
      <c r="E874" s="24" t="s">
        <v>3484</v>
      </c>
      <c r="F874" s="24" t="s">
        <v>59</v>
      </c>
    </row>
    <row r="875">
      <c r="A875" s="24" t="s">
        <v>3485</v>
      </c>
      <c r="B875" s="24" t="s">
        <v>3486</v>
      </c>
      <c r="C875" s="24" t="s">
        <v>3487</v>
      </c>
      <c r="D875" s="24" t="s">
        <v>124</v>
      </c>
      <c r="E875" s="24" t="s">
        <v>3488</v>
      </c>
      <c r="F875" s="24" t="s">
        <v>59</v>
      </c>
    </row>
    <row r="876">
      <c r="A876" s="24" t="s">
        <v>3489</v>
      </c>
      <c r="B876" s="24" t="s">
        <v>3490</v>
      </c>
      <c r="C876" s="24" t="s">
        <v>3491</v>
      </c>
      <c r="D876" s="24" t="s">
        <v>124</v>
      </c>
      <c r="E876" s="24" t="s">
        <v>3492</v>
      </c>
      <c r="F876" s="24" t="s">
        <v>59</v>
      </c>
    </row>
    <row r="877">
      <c r="A877" s="24" t="s">
        <v>3493</v>
      </c>
      <c r="B877" s="24" t="s">
        <v>3494</v>
      </c>
      <c r="C877" s="24" t="s">
        <v>3495</v>
      </c>
      <c r="D877" s="24" t="s">
        <v>124</v>
      </c>
      <c r="E877" s="24" t="s">
        <v>3496</v>
      </c>
      <c r="F877" s="24" t="s">
        <v>59</v>
      </c>
    </row>
    <row r="878">
      <c r="A878" s="24" t="s">
        <v>3497</v>
      </c>
      <c r="B878" s="24" t="s">
        <v>3498</v>
      </c>
      <c r="C878" s="24" t="s">
        <v>3499</v>
      </c>
      <c r="D878" s="24" t="s">
        <v>129</v>
      </c>
      <c r="E878" s="24" t="s">
        <v>3500</v>
      </c>
      <c r="F878" s="24" t="s">
        <v>59</v>
      </c>
    </row>
    <row r="879">
      <c r="A879" s="24" t="s">
        <v>3501</v>
      </c>
      <c r="B879" s="24" t="s">
        <v>3502</v>
      </c>
      <c r="C879" s="24" t="s">
        <v>3503</v>
      </c>
      <c r="D879" s="24" t="s">
        <v>124</v>
      </c>
      <c r="E879" s="24" t="s">
        <v>3504</v>
      </c>
      <c r="F879" s="24" t="s">
        <v>59</v>
      </c>
    </row>
    <row r="880">
      <c r="A880" s="24" t="s">
        <v>3505</v>
      </c>
      <c r="B880" s="24" t="s">
        <v>3506</v>
      </c>
      <c r="C880" s="24" t="s">
        <v>3507</v>
      </c>
      <c r="D880" s="24" t="s">
        <v>124</v>
      </c>
      <c r="E880" s="24" t="s">
        <v>3508</v>
      </c>
      <c r="F880" s="24" t="s">
        <v>59</v>
      </c>
    </row>
    <row r="881">
      <c r="A881" s="24" t="s">
        <v>3509</v>
      </c>
      <c r="B881" s="24" t="s">
        <v>3510</v>
      </c>
      <c r="C881" s="24" t="s">
        <v>3511</v>
      </c>
      <c r="D881" s="24" t="s">
        <v>124</v>
      </c>
      <c r="E881" s="24" t="s">
        <v>3512</v>
      </c>
      <c r="F881" s="24" t="s">
        <v>59</v>
      </c>
    </row>
    <row r="882">
      <c r="A882" s="24" t="s">
        <v>3513</v>
      </c>
      <c r="B882" s="24" t="s">
        <v>3514</v>
      </c>
      <c r="C882" s="24" t="s">
        <v>3515</v>
      </c>
      <c r="D882" s="24" t="s">
        <v>124</v>
      </c>
      <c r="E882" s="24" t="s">
        <v>3516</v>
      </c>
      <c r="F882" s="24" t="s">
        <v>59</v>
      </c>
    </row>
    <row r="883">
      <c r="A883" s="24" t="s">
        <v>3517</v>
      </c>
      <c r="B883" s="24" t="s">
        <v>3518</v>
      </c>
      <c r="C883" s="24" t="s">
        <v>3519</v>
      </c>
      <c r="D883" s="24" t="s">
        <v>124</v>
      </c>
      <c r="E883" s="24" t="s">
        <v>3520</v>
      </c>
      <c r="F883" s="24" t="s">
        <v>59</v>
      </c>
    </row>
    <row r="884">
      <c r="A884" s="24" t="s">
        <v>3521</v>
      </c>
      <c r="B884" s="24" t="s">
        <v>3522</v>
      </c>
      <c r="C884" s="24" t="s">
        <v>3523</v>
      </c>
      <c r="D884" s="24" t="s">
        <v>124</v>
      </c>
      <c r="E884" s="24" t="s">
        <v>3524</v>
      </c>
      <c r="F884" s="24" t="s">
        <v>59</v>
      </c>
    </row>
    <row r="885">
      <c r="A885" s="24" t="s">
        <v>3525</v>
      </c>
      <c r="B885" s="24" t="s">
        <v>3526</v>
      </c>
      <c r="C885" s="24" t="s">
        <v>3527</v>
      </c>
      <c r="D885" s="24" t="s">
        <v>124</v>
      </c>
      <c r="E885" s="24" t="s">
        <v>3528</v>
      </c>
      <c r="F885" s="24" t="s">
        <v>59</v>
      </c>
    </row>
    <row r="886">
      <c r="A886" s="24" t="s">
        <v>3529</v>
      </c>
      <c r="B886" s="24" t="s">
        <v>3530</v>
      </c>
      <c r="C886" s="24" t="s">
        <v>3531</v>
      </c>
      <c r="D886" s="24" t="s">
        <v>264</v>
      </c>
      <c r="E886" s="24" t="s">
        <v>3532</v>
      </c>
      <c r="F886" s="24" t="s">
        <v>59</v>
      </c>
    </row>
    <row r="887">
      <c r="A887" s="24" t="s">
        <v>3533</v>
      </c>
      <c r="B887" s="24" t="s">
        <v>3534</v>
      </c>
      <c r="C887" s="24" t="s">
        <v>3535</v>
      </c>
      <c r="D887" s="24" t="s">
        <v>264</v>
      </c>
      <c r="E887" s="24" t="s">
        <v>3536</v>
      </c>
      <c r="F887" s="24" t="s">
        <v>59</v>
      </c>
    </row>
    <row r="888">
      <c r="A888" s="24" t="s">
        <v>3537</v>
      </c>
      <c r="B888" s="24" t="s">
        <v>3538</v>
      </c>
      <c r="C888" s="24" t="s">
        <v>3539</v>
      </c>
      <c r="D888" s="24" t="s">
        <v>124</v>
      </c>
      <c r="E888" s="24" t="s">
        <v>3540</v>
      </c>
      <c r="F888" s="24" t="s">
        <v>59</v>
      </c>
    </row>
    <row r="889">
      <c r="A889" s="24" t="s">
        <v>3541</v>
      </c>
      <c r="B889" s="24" t="s">
        <v>3542</v>
      </c>
      <c r="C889" s="24" t="s">
        <v>3543</v>
      </c>
      <c r="D889" s="24" t="s">
        <v>264</v>
      </c>
      <c r="E889" s="24" t="s">
        <v>3544</v>
      </c>
      <c r="F889" s="24" t="s">
        <v>59</v>
      </c>
    </row>
    <row r="890">
      <c r="A890" s="24" t="s">
        <v>3545</v>
      </c>
      <c r="B890" s="24" t="s">
        <v>3546</v>
      </c>
      <c r="C890" s="24" t="s">
        <v>3547</v>
      </c>
      <c r="D890" s="24" t="s">
        <v>264</v>
      </c>
      <c r="E890" s="24" t="s">
        <v>3548</v>
      </c>
      <c r="F890" s="24" t="s">
        <v>59</v>
      </c>
    </row>
    <row r="891">
      <c r="A891" s="24" t="s">
        <v>3549</v>
      </c>
      <c r="B891" s="24" t="s">
        <v>3550</v>
      </c>
      <c r="C891" s="24" t="s">
        <v>3551</v>
      </c>
      <c r="D891" s="24" t="s">
        <v>124</v>
      </c>
      <c r="E891" s="24" t="s">
        <v>3552</v>
      </c>
      <c r="F891" s="24" t="s">
        <v>59</v>
      </c>
    </row>
    <row r="892">
      <c r="A892" s="24" t="s">
        <v>3553</v>
      </c>
      <c r="B892" s="24" t="s">
        <v>3554</v>
      </c>
      <c r="C892" s="24" t="s">
        <v>3555</v>
      </c>
      <c r="D892" s="24" t="s">
        <v>124</v>
      </c>
      <c r="E892" s="24" t="s">
        <v>3556</v>
      </c>
      <c r="F892" s="24" t="s">
        <v>59</v>
      </c>
    </row>
    <row r="893">
      <c r="A893" s="24" t="s">
        <v>3557</v>
      </c>
      <c r="B893" s="24" t="s">
        <v>3558</v>
      </c>
      <c r="C893" s="24" t="s">
        <v>3559</v>
      </c>
      <c r="D893" s="24" t="s">
        <v>129</v>
      </c>
      <c r="E893" s="24" t="s">
        <v>3560</v>
      </c>
      <c r="F893" s="24" t="s">
        <v>59</v>
      </c>
    </row>
    <row r="894">
      <c r="A894" s="24" t="s">
        <v>3561</v>
      </c>
      <c r="B894" s="24" t="s">
        <v>3562</v>
      </c>
      <c r="C894" s="24" t="s">
        <v>3563</v>
      </c>
      <c r="D894" s="24" t="s">
        <v>129</v>
      </c>
      <c r="E894" s="24" t="s">
        <v>3564</v>
      </c>
      <c r="F894" s="24" t="s">
        <v>59</v>
      </c>
    </row>
    <row r="895">
      <c r="A895" s="24" t="s">
        <v>3565</v>
      </c>
      <c r="B895" s="24" t="s">
        <v>3566</v>
      </c>
      <c r="C895" s="24" t="s">
        <v>3567</v>
      </c>
      <c r="D895" s="24" t="s">
        <v>124</v>
      </c>
      <c r="E895" s="24" t="s">
        <v>3568</v>
      </c>
      <c r="F895" s="24" t="s">
        <v>59</v>
      </c>
    </row>
    <row r="896">
      <c r="A896" s="24" t="s">
        <v>3569</v>
      </c>
      <c r="B896" s="24" t="s">
        <v>3570</v>
      </c>
      <c r="C896" s="24" t="s">
        <v>3571</v>
      </c>
      <c r="D896" s="24" t="s">
        <v>124</v>
      </c>
      <c r="E896" s="24" t="s">
        <v>3572</v>
      </c>
      <c r="F896" s="24" t="s">
        <v>59</v>
      </c>
    </row>
    <row r="897">
      <c r="A897" s="24" t="s">
        <v>3573</v>
      </c>
      <c r="B897" s="24" t="s">
        <v>3574</v>
      </c>
      <c r="C897" s="24" t="s">
        <v>3575</v>
      </c>
      <c r="D897" s="24" t="s">
        <v>124</v>
      </c>
      <c r="E897" s="24" t="s">
        <v>3576</v>
      </c>
      <c r="F897" s="24" t="s">
        <v>59</v>
      </c>
    </row>
    <row r="898">
      <c r="A898" s="24" t="s">
        <v>3577</v>
      </c>
      <c r="B898" s="24" t="s">
        <v>3578</v>
      </c>
      <c r="C898" s="24" t="s">
        <v>3579</v>
      </c>
      <c r="D898" s="24" t="s">
        <v>124</v>
      </c>
      <c r="E898" s="24" t="s">
        <v>3580</v>
      </c>
      <c r="F898" s="24" t="s">
        <v>59</v>
      </c>
    </row>
    <row r="899">
      <c r="A899" s="24" t="s">
        <v>3581</v>
      </c>
      <c r="B899" s="24" t="s">
        <v>3582</v>
      </c>
      <c r="C899" s="24" t="s">
        <v>3583</v>
      </c>
      <c r="D899" s="24" t="s">
        <v>124</v>
      </c>
      <c r="E899" s="24" t="s">
        <v>3584</v>
      </c>
      <c r="F899" s="24" t="s">
        <v>59</v>
      </c>
    </row>
    <row r="900">
      <c r="A900" s="24" t="s">
        <v>3585</v>
      </c>
      <c r="B900" s="24" t="s">
        <v>3586</v>
      </c>
      <c r="C900" s="24" t="s">
        <v>3587</v>
      </c>
      <c r="D900" s="24" t="s">
        <v>129</v>
      </c>
      <c r="E900" s="24" t="s">
        <v>3588</v>
      </c>
      <c r="F900" s="24" t="s">
        <v>59</v>
      </c>
    </row>
    <row r="901">
      <c r="A901" s="24" t="s">
        <v>3589</v>
      </c>
      <c r="B901" s="24" t="s">
        <v>3590</v>
      </c>
      <c r="C901" s="24" t="s">
        <v>3591</v>
      </c>
      <c r="D901" s="24" t="s">
        <v>129</v>
      </c>
      <c r="E901" s="24" t="s">
        <v>3592</v>
      </c>
      <c r="F901" s="24" t="s">
        <v>59</v>
      </c>
    </row>
    <row r="902">
      <c r="A902" s="24" t="s">
        <v>3593</v>
      </c>
      <c r="B902" s="24" t="s">
        <v>3594</v>
      </c>
      <c r="C902" s="24" t="s">
        <v>3595</v>
      </c>
      <c r="D902" s="24" t="s">
        <v>124</v>
      </c>
      <c r="E902" s="24" t="s">
        <v>3596</v>
      </c>
      <c r="F902" s="24" t="s">
        <v>59</v>
      </c>
    </row>
    <row r="903">
      <c r="A903" s="24" t="s">
        <v>3597</v>
      </c>
      <c r="B903" s="24" t="s">
        <v>3598</v>
      </c>
      <c r="C903" s="24" t="s">
        <v>3599</v>
      </c>
      <c r="D903" s="24" t="s">
        <v>124</v>
      </c>
      <c r="E903" s="24" t="s">
        <v>3600</v>
      </c>
      <c r="F903" s="24" t="s">
        <v>59</v>
      </c>
    </row>
    <row r="904">
      <c r="A904" s="24" t="s">
        <v>3601</v>
      </c>
      <c r="B904" s="24" t="s">
        <v>3602</v>
      </c>
      <c r="C904" s="24" t="s">
        <v>3603</v>
      </c>
      <c r="D904" s="24" t="s">
        <v>124</v>
      </c>
      <c r="E904" s="24" t="s">
        <v>3604</v>
      </c>
      <c r="F904" s="24" t="s">
        <v>59</v>
      </c>
    </row>
    <row r="905">
      <c r="A905" s="24" t="s">
        <v>3605</v>
      </c>
      <c r="B905" s="24" t="s">
        <v>3606</v>
      </c>
      <c r="C905" s="24" t="s">
        <v>3607</v>
      </c>
      <c r="D905" s="24" t="s">
        <v>124</v>
      </c>
      <c r="E905" s="24" t="s">
        <v>3608</v>
      </c>
      <c r="F905" s="24" t="s">
        <v>59</v>
      </c>
    </row>
    <row r="906">
      <c r="A906" s="24" t="s">
        <v>3609</v>
      </c>
      <c r="B906" s="24" t="s">
        <v>3610</v>
      </c>
      <c r="C906" s="24" t="s">
        <v>3611</v>
      </c>
      <c r="D906" s="24" t="s">
        <v>129</v>
      </c>
      <c r="E906" s="24" t="s">
        <v>3612</v>
      </c>
      <c r="F906" s="24" t="s">
        <v>59</v>
      </c>
    </row>
    <row r="907">
      <c r="A907" s="24" t="s">
        <v>3613</v>
      </c>
      <c r="B907" s="24" t="s">
        <v>3614</v>
      </c>
      <c r="C907" s="24" t="s">
        <v>3615</v>
      </c>
      <c r="D907" s="24" t="s">
        <v>124</v>
      </c>
      <c r="E907" s="24" t="s">
        <v>3616</v>
      </c>
      <c r="F907" s="24" t="s">
        <v>59</v>
      </c>
    </row>
    <row r="908">
      <c r="A908" s="24" t="s">
        <v>3617</v>
      </c>
      <c r="B908" s="24" t="s">
        <v>3618</v>
      </c>
      <c r="C908" s="24" t="s">
        <v>3619</v>
      </c>
      <c r="D908" s="24" t="s">
        <v>124</v>
      </c>
      <c r="E908" s="24" t="s">
        <v>3620</v>
      </c>
      <c r="F908" s="24" t="s">
        <v>59</v>
      </c>
    </row>
    <row r="909">
      <c r="A909" s="24" t="s">
        <v>3621</v>
      </c>
      <c r="B909" s="24" t="s">
        <v>3622</v>
      </c>
      <c r="C909" s="24" t="s">
        <v>3623</v>
      </c>
      <c r="D909" s="24" t="s">
        <v>124</v>
      </c>
      <c r="E909" s="24" t="s">
        <v>3624</v>
      </c>
      <c r="F909" s="24" t="s">
        <v>59</v>
      </c>
    </row>
    <row r="910">
      <c r="A910" s="24" t="s">
        <v>3625</v>
      </c>
      <c r="B910" s="24" t="s">
        <v>3626</v>
      </c>
      <c r="C910" s="24" t="s">
        <v>3627</v>
      </c>
      <c r="D910" s="24" t="s">
        <v>264</v>
      </c>
      <c r="E910" s="24" t="s">
        <v>3628</v>
      </c>
      <c r="F910" s="24" t="s">
        <v>59</v>
      </c>
    </row>
    <row r="911">
      <c r="A911" s="24" t="s">
        <v>3629</v>
      </c>
      <c r="B911" s="24" t="s">
        <v>3630</v>
      </c>
      <c r="C911" s="24" t="s">
        <v>3631</v>
      </c>
      <c r="D911" s="24" t="s">
        <v>129</v>
      </c>
      <c r="E911" s="24" t="s">
        <v>3632</v>
      </c>
      <c r="F911" s="24" t="s">
        <v>59</v>
      </c>
    </row>
    <row r="912">
      <c r="A912" s="24" t="s">
        <v>3633</v>
      </c>
      <c r="B912" s="24" t="s">
        <v>3634</v>
      </c>
      <c r="C912" s="24" t="s">
        <v>3635</v>
      </c>
      <c r="D912" s="24" t="s">
        <v>124</v>
      </c>
      <c r="E912" s="24" t="s">
        <v>3636</v>
      </c>
      <c r="F912" s="24" t="s">
        <v>59</v>
      </c>
    </row>
    <row r="913">
      <c r="A913" s="24" t="s">
        <v>3637</v>
      </c>
      <c r="B913" s="24" t="s">
        <v>3638</v>
      </c>
      <c r="C913" s="24" t="s">
        <v>3639</v>
      </c>
      <c r="D913" s="24" t="s">
        <v>124</v>
      </c>
      <c r="E913" s="24" t="s">
        <v>3640</v>
      </c>
      <c r="F913" s="24" t="s">
        <v>59</v>
      </c>
    </row>
    <row r="914">
      <c r="A914" s="24" t="s">
        <v>3641</v>
      </c>
      <c r="B914" s="24" t="s">
        <v>3642</v>
      </c>
      <c r="C914" s="24" t="s">
        <v>3643</v>
      </c>
      <c r="D914" s="24" t="s">
        <v>124</v>
      </c>
      <c r="E914" s="24" t="s">
        <v>3644</v>
      </c>
      <c r="F914" s="24" t="s">
        <v>59</v>
      </c>
    </row>
    <row r="915">
      <c r="A915" s="24" t="s">
        <v>3645</v>
      </c>
      <c r="B915" s="24" t="s">
        <v>3646</v>
      </c>
      <c r="C915" s="24" t="s">
        <v>3647</v>
      </c>
      <c r="D915" s="24" t="s">
        <v>124</v>
      </c>
      <c r="E915" s="24" t="s">
        <v>3648</v>
      </c>
      <c r="F915" s="24" t="s">
        <v>59</v>
      </c>
    </row>
    <row r="916">
      <c r="A916" s="24" t="s">
        <v>3649</v>
      </c>
      <c r="B916" s="24" t="s">
        <v>3650</v>
      </c>
      <c r="C916" s="24" t="s">
        <v>3651</v>
      </c>
      <c r="D916" s="24" t="s">
        <v>264</v>
      </c>
      <c r="E916" s="24" t="s">
        <v>3652</v>
      </c>
      <c r="F916" s="24" t="s">
        <v>59</v>
      </c>
    </row>
    <row r="917">
      <c r="A917" s="24" t="s">
        <v>3653</v>
      </c>
      <c r="B917" s="24" t="s">
        <v>3654</v>
      </c>
      <c r="C917" s="24" t="s">
        <v>3655</v>
      </c>
      <c r="D917" s="24" t="s">
        <v>124</v>
      </c>
      <c r="E917" s="24" t="s">
        <v>3656</v>
      </c>
      <c r="F917" s="24" t="s">
        <v>59</v>
      </c>
    </row>
    <row r="918">
      <c r="A918" s="24" t="s">
        <v>3657</v>
      </c>
      <c r="B918" s="24" t="s">
        <v>3658</v>
      </c>
      <c r="C918" s="24" t="s">
        <v>3659</v>
      </c>
      <c r="D918" s="24" t="s">
        <v>124</v>
      </c>
      <c r="E918" s="24" t="s">
        <v>3660</v>
      </c>
      <c r="F918" s="24" t="s">
        <v>59</v>
      </c>
    </row>
    <row r="919">
      <c r="A919" s="24" t="s">
        <v>3661</v>
      </c>
      <c r="B919" s="24" t="s">
        <v>3662</v>
      </c>
      <c r="C919" s="24" t="s">
        <v>3663</v>
      </c>
      <c r="D919" s="24" t="s">
        <v>129</v>
      </c>
      <c r="E919" s="24" t="s">
        <v>3664</v>
      </c>
      <c r="F919" s="24" t="s">
        <v>59</v>
      </c>
    </row>
    <row r="920">
      <c r="A920" s="24" t="s">
        <v>3665</v>
      </c>
      <c r="B920" s="24" t="s">
        <v>3666</v>
      </c>
      <c r="C920" s="24" t="s">
        <v>3667</v>
      </c>
      <c r="D920" s="24" t="s">
        <v>129</v>
      </c>
      <c r="E920" s="24" t="s">
        <v>3668</v>
      </c>
      <c r="F920" s="24" t="s">
        <v>59</v>
      </c>
    </row>
    <row r="921">
      <c r="A921" s="24" t="s">
        <v>3669</v>
      </c>
      <c r="B921" s="24" t="s">
        <v>3670</v>
      </c>
      <c r="C921" s="24" t="s">
        <v>3671</v>
      </c>
      <c r="D921" s="24" t="s">
        <v>124</v>
      </c>
      <c r="E921" s="24" t="s">
        <v>3672</v>
      </c>
      <c r="F921" s="24" t="s">
        <v>59</v>
      </c>
    </row>
    <row r="922">
      <c r="A922" s="24" t="s">
        <v>3673</v>
      </c>
      <c r="B922" s="24" t="s">
        <v>3674</v>
      </c>
      <c r="C922" s="24" t="s">
        <v>3675</v>
      </c>
      <c r="D922" s="24" t="s">
        <v>129</v>
      </c>
      <c r="E922" s="24" t="s">
        <v>3676</v>
      </c>
      <c r="F922" s="24" t="s">
        <v>59</v>
      </c>
    </row>
    <row r="923">
      <c r="A923" s="24" t="s">
        <v>3677</v>
      </c>
      <c r="B923" s="24" t="s">
        <v>3678</v>
      </c>
      <c r="C923" s="24" t="s">
        <v>3679</v>
      </c>
      <c r="D923" s="24" t="s">
        <v>129</v>
      </c>
      <c r="E923" s="24" t="s">
        <v>3680</v>
      </c>
      <c r="F923" s="24" t="s">
        <v>59</v>
      </c>
    </row>
    <row r="924">
      <c r="A924" s="24" t="s">
        <v>3681</v>
      </c>
      <c r="B924" s="24" t="s">
        <v>3682</v>
      </c>
      <c r="C924" s="24" t="s">
        <v>3683</v>
      </c>
      <c r="D924" s="24" t="s">
        <v>124</v>
      </c>
      <c r="E924" s="24" t="s">
        <v>3684</v>
      </c>
      <c r="F924" s="24" t="s">
        <v>59</v>
      </c>
    </row>
    <row r="925">
      <c r="A925" s="24" t="s">
        <v>3685</v>
      </c>
      <c r="B925" s="24" t="s">
        <v>3686</v>
      </c>
      <c r="C925" s="24" t="s">
        <v>3687</v>
      </c>
      <c r="D925" s="24" t="s">
        <v>124</v>
      </c>
      <c r="E925" s="24" t="s">
        <v>3688</v>
      </c>
      <c r="F925" s="24" t="s">
        <v>59</v>
      </c>
    </row>
    <row r="926">
      <c r="A926" s="24" t="s">
        <v>3689</v>
      </c>
      <c r="B926" s="24" t="s">
        <v>3690</v>
      </c>
      <c r="C926" s="24" t="s">
        <v>3691</v>
      </c>
      <c r="D926" s="24" t="s">
        <v>124</v>
      </c>
      <c r="E926" s="24" t="s">
        <v>3692</v>
      </c>
      <c r="F926" s="24" t="s">
        <v>59</v>
      </c>
    </row>
    <row r="927">
      <c r="A927" s="24" t="s">
        <v>3693</v>
      </c>
      <c r="B927" s="24" t="s">
        <v>3694</v>
      </c>
      <c r="C927" s="24" t="s">
        <v>3695</v>
      </c>
      <c r="D927" s="24" t="s">
        <v>129</v>
      </c>
      <c r="E927" s="24" t="s">
        <v>3696</v>
      </c>
      <c r="F927" s="24" t="s">
        <v>59</v>
      </c>
    </row>
    <row r="928">
      <c r="A928" s="24" t="s">
        <v>3697</v>
      </c>
      <c r="B928" s="24" t="s">
        <v>3698</v>
      </c>
      <c r="C928" s="24" t="s">
        <v>3699</v>
      </c>
      <c r="D928" s="24" t="s">
        <v>124</v>
      </c>
      <c r="E928" s="24" t="s">
        <v>3700</v>
      </c>
      <c r="F928" s="24" t="s">
        <v>59</v>
      </c>
    </row>
    <row r="929">
      <c r="A929" s="24" t="s">
        <v>3701</v>
      </c>
      <c r="B929" s="24" t="s">
        <v>3702</v>
      </c>
      <c r="C929" s="24" t="s">
        <v>3703</v>
      </c>
      <c r="D929" s="24" t="s">
        <v>129</v>
      </c>
      <c r="E929" s="24" t="s">
        <v>3704</v>
      </c>
      <c r="F929" s="24" t="s">
        <v>59</v>
      </c>
    </row>
    <row r="930">
      <c r="A930" s="24" t="s">
        <v>3705</v>
      </c>
      <c r="B930" s="24" t="s">
        <v>3706</v>
      </c>
      <c r="C930" s="24" t="s">
        <v>3707</v>
      </c>
      <c r="D930" s="24" t="s">
        <v>129</v>
      </c>
      <c r="E930" s="24" t="s">
        <v>3708</v>
      </c>
      <c r="F930" s="24" t="s">
        <v>59</v>
      </c>
    </row>
    <row r="931">
      <c r="A931" s="24" t="s">
        <v>3709</v>
      </c>
      <c r="B931" s="24" t="s">
        <v>3710</v>
      </c>
      <c r="C931" s="24" t="s">
        <v>3711</v>
      </c>
      <c r="D931" s="24" t="s">
        <v>129</v>
      </c>
      <c r="E931" s="24" t="s">
        <v>3712</v>
      </c>
      <c r="F931" s="24" t="s">
        <v>59</v>
      </c>
    </row>
    <row r="932">
      <c r="A932" s="24" t="s">
        <v>3713</v>
      </c>
      <c r="B932" s="24" t="s">
        <v>3714</v>
      </c>
      <c r="C932" s="24" t="s">
        <v>3715</v>
      </c>
      <c r="D932" s="24" t="s">
        <v>124</v>
      </c>
      <c r="E932" s="24" t="s">
        <v>3716</v>
      </c>
      <c r="F932" s="24" t="s">
        <v>59</v>
      </c>
    </row>
    <row r="933">
      <c r="A933" s="24" t="s">
        <v>3717</v>
      </c>
      <c r="B933" s="24" t="s">
        <v>3718</v>
      </c>
      <c r="C933" s="24" t="s">
        <v>3719</v>
      </c>
      <c r="D933" s="24" t="s">
        <v>124</v>
      </c>
      <c r="E933" s="24" t="s">
        <v>3720</v>
      </c>
      <c r="F933" s="24" t="s">
        <v>59</v>
      </c>
    </row>
    <row r="934">
      <c r="A934" s="24" t="s">
        <v>3721</v>
      </c>
      <c r="B934" s="24" t="s">
        <v>3722</v>
      </c>
      <c r="C934" s="24" t="s">
        <v>3723</v>
      </c>
      <c r="D934" s="24" t="s">
        <v>124</v>
      </c>
      <c r="E934" s="24" t="s">
        <v>3724</v>
      </c>
      <c r="F934" s="24" t="s">
        <v>59</v>
      </c>
    </row>
    <row r="935">
      <c r="A935" s="24" t="s">
        <v>3725</v>
      </c>
      <c r="B935" s="24" t="s">
        <v>3726</v>
      </c>
      <c r="C935" s="24" t="s">
        <v>3727</v>
      </c>
      <c r="D935" s="24" t="s">
        <v>264</v>
      </c>
      <c r="E935" s="24" t="s">
        <v>3728</v>
      </c>
      <c r="F935" s="24" t="s">
        <v>59</v>
      </c>
    </row>
    <row r="936">
      <c r="A936" s="24" t="s">
        <v>3729</v>
      </c>
      <c r="B936" s="24" t="s">
        <v>3730</v>
      </c>
      <c r="C936" s="24" t="s">
        <v>3731</v>
      </c>
      <c r="D936" s="24" t="s">
        <v>129</v>
      </c>
      <c r="E936" s="24" t="s">
        <v>3732</v>
      </c>
      <c r="F936" s="24" t="s">
        <v>59</v>
      </c>
    </row>
    <row r="937">
      <c r="A937" s="24" t="s">
        <v>3733</v>
      </c>
      <c r="B937" s="24" t="s">
        <v>3734</v>
      </c>
      <c r="C937" s="24" t="s">
        <v>3735</v>
      </c>
      <c r="D937" s="24" t="s">
        <v>124</v>
      </c>
      <c r="E937" s="24" t="s">
        <v>3736</v>
      </c>
      <c r="F937" s="24" t="s">
        <v>59</v>
      </c>
    </row>
    <row r="938">
      <c r="A938" s="24" t="s">
        <v>3737</v>
      </c>
      <c r="B938" s="24" t="s">
        <v>3738</v>
      </c>
      <c r="C938" s="24" t="s">
        <v>3739</v>
      </c>
      <c r="D938" s="24" t="s">
        <v>124</v>
      </c>
      <c r="E938" s="24" t="s">
        <v>3740</v>
      </c>
      <c r="F938" s="24" t="s">
        <v>59</v>
      </c>
    </row>
    <row r="939">
      <c r="A939" s="24" t="s">
        <v>3741</v>
      </c>
      <c r="B939" s="24" t="s">
        <v>3742</v>
      </c>
      <c r="C939" s="24" t="s">
        <v>3743</v>
      </c>
      <c r="D939" s="24" t="s">
        <v>129</v>
      </c>
      <c r="E939" s="24" t="s">
        <v>3744</v>
      </c>
      <c r="F939" s="24" t="s">
        <v>59</v>
      </c>
    </row>
    <row r="940">
      <c r="A940" s="24" t="s">
        <v>3745</v>
      </c>
      <c r="B940" s="24" t="s">
        <v>3746</v>
      </c>
      <c r="C940" s="24" t="s">
        <v>3747</v>
      </c>
      <c r="D940" s="24" t="s">
        <v>124</v>
      </c>
      <c r="E940" s="24" t="s">
        <v>3748</v>
      </c>
      <c r="F940" s="24" t="s">
        <v>59</v>
      </c>
    </row>
    <row r="941">
      <c r="A941" s="24" t="s">
        <v>3749</v>
      </c>
      <c r="B941" s="24" t="s">
        <v>3750</v>
      </c>
      <c r="C941" s="24" t="s">
        <v>3751</v>
      </c>
      <c r="D941" s="24" t="s">
        <v>129</v>
      </c>
      <c r="E941" s="24" t="s">
        <v>3752</v>
      </c>
      <c r="F941" s="24" t="s">
        <v>59</v>
      </c>
    </row>
    <row r="942">
      <c r="A942" s="24" t="s">
        <v>3753</v>
      </c>
      <c r="B942" s="24" t="s">
        <v>3754</v>
      </c>
      <c r="C942" s="24" t="s">
        <v>3755</v>
      </c>
      <c r="D942" s="24" t="s">
        <v>124</v>
      </c>
      <c r="E942" s="24" t="s">
        <v>3756</v>
      </c>
      <c r="F942" s="24" t="s">
        <v>59</v>
      </c>
    </row>
    <row r="943">
      <c r="A943" s="24" t="s">
        <v>3757</v>
      </c>
      <c r="B943" s="24" t="s">
        <v>3758</v>
      </c>
      <c r="C943" s="24" t="s">
        <v>3759</v>
      </c>
      <c r="D943" s="24" t="s">
        <v>124</v>
      </c>
      <c r="E943" s="24" t="s">
        <v>3760</v>
      </c>
      <c r="F943" s="24" t="s">
        <v>59</v>
      </c>
    </row>
    <row r="944">
      <c r="A944" s="24" t="s">
        <v>3761</v>
      </c>
      <c r="B944" s="24" t="s">
        <v>3762</v>
      </c>
      <c r="C944" s="24" t="s">
        <v>3763</v>
      </c>
      <c r="D944" s="24" t="s">
        <v>124</v>
      </c>
      <c r="E944" s="24" t="s">
        <v>3764</v>
      </c>
      <c r="F944" s="24" t="s">
        <v>59</v>
      </c>
    </row>
    <row r="945">
      <c r="A945" s="24" t="s">
        <v>3765</v>
      </c>
      <c r="B945" s="24" t="s">
        <v>3766</v>
      </c>
      <c r="C945" s="24" t="s">
        <v>3767</v>
      </c>
      <c r="D945" s="24" t="s">
        <v>124</v>
      </c>
      <c r="E945" s="24" t="s">
        <v>3768</v>
      </c>
      <c r="F945" s="24" t="s">
        <v>59</v>
      </c>
    </row>
    <row r="946">
      <c r="A946" s="24" t="s">
        <v>3769</v>
      </c>
      <c r="B946" s="24" t="s">
        <v>3770</v>
      </c>
      <c r="C946" s="24" t="s">
        <v>3771</v>
      </c>
      <c r="D946" s="24" t="s">
        <v>264</v>
      </c>
      <c r="E946" s="24" t="s">
        <v>3772</v>
      </c>
      <c r="F946" s="24" t="s">
        <v>59</v>
      </c>
    </row>
    <row r="947">
      <c r="A947" s="24" t="s">
        <v>3773</v>
      </c>
      <c r="B947" s="24" t="s">
        <v>3774</v>
      </c>
      <c r="C947" s="24" t="s">
        <v>3775</v>
      </c>
      <c r="D947" s="24" t="s">
        <v>124</v>
      </c>
      <c r="E947" s="24" t="s">
        <v>3776</v>
      </c>
      <c r="F947" s="24" t="s">
        <v>59</v>
      </c>
    </row>
    <row r="948">
      <c r="A948" s="24" t="s">
        <v>3777</v>
      </c>
      <c r="B948" s="24" t="s">
        <v>3778</v>
      </c>
      <c r="C948" s="24" t="s">
        <v>3779</v>
      </c>
      <c r="D948" s="24" t="s">
        <v>124</v>
      </c>
      <c r="E948" s="24" t="s">
        <v>3780</v>
      </c>
      <c r="F948" s="24" t="s">
        <v>59</v>
      </c>
    </row>
    <row r="949">
      <c r="A949" s="24" t="s">
        <v>3781</v>
      </c>
      <c r="B949" s="24" t="s">
        <v>3782</v>
      </c>
      <c r="C949" s="24" t="s">
        <v>3783</v>
      </c>
      <c r="D949" s="24" t="s">
        <v>129</v>
      </c>
      <c r="E949" s="24" t="s">
        <v>3784</v>
      </c>
      <c r="F949" s="24" t="s">
        <v>59</v>
      </c>
    </row>
    <row r="950">
      <c r="A950" s="24" t="s">
        <v>3785</v>
      </c>
      <c r="B950" s="24" t="s">
        <v>3786</v>
      </c>
      <c r="C950" s="24" t="s">
        <v>3787</v>
      </c>
      <c r="D950" s="24" t="s">
        <v>264</v>
      </c>
      <c r="E950" s="24" t="s">
        <v>3788</v>
      </c>
      <c r="F950" s="24" t="s">
        <v>59</v>
      </c>
    </row>
    <row r="951">
      <c r="A951" s="24" t="s">
        <v>3789</v>
      </c>
      <c r="B951" s="24" t="s">
        <v>3790</v>
      </c>
      <c r="C951" s="24" t="s">
        <v>3791</v>
      </c>
      <c r="D951" s="24" t="s">
        <v>124</v>
      </c>
      <c r="E951" s="24" t="s">
        <v>3792</v>
      </c>
      <c r="F951" s="24" t="s">
        <v>59</v>
      </c>
    </row>
    <row r="952">
      <c r="A952" s="24" t="s">
        <v>3793</v>
      </c>
      <c r="B952" s="24" t="s">
        <v>3794</v>
      </c>
      <c r="C952" s="24" t="s">
        <v>3795</v>
      </c>
      <c r="D952" s="24" t="s">
        <v>124</v>
      </c>
      <c r="E952" s="24" t="s">
        <v>3796</v>
      </c>
      <c r="F952" s="24" t="s">
        <v>59</v>
      </c>
    </row>
    <row r="953">
      <c r="A953" s="24" t="s">
        <v>3797</v>
      </c>
      <c r="B953" s="24" t="s">
        <v>3798</v>
      </c>
      <c r="C953" s="24" t="s">
        <v>3799</v>
      </c>
      <c r="D953" s="24" t="s">
        <v>124</v>
      </c>
      <c r="E953" s="24" t="s">
        <v>3800</v>
      </c>
      <c r="F953" s="24" t="s">
        <v>59</v>
      </c>
    </row>
    <row r="954">
      <c r="A954" s="24" t="s">
        <v>3801</v>
      </c>
      <c r="B954" s="24" t="s">
        <v>3802</v>
      </c>
      <c r="C954" s="24" t="s">
        <v>3803</v>
      </c>
      <c r="D954" s="24" t="s">
        <v>124</v>
      </c>
      <c r="E954" s="24" t="s">
        <v>3804</v>
      </c>
      <c r="F954" s="24" t="s">
        <v>59</v>
      </c>
    </row>
    <row r="955">
      <c r="A955" s="24" t="s">
        <v>3805</v>
      </c>
      <c r="B955" s="24" t="s">
        <v>3806</v>
      </c>
      <c r="C955" s="24" t="s">
        <v>3807</v>
      </c>
      <c r="D955" s="24" t="s">
        <v>129</v>
      </c>
      <c r="E955" s="24" t="s">
        <v>3808</v>
      </c>
      <c r="F955" s="24" t="s">
        <v>59</v>
      </c>
    </row>
    <row r="956">
      <c r="A956" s="24" t="s">
        <v>3809</v>
      </c>
      <c r="B956" s="24" t="s">
        <v>3810</v>
      </c>
      <c r="C956" s="24" t="s">
        <v>3811</v>
      </c>
      <c r="D956" s="24" t="s">
        <v>129</v>
      </c>
      <c r="E956" s="24" t="s">
        <v>3812</v>
      </c>
      <c r="F956" s="24" t="s">
        <v>59</v>
      </c>
    </row>
    <row r="957">
      <c r="A957" s="24" t="s">
        <v>3813</v>
      </c>
      <c r="B957" s="24" t="s">
        <v>3814</v>
      </c>
      <c r="C957" s="24" t="s">
        <v>3815</v>
      </c>
      <c r="D957" s="24" t="s">
        <v>129</v>
      </c>
      <c r="E957" s="24" t="s">
        <v>3816</v>
      </c>
      <c r="F957" s="24" t="s">
        <v>59</v>
      </c>
    </row>
    <row r="958">
      <c r="A958" s="24" t="s">
        <v>3817</v>
      </c>
      <c r="B958" s="24" t="s">
        <v>3818</v>
      </c>
      <c r="C958" s="24" t="s">
        <v>3819</v>
      </c>
      <c r="D958" s="24" t="s">
        <v>124</v>
      </c>
      <c r="E958" s="24" t="s">
        <v>3820</v>
      </c>
      <c r="F958" s="24" t="s">
        <v>59</v>
      </c>
    </row>
    <row r="959">
      <c r="A959" s="24" t="s">
        <v>3821</v>
      </c>
      <c r="B959" s="24" t="s">
        <v>3822</v>
      </c>
      <c r="C959" s="24" t="s">
        <v>3823</v>
      </c>
      <c r="D959" s="24" t="s">
        <v>129</v>
      </c>
      <c r="E959" s="24" t="s">
        <v>3824</v>
      </c>
      <c r="F959" s="24" t="s">
        <v>59</v>
      </c>
    </row>
    <row r="960">
      <c r="A960" s="24" t="s">
        <v>3825</v>
      </c>
      <c r="B960" s="24" t="s">
        <v>3826</v>
      </c>
      <c r="C960" s="24" t="s">
        <v>3827</v>
      </c>
      <c r="D960" s="24" t="s">
        <v>124</v>
      </c>
      <c r="E960" s="24" t="s">
        <v>3828</v>
      </c>
      <c r="F960" s="24" t="s">
        <v>59</v>
      </c>
    </row>
    <row r="961">
      <c r="A961" s="24" t="s">
        <v>3829</v>
      </c>
      <c r="B961" s="24" t="s">
        <v>3830</v>
      </c>
      <c r="C961" s="24" t="s">
        <v>3831</v>
      </c>
      <c r="D961" s="24" t="s">
        <v>129</v>
      </c>
      <c r="E961" s="24" t="s">
        <v>3832</v>
      </c>
      <c r="F961" s="24" t="s">
        <v>59</v>
      </c>
    </row>
    <row r="962">
      <c r="A962" s="24" t="s">
        <v>3833</v>
      </c>
      <c r="B962" s="24" t="s">
        <v>3834</v>
      </c>
      <c r="C962" s="24" t="s">
        <v>3835</v>
      </c>
      <c r="D962" s="24" t="s">
        <v>129</v>
      </c>
      <c r="E962" s="24" t="s">
        <v>3836</v>
      </c>
      <c r="F962" s="24" t="s">
        <v>59</v>
      </c>
    </row>
    <row r="963">
      <c r="A963" s="24" t="s">
        <v>3837</v>
      </c>
      <c r="B963" s="24" t="s">
        <v>3838</v>
      </c>
      <c r="C963" s="24" t="s">
        <v>3839</v>
      </c>
      <c r="D963" s="24" t="s">
        <v>124</v>
      </c>
      <c r="E963" s="24" t="s">
        <v>3840</v>
      </c>
      <c r="F963" s="24" t="s">
        <v>59</v>
      </c>
    </row>
    <row r="964">
      <c r="A964" s="24" t="s">
        <v>3841</v>
      </c>
      <c r="B964" s="24" t="s">
        <v>3842</v>
      </c>
      <c r="C964" s="24" t="s">
        <v>3843</v>
      </c>
      <c r="D964" s="24" t="s">
        <v>124</v>
      </c>
      <c r="E964" s="24" t="s">
        <v>3844</v>
      </c>
      <c r="F964" s="24" t="s">
        <v>59</v>
      </c>
    </row>
    <row r="965">
      <c r="A965" s="24" t="s">
        <v>3845</v>
      </c>
      <c r="B965" s="24" t="s">
        <v>3846</v>
      </c>
      <c r="C965" s="24" t="s">
        <v>3847</v>
      </c>
      <c r="D965" s="24" t="s">
        <v>124</v>
      </c>
      <c r="E965" s="24" t="s">
        <v>3848</v>
      </c>
      <c r="F965" s="24" t="s">
        <v>59</v>
      </c>
    </row>
    <row r="966">
      <c r="A966" s="24" t="s">
        <v>3849</v>
      </c>
      <c r="B966" s="24" t="s">
        <v>3850</v>
      </c>
      <c r="C966" s="24" t="s">
        <v>3851</v>
      </c>
      <c r="D966" s="24" t="s">
        <v>124</v>
      </c>
      <c r="E966" s="24" t="s">
        <v>3852</v>
      </c>
      <c r="F966" s="24" t="s">
        <v>59</v>
      </c>
    </row>
    <row r="967">
      <c r="A967" s="24" t="s">
        <v>3853</v>
      </c>
      <c r="B967" s="24" t="s">
        <v>3854</v>
      </c>
      <c r="C967" s="24" t="s">
        <v>3855</v>
      </c>
      <c r="D967" s="24" t="s">
        <v>264</v>
      </c>
      <c r="E967" s="24" t="s">
        <v>3856</v>
      </c>
      <c r="F967" s="24" t="s">
        <v>59</v>
      </c>
    </row>
    <row r="968">
      <c r="A968" s="24" t="s">
        <v>3857</v>
      </c>
      <c r="B968" s="24" t="s">
        <v>3858</v>
      </c>
      <c r="C968" s="24" t="s">
        <v>3859</v>
      </c>
      <c r="D968" s="24" t="s">
        <v>124</v>
      </c>
      <c r="E968" s="24" t="s">
        <v>3860</v>
      </c>
      <c r="F968" s="24" t="s">
        <v>59</v>
      </c>
    </row>
    <row r="969">
      <c r="A969" s="24" t="s">
        <v>3861</v>
      </c>
      <c r="B969" s="24" t="s">
        <v>3862</v>
      </c>
      <c r="C969" s="24" t="s">
        <v>3863</v>
      </c>
      <c r="D969" s="24" t="s">
        <v>124</v>
      </c>
      <c r="E969" s="24" t="s">
        <v>3864</v>
      </c>
      <c r="F969" s="24" t="s">
        <v>59</v>
      </c>
    </row>
    <row r="970">
      <c r="A970" s="24" t="s">
        <v>3865</v>
      </c>
      <c r="B970" s="24" t="s">
        <v>3866</v>
      </c>
      <c r="C970" s="24" t="s">
        <v>3867</v>
      </c>
      <c r="D970" s="24" t="s">
        <v>124</v>
      </c>
      <c r="E970" s="24" t="s">
        <v>3868</v>
      </c>
      <c r="F970" s="24" t="s">
        <v>59</v>
      </c>
    </row>
    <row r="971">
      <c r="A971" s="24" t="s">
        <v>3869</v>
      </c>
      <c r="B971" s="24" t="s">
        <v>3870</v>
      </c>
      <c r="C971" s="24" t="s">
        <v>3871</v>
      </c>
      <c r="D971" s="24" t="s">
        <v>124</v>
      </c>
      <c r="E971" s="24" t="s">
        <v>3872</v>
      </c>
      <c r="F971" s="24" t="s">
        <v>59</v>
      </c>
    </row>
    <row r="972">
      <c r="A972" s="24" t="s">
        <v>3873</v>
      </c>
      <c r="B972" s="24" t="s">
        <v>3874</v>
      </c>
      <c r="C972" s="24" t="s">
        <v>3875</v>
      </c>
      <c r="D972" s="24" t="s">
        <v>124</v>
      </c>
      <c r="E972" s="24" t="s">
        <v>3876</v>
      </c>
      <c r="F972" s="24" t="s">
        <v>59</v>
      </c>
    </row>
    <row r="973">
      <c r="A973" s="24" t="s">
        <v>3877</v>
      </c>
      <c r="B973" s="24" t="s">
        <v>3878</v>
      </c>
      <c r="C973" s="24" t="s">
        <v>3879</v>
      </c>
      <c r="D973" s="24" t="s">
        <v>129</v>
      </c>
      <c r="E973" s="24" t="s">
        <v>3880</v>
      </c>
      <c r="F973" s="24" t="s">
        <v>59</v>
      </c>
    </row>
    <row r="974">
      <c r="A974" s="24" t="s">
        <v>3881</v>
      </c>
      <c r="B974" s="24" t="s">
        <v>3882</v>
      </c>
      <c r="C974" s="24" t="s">
        <v>3883</v>
      </c>
      <c r="D974" s="24" t="s">
        <v>129</v>
      </c>
      <c r="E974" s="24" t="s">
        <v>3884</v>
      </c>
      <c r="F974" s="24" t="s">
        <v>59</v>
      </c>
    </row>
    <row r="975">
      <c r="A975" s="24" t="s">
        <v>3885</v>
      </c>
      <c r="B975" s="24" t="s">
        <v>3886</v>
      </c>
      <c r="C975" s="24" t="s">
        <v>3887</v>
      </c>
      <c r="D975" s="24" t="s">
        <v>124</v>
      </c>
      <c r="E975" s="24" t="s">
        <v>3888</v>
      </c>
      <c r="F975" s="24" t="s">
        <v>59</v>
      </c>
    </row>
    <row r="976">
      <c r="A976" s="24" t="s">
        <v>3889</v>
      </c>
      <c r="B976" s="24" t="s">
        <v>3890</v>
      </c>
      <c r="C976" s="24" t="s">
        <v>3891</v>
      </c>
      <c r="D976" s="24" t="s">
        <v>124</v>
      </c>
      <c r="E976" s="24" t="s">
        <v>3892</v>
      </c>
      <c r="F976" s="24" t="s">
        <v>59</v>
      </c>
    </row>
    <row r="977">
      <c r="A977" s="24" t="s">
        <v>3893</v>
      </c>
      <c r="B977" s="24" t="s">
        <v>3894</v>
      </c>
      <c r="C977" s="24" t="s">
        <v>3895</v>
      </c>
      <c r="D977" s="24" t="s">
        <v>124</v>
      </c>
      <c r="E977" s="24" t="s">
        <v>3896</v>
      </c>
      <c r="F977" s="24" t="s">
        <v>59</v>
      </c>
    </row>
    <row r="978">
      <c r="A978" s="24" t="s">
        <v>3897</v>
      </c>
      <c r="B978" s="24" t="s">
        <v>3898</v>
      </c>
      <c r="C978" s="24" t="s">
        <v>3899</v>
      </c>
      <c r="D978" s="24" t="s">
        <v>124</v>
      </c>
      <c r="E978" s="24" t="s">
        <v>3900</v>
      </c>
      <c r="F978" s="24" t="s">
        <v>59</v>
      </c>
    </row>
    <row r="979">
      <c r="A979" s="24" t="s">
        <v>3901</v>
      </c>
      <c r="B979" s="24" t="s">
        <v>3902</v>
      </c>
      <c r="C979" s="24" t="s">
        <v>3903</v>
      </c>
      <c r="D979" s="24" t="s">
        <v>124</v>
      </c>
      <c r="E979" s="24" t="s">
        <v>3904</v>
      </c>
      <c r="F979" s="24" t="s">
        <v>59</v>
      </c>
    </row>
    <row r="980">
      <c r="A980" s="24" t="s">
        <v>3905</v>
      </c>
      <c r="B980" s="24" t="s">
        <v>3906</v>
      </c>
      <c r="C980" s="24" t="s">
        <v>3907</v>
      </c>
      <c r="D980" s="24" t="s">
        <v>124</v>
      </c>
      <c r="E980" s="24" t="s">
        <v>3908</v>
      </c>
      <c r="F980" s="24" t="s">
        <v>59</v>
      </c>
    </row>
    <row r="981">
      <c r="A981" s="24" t="s">
        <v>3909</v>
      </c>
      <c r="B981" s="24" t="s">
        <v>3910</v>
      </c>
      <c r="C981" s="24" t="s">
        <v>3911</v>
      </c>
      <c r="D981" s="24" t="s">
        <v>264</v>
      </c>
      <c r="E981" s="24" t="s">
        <v>3912</v>
      </c>
      <c r="F981" s="24" t="s">
        <v>59</v>
      </c>
    </row>
    <row r="982">
      <c r="A982" s="24" t="s">
        <v>3913</v>
      </c>
      <c r="B982" s="24" t="s">
        <v>3914</v>
      </c>
      <c r="C982" s="24" t="s">
        <v>3915</v>
      </c>
      <c r="D982" s="24" t="s">
        <v>129</v>
      </c>
      <c r="E982" s="24" t="s">
        <v>3916</v>
      </c>
      <c r="F982" s="24" t="s">
        <v>59</v>
      </c>
    </row>
    <row r="983">
      <c r="A983" s="24" t="s">
        <v>3917</v>
      </c>
      <c r="B983" s="24" t="s">
        <v>3918</v>
      </c>
      <c r="C983" s="24" t="s">
        <v>3919</v>
      </c>
      <c r="D983" s="24" t="s">
        <v>124</v>
      </c>
      <c r="E983" s="24" t="s">
        <v>3920</v>
      </c>
      <c r="F983" s="24" t="s">
        <v>59</v>
      </c>
    </row>
    <row r="984">
      <c r="A984" s="24" t="s">
        <v>3921</v>
      </c>
      <c r="B984" s="24" t="s">
        <v>3922</v>
      </c>
      <c r="C984" s="24" t="s">
        <v>3923</v>
      </c>
      <c r="D984" s="24" t="s">
        <v>129</v>
      </c>
      <c r="E984" s="24" t="s">
        <v>3924</v>
      </c>
      <c r="F984" s="24" t="s">
        <v>59</v>
      </c>
    </row>
    <row r="985">
      <c r="A985" s="24" t="s">
        <v>3925</v>
      </c>
      <c r="B985" s="24" t="s">
        <v>3926</v>
      </c>
      <c r="C985" s="24" t="s">
        <v>3927</v>
      </c>
      <c r="D985" s="24" t="s">
        <v>264</v>
      </c>
      <c r="E985" s="24" t="s">
        <v>3928</v>
      </c>
      <c r="F985" s="24" t="s">
        <v>59</v>
      </c>
    </row>
    <row r="986">
      <c r="A986" s="24" t="s">
        <v>3929</v>
      </c>
      <c r="B986" s="24" t="s">
        <v>3930</v>
      </c>
      <c r="C986" s="24" t="s">
        <v>3931</v>
      </c>
      <c r="D986" s="24" t="s">
        <v>129</v>
      </c>
      <c r="E986" s="24" t="s">
        <v>3932</v>
      </c>
      <c r="F986" s="24" t="s">
        <v>59</v>
      </c>
    </row>
    <row r="987">
      <c r="A987" s="24" t="s">
        <v>3933</v>
      </c>
      <c r="B987" s="24" t="s">
        <v>3934</v>
      </c>
      <c r="C987" s="24" t="s">
        <v>3935</v>
      </c>
      <c r="D987" s="24" t="s">
        <v>124</v>
      </c>
      <c r="E987" s="24" t="s">
        <v>3936</v>
      </c>
      <c r="F987" s="24" t="s">
        <v>59</v>
      </c>
    </row>
    <row r="988">
      <c r="A988" s="24" t="s">
        <v>3937</v>
      </c>
      <c r="B988" s="24" t="s">
        <v>3938</v>
      </c>
      <c r="C988" s="24" t="s">
        <v>3939</v>
      </c>
      <c r="D988" s="24" t="s">
        <v>124</v>
      </c>
      <c r="E988" s="24" t="s">
        <v>3940</v>
      </c>
      <c r="F988" s="24" t="s">
        <v>59</v>
      </c>
    </row>
    <row r="989">
      <c r="A989" s="24" t="s">
        <v>3941</v>
      </c>
      <c r="B989" s="24" t="s">
        <v>3942</v>
      </c>
      <c r="C989" s="24" t="s">
        <v>3943</v>
      </c>
      <c r="D989" s="24" t="s">
        <v>124</v>
      </c>
      <c r="E989" s="24" t="s">
        <v>3944</v>
      </c>
      <c r="F989" s="24" t="s">
        <v>59</v>
      </c>
    </row>
    <row r="990">
      <c r="A990" s="24" t="s">
        <v>3945</v>
      </c>
      <c r="B990" s="24" t="s">
        <v>3946</v>
      </c>
      <c r="C990" s="24" t="s">
        <v>3947</v>
      </c>
      <c r="D990" s="24" t="s">
        <v>124</v>
      </c>
      <c r="E990" s="24" t="s">
        <v>3948</v>
      </c>
      <c r="F990" s="24" t="s">
        <v>59</v>
      </c>
    </row>
    <row r="991">
      <c r="A991" s="24" t="s">
        <v>3949</v>
      </c>
      <c r="B991" s="24" t="s">
        <v>3950</v>
      </c>
      <c r="C991" s="24" t="s">
        <v>3951</v>
      </c>
      <c r="D991" s="24" t="s">
        <v>124</v>
      </c>
      <c r="E991" s="24" t="s">
        <v>3952</v>
      </c>
      <c r="F991" s="24" t="s">
        <v>59</v>
      </c>
    </row>
    <row r="992">
      <c r="A992" s="24" t="s">
        <v>3953</v>
      </c>
      <c r="B992" s="24" t="s">
        <v>3954</v>
      </c>
      <c r="C992" s="24" t="s">
        <v>3955</v>
      </c>
      <c r="D992" s="24" t="s">
        <v>124</v>
      </c>
      <c r="E992" s="24" t="s">
        <v>3956</v>
      </c>
      <c r="F992" s="24" t="s">
        <v>59</v>
      </c>
    </row>
    <row r="993">
      <c r="A993" s="24" t="s">
        <v>3957</v>
      </c>
      <c r="B993" s="24" t="s">
        <v>3958</v>
      </c>
      <c r="C993" s="24" t="s">
        <v>3959</v>
      </c>
      <c r="D993" s="24" t="s">
        <v>129</v>
      </c>
      <c r="E993" s="24" t="s">
        <v>3960</v>
      </c>
      <c r="F993" s="24" t="s">
        <v>59</v>
      </c>
    </row>
    <row r="994">
      <c r="A994" s="24" t="s">
        <v>3961</v>
      </c>
      <c r="B994" s="24" t="s">
        <v>3962</v>
      </c>
      <c r="C994" s="24" t="s">
        <v>3963</v>
      </c>
      <c r="D994" s="24" t="s">
        <v>124</v>
      </c>
      <c r="E994" s="24" t="s">
        <v>3964</v>
      </c>
      <c r="F994" s="24" t="s">
        <v>59</v>
      </c>
    </row>
    <row r="995">
      <c r="A995" s="24" t="s">
        <v>3965</v>
      </c>
      <c r="B995" s="24" t="s">
        <v>3966</v>
      </c>
      <c r="C995" s="24" t="s">
        <v>3967</v>
      </c>
      <c r="D995" s="24" t="s">
        <v>129</v>
      </c>
      <c r="E995" s="24" t="s">
        <v>3968</v>
      </c>
      <c r="F995" s="24" t="s">
        <v>59</v>
      </c>
    </row>
    <row r="996">
      <c r="A996" s="24" t="s">
        <v>3969</v>
      </c>
      <c r="B996" s="24" t="s">
        <v>3970</v>
      </c>
      <c r="C996" s="24" t="s">
        <v>3971</v>
      </c>
      <c r="D996" s="24" t="s">
        <v>124</v>
      </c>
      <c r="E996" s="24" t="s">
        <v>3972</v>
      </c>
      <c r="F996" s="24" t="s">
        <v>59</v>
      </c>
    </row>
    <row r="997">
      <c r="A997" s="24" t="s">
        <v>3973</v>
      </c>
      <c r="B997" s="24" t="s">
        <v>3974</v>
      </c>
      <c r="C997" s="24" t="s">
        <v>3975</v>
      </c>
      <c r="D997" s="24" t="s">
        <v>124</v>
      </c>
      <c r="E997" s="24" t="s">
        <v>3976</v>
      </c>
      <c r="F997" s="24" t="s">
        <v>59</v>
      </c>
    </row>
    <row r="998">
      <c r="A998" s="24" t="s">
        <v>3977</v>
      </c>
      <c r="B998" s="24" t="s">
        <v>3978</v>
      </c>
      <c r="C998" s="24" t="s">
        <v>3979</v>
      </c>
      <c r="D998" s="24" t="s">
        <v>124</v>
      </c>
      <c r="E998" s="24" t="s">
        <v>3980</v>
      </c>
      <c r="F998" s="24" t="s">
        <v>59</v>
      </c>
    </row>
    <row r="999">
      <c r="A999" s="24" t="s">
        <v>3981</v>
      </c>
      <c r="B999" s="24" t="s">
        <v>3982</v>
      </c>
      <c r="C999" s="24" t="s">
        <v>3983</v>
      </c>
      <c r="D999" s="24" t="s">
        <v>124</v>
      </c>
      <c r="E999" s="24" t="s">
        <v>3984</v>
      </c>
      <c r="F999" s="24" t="s">
        <v>59</v>
      </c>
    </row>
    <row r="1000">
      <c r="A1000" s="24" t="s">
        <v>3985</v>
      </c>
      <c r="B1000" s="24" t="s">
        <v>3986</v>
      </c>
      <c r="C1000" s="24" t="s">
        <v>3987</v>
      </c>
      <c r="D1000" s="24" t="s">
        <v>124</v>
      </c>
      <c r="E1000" s="24" t="s">
        <v>3988</v>
      </c>
      <c r="F1000" s="24" t="s">
        <v>59</v>
      </c>
    </row>
    <row r="1001">
      <c r="A1001" s="24" t="s">
        <v>3989</v>
      </c>
      <c r="B1001" s="24" t="s">
        <v>3990</v>
      </c>
      <c r="C1001" s="24" t="s">
        <v>3991</v>
      </c>
      <c r="D1001" s="24" t="s">
        <v>124</v>
      </c>
      <c r="E1001" s="24" t="s">
        <v>3992</v>
      </c>
      <c r="F1001" s="24" t="s">
        <v>59</v>
      </c>
    </row>
    <row r="1002">
      <c r="A1002" s="24" t="s">
        <v>3993</v>
      </c>
      <c r="B1002" s="24" t="s">
        <v>3994</v>
      </c>
      <c r="C1002" s="24" t="s">
        <v>3995</v>
      </c>
      <c r="D1002" s="24" t="s">
        <v>124</v>
      </c>
      <c r="E1002" s="24" t="s">
        <v>3996</v>
      </c>
      <c r="F1002" s="24" t="s">
        <v>59</v>
      </c>
    </row>
    <row r="1003">
      <c r="A1003" s="24" t="s">
        <v>3997</v>
      </c>
      <c r="B1003" s="24" t="s">
        <v>3998</v>
      </c>
      <c r="C1003" s="24" t="s">
        <v>3999</v>
      </c>
      <c r="D1003" s="24" t="s">
        <v>124</v>
      </c>
      <c r="E1003" s="24" t="s">
        <v>4000</v>
      </c>
      <c r="F1003" s="24" t="s">
        <v>59</v>
      </c>
    </row>
    <row r="1004">
      <c r="A1004" s="24" t="s">
        <v>4001</v>
      </c>
      <c r="B1004" s="24" t="s">
        <v>4002</v>
      </c>
      <c r="C1004" s="24" t="s">
        <v>4003</v>
      </c>
      <c r="D1004" s="24" t="s">
        <v>124</v>
      </c>
      <c r="E1004" s="24" t="s">
        <v>4004</v>
      </c>
      <c r="F1004" s="24" t="s">
        <v>59</v>
      </c>
    </row>
    <row r="1005">
      <c r="A1005" s="24" t="s">
        <v>4005</v>
      </c>
      <c r="B1005" s="24" t="s">
        <v>4006</v>
      </c>
      <c r="C1005" s="24" t="s">
        <v>4007</v>
      </c>
      <c r="D1005" s="24" t="s">
        <v>124</v>
      </c>
      <c r="E1005" s="24" t="s">
        <v>4008</v>
      </c>
      <c r="F1005" s="24" t="s">
        <v>59</v>
      </c>
    </row>
    <row r="1006">
      <c r="A1006" s="24" t="s">
        <v>4009</v>
      </c>
      <c r="B1006" s="24" t="s">
        <v>4010</v>
      </c>
      <c r="C1006" s="24" t="s">
        <v>4011</v>
      </c>
      <c r="D1006" s="24" t="s">
        <v>124</v>
      </c>
      <c r="E1006" s="24" t="s">
        <v>4012</v>
      </c>
      <c r="F1006" s="24" t="s">
        <v>59</v>
      </c>
    </row>
    <row r="1007">
      <c r="A1007" s="24" t="s">
        <v>4013</v>
      </c>
      <c r="B1007" s="24" t="s">
        <v>4014</v>
      </c>
      <c r="C1007" s="24" t="s">
        <v>4015</v>
      </c>
      <c r="D1007" s="24" t="s">
        <v>124</v>
      </c>
      <c r="E1007" s="24" t="s">
        <v>4016</v>
      </c>
      <c r="F1007" s="24" t="s">
        <v>59</v>
      </c>
    </row>
    <row r="1008">
      <c r="A1008" s="24" t="s">
        <v>4017</v>
      </c>
      <c r="B1008" s="24" t="s">
        <v>4018</v>
      </c>
      <c r="C1008" s="24" t="s">
        <v>4019</v>
      </c>
      <c r="D1008" s="24" t="s">
        <v>124</v>
      </c>
      <c r="E1008" s="24" t="s">
        <v>4020</v>
      </c>
      <c r="F1008" s="24" t="s">
        <v>59</v>
      </c>
    </row>
    <row r="1009">
      <c r="A1009" s="24" t="s">
        <v>4021</v>
      </c>
      <c r="B1009" s="24" t="s">
        <v>4022</v>
      </c>
      <c r="C1009" s="24" t="s">
        <v>4023</v>
      </c>
      <c r="D1009" s="24" t="s">
        <v>124</v>
      </c>
      <c r="E1009" s="24" t="s">
        <v>4024</v>
      </c>
      <c r="F1009" s="24" t="s">
        <v>59</v>
      </c>
    </row>
    <row r="1010">
      <c r="A1010" s="24" t="s">
        <v>4025</v>
      </c>
      <c r="B1010" s="24" t="s">
        <v>4026</v>
      </c>
      <c r="C1010" s="24" t="s">
        <v>4027</v>
      </c>
      <c r="D1010" s="24" t="s">
        <v>264</v>
      </c>
      <c r="E1010" s="24" t="s">
        <v>4028</v>
      </c>
      <c r="F1010" s="24" t="s">
        <v>59</v>
      </c>
    </row>
    <row r="1011">
      <c r="A1011" s="24" t="s">
        <v>4029</v>
      </c>
      <c r="B1011" s="24" t="s">
        <v>4030</v>
      </c>
      <c r="C1011" s="24" t="s">
        <v>4031</v>
      </c>
      <c r="D1011" s="24" t="s">
        <v>129</v>
      </c>
      <c r="E1011" s="24" t="s">
        <v>4032</v>
      </c>
      <c r="F1011" s="24" t="s">
        <v>59</v>
      </c>
    </row>
    <row r="1012">
      <c r="A1012" s="24" t="s">
        <v>4033</v>
      </c>
      <c r="B1012" s="24" t="s">
        <v>4034</v>
      </c>
      <c r="C1012" s="24" t="s">
        <v>4035</v>
      </c>
      <c r="D1012" s="24" t="s">
        <v>124</v>
      </c>
      <c r="E1012" s="24" t="s">
        <v>4036</v>
      </c>
      <c r="F1012" s="24" t="s">
        <v>59</v>
      </c>
    </row>
    <row r="1013">
      <c r="A1013" s="24" t="s">
        <v>4037</v>
      </c>
      <c r="B1013" s="24" t="s">
        <v>4038</v>
      </c>
      <c r="C1013" s="24" t="s">
        <v>4039</v>
      </c>
      <c r="D1013" s="24" t="s">
        <v>124</v>
      </c>
      <c r="E1013" s="24" t="s">
        <v>4040</v>
      </c>
      <c r="F1013" s="24" t="s">
        <v>59</v>
      </c>
    </row>
    <row r="1014">
      <c r="A1014" s="24" t="s">
        <v>4041</v>
      </c>
      <c r="B1014" s="24" t="s">
        <v>4042</v>
      </c>
      <c r="C1014" s="24" t="s">
        <v>4043</v>
      </c>
      <c r="D1014" s="24" t="s">
        <v>124</v>
      </c>
      <c r="E1014" s="24" t="s">
        <v>4044</v>
      </c>
      <c r="F1014" s="24" t="s">
        <v>59</v>
      </c>
    </row>
    <row r="1015">
      <c r="A1015" s="24" t="s">
        <v>4045</v>
      </c>
      <c r="B1015" s="24" t="s">
        <v>4046</v>
      </c>
      <c r="C1015" s="24" t="s">
        <v>4047</v>
      </c>
      <c r="D1015" s="24" t="s">
        <v>129</v>
      </c>
      <c r="E1015" s="24" t="s">
        <v>4048</v>
      </c>
      <c r="F1015" s="24" t="s">
        <v>59</v>
      </c>
    </row>
    <row r="1016">
      <c r="A1016" s="24" t="s">
        <v>4049</v>
      </c>
      <c r="B1016" s="24" t="s">
        <v>4050</v>
      </c>
      <c r="C1016" s="24" t="s">
        <v>4051</v>
      </c>
      <c r="D1016" s="24" t="s">
        <v>124</v>
      </c>
      <c r="E1016" s="24" t="s">
        <v>4052</v>
      </c>
      <c r="F1016" s="24" t="s">
        <v>59</v>
      </c>
    </row>
    <row r="1017">
      <c r="A1017" s="24" t="s">
        <v>4053</v>
      </c>
      <c r="B1017" s="24" t="s">
        <v>4054</v>
      </c>
      <c r="C1017" s="24" t="s">
        <v>4055</v>
      </c>
      <c r="D1017" s="24" t="s">
        <v>124</v>
      </c>
      <c r="E1017" s="24" t="s">
        <v>4056</v>
      </c>
      <c r="F1017" s="24" t="s">
        <v>59</v>
      </c>
    </row>
    <row r="1018">
      <c r="A1018" s="24" t="s">
        <v>4057</v>
      </c>
      <c r="B1018" s="24" t="s">
        <v>4058</v>
      </c>
      <c r="C1018" s="24" t="s">
        <v>4059</v>
      </c>
      <c r="D1018" s="24" t="s">
        <v>124</v>
      </c>
      <c r="E1018" s="24" t="s">
        <v>4060</v>
      </c>
      <c r="F1018" s="24" t="s">
        <v>59</v>
      </c>
    </row>
    <row r="1019">
      <c r="A1019" s="24" t="s">
        <v>4061</v>
      </c>
      <c r="B1019" s="24" t="s">
        <v>4062</v>
      </c>
      <c r="C1019" s="24" t="s">
        <v>4063</v>
      </c>
      <c r="D1019" s="24" t="s">
        <v>129</v>
      </c>
      <c r="E1019" s="24" t="s">
        <v>4064</v>
      </c>
      <c r="F1019" s="24" t="s">
        <v>59</v>
      </c>
    </row>
    <row r="1020">
      <c r="A1020" s="24" t="s">
        <v>4065</v>
      </c>
      <c r="B1020" s="24" t="s">
        <v>4066</v>
      </c>
      <c r="C1020" s="24" t="s">
        <v>4067</v>
      </c>
      <c r="D1020" s="24" t="s">
        <v>129</v>
      </c>
      <c r="E1020" s="24" t="s">
        <v>4068</v>
      </c>
      <c r="F1020" s="24" t="s">
        <v>59</v>
      </c>
    </row>
    <row r="1021">
      <c r="A1021" s="24" t="s">
        <v>4069</v>
      </c>
      <c r="B1021" s="24" t="s">
        <v>4070</v>
      </c>
      <c r="C1021" s="24" t="s">
        <v>4071</v>
      </c>
      <c r="D1021" s="24" t="s">
        <v>129</v>
      </c>
      <c r="E1021" s="24" t="s">
        <v>4072</v>
      </c>
      <c r="F1021" s="24" t="s">
        <v>59</v>
      </c>
    </row>
    <row r="1022">
      <c r="A1022" s="24" t="s">
        <v>4073</v>
      </c>
      <c r="B1022" s="24" t="s">
        <v>4074</v>
      </c>
      <c r="C1022" s="24" t="s">
        <v>4075</v>
      </c>
      <c r="D1022" s="24" t="s">
        <v>129</v>
      </c>
      <c r="E1022" s="24" t="s">
        <v>4076</v>
      </c>
      <c r="F1022" s="24" t="s">
        <v>59</v>
      </c>
    </row>
    <row r="1023">
      <c r="A1023" s="24" t="s">
        <v>4077</v>
      </c>
      <c r="B1023" s="24" t="s">
        <v>4078</v>
      </c>
      <c r="C1023" s="24" t="s">
        <v>4079</v>
      </c>
      <c r="D1023" s="24" t="s">
        <v>124</v>
      </c>
      <c r="E1023" s="24" t="s">
        <v>4080</v>
      </c>
      <c r="F1023" s="24" t="s">
        <v>59</v>
      </c>
    </row>
    <row r="1024">
      <c r="A1024" s="24" t="s">
        <v>4081</v>
      </c>
      <c r="B1024" s="24" t="s">
        <v>4082</v>
      </c>
      <c r="C1024" s="24" t="s">
        <v>4083</v>
      </c>
      <c r="D1024" s="24" t="s">
        <v>124</v>
      </c>
      <c r="E1024" s="24" t="s">
        <v>4084</v>
      </c>
      <c r="F1024" s="24" t="s">
        <v>59</v>
      </c>
    </row>
    <row r="1025">
      <c r="A1025" s="24" t="s">
        <v>4085</v>
      </c>
      <c r="B1025" s="24" t="s">
        <v>4086</v>
      </c>
      <c r="C1025" s="24" t="s">
        <v>4087</v>
      </c>
      <c r="D1025" s="24" t="s">
        <v>124</v>
      </c>
      <c r="E1025" s="24" t="s">
        <v>4088</v>
      </c>
      <c r="F1025" s="24" t="s">
        <v>59</v>
      </c>
    </row>
    <row r="1026">
      <c r="A1026" s="24" t="s">
        <v>4089</v>
      </c>
      <c r="B1026" s="24" t="s">
        <v>4090</v>
      </c>
      <c r="C1026" s="24" t="s">
        <v>4091</v>
      </c>
      <c r="D1026" s="24" t="s">
        <v>124</v>
      </c>
      <c r="E1026" s="24" t="s">
        <v>4092</v>
      </c>
      <c r="F1026" s="24" t="s">
        <v>59</v>
      </c>
    </row>
    <row r="1027">
      <c r="A1027" s="24" t="s">
        <v>4093</v>
      </c>
      <c r="B1027" s="24" t="s">
        <v>4094</v>
      </c>
      <c r="C1027" s="24" t="s">
        <v>4095</v>
      </c>
      <c r="D1027" s="24" t="s">
        <v>124</v>
      </c>
      <c r="E1027" s="24" t="s">
        <v>4096</v>
      </c>
      <c r="F1027" s="24" t="s">
        <v>59</v>
      </c>
    </row>
    <row r="1028">
      <c r="A1028" s="24" t="s">
        <v>4097</v>
      </c>
      <c r="B1028" s="24" t="s">
        <v>4098</v>
      </c>
      <c r="C1028" s="24" t="s">
        <v>4099</v>
      </c>
      <c r="D1028" s="24" t="s">
        <v>124</v>
      </c>
      <c r="E1028" s="24" t="s">
        <v>4100</v>
      </c>
      <c r="F1028" s="24" t="s">
        <v>59</v>
      </c>
    </row>
    <row r="1029">
      <c r="A1029" s="24" t="s">
        <v>4101</v>
      </c>
      <c r="B1029" s="24" t="s">
        <v>4102</v>
      </c>
      <c r="C1029" s="24" t="s">
        <v>4103</v>
      </c>
      <c r="D1029" s="24" t="s">
        <v>264</v>
      </c>
      <c r="E1029" s="24" t="s">
        <v>4104</v>
      </c>
      <c r="F1029" s="24" t="s">
        <v>59</v>
      </c>
    </row>
    <row r="1030">
      <c r="A1030" s="24" t="s">
        <v>4105</v>
      </c>
      <c r="B1030" s="24" t="s">
        <v>4106</v>
      </c>
      <c r="C1030" s="24" t="s">
        <v>4107</v>
      </c>
      <c r="D1030" s="24" t="s">
        <v>124</v>
      </c>
      <c r="E1030" s="24" t="s">
        <v>4108</v>
      </c>
      <c r="F1030" s="24" t="s">
        <v>59</v>
      </c>
    </row>
    <row r="1031">
      <c r="A1031" s="24" t="s">
        <v>4109</v>
      </c>
      <c r="B1031" s="24" t="s">
        <v>4110</v>
      </c>
      <c r="C1031" s="24" t="s">
        <v>4111</v>
      </c>
      <c r="D1031" s="24" t="s">
        <v>129</v>
      </c>
      <c r="E1031" s="24" t="s">
        <v>4112</v>
      </c>
      <c r="F1031" s="24" t="s">
        <v>59</v>
      </c>
    </row>
    <row r="1032">
      <c r="A1032" s="24" t="s">
        <v>4113</v>
      </c>
      <c r="B1032" s="24" t="s">
        <v>4114</v>
      </c>
      <c r="C1032" s="24" t="s">
        <v>4115</v>
      </c>
      <c r="D1032" s="24" t="s">
        <v>124</v>
      </c>
      <c r="E1032" s="24" t="s">
        <v>4116</v>
      </c>
      <c r="F1032" s="24" t="s">
        <v>59</v>
      </c>
    </row>
    <row r="1033">
      <c r="A1033" s="24" t="s">
        <v>4117</v>
      </c>
      <c r="B1033" s="24" t="s">
        <v>4118</v>
      </c>
      <c r="C1033" s="24" t="s">
        <v>4119</v>
      </c>
      <c r="D1033" s="24" t="s">
        <v>129</v>
      </c>
      <c r="E1033" s="24" t="s">
        <v>4120</v>
      </c>
      <c r="F1033" s="24" t="s">
        <v>59</v>
      </c>
    </row>
    <row r="1034">
      <c r="A1034" s="24" t="s">
        <v>4121</v>
      </c>
      <c r="B1034" s="24" t="s">
        <v>4122</v>
      </c>
      <c r="C1034" s="24" t="s">
        <v>4123</v>
      </c>
      <c r="D1034" s="24" t="s">
        <v>264</v>
      </c>
      <c r="E1034" s="24" t="s">
        <v>4124</v>
      </c>
      <c r="F1034" s="24" t="s">
        <v>59</v>
      </c>
    </row>
    <row r="1035">
      <c r="A1035" s="24" t="s">
        <v>4125</v>
      </c>
      <c r="B1035" s="24" t="s">
        <v>4126</v>
      </c>
      <c r="C1035" s="24" t="s">
        <v>4127</v>
      </c>
      <c r="D1035" s="24" t="s">
        <v>124</v>
      </c>
      <c r="E1035" s="24" t="s">
        <v>4128</v>
      </c>
      <c r="F1035" s="24" t="s">
        <v>59</v>
      </c>
    </row>
    <row r="1036">
      <c r="A1036" s="24" t="s">
        <v>4129</v>
      </c>
      <c r="B1036" s="24" t="s">
        <v>4130</v>
      </c>
      <c r="C1036" s="24" t="s">
        <v>4131</v>
      </c>
      <c r="D1036" s="24" t="s">
        <v>124</v>
      </c>
      <c r="E1036" s="24" t="s">
        <v>4132</v>
      </c>
      <c r="F1036" s="24" t="s">
        <v>59</v>
      </c>
    </row>
    <row r="1037">
      <c r="A1037" s="24" t="s">
        <v>4133</v>
      </c>
      <c r="B1037" s="24" t="s">
        <v>4134</v>
      </c>
      <c r="C1037" s="24" t="s">
        <v>4135</v>
      </c>
      <c r="D1037" s="24" t="s">
        <v>129</v>
      </c>
      <c r="E1037" s="24" t="s">
        <v>4136</v>
      </c>
      <c r="F1037" s="24" t="s">
        <v>59</v>
      </c>
    </row>
    <row r="1038">
      <c r="A1038" s="24" t="s">
        <v>4137</v>
      </c>
      <c r="B1038" s="24" t="s">
        <v>4138</v>
      </c>
      <c r="C1038" s="24" t="s">
        <v>4139</v>
      </c>
      <c r="D1038" s="24" t="s">
        <v>129</v>
      </c>
      <c r="E1038" s="24" t="s">
        <v>4140</v>
      </c>
      <c r="F1038" s="24" t="s">
        <v>59</v>
      </c>
    </row>
    <row r="1039">
      <c r="A1039" s="24" t="s">
        <v>4141</v>
      </c>
      <c r="B1039" s="24" t="s">
        <v>4142</v>
      </c>
      <c r="C1039" s="24" t="s">
        <v>4143</v>
      </c>
      <c r="D1039" s="24" t="s">
        <v>264</v>
      </c>
      <c r="E1039" s="24" t="s">
        <v>4144</v>
      </c>
      <c r="F1039" s="24" t="s">
        <v>59</v>
      </c>
    </row>
    <row r="1040">
      <c r="A1040" s="24" t="s">
        <v>4145</v>
      </c>
      <c r="B1040" s="24" t="s">
        <v>4146</v>
      </c>
      <c r="C1040" s="24" t="s">
        <v>4147</v>
      </c>
      <c r="D1040" s="24" t="s">
        <v>124</v>
      </c>
      <c r="E1040" s="24" t="s">
        <v>4148</v>
      </c>
      <c r="F1040" s="24" t="s">
        <v>59</v>
      </c>
    </row>
    <row r="1041">
      <c r="A1041" s="24" t="s">
        <v>4149</v>
      </c>
      <c r="B1041" s="24" t="s">
        <v>4150</v>
      </c>
      <c r="C1041" s="24" t="s">
        <v>4151</v>
      </c>
      <c r="D1041" s="24" t="s">
        <v>129</v>
      </c>
      <c r="E1041" s="24" t="s">
        <v>4152</v>
      </c>
      <c r="F1041" s="24" t="s">
        <v>59</v>
      </c>
    </row>
    <row r="1042">
      <c r="A1042" s="24" t="s">
        <v>4153</v>
      </c>
      <c r="B1042" s="24" t="s">
        <v>4154</v>
      </c>
      <c r="C1042" s="24" t="s">
        <v>4155</v>
      </c>
      <c r="D1042" s="24" t="s">
        <v>124</v>
      </c>
      <c r="E1042" s="24" t="s">
        <v>4156</v>
      </c>
      <c r="F1042" s="24" t="s">
        <v>59</v>
      </c>
    </row>
    <row r="1043">
      <c r="A1043" s="24" t="s">
        <v>4157</v>
      </c>
      <c r="B1043" s="24" t="s">
        <v>4158</v>
      </c>
      <c r="C1043" s="24" t="s">
        <v>4159</v>
      </c>
      <c r="D1043" s="24" t="s">
        <v>129</v>
      </c>
      <c r="E1043" s="24" t="s">
        <v>4160</v>
      </c>
      <c r="F1043" s="24" t="s">
        <v>59</v>
      </c>
    </row>
    <row r="1044">
      <c r="A1044" s="24" t="s">
        <v>4161</v>
      </c>
      <c r="B1044" s="24" t="s">
        <v>4162</v>
      </c>
      <c r="C1044" s="24" t="s">
        <v>4163</v>
      </c>
      <c r="D1044" s="24" t="s">
        <v>124</v>
      </c>
      <c r="E1044" s="24" t="s">
        <v>4164</v>
      </c>
      <c r="F1044" s="24" t="s">
        <v>59</v>
      </c>
    </row>
    <row r="1045">
      <c r="A1045" s="24" t="s">
        <v>4165</v>
      </c>
      <c r="B1045" s="24" t="s">
        <v>4166</v>
      </c>
      <c r="C1045" s="24" t="s">
        <v>4167</v>
      </c>
      <c r="D1045" s="24" t="s">
        <v>124</v>
      </c>
      <c r="E1045" s="24" t="s">
        <v>4168</v>
      </c>
      <c r="F1045" s="24" t="s">
        <v>59</v>
      </c>
    </row>
    <row r="1046">
      <c r="A1046" s="24" t="s">
        <v>4169</v>
      </c>
      <c r="B1046" s="24" t="s">
        <v>4170</v>
      </c>
      <c r="C1046" s="24" t="s">
        <v>4171</v>
      </c>
      <c r="D1046" s="24" t="s">
        <v>129</v>
      </c>
      <c r="E1046" s="24" t="s">
        <v>4172</v>
      </c>
      <c r="F1046" s="24" t="s">
        <v>59</v>
      </c>
    </row>
    <row r="1047">
      <c r="A1047" s="24" t="s">
        <v>4173</v>
      </c>
      <c r="B1047" s="24" t="s">
        <v>4174</v>
      </c>
      <c r="C1047" s="24" t="s">
        <v>4175</v>
      </c>
      <c r="D1047" s="24" t="s">
        <v>124</v>
      </c>
      <c r="E1047" s="24" t="s">
        <v>4176</v>
      </c>
      <c r="F1047" s="24" t="s">
        <v>59</v>
      </c>
    </row>
    <row r="1048">
      <c r="A1048" s="24" t="s">
        <v>4177</v>
      </c>
      <c r="B1048" s="24" t="s">
        <v>4178</v>
      </c>
      <c r="C1048" s="24" t="s">
        <v>4179</v>
      </c>
      <c r="D1048" s="24" t="s">
        <v>124</v>
      </c>
      <c r="E1048" s="24" t="s">
        <v>4180</v>
      </c>
      <c r="F1048" s="24" t="s">
        <v>59</v>
      </c>
    </row>
    <row r="1049">
      <c r="A1049" s="24" t="s">
        <v>4181</v>
      </c>
      <c r="B1049" s="24" t="s">
        <v>4182</v>
      </c>
      <c r="C1049" s="24" t="s">
        <v>4183</v>
      </c>
      <c r="D1049" s="24" t="s">
        <v>124</v>
      </c>
      <c r="E1049" s="24" t="s">
        <v>4184</v>
      </c>
      <c r="F1049" s="24" t="s">
        <v>59</v>
      </c>
    </row>
    <row r="1050">
      <c r="A1050" s="24" t="s">
        <v>4185</v>
      </c>
      <c r="B1050" s="24" t="s">
        <v>4186</v>
      </c>
      <c r="C1050" s="24" t="s">
        <v>4187</v>
      </c>
      <c r="D1050" s="24" t="s">
        <v>124</v>
      </c>
      <c r="E1050" s="24" t="s">
        <v>4188</v>
      </c>
      <c r="F1050" s="24" t="s">
        <v>59</v>
      </c>
    </row>
    <row r="1051">
      <c r="A1051" s="24" t="s">
        <v>4189</v>
      </c>
      <c r="B1051" s="24" t="s">
        <v>4190</v>
      </c>
      <c r="C1051" s="24" t="s">
        <v>4191</v>
      </c>
      <c r="D1051" s="24" t="s">
        <v>124</v>
      </c>
      <c r="E1051" s="24" t="s">
        <v>4192</v>
      </c>
      <c r="F1051" s="24" t="s">
        <v>59</v>
      </c>
    </row>
    <row r="1052">
      <c r="A1052" s="24" t="s">
        <v>4193</v>
      </c>
      <c r="B1052" s="24" t="s">
        <v>4194</v>
      </c>
      <c r="C1052" s="24" t="s">
        <v>4195</v>
      </c>
      <c r="D1052" s="24" t="s">
        <v>124</v>
      </c>
      <c r="E1052" s="24" t="s">
        <v>4196</v>
      </c>
      <c r="F1052" s="24" t="s">
        <v>59</v>
      </c>
    </row>
    <row r="1053">
      <c r="A1053" s="24" t="s">
        <v>4197</v>
      </c>
      <c r="B1053" s="24" t="s">
        <v>4198</v>
      </c>
      <c r="C1053" s="24" t="s">
        <v>4199</v>
      </c>
      <c r="D1053" s="24" t="s">
        <v>129</v>
      </c>
      <c r="E1053" s="24" t="s">
        <v>4200</v>
      </c>
      <c r="F1053" s="24" t="s">
        <v>59</v>
      </c>
    </row>
    <row r="1054">
      <c r="A1054" s="24" t="s">
        <v>4201</v>
      </c>
      <c r="B1054" s="24" t="s">
        <v>4202</v>
      </c>
      <c r="C1054" s="24" t="s">
        <v>4203</v>
      </c>
      <c r="D1054" s="24" t="s">
        <v>124</v>
      </c>
      <c r="E1054" s="24" t="s">
        <v>4204</v>
      </c>
      <c r="F1054" s="24" t="s">
        <v>59</v>
      </c>
    </row>
    <row r="1055">
      <c r="A1055" s="24" t="s">
        <v>4205</v>
      </c>
      <c r="B1055" s="24" t="s">
        <v>4206</v>
      </c>
      <c r="C1055" s="24" t="s">
        <v>4207</v>
      </c>
      <c r="D1055" s="24" t="s">
        <v>124</v>
      </c>
      <c r="E1055" s="24" t="s">
        <v>4208</v>
      </c>
      <c r="F1055" s="24" t="s">
        <v>59</v>
      </c>
    </row>
    <row r="1056">
      <c r="A1056" s="24" t="s">
        <v>4209</v>
      </c>
      <c r="B1056" s="24" t="s">
        <v>4210</v>
      </c>
      <c r="C1056" s="24" t="s">
        <v>4211</v>
      </c>
      <c r="D1056" s="24" t="s">
        <v>124</v>
      </c>
      <c r="E1056" s="24" t="s">
        <v>4212</v>
      </c>
      <c r="F1056" s="24" t="s">
        <v>59</v>
      </c>
    </row>
    <row r="1057">
      <c r="A1057" s="24" t="s">
        <v>4213</v>
      </c>
      <c r="B1057" s="24" t="s">
        <v>4214</v>
      </c>
      <c r="C1057" s="24" t="s">
        <v>4215</v>
      </c>
      <c r="D1057" s="24" t="s">
        <v>124</v>
      </c>
      <c r="E1057" s="24" t="s">
        <v>4216</v>
      </c>
      <c r="F1057" s="24" t="s">
        <v>59</v>
      </c>
    </row>
    <row r="1058">
      <c r="A1058" s="24" t="s">
        <v>4217</v>
      </c>
      <c r="B1058" s="24" t="s">
        <v>4218</v>
      </c>
      <c r="C1058" s="24" t="s">
        <v>4219</v>
      </c>
      <c r="D1058" s="24" t="s">
        <v>124</v>
      </c>
      <c r="E1058" s="24" t="s">
        <v>4220</v>
      </c>
      <c r="F1058" s="24" t="s">
        <v>59</v>
      </c>
    </row>
    <row r="1059">
      <c r="A1059" s="24" t="s">
        <v>4221</v>
      </c>
      <c r="B1059" s="24" t="s">
        <v>4222</v>
      </c>
      <c r="C1059" s="24" t="s">
        <v>4223</v>
      </c>
      <c r="D1059" s="24" t="s">
        <v>124</v>
      </c>
      <c r="E1059" s="24" t="s">
        <v>4224</v>
      </c>
      <c r="F1059" s="24" t="s">
        <v>59</v>
      </c>
    </row>
    <row r="1060">
      <c r="A1060" s="24" t="s">
        <v>4225</v>
      </c>
      <c r="B1060" s="24" t="s">
        <v>4226</v>
      </c>
      <c r="C1060" s="24" t="s">
        <v>4227</v>
      </c>
      <c r="D1060" s="24" t="s">
        <v>124</v>
      </c>
      <c r="E1060" s="24" t="s">
        <v>4228</v>
      </c>
      <c r="F1060" s="24" t="s">
        <v>59</v>
      </c>
    </row>
    <row r="1061">
      <c r="A1061" s="24" t="s">
        <v>4229</v>
      </c>
      <c r="B1061" s="24" t="s">
        <v>4230</v>
      </c>
      <c r="C1061" s="24" t="s">
        <v>4231</v>
      </c>
      <c r="D1061" s="24" t="s">
        <v>124</v>
      </c>
      <c r="E1061" s="24" t="s">
        <v>4232</v>
      </c>
      <c r="F1061" s="24" t="s">
        <v>59</v>
      </c>
    </row>
    <row r="1062">
      <c r="A1062" s="24" t="s">
        <v>4233</v>
      </c>
      <c r="B1062" s="24" t="s">
        <v>4234</v>
      </c>
      <c r="C1062" s="24" t="s">
        <v>4235</v>
      </c>
      <c r="D1062" s="24" t="s">
        <v>129</v>
      </c>
      <c r="E1062" s="24" t="s">
        <v>4236</v>
      </c>
      <c r="F1062" s="24" t="s">
        <v>59</v>
      </c>
    </row>
    <row r="1063">
      <c r="A1063" s="24" t="s">
        <v>4237</v>
      </c>
      <c r="B1063" s="24" t="s">
        <v>4238</v>
      </c>
      <c r="C1063" s="24" t="s">
        <v>4239</v>
      </c>
      <c r="D1063" s="24" t="s">
        <v>129</v>
      </c>
      <c r="E1063" s="24" t="s">
        <v>4240</v>
      </c>
      <c r="F1063" s="24" t="s">
        <v>59</v>
      </c>
    </row>
    <row r="1064">
      <c r="A1064" s="24" t="s">
        <v>4241</v>
      </c>
      <c r="B1064" s="24" t="s">
        <v>4242</v>
      </c>
      <c r="C1064" s="24" t="s">
        <v>4243</v>
      </c>
      <c r="D1064" s="24" t="s">
        <v>124</v>
      </c>
      <c r="E1064" s="24" t="s">
        <v>4244</v>
      </c>
      <c r="F1064" s="24" t="s">
        <v>59</v>
      </c>
    </row>
    <row r="1065">
      <c r="A1065" s="24" t="s">
        <v>4245</v>
      </c>
      <c r="B1065" s="24" t="s">
        <v>4246</v>
      </c>
      <c r="C1065" s="24" t="s">
        <v>4247</v>
      </c>
      <c r="D1065" s="24" t="s">
        <v>129</v>
      </c>
      <c r="E1065" s="24" t="s">
        <v>4248</v>
      </c>
      <c r="F1065" s="24" t="s">
        <v>59</v>
      </c>
    </row>
    <row r="1066">
      <c r="A1066" s="24" t="s">
        <v>4249</v>
      </c>
      <c r="B1066" s="24" t="s">
        <v>4250</v>
      </c>
      <c r="C1066" s="24" t="s">
        <v>4251</v>
      </c>
      <c r="D1066" s="24" t="s">
        <v>129</v>
      </c>
      <c r="E1066" s="24" t="s">
        <v>4252</v>
      </c>
      <c r="F1066" s="24" t="s">
        <v>59</v>
      </c>
    </row>
    <row r="1067">
      <c r="A1067" s="24" t="s">
        <v>4253</v>
      </c>
      <c r="B1067" s="24" t="s">
        <v>4254</v>
      </c>
      <c r="C1067" s="24" t="s">
        <v>4255</v>
      </c>
      <c r="D1067" s="24" t="s">
        <v>124</v>
      </c>
      <c r="E1067" s="24" t="s">
        <v>4256</v>
      </c>
      <c r="F1067" s="24" t="s">
        <v>59</v>
      </c>
    </row>
    <row r="1068">
      <c r="A1068" s="24" t="s">
        <v>4257</v>
      </c>
      <c r="B1068" s="24" t="s">
        <v>4258</v>
      </c>
      <c r="C1068" s="24" t="s">
        <v>4259</v>
      </c>
      <c r="D1068" s="24" t="s">
        <v>124</v>
      </c>
      <c r="E1068" s="24" t="s">
        <v>4260</v>
      </c>
      <c r="F1068" s="24" t="s">
        <v>59</v>
      </c>
    </row>
    <row r="1069">
      <c r="A1069" s="24" t="s">
        <v>4261</v>
      </c>
      <c r="B1069" s="24" t="s">
        <v>4262</v>
      </c>
      <c r="C1069" s="24" t="s">
        <v>4263</v>
      </c>
      <c r="D1069" s="24" t="s">
        <v>124</v>
      </c>
      <c r="E1069" s="24" t="s">
        <v>4264</v>
      </c>
      <c r="F1069" s="24" t="s">
        <v>59</v>
      </c>
    </row>
    <row r="1070">
      <c r="A1070" s="24" t="s">
        <v>4265</v>
      </c>
      <c r="B1070" s="24" t="s">
        <v>4266</v>
      </c>
      <c r="C1070" s="24" t="s">
        <v>4267</v>
      </c>
      <c r="D1070" s="24" t="s">
        <v>129</v>
      </c>
      <c r="E1070" s="24" t="s">
        <v>4268</v>
      </c>
      <c r="F1070" s="24" t="s">
        <v>59</v>
      </c>
    </row>
    <row r="1071">
      <c r="A1071" s="24" t="s">
        <v>4269</v>
      </c>
      <c r="B1071" s="24" t="s">
        <v>4270</v>
      </c>
      <c r="C1071" s="24" t="s">
        <v>4271</v>
      </c>
      <c r="D1071" s="24" t="s">
        <v>124</v>
      </c>
      <c r="E1071" s="24" t="s">
        <v>4272</v>
      </c>
      <c r="F1071" s="24" t="s">
        <v>59</v>
      </c>
    </row>
    <row r="1072">
      <c r="A1072" s="24" t="s">
        <v>4273</v>
      </c>
      <c r="B1072" s="24" t="s">
        <v>4274</v>
      </c>
      <c r="C1072" s="24" t="s">
        <v>4275</v>
      </c>
      <c r="D1072" s="24" t="s">
        <v>124</v>
      </c>
      <c r="E1072" s="24" t="s">
        <v>4276</v>
      </c>
      <c r="F1072" s="24" t="s">
        <v>59</v>
      </c>
    </row>
    <row r="1073">
      <c r="A1073" s="24" t="s">
        <v>4277</v>
      </c>
      <c r="B1073" s="24" t="s">
        <v>4278</v>
      </c>
      <c r="C1073" s="24" t="s">
        <v>4279</v>
      </c>
      <c r="D1073" s="24" t="s">
        <v>124</v>
      </c>
      <c r="E1073" s="24" t="s">
        <v>4280</v>
      </c>
      <c r="F1073" s="24" t="s">
        <v>59</v>
      </c>
    </row>
    <row r="1074">
      <c r="A1074" s="24" t="s">
        <v>4281</v>
      </c>
      <c r="B1074" s="24" t="s">
        <v>4282</v>
      </c>
      <c r="C1074" s="24" t="s">
        <v>4283</v>
      </c>
      <c r="D1074" s="24" t="s">
        <v>129</v>
      </c>
      <c r="E1074" s="24" t="s">
        <v>4284</v>
      </c>
      <c r="F1074" s="24" t="s">
        <v>59</v>
      </c>
    </row>
    <row r="1075">
      <c r="A1075" s="24" t="s">
        <v>4285</v>
      </c>
      <c r="B1075" s="24" t="s">
        <v>4286</v>
      </c>
      <c r="C1075" s="24" t="s">
        <v>4287</v>
      </c>
      <c r="D1075" s="24" t="s">
        <v>124</v>
      </c>
      <c r="E1075" s="24" t="s">
        <v>4288</v>
      </c>
      <c r="F1075" s="24" t="s">
        <v>59</v>
      </c>
    </row>
    <row r="1076">
      <c r="A1076" s="24" t="s">
        <v>4289</v>
      </c>
      <c r="B1076" s="24" t="s">
        <v>4290</v>
      </c>
      <c r="C1076" s="24" t="s">
        <v>4291</v>
      </c>
      <c r="D1076" s="24" t="s">
        <v>124</v>
      </c>
      <c r="E1076" s="24" t="s">
        <v>4292</v>
      </c>
      <c r="F1076" s="24" t="s">
        <v>59</v>
      </c>
    </row>
    <row r="1077">
      <c r="A1077" s="24" t="s">
        <v>4293</v>
      </c>
      <c r="B1077" s="24" t="s">
        <v>4294</v>
      </c>
      <c r="C1077" s="24" t="s">
        <v>4295</v>
      </c>
      <c r="D1077" s="24" t="s">
        <v>129</v>
      </c>
      <c r="E1077" s="24" t="s">
        <v>4296</v>
      </c>
      <c r="F1077" s="24" t="s">
        <v>59</v>
      </c>
    </row>
    <row r="1078">
      <c r="A1078" s="24" t="s">
        <v>4297</v>
      </c>
      <c r="B1078" s="24" t="s">
        <v>4298</v>
      </c>
      <c r="C1078" s="24" t="s">
        <v>4299</v>
      </c>
      <c r="D1078" s="24" t="s">
        <v>124</v>
      </c>
      <c r="E1078" s="24" t="s">
        <v>4300</v>
      </c>
      <c r="F1078" s="24" t="s">
        <v>59</v>
      </c>
    </row>
    <row r="1079">
      <c r="A1079" s="24" t="s">
        <v>4301</v>
      </c>
      <c r="B1079" s="24" t="s">
        <v>4302</v>
      </c>
      <c r="C1079" s="24" t="s">
        <v>4303</v>
      </c>
      <c r="D1079" s="24" t="s">
        <v>124</v>
      </c>
      <c r="E1079" s="24" t="s">
        <v>4304</v>
      </c>
      <c r="F1079" s="24" t="s">
        <v>59</v>
      </c>
    </row>
    <row r="1080">
      <c r="A1080" s="24" t="s">
        <v>4305</v>
      </c>
      <c r="B1080" s="24" t="s">
        <v>4306</v>
      </c>
      <c r="C1080" s="24" t="s">
        <v>4307</v>
      </c>
      <c r="D1080" s="24" t="s">
        <v>124</v>
      </c>
      <c r="E1080" s="24" t="s">
        <v>4308</v>
      </c>
      <c r="F1080" s="24" t="s">
        <v>59</v>
      </c>
    </row>
    <row r="1081">
      <c r="A1081" s="24" t="s">
        <v>4309</v>
      </c>
      <c r="B1081" s="24" t="s">
        <v>4310</v>
      </c>
      <c r="C1081" s="24" t="s">
        <v>4311</v>
      </c>
      <c r="D1081" s="24" t="s">
        <v>264</v>
      </c>
      <c r="E1081" s="24" t="s">
        <v>4312</v>
      </c>
      <c r="F1081" s="24" t="s">
        <v>59</v>
      </c>
    </row>
    <row r="1082">
      <c r="A1082" s="24" t="s">
        <v>4313</v>
      </c>
      <c r="B1082" s="24" t="s">
        <v>4314</v>
      </c>
      <c r="C1082" s="24" t="s">
        <v>4315</v>
      </c>
      <c r="D1082" s="24" t="s">
        <v>124</v>
      </c>
      <c r="E1082" s="24" t="s">
        <v>4316</v>
      </c>
      <c r="F1082" s="24" t="s">
        <v>59</v>
      </c>
    </row>
    <row r="1083">
      <c r="A1083" s="24" t="s">
        <v>4317</v>
      </c>
      <c r="B1083" s="24" t="s">
        <v>4318</v>
      </c>
      <c r="C1083" s="24" t="s">
        <v>4319</v>
      </c>
      <c r="D1083" s="24" t="s">
        <v>124</v>
      </c>
      <c r="E1083" s="24" t="s">
        <v>4320</v>
      </c>
      <c r="F1083" s="24" t="s">
        <v>59</v>
      </c>
    </row>
    <row r="1084">
      <c r="A1084" s="24" t="s">
        <v>4321</v>
      </c>
      <c r="B1084" s="24" t="s">
        <v>4322</v>
      </c>
      <c r="C1084" s="24" t="s">
        <v>4323</v>
      </c>
      <c r="D1084" s="24" t="s">
        <v>129</v>
      </c>
      <c r="E1084" s="24" t="s">
        <v>4324</v>
      </c>
      <c r="F1084" s="24" t="s">
        <v>59</v>
      </c>
    </row>
    <row r="1085">
      <c r="A1085" s="24" t="s">
        <v>4325</v>
      </c>
      <c r="B1085" s="24" t="s">
        <v>4326</v>
      </c>
      <c r="C1085" s="24" t="s">
        <v>4327</v>
      </c>
      <c r="D1085" s="24" t="s">
        <v>124</v>
      </c>
      <c r="E1085" s="24" t="s">
        <v>4328</v>
      </c>
      <c r="F1085" s="24" t="s">
        <v>59</v>
      </c>
    </row>
    <row r="1086">
      <c r="A1086" s="24" t="s">
        <v>4329</v>
      </c>
      <c r="B1086" s="24" t="s">
        <v>4330</v>
      </c>
      <c r="C1086" s="24" t="s">
        <v>4331</v>
      </c>
      <c r="D1086" s="24" t="s">
        <v>129</v>
      </c>
      <c r="E1086" s="24" t="s">
        <v>4332</v>
      </c>
      <c r="F1086" s="24" t="s">
        <v>59</v>
      </c>
    </row>
    <row r="1087">
      <c r="A1087" s="24" t="s">
        <v>4333</v>
      </c>
      <c r="B1087" s="24" t="s">
        <v>4334</v>
      </c>
      <c r="C1087" s="24" t="s">
        <v>4335</v>
      </c>
      <c r="D1087" s="24" t="s">
        <v>129</v>
      </c>
      <c r="E1087" s="24" t="s">
        <v>4336</v>
      </c>
      <c r="F1087" s="24" t="s">
        <v>59</v>
      </c>
    </row>
    <row r="1088">
      <c r="A1088" s="24" t="s">
        <v>4337</v>
      </c>
      <c r="B1088" s="24" t="s">
        <v>4338</v>
      </c>
      <c r="C1088" s="24" t="s">
        <v>4339</v>
      </c>
      <c r="D1088" s="24" t="s">
        <v>129</v>
      </c>
      <c r="E1088" s="24" t="s">
        <v>4340</v>
      </c>
      <c r="F1088" s="24" t="s">
        <v>59</v>
      </c>
    </row>
    <row r="1089">
      <c r="A1089" s="24" t="s">
        <v>4341</v>
      </c>
      <c r="B1089" s="24" t="s">
        <v>4342</v>
      </c>
      <c r="C1089" s="24" t="s">
        <v>4343</v>
      </c>
      <c r="D1089" s="24" t="s">
        <v>124</v>
      </c>
      <c r="E1089" s="24" t="s">
        <v>4344</v>
      </c>
      <c r="F1089" s="24" t="s">
        <v>59</v>
      </c>
    </row>
    <row r="1090">
      <c r="A1090" s="24" t="s">
        <v>4345</v>
      </c>
      <c r="B1090" s="24" t="s">
        <v>4346</v>
      </c>
      <c r="C1090" s="24" t="s">
        <v>4347</v>
      </c>
      <c r="D1090" s="24" t="s">
        <v>129</v>
      </c>
      <c r="E1090" s="24" t="s">
        <v>4348</v>
      </c>
      <c r="F1090" s="24" t="s">
        <v>59</v>
      </c>
    </row>
    <row r="1091">
      <c r="A1091" s="24" t="s">
        <v>4349</v>
      </c>
      <c r="B1091" s="24" t="s">
        <v>4350</v>
      </c>
      <c r="C1091" s="24" t="s">
        <v>4351</v>
      </c>
      <c r="D1091" s="24" t="s">
        <v>124</v>
      </c>
      <c r="E1091" s="24" t="s">
        <v>4352</v>
      </c>
      <c r="F1091" s="24" t="s">
        <v>59</v>
      </c>
    </row>
    <row r="1092">
      <c r="A1092" s="24" t="s">
        <v>4353</v>
      </c>
      <c r="B1092" s="24" t="s">
        <v>4354</v>
      </c>
      <c r="C1092" s="24" t="s">
        <v>4355</v>
      </c>
      <c r="D1092" s="24" t="s">
        <v>124</v>
      </c>
      <c r="E1092" s="24" t="s">
        <v>4356</v>
      </c>
      <c r="F1092" s="24" t="s">
        <v>59</v>
      </c>
    </row>
    <row r="1093">
      <c r="A1093" s="24" t="s">
        <v>4357</v>
      </c>
      <c r="B1093" s="24" t="s">
        <v>4358</v>
      </c>
      <c r="C1093" s="24" t="s">
        <v>4359</v>
      </c>
      <c r="D1093" s="24" t="s">
        <v>124</v>
      </c>
      <c r="E1093" s="24" t="s">
        <v>4360</v>
      </c>
      <c r="F1093" s="24" t="s">
        <v>59</v>
      </c>
    </row>
    <row r="1094">
      <c r="A1094" s="24" t="s">
        <v>4361</v>
      </c>
      <c r="B1094" s="24" t="s">
        <v>4362</v>
      </c>
      <c r="C1094" s="24" t="s">
        <v>4363</v>
      </c>
      <c r="D1094" s="24" t="s">
        <v>124</v>
      </c>
      <c r="E1094" s="24" t="s">
        <v>4364</v>
      </c>
      <c r="F1094" s="24" t="s">
        <v>59</v>
      </c>
    </row>
    <row r="1095">
      <c r="A1095" s="24" t="s">
        <v>4365</v>
      </c>
      <c r="B1095" s="24" t="s">
        <v>4366</v>
      </c>
      <c r="C1095" s="24" t="s">
        <v>4367</v>
      </c>
      <c r="D1095" s="24" t="s">
        <v>129</v>
      </c>
      <c r="E1095" s="24" t="s">
        <v>4368</v>
      </c>
      <c r="F1095" s="24" t="s">
        <v>59</v>
      </c>
    </row>
    <row r="1096">
      <c r="A1096" s="24" t="s">
        <v>4369</v>
      </c>
      <c r="B1096" s="24" t="s">
        <v>4370</v>
      </c>
      <c r="C1096" s="24" t="s">
        <v>4371</v>
      </c>
      <c r="D1096" s="24" t="s">
        <v>264</v>
      </c>
      <c r="E1096" s="24" t="s">
        <v>4372</v>
      </c>
      <c r="F1096" s="24" t="s">
        <v>59</v>
      </c>
    </row>
    <row r="1097">
      <c r="A1097" s="24" t="s">
        <v>4373</v>
      </c>
      <c r="B1097" s="24" t="s">
        <v>4374</v>
      </c>
      <c r="C1097" s="24" t="s">
        <v>4375</v>
      </c>
      <c r="D1097" s="24" t="s">
        <v>124</v>
      </c>
      <c r="E1097" s="24" t="s">
        <v>4376</v>
      </c>
      <c r="F1097" s="24" t="s">
        <v>59</v>
      </c>
    </row>
    <row r="1098">
      <c r="A1098" s="24" t="s">
        <v>4377</v>
      </c>
      <c r="B1098" s="24" t="s">
        <v>4378</v>
      </c>
      <c r="C1098" s="24" t="s">
        <v>4379</v>
      </c>
      <c r="D1098" s="24" t="s">
        <v>124</v>
      </c>
      <c r="E1098" s="24" t="s">
        <v>4380</v>
      </c>
      <c r="F1098" s="24" t="s">
        <v>59</v>
      </c>
    </row>
    <row r="1099">
      <c r="A1099" s="24" t="s">
        <v>4381</v>
      </c>
      <c r="B1099" s="24" t="s">
        <v>4382</v>
      </c>
      <c r="C1099" s="24" t="s">
        <v>4383</v>
      </c>
      <c r="D1099" s="24" t="s">
        <v>124</v>
      </c>
      <c r="E1099" s="24" t="s">
        <v>4384</v>
      </c>
      <c r="F1099" s="24" t="s">
        <v>59</v>
      </c>
    </row>
    <row r="1100">
      <c r="A1100" s="24" t="s">
        <v>4385</v>
      </c>
      <c r="B1100" s="24" t="s">
        <v>4386</v>
      </c>
      <c r="C1100" s="24" t="s">
        <v>4387</v>
      </c>
      <c r="D1100" s="24" t="s">
        <v>124</v>
      </c>
      <c r="E1100" s="24" t="s">
        <v>4388</v>
      </c>
      <c r="F1100" s="24" t="s">
        <v>59</v>
      </c>
    </row>
    <row r="1101">
      <c r="A1101" s="24" t="s">
        <v>4389</v>
      </c>
      <c r="B1101" s="24" t="s">
        <v>4390</v>
      </c>
      <c r="C1101" s="24" t="s">
        <v>4391</v>
      </c>
      <c r="D1101" s="24" t="s">
        <v>264</v>
      </c>
      <c r="E1101" s="24" t="s">
        <v>4392</v>
      </c>
      <c r="F1101" s="24" t="s">
        <v>59</v>
      </c>
    </row>
    <row r="1102">
      <c r="A1102" s="24" t="s">
        <v>4393</v>
      </c>
      <c r="B1102" s="24" t="s">
        <v>4394</v>
      </c>
      <c r="C1102" s="24" t="s">
        <v>4395</v>
      </c>
      <c r="D1102" s="24" t="s">
        <v>129</v>
      </c>
      <c r="E1102" s="24" t="s">
        <v>4396</v>
      </c>
      <c r="F1102" s="24" t="s">
        <v>59</v>
      </c>
    </row>
    <row r="1103">
      <c r="A1103" s="24" t="s">
        <v>4397</v>
      </c>
      <c r="B1103" s="24" t="s">
        <v>4398</v>
      </c>
      <c r="C1103" s="24" t="s">
        <v>4399</v>
      </c>
      <c r="D1103" s="24" t="s">
        <v>124</v>
      </c>
      <c r="E1103" s="24" t="s">
        <v>4400</v>
      </c>
      <c r="F1103" s="24" t="s">
        <v>59</v>
      </c>
    </row>
    <row r="1104">
      <c r="A1104" s="24" t="s">
        <v>4401</v>
      </c>
      <c r="B1104" s="24" t="s">
        <v>4402</v>
      </c>
      <c r="C1104" s="24" t="s">
        <v>4403</v>
      </c>
      <c r="D1104" s="24" t="s">
        <v>129</v>
      </c>
      <c r="E1104" s="24" t="s">
        <v>4404</v>
      </c>
      <c r="F1104" s="24" t="s">
        <v>59</v>
      </c>
    </row>
    <row r="1105">
      <c r="A1105" s="24" t="s">
        <v>4405</v>
      </c>
      <c r="B1105" s="24" t="s">
        <v>4406</v>
      </c>
      <c r="C1105" s="24" t="s">
        <v>4407</v>
      </c>
      <c r="D1105" s="24" t="s">
        <v>129</v>
      </c>
      <c r="E1105" s="24" t="s">
        <v>4408</v>
      </c>
      <c r="F1105" s="24" t="s">
        <v>59</v>
      </c>
    </row>
    <row r="1106">
      <c r="A1106" s="24" t="s">
        <v>4409</v>
      </c>
      <c r="B1106" s="24" t="s">
        <v>4410</v>
      </c>
      <c r="C1106" s="24" t="s">
        <v>4411</v>
      </c>
      <c r="D1106" s="24" t="s">
        <v>124</v>
      </c>
      <c r="E1106" s="24" t="s">
        <v>4412</v>
      </c>
      <c r="F1106" s="24" t="s">
        <v>59</v>
      </c>
    </row>
    <row r="1107">
      <c r="A1107" s="24" t="s">
        <v>4413</v>
      </c>
      <c r="B1107" s="24" t="s">
        <v>4414</v>
      </c>
      <c r="C1107" s="24" t="s">
        <v>4415</v>
      </c>
      <c r="D1107" s="24" t="s">
        <v>129</v>
      </c>
      <c r="E1107" s="24" t="s">
        <v>4416</v>
      </c>
      <c r="F1107" s="24" t="s">
        <v>59</v>
      </c>
    </row>
    <row r="1108">
      <c r="A1108" s="24" t="s">
        <v>4417</v>
      </c>
      <c r="B1108" s="24" t="s">
        <v>4418</v>
      </c>
      <c r="C1108" s="24" t="s">
        <v>4419</v>
      </c>
      <c r="D1108" s="24" t="s">
        <v>129</v>
      </c>
      <c r="E1108" s="24" t="s">
        <v>4420</v>
      </c>
      <c r="F1108" s="24" t="s">
        <v>59</v>
      </c>
    </row>
    <row r="1109">
      <c r="A1109" s="24" t="s">
        <v>4421</v>
      </c>
      <c r="B1109" s="24" t="s">
        <v>4422</v>
      </c>
      <c r="C1109" s="24" t="s">
        <v>4423</v>
      </c>
      <c r="D1109" s="24" t="s">
        <v>124</v>
      </c>
      <c r="E1109" s="24" t="s">
        <v>4424</v>
      </c>
      <c r="F1109" s="24" t="s">
        <v>59</v>
      </c>
    </row>
    <row r="1110">
      <c r="A1110" s="24" t="s">
        <v>4425</v>
      </c>
      <c r="B1110" s="24" t="s">
        <v>4426</v>
      </c>
      <c r="C1110" s="24" t="s">
        <v>4427</v>
      </c>
      <c r="D1110" s="24" t="s">
        <v>124</v>
      </c>
      <c r="E1110" s="24" t="s">
        <v>4428</v>
      </c>
      <c r="F1110" s="24" t="s">
        <v>59</v>
      </c>
    </row>
    <row r="1111">
      <c r="A1111" s="24" t="s">
        <v>4429</v>
      </c>
      <c r="B1111" s="24" t="s">
        <v>4430</v>
      </c>
      <c r="C1111" s="24" t="s">
        <v>4431</v>
      </c>
      <c r="D1111" s="24" t="s">
        <v>129</v>
      </c>
      <c r="E1111" s="24" t="s">
        <v>4432</v>
      </c>
      <c r="F1111" s="24" t="s">
        <v>59</v>
      </c>
    </row>
    <row r="1112">
      <c r="A1112" s="24" t="s">
        <v>4433</v>
      </c>
      <c r="B1112" s="24" t="s">
        <v>4434</v>
      </c>
      <c r="C1112" s="24" t="s">
        <v>4435</v>
      </c>
      <c r="D1112" s="24" t="s">
        <v>124</v>
      </c>
      <c r="E1112" s="24" t="s">
        <v>4436</v>
      </c>
      <c r="F1112" s="24" t="s">
        <v>59</v>
      </c>
    </row>
    <row r="1113">
      <c r="A1113" s="24" t="s">
        <v>4437</v>
      </c>
      <c r="B1113" s="24" t="s">
        <v>4438</v>
      </c>
      <c r="C1113" s="24" t="s">
        <v>4439</v>
      </c>
      <c r="D1113" s="24" t="s">
        <v>129</v>
      </c>
      <c r="E1113" s="24" t="s">
        <v>4440</v>
      </c>
      <c r="F1113" s="24" t="s">
        <v>59</v>
      </c>
    </row>
    <row r="1114">
      <c r="A1114" s="24" t="s">
        <v>4441</v>
      </c>
      <c r="B1114" s="24" t="s">
        <v>4442</v>
      </c>
      <c r="C1114" s="24" t="s">
        <v>4443</v>
      </c>
      <c r="D1114" s="24" t="s">
        <v>129</v>
      </c>
      <c r="E1114" s="24" t="s">
        <v>4444</v>
      </c>
      <c r="F1114" s="24" t="s">
        <v>59</v>
      </c>
    </row>
    <row r="1115">
      <c r="A1115" s="24" t="s">
        <v>4445</v>
      </c>
      <c r="B1115" s="24" t="s">
        <v>4446</v>
      </c>
      <c r="C1115" s="24" t="s">
        <v>4447</v>
      </c>
      <c r="D1115" s="24" t="s">
        <v>124</v>
      </c>
      <c r="E1115" s="24" t="s">
        <v>4448</v>
      </c>
      <c r="F1115" s="24" t="s">
        <v>59</v>
      </c>
    </row>
    <row r="1116">
      <c r="A1116" s="24" t="s">
        <v>4449</v>
      </c>
      <c r="B1116" s="24" t="s">
        <v>4450</v>
      </c>
      <c r="C1116" s="24" t="s">
        <v>4451</v>
      </c>
      <c r="D1116" s="24" t="s">
        <v>124</v>
      </c>
      <c r="E1116" s="24" t="s">
        <v>4452</v>
      </c>
      <c r="F1116" s="24" t="s">
        <v>59</v>
      </c>
    </row>
    <row r="1117">
      <c r="A1117" s="24" t="s">
        <v>4453</v>
      </c>
      <c r="B1117" s="24" t="s">
        <v>4454</v>
      </c>
      <c r="C1117" s="24" t="s">
        <v>4455</v>
      </c>
      <c r="D1117" s="24" t="s">
        <v>124</v>
      </c>
      <c r="E1117" s="24" t="s">
        <v>4456</v>
      </c>
      <c r="F1117" s="24" t="s">
        <v>59</v>
      </c>
    </row>
    <row r="1118">
      <c r="A1118" s="24" t="s">
        <v>4457</v>
      </c>
      <c r="B1118" s="24" t="s">
        <v>4458</v>
      </c>
      <c r="C1118" s="24" t="s">
        <v>4459</v>
      </c>
      <c r="D1118" s="24" t="s">
        <v>124</v>
      </c>
      <c r="E1118" s="24" t="s">
        <v>4460</v>
      </c>
      <c r="F1118" s="24" t="s">
        <v>59</v>
      </c>
    </row>
    <row r="1119">
      <c r="A1119" s="24" t="s">
        <v>4461</v>
      </c>
      <c r="B1119" s="24" t="s">
        <v>4462</v>
      </c>
      <c r="C1119" s="24" t="s">
        <v>4463</v>
      </c>
      <c r="D1119" s="24" t="s">
        <v>124</v>
      </c>
      <c r="E1119" s="24" t="s">
        <v>4464</v>
      </c>
      <c r="F1119" s="24" t="s">
        <v>59</v>
      </c>
    </row>
    <row r="1120">
      <c r="A1120" s="24" t="s">
        <v>4465</v>
      </c>
      <c r="B1120" s="24" t="s">
        <v>4466</v>
      </c>
      <c r="C1120" s="24" t="s">
        <v>4467</v>
      </c>
      <c r="D1120" s="24" t="s">
        <v>129</v>
      </c>
      <c r="E1120" s="24" t="s">
        <v>4468</v>
      </c>
      <c r="F1120" s="24" t="s">
        <v>59</v>
      </c>
    </row>
    <row r="1121">
      <c r="A1121" s="24" t="s">
        <v>4469</v>
      </c>
      <c r="B1121" s="25" t="s">
        <v>4470</v>
      </c>
      <c r="C1121" s="24" t="s">
        <v>312</v>
      </c>
      <c r="D1121" s="24" t="s">
        <v>264</v>
      </c>
      <c r="E1121" s="24" t="s">
        <v>4471</v>
      </c>
      <c r="F1121" s="24" t="s">
        <v>59</v>
      </c>
    </row>
    <row r="1122">
      <c r="A1122" s="24" t="s">
        <v>4472</v>
      </c>
      <c r="B1122" s="24" t="s">
        <v>4473</v>
      </c>
      <c r="C1122" s="24" t="s">
        <v>4474</v>
      </c>
      <c r="D1122" s="24" t="s">
        <v>124</v>
      </c>
      <c r="E1122" s="24" t="s">
        <v>4475</v>
      </c>
      <c r="F1122" s="24" t="s">
        <v>59</v>
      </c>
    </row>
    <row r="1123">
      <c r="A1123" s="24" t="s">
        <v>4476</v>
      </c>
      <c r="B1123" s="24" t="s">
        <v>4477</v>
      </c>
      <c r="C1123" s="24" t="s">
        <v>4478</v>
      </c>
      <c r="D1123" s="24" t="s">
        <v>124</v>
      </c>
      <c r="E1123" s="24" t="s">
        <v>4479</v>
      </c>
      <c r="F1123" s="24" t="s">
        <v>59</v>
      </c>
    </row>
    <row r="1124">
      <c r="A1124" s="24" t="s">
        <v>4480</v>
      </c>
      <c r="B1124" s="24" t="s">
        <v>4481</v>
      </c>
      <c r="C1124" s="24" t="s">
        <v>4482</v>
      </c>
      <c r="D1124" s="24" t="s">
        <v>124</v>
      </c>
      <c r="E1124" s="24" t="s">
        <v>4483</v>
      </c>
      <c r="F1124" s="24" t="s">
        <v>59</v>
      </c>
    </row>
    <row r="1125">
      <c r="A1125" s="24" t="s">
        <v>4484</v>
      </c>
      <c r="B1125" s="24" t="s">
        <v>4485</v>
      </c>
      <c r="C1125" s="24" t="s">
        <v>4486</v>
      </c>
      <c r="D1125" s="24" t="s">
        <v>124</v>
      </c>
      <c r="E1125" s="24" t="s">
        <v>4487</v>
      </c>
      <c r="F1125" s="24" t="s">
        <v>59</v>
      </c>
    </row>
    <row r="1126">
      <c r="A1126" s="24" t="s">
        <v>4488</v>
      </c>
      <c r="B1126" s="24" t="s">
        <v>4489</v>
      </c>
      <c r="C1126" s="24" t="s">
        <v>4490</v>
      </c>
      <c r="D1126" s="24" t="s">
        <v>124</v>
      </c>
      <c r="E1126" s="24" t="s">
        <v>4491</v>
      </c>
      <c r="F1126" s="24" t="s">
        <v>59</v>
      </c>
    </row>
    <row r="1127">
      <c r="A1127" s="24" t="s">
        <v>4492</v>
      </c>
      <c r="B1127" s="24" t="s">
        <v>4493</v>
      </c>
      <c r="C1127" s="24" t="s">
        <v>4494</v>
      </c>
      <c r="D1127" s="24" t="s">
        <v>124</v>
      </c>
      <c r="E1127" s="24" t="s">
        <v>4495</v>
      </c>
      <c r="F1127" s="24" t="s">
        <v>59</v>
      </c>
    </row>
    <row r="1128">
      <c r="A1128" s="24" t="s">
        <v>4496</v>
      </c>
      <c r="B1128" s="24" t="s">
        <v>4497</v>
      </c>
      <c r="C1128" s="24" t="s">
        <v>4498</v>
      </c>
      <c r="D1128" s="24" t="s">
        <v>129</v>
      </c>
      <c r="E1128" s="24" t="s">
        <v>4499</v>
      </c>
      <c r="F1128" s="24" t="s">
        <v>59</v>
      </c>
    </row>
    <row r="1129">
      <c r="A1129" s="24" t="s">
        <v>4500</v>
      </c>
      <c r="B1129" s="24" t="s">
        <v>4501</v>
      </c>
      <c r="C1129" s="24" t="s">
        <v>4502</v>
      </c>
      <c r="D1129" s="24" t="s">
        <v>129</v>
      </c>
      <c r="E1129" s="24" t="s">
        <v>4503</v>
      </c>
      <c r="F1129" s="24" t="s">
        <v>59</v>
      </c>
    </row>
    <row r="1130">
      <c r="A1130" s="24" t="s">
        <v>4504</v>
      </c>
      <c r="B1130" s="24" t="s">
        <v>4505</v>
      </c>
      <c r="C1130" s="24" t="s">
        <v>4506</v>
      </c>
      <c r="D1130" s="24" t="s">
        <v>124</v>
      </c>
      <c r="E1130" s="24" t="s">
        <v>4507</v>
      </c>
      <c r="F1130" s="24" t="s">
        <v>59</v>
      </c>
    </row>
    <row r="1131">
      <c r="A1131" s="24" t="s">
        <v>4508</v>
      </c>
      <c r="B1131" s="24" t="s">
        <v>4509</v>
      </c>
      <c r="C1131" s="24" t="s">
        <v>4510</v>
      </c>
      <c r="D1131" s="24" t="s">
        <v>124</v>
      </c>
      <c r="E1131" s="24" t="s">
        <v>4511</v>
      </c>
      <c r="F1131" s="24" t="s">
        <v>59</v>
      </c>
    </row>
    <row r="1132">
      <c r="A1132" s="24" t="s">
        <v>4512</v>
      </c>
      <c r="B1132" s="24" t="s">
        <v>4513</v>
      </c>
      <c r="C1132" s="24" t="s">
        <v>4514</v>
      </c>
      <c r="D1132" s="24" t="s">
        <v>264</v>
      </c>
      <c r="E1132" s="24" t="s">
        <v>4515</v>
      </c>
      <c r="F1132" s="24" t="s">
        <v>59</v>
      </c>
    </row>
    <row r="1133">
      <c r="A1133" s="24" t="s">
        <v>4516</v>
      </c>
      <c r="B1133" s="24" t="s">
        <v>4517</v>
      </c>
      <c r="C1133" s="24" t="s">
        <v>4518</v>
      </c>
      <c r="D1133" s="24" t="s">
        <v>124</v>
      </c>
      <c r="E1133" s="24" t="s">
        <v>4519</v>
      </c>
      <c r="F1133" s="24" t="s">
        <v>59</v>
      </c>
    </row>
    <row r="1134">
      <c r="A1134" s="24" t="s">
        <v>4520</v>
      </c>
      <c r="B1134" s="24" t="s">
        <v>4521</v>
      </c>
      <c r="C1134" s="24" t="s">
        <v>4522</v>
      </c>
      <c r="D1134" s="24" t="s">
        <v>129</v>
      </c>
      <c r="E1134" s="24" t="s">
        <v>4523</v>
      </c>
      <c r="F1134" s="24" t="s">
        <v>59</v>
      </c>
    </row>
    <row r="1135">
      <c r="A1135" s="24" t="s">
        <v>4524</v>
      </c>
      <c r="B1135" s="24" t="s">
        <v>4525</v>
      </c>
      <c r="C1135" s="24" t="s">
        <v>4526</v>
      </c>
      <c r="D1135" s="24" t="s">
        <v>264</v>
      </c>
      <c r="E1135" s="24" t="s">
        <v>4527</v>
      </c>
      <c r="F1135" s="24" t="s">
        <v>59</v>
      </c>
    </row>
    <row r="1136">
      <c r="A1136" s="24" t="s">
        <v>4528</v>
      </c>
      <c r="B1136" s="24" t="s">
        <v>4529</v>
      </c>
      <c r="C1136" s="24" t="s">
        <v>4530</v>
      </c>
      <c r="D1136" s="24" t="s">
        <v>124</v>
      </c>
      <c r="E1136" s="24" t="s">
        <v>4531</v>
      </c>
      <c r="F1136" s="24" t="s">
        <v>59</v>
      </c>
    </row>
    <row r="1137">
      <c r="A1137" s="24" t="s">
        <v>4532</v>
      </c>
      <c r="B1137" s="24" t="s">
        <v>4533</v>
      </c>
      <c r="C1137" s="24" t="s">
        <v>4534</v>
      </c>
      <c r="D1137" s="24" t="s">
        <v>124</v>
      </c>
      <c r="E1137" s="24" t="s">
        <v>4535</v>
      </c>
      <c r="F1137" s="24" t="s">
        <v>59</v>
      </c>
    </row>
    <row r="1138">
      <c r="A1138" s="24" t="s">
        <v>4536</v>
      </c>
      <c r="B1138" s="24" t="s">
        <v>4537</v>
      </c>
      <c r="C1138" s="24" t="s">
        <v>4538</v>
      </c>
      <c r="D1138" s="24" t="s">
        <v>124</v>
      </c>
      <c r="E1138" s="24" t="s">
        <v>4539</v>
      </c>
      <c r="F1138" s="24" t="s">
        <v>59</v>
      </c>
    </row>
    <row r="1139">
      <c r="A1139" s="24" t="s">
        <v>4540</v>
      </c>
      <c r="B1139" s="24" t="s">
        <v>4541</v>
      </c>
      <c r="C1139" s="24" t="s">
        <v>4542</v>
      </c>
      <c r="D1139" s="24" t="s">
        <v>124</v>
      </c>
      <c r="E1139" s="24" t="s">
        <v>4543</v>
      </c>
      <c r="F1139" s="24" t="s">
        <v>59</v>
      </c>
    </row>
    <row r="1140">
      <c r="A1140" s="24" t="s">
        <v>4544</v>
      </c>
      <c r="B1140" s="24" t="s">
        <v>4545</v>
      </c>
      <c r="C1140" s="24" t="s">
        <v>4546</v>
      </c>
      <c r="D1140" s="24" t="s">
        <v>124</v>
      </c>
      <c r="E1140" s="24" t="s">
        <v>4547</v>
      </c>
      <c r="F1140" s="24" t="s">
        <v>59</v>
      </c>
    </row>
    <row r="1141">
      <c r="A1141" s="24" t="s">
        <v>4548</v>
      </c>
      <c r="B1141" s="24" t="s">
        <v>4549</v>
      </c>
      <c r="C1141" s="24" t="s">
        <v>4550</v>
      </c>
      <c r="D1141" s="24" t="s">
        <v>124</v>
      </c>
      <c r="E1141" s="24" t="s">
        <v>4551</v>
      </c>
      <c r="F1141" s="24" t="s">
        <v>59</v>
      </c>
    </row>
    <row r="1142">
      <c r="A1142" s="24" t="s">
        <v>4552</v>
      </c>
      <c r="B1142" s="24" t="s">
        <v>4553</v>
      </c>
      <c r="C1142" s="24" t="s">
        <v>4554</v>
      </c>
      <c r="D1142" s="24" t="s">
        <v>124</v>
      </c>
      <c r="E1142" s="24" t="s">
        <v>4555</v>
      </c>
      <c r="F1142" s="24" t="s">
        <v>59</v>
      </c>
    </row>
    <row r="1143">
      <c r="A1143" s="24" t="s">
        <v>4556</v>
      </c>
      <c r="B1143" s="24" t="s">
        <v>4557</v>
      </c>
      <c r="C1143" s="24" t="s">
        <v>4558</v>
      </c>
      <c r="D1143" s="24" t="s">
        <v>124</v>
      </c>
      <c r="E1143" s="24" t="s">
        <v>4559</v>
      </c>
      <c r="F1143" s="24" t="s">
        <v>59</v>
      </c>
    </row>
    <row r="1144">
      <c r="A1144" s="24" t="s">
        <v>4560</v>
      </c>
      <c r="B1144" s="24" t="s">
        <v>4561</v>
      </c>
      <c r="C1144" s="24" t="s">
        <v>4562</v>
      </c>
      <c r="D1144" s="24" t="s">
        <v>264</v>
      </c>
      <c r="E1144" s="24" t="s">
        <v>4563</v>
      </c>
      <c r="F1144" s="24" t="s">
        <v>59</v>
      </c>
    </row>
    <row r="1145">
      <c r="A1145" s="24" t="s">
        <v>4564</v>
      </c>
      <c r="B1145" s="24" t="s">
        <v>4565</v>
      </c>
      <c r="C1145" s="24" t="s">
        <v>4566</v>
      </c>
      <c r="D1145" s="24" t="s">
        <v>129</v>
      </c>
      <c r="E1145" s="24" t="s">
        <v>4567</v>
      </c>
      <c r="F1145" s="24" t="s">
        <v>59</v>
      </c>
    </row>
    <row r="1146">
      <c r="A1146" s="24" t="s">
        <v>4568</v>
      </c>
      <c r="B1146" s="24" t="s">
        <v>4569</v>
      </c>
      <c r="C1146" s="24" t="s">
        <v>4570</v>
      </c>
      <c r="D1146" s="24" t="s">
        <v>124</v>
      </c>
      <c r="E1146" s="24" t="s">
        <v>4571</v>
      </c>
      <c r="F1146" s="24" t="s">
        <v>59</v>
      </c>
    </row>
    <row r="1147">
      <c r="A1147" s="24" t="s">
        <v>4572</v>
      </c>
      <c r="B1147" s="24" t="s">
        <v>4573</v>
      </c>
      <c r="C1147" s="24" t="s">
        <v>4574</v>
      </c>
      <c r="D1147" s="24" t="s">
        <v>124</v>
      </c>
      <c r="E1147" s="24" t="s">
        <v>4575</v>
      </c>
      <c r="F1147" s="24" t="s">
        <v>59</v>
      </c>
    </row>
    <row r="1148">
      <c r="A1148" s="24" t="s">
        <v>4576</v>
      </c>
      <c r="B1148" s="24" t="s">
        <v>4577</v>
      </c>
      <c r="C1148" s="24" t="s">
        <v>4578</v>
      </c>
      <c r="D1148" s="24" t="s">
        <v>124</v>
      </c>
      <c r="E1148" s="24" t="s">
        <v>4579</v>
      </c>
      <c r="F1148" s="24" t="s">
        <v>59</v>
      </c>
    </row>
    <row r="1149">
      <c r="A1149" s="24" t="s">
        <v>4580</v>
      </c>
      <c r="B1149" s="24" t="s">
        <v>4581</v>
      </c>
      <c r="C1149" s="24" t="s">
        <v>4582</v>
      </c>
      <c r="D1149" s="24" t="s">
        <v>264</v>
      </c>
      <c r="E1149" s="24" t="s">
        <v>4583</v>
      </c>
      <c r="F1149" s="24" t="s">
        <v>59</v>
      </c>
    </row>
    <row r="1150">
      <c r="A1150" s="24" t="s">
        <v>4584</v>
      </c>
      <c r="B1150" s="24" t="s">
        <v>4585</v>
      </c>
      <c r="C1150" s="24" t="s">
        <v>4586</v>
      </c>
      <c r="D1150" s="24" t="s">
        <v>124</v>
      </c>
      <c r="E1150" s="24" t="s">
        <v>4587</v>
      </c>
      <c r="F1150" s="24" t="s">
        <v>59</v>
      </c>
    </row>
    <row r="1151">
      <c r="A1151" s="24" t="s">
        <v>4588</v>
      </c>
      <c r="B1151" s="24" t="s">
        <v>4589</v>
      </c>
      <c r="C1151" s="24" t="s">
        <v>4590</v>
      </c>
      <c r="D1151" s="24" t="s">
        <v>124</v>
      </c>
      <c r="E1151" s="24" t="s">
        <v>4591</v>
      </c>
      <c r="F1151" s="24" t="s">
        <v>59</v>
      </c>
    </row>
    <row r="1152">
      <c r="A1152" s="24" t="s">
        <v>4592</v>
      </c>
      <c r="B1152" s="24" t="s">
        <v>4593</v>
      </c>
      <c r="C1152" s="24" t="s">
        <v>4594</v>
      </c>
      <c r="D1152" s="24" t="s">
        <v>124</v>
      </c>
      <c r="E1152" s="24" t="s">
        <v>4595</v>
      </c>
      <c r="F1152" s="24" t="s">
        <v>59</v>
      </c>
    </row>
    <row r="1153">
      <c r="A1153" s="24" t="s">
        <v>4596</v>
      </c>
      <c r="B1153" s="24" t="s">
        <v>4597</v>
      </c>
      <c r="C1153" s="24" t="s">
        <v>4598</v>
      </c>
      <c r="D1153" s="24" t="s">
        <v>124</v>
      </c>
      <c r="E1153" s="24" t="s">
        <v>4599</v>
      </c>
      <c r="F1153" s="24" t="s">
        <v>59</v>
      </c>
    </row>
    <row r="1154">
      <c r="A1154" s="24" t="s">
        <v>4600</v>
      </c>
      <c r="B1154" s="24" t="s">
        <v>4601</v>
      </c>
      <c r="C1154" s="24" t="s">
        <v>4602</v>
      </c>
      <c r="D1154" s="24" t="s">
        <v>129</v>
      </c>
      <c r="E1154" s="24" t="s">
        <v>4603</v>
      </c>
      <c r="F1154" s="24" t="s">
        <v>59</v>
      </c>
    </row>
    <row r="1155">
      <c r="A1155" s="24" t="s">
        <v>4604</v>
      </c>
      <c r="B1155" s="24" t="s">
        <v>4605</v>
      </c>
      <c r="C1155" s="24" t="s">
        <v>4606</v>
      </c>
      <c r="D1155" s="24" t="s">
        <v>129</v>
      </c>
      <c r="E1155" s="24" t="s">
        <v>4607</v>
      </c>
      <c r="F1155" s="24" t="s">
        <v>59</v>
      </c>
    </row>
    <row r="1156">
      <c r="A1156" s="24" t="s">
        <v>4608</v>
      </c>
      <c r="B1156" s="24" t="s">
        <v>4609</v>
      </c>
      <c r="C1156" s="24" t="s">
        <v>4610</v>
      </c>
      <c r="D1156" s="24" t="s">
        <v>129</v>
      </c>
      <c r="E1156" s="24" t="s">
        <v>4611</v>
      </c>
      <c r="F1156" s="24" t="s">
        <v>59</v>
      </c>
    </row>
    <row r="1157">
      <c r="A1157" s="24" t="s">
        <v>4612</v>
      </c>
      <c r="B1157" s="24" t="s">
        <v>4613</v>
      </c>
      <c r="C1157" s="24" t="s">
        <v>4614</v>
      </c>
      <c r="D1157" s="24" t="s">
        <v>124</v>
      </c>
      <c r="E1157" s="24" t="s">
        <v>4615</v>
      </c>
      <c r="F1157" s="24" t="s">
        <v>59</v>
      </c>
    </row>
    <row r="1158">
      <c r="A1158" s="24" t="s">
        <v>4616</v>
      </c>
      <c r="B1158" s="24" t="s">
        <v>4617</v>
      </c>
      <c r="C1158" s="24" t="s">
        <v>4618</v>
      </c>
      <c r="D1158" s="24" t="s">
        <v>124</v>
      </c>
      <c r="E1158" s="24" t="s">
        <v>4619</v>
      </c>
      <c r="F1158" s="24" t="s">
        <v>59</v>
      </c>
    </row>
    <row r="1159">
      <c r="A1159" s="24" t="s">
        <v>4620</v>
      </c>
      <c r="B1159" s="24" t="s">
        <v>4621</v>
      </c>
      <c r="C1159" s="24" t="s">
        <v>4622</v>
      </c>
      <c r="D1159" s="24" t="s">
        <v>124</v>
      </c>
      <c r="E1159" s="24" t="s">
        <v>4623</v>
      </c>
      <c r="F1159" s="24" t="s">
        <v>59</v>
      </c>
    </row>
    <row r="1160">
      <c r="A1160" s="24" t="s">
        <v>4624</v>
      </c>
      <c r="B1160" s="24" t="s">
        <v>4625</v>
      </c>
      <c r="C1160" s="24" t="s">
        <v>4626</v>
      </c>
      <c r="D1160" s="24" t="s">
        <v>124</v>
      </c>
      <c r="E1160" s="24" t="s">
        <v>4627</v>
      </c>
      <c r="F1160" s="24" t="s">
        <v>59</v>
      </c>
    </row>
    <row r="1161">
      <c r="A1161" s="24" t="s">
        <v>4628</v>
      </c>
      <c r="B1161" s="24" t="s">
        <v>4629</v>
      </c>
      <c r="C1161" s="24" t="s">
        <v>4630</v>
      </c>
      <c r="D1161" s="24" t="s">
        <v>124</v>
      </c>
      <c r="E1161" s="24" t="s">
        <v>4631</v>
      </c>
      <c r="F1161" s="24" t="s">
        <v>59</v>
      </c>
    </row>
    <row r="1162">
      <c r="A1162" s="24" t="s">
        <v>4632</v>
      </c>
      <c r="B1162" s="24" t="s">
        <v>4633</v>
      </c>
      <c r="C1162" s="24" t="s">
        <v>4634</v>
      </c>
      <c r="D1162" s="24" t="s">
        <v>129</v>
      </c>
      <c r="E1162" s="24" t="s">
        <v>4635</v>
      </c>
      <c r="F1162" s="24" t="s">
        <v>59</v>
      </c>
    </row>
    <row r="1163">
      <c r="A1163" s="24" t="s">
        <v>4636</v>
      </c>
      <c r="B1163" s="24" t="s">
        <v>4637</v>
      </c>
      <c r="C1163" s="24" t="s">
        <v>4638</v>
      </c>
      <c r="D1163" s="24" t="s">
        <v>124</v>
      </c>
      <c r="E1163" s="24" t="s">
        <v>4639</v>
      </c>
      <c r="F1163" s="24" t="s">
        <v>59</v>
      </c>
    </row>
    <row r="1164">
      <c r="A1164" s="24" t="s">
        <v>4640</v>
      </c>
      <c r="B1164" s="24" t="s">
        <v>4641</v>
      </c>
      <c r="C1164" s="24" t="s">
        <v>4642</v>
      </c>
      <c r="D1164" s="24" t="s">
        <v>129</v>
      </c>
      <c r="E1164" s="24" t="s">
        <v>4643</v>
      </c>
      <c r="F1164" s="24" t="s">
        <v>59</v>
      </c>
    </row>
    <row r="1165">
      <c r="A1165" s="24" t="s">
        <v>4644</v>
      </c>
      <c r="B1165" s="24" t="s">
        <v>4645</v>
      </c>
      <c r="C1165" s="24" t="s">
        <v>4646</v>
      </c>
      <c r="D1165" s="24" t="s">
        <v>264</v>
      </c>
      <c r="E1165" s="24" t="s">
        <v>4647</v>
      </c>
      <c r="F1165" s="24" t="s">
        <v>59</v>
      </c>
    </row>
    <row r="1166">
      <c r="A1166" s="24" t="s">
        <v>4648</v>
      </c>
      <c r="B1166" s="24" t="s">
        <v>4649</v>
      </c>
      <c r="C1166" s="24" t="s">
        <v>4650</v>
      </c>
      <c r="D1166" s="24" t="s">
        <v>264</v>
      </c>
      <c r="E1166" s="24" t="s">
        <v>4651</v>
      </c>
      <c r="F1166" s="24" t="s">
        <v>59</v>
      </c>
    </row>
    <row r="1167">
      <c r="A1167" s="24" t="s">
        <v>4652</v>
      </c>
      <c r="B1167" s="24" t="s">
        <v>4653</v>
      </c>
      <c r="C1167" s="24" t="s">
        <v>4654</v>
      </c>
      <c r="D1167" s="24" t="s">
        <v>129</v>
      </c>
      <c r="E1167" s="24" t="s">
        <v>4655</v>
      </c>
      <c r="F1167" s="24" t="s">
        <v>59</v>
      </c>
    </row>
    <row r="1168">
      <c r="A1168" s="24" t="s">
        <v>4656</v>
      </c>
      <c r="B1168" s="24" t="s">
        <v>4657</v>
      </c>
      <c r="C1168" s="24" t="s">
        <v>4658</v>
      </c>
      <c r="D1168" s="24" t="s">
        <v>124</v>
      </c>
      <c r="E1168" s="24" t="s">
        <v>4659</v>
      </c>
      <c r="F1168" s="24" t="s">
        <v>59</v>
      </c>
    </row>
    <row r="1169">
      <c r="A1169" s="24" t="s">
        <v>4660</v>
      </c>
      <c r="B1169" s="24" t="s">
        <v>4661</v>
      </c>
      <c r="C1169" s="24" t="s">
        <v>4662</v>
      </c>
      <c r="D1169" s="24" t="s">
        <v>124</v>
      </c>
      <c r="E1169" s="24" t="s">
        <v>4663</v>
      </c>
      <c r="F1169" s="24" t="s">
        <v>59</v>
      </c>
    </row>
    <row r="1170">
      <c r="A1170" s="24" t="s">
        <v>4664</v>
      </c>
      <c r="B1170" s="24" t="s">
        <v>4665</v>
      </c>
      <c r="C1170" s="24" t="s">
        <v>4666</v>
      </c>
      <c r="D1170" s="24" t="s">
        <v>124</v>
      </c>
      <c r="E1170" s="24" t="s">
        <v>4667</v>
      </c>
      <c r="F1170" s="24" t="s">
        <v>59</v>
      </c>
    </row>
    <row r="1171">
      <c r="A1171" s="24" t="s">
        <v>4668</v>
      </c>
      <c r="B1171" s="24" t="s">
        <v>4669</v>
      </c>
      <c r="C1171" s="24" t="s">
        <v>4670</v>
      </c>
      <c r="D1171" s="24" t="s">
        <v>124</v>
      </c>
      <c r="E1171" s="24" t="s">
        <v>4671</v>
      </c>
      <c r="F1171" s="24" t="s">
        <v>59</v>
      </c>
    </row>
    <row r="1172">
      <c r="A1172" s="24" t="s">
        <v>4672</v>
      </c>
      <c r="B1172" s="24" t="s">
        <v>4673</v>
      </c>
      <c r="C1172" s="24" t="s">
        <v>4674</v>
      </c>
      <c r="D1172" s="24" t="s">
        <v>129</v>
      </c>
      <c r="E1172" s="24" t="s">
        <v>4675</v>
      </c>
      <c r="F1172" s="24" t="s">
        <v>59</v>
      </c>
    </row>
    <row r="1173">
      <c r="A1173" s="24" t="s">
        <v>4676</v>
      </c>
      <c r="B1173" s="24" t="s">
        <v>4677</v>
      </c>
      <c r="C1173" s="24" t="s">
        <v>4678</v>
      </c>
      <c r="D1173" s="24" t="s">
        <v>124</v>
      </c>
      <c r="E1173" s="24" t="s">
        <v>4679</v>
      </c>
      <c r="F1173" s="24" t="s">
        <v>59</v>
      </c>
    </row>
    <row r="1174">
      <c r="A1174" s="24" t="s">
        <v>4680</v>
      </c>
      <c r="B1174" s="24" t="s">
        <v>4681</v>
      </c>
      <c r="C1174" s="24" t="s">
        <v>4682</v>
      </c>
      <c r="D1174" s="24" t="s">
        <v>124</v>
      </c>
      <c r="E1174" s="24" t="s">
        <v>4683</v>
      </c>
      <c r="F1174" s="24" t="s">
        <v>59</v>
      </c>
    </row>
    <row r="1175">
      <c r="A1175" s="24" t="s">
        <v>4684</v>
      </c>
      <c r="B1175" s="24" t="s">
        <v>4685</v>
      </c>
      <c r="C1175" s="24" t="s">
        <v>4686</v>
      </c>
      <c r="D1175" s="24" t="s">
        <v>124</v>
      </c>
      <c r="E1175" s="24" t="s">
        <v>4687</v>
      </c>
      <c r="F1175" s="24" t="s">
        <v>59</v>
      </c>
    </row>
    <row r="1176">
      <c r="A1176" s="24" t="s">
        <v>4688</v>
      </c>
      <c r="B1176" s="24" t="s">
        <v>4689</v>
      </c>
      <c r="C1176" s="24" t="s">
        <v>4690</v>
      </c>
      <c r="D1176" s="24" t="s">
        <v>124</v>
      </c>
      <c r="E1176" s="24" t="s">
        <v>4691</v>
      </c>
      <c r="F1176" s="24" t="s">
        <v>59</v>
      </c>
    </row>
    <row r="1177">
      <c r="A1177" s="24" t="s">
        <v>4692</v>
      </c>
      <c r="B1177" s="24" t="s">
        <v>4693</v>
      </c>
      <c r="C1177" s="24" t="s">
        <v>4694</v>
      </c>
      <c r="D1177" s="24" t="s">
        <v>129</v>
      </c>
      <c r="E1177" s="24" t="s">
        <v>4695</v>
      </c>
      <c r="F1177" s="24" t="s">
        <v>59</v>
      </c>
    </row>
    <row r="1178">
      <c r="A1178" s="24" t="s">
        <v>4696</v>
      </c>
      <c r="B1178" s="24" t="s">
        <v>4697</v>
      </c>
      <c r="C1178" s="24" t="s">
        <v>4698</v>
      </c>
      <c r="D1178" s="24" t="s">
        <v>124</v>
      </c>
      <c r="E1178" s="24" t="s">
        <v>4699</v>
      </c>
      <c r="F1178" s="24" t="s">
        <v>59</v>
      </c>
    </row>
    <row r="1179">
      <c r="A1179" s="24" t="s">
        <v>4700</v>
      </c>
      <c r="B1179" s="24" t="s">
        <v>4701</v>
      </c>
      <c r="C1179" s="24" t="s">
        <v>4702</v>
      </c>
      <c r="D1179" s="24" t="s">
        <v>129</v>
      </c>
      <c r="E1179" s="24" t="s">
        <v>4703</v>
      </c>
      <c r="F1179" s="24" t="s">
        <v>59</v>
      </c>
    </row>
    <row r="1180">
      <c r="A1180" s="24" t="s">
        <v>4704</v>
      </c>
      <c r="B1180" s="24" t="s">
        <v>4705</v>
      </c>
      <c r="C1180" s="24" t="s">
        <v>4706</v>
      </c>
      <c r="D1180" s="24" t="s">
        <v>124</v>
      </c>
      <c r="E1180" s="24" t="s">
        <v>4707</v>
      </c>
      <c r="F1180" s="24" t="s">
        <v>59</v>
      </c>
    </row>
    <row r="1181">
      <c r="A1181" s="24" t="s">
        <v>4708</v>
      </c>
      <c r="B1181" s="24" t="s">
        <v>4709</v>
      </c>
      <c r="C1181" s="24" t="s">
        <v>4710</v>
      </c>
      <c r="D1181" s="24" t="s">
        <v>129</v>
      </c>
      <c r="E1181" s="24" t="s">
        <v>4711</v>
      </c>
      <c r="F1181" s="24" t="s">
        <v>59</v>
      </c>
    </row>
    <row r="1182">
      <c r="A1182" s="24" t="s">
        <v>4712</v>
      </c>
      <c r="B1182" s="24" t="s">
        <v>4713</v>
      </c>
      <c r="C1182" s="24" t="s">
        <v>4714</v>
      </c>
      <c r="D1182" s="24" t="s">
        <v>129</v>
      </c>
      <c r="E1182" s="24" t="s">
        <v>4715</v>
      </c>
      <c r="F1182" s="24" t="s">
        <v>59</v>
      </c>
    </row>
    <row r="1183">
      <c r="A1183" s="24" t="s">
        <v>4716</v>
      </c>
      <c r="B1183" s="24" t="s">
        <v>4717</v>
      </c>
      <c r="C1183" s="24" t="s">
        <v>4718</v>
      </c>
      <c r="D1183" s="24" t="s">
        <v>129</v>
      </c>
      <c r="E1183" s="24" t="s">
        <v>4719</v>
      </c>
      <c r="F1183" s="24" t="s">
        <v>59</v>
      </c>
    </row>
    <row r="1184">
      <c r="A1184" s="24" t="s">
        <v>4720</v>
      </c>
      <c r="B1184" s="24" t="s">
        <v>4721</v>
      </c>
      <c r="C1184" s="24" t="s">
        <v>4722</v>
      </c>
      <c r="D1184" s="24" t="s">
        <v>264</v>
      </c>
      <c r="E1184" s="24" t="s">
        <v>4723</v>
      </c>
      <c r="F1184" s="24" t="s">
        <v>59</v>
      </c>
    </row>
    <row r="1185">
      <c r="A1185" s="24" t="s">
        <v>4724</v>
      </c>
      <c r="B1185" s="24" t="s">
        <v>4725</v>
      </c>
      <c r="C1185" s="24" t="s">
        <v>4726</v>
      </c>
      <c r="D1185" s="24" t="s">
        <v>124</v>
      </c>
      <c r="E1185" s="24" t="s">
        <v>4727</v>
      </c>
      <c r="F1185" s="24" t="s">
        <v>59</v>
      </c>
    </row>
    <row r="1186">
      <c r="A1186" s="24" t="s">
        <v>4728</v>
      </c>
      <c r="B1186" s="24" t="s">
        <v>4729</v>
      </c>
      <c r="C1186" s="24" t="s">
        <v>4730</v>
      </c>
      <c r="D1186" s="24" t="s">
        <v>129</v>
      </c>
      <c r="E1186" s="24" t="s">
        <v>4731</v>
      </c>
      <c r="F1186" s="24" t="s">
        <v>59</v>
      </c>
    </row>
    <row r="1187">
      <c r="A1187" s="24" t="s">
        <v>4732</v>
      </c>
      <c r="B1187" s="24" t="s">
        <v>4733</v>
      </c>
      <c r="C1187" s="24" t="s">
        <v>4734</v>
      </c>
      <c r="D1187" s="24" t="s">
        <v>124</v>
      </c>
      <c r="E1187" s="24" t="s">
        <v>4735</v>
      </c>
      <c r="F1187" s="24" t="s">
        <v>59</v>
      </c>
    </row>
    <row r="1188">
      <c r="A1188" s="24" t="s">
        <v>4736</v>
      </c>
      <c r="B1188" s="24" t="s">
        <v>4737</v>
      </c>
      <c r="C1188" s="24" t="s">
        <v>4738</v>
      </c>
      <c r="D1188" s="24" t="s">
        <v>124</v>
      </c>
      <c r="E1188" s="24" t="s">
        <v>4739</v>
      </c>
      <c r="F1188" s="24" t="s">
        <v>59</v>
      </c>
    </row>
    <row r="1189">
      <c r="A1189" s="24" t="s">
        <v>4740</v>
      </c>
      <c r="B1189" s="24" t="s">
        <v>4741</v>
      </c>
      <c r="C1189" s="24" t="s">
        <v>4742</v>
      </c>
      <c r="D1189" s="24" t="s">
        <v>129</v>
      </c>
      <c r="E1189" s="24" t="s">
        <v>4743</v>
      </c>
      <c r="F1189" s="24" t="s">
        <v>59</v>
      </c>
    </row>
    <row r="1190">
      <c r="A1190" s="24" t="s">
        <v>4744</v>
      </c>
      <c r="B1190" s="24" t="s">
        <v>4745</v>
      </c>
      <c r="C1190" s="24" t="s">
        <v>4746</v>
      </c>
      <c r="D1190" s="24" t="s">
        <v>124</v>
      </c>
      <c r="E1190" s="24" t="s">
        <v>4747</v>
      </c>
      <c r="F1190" s="24" t="s">
        <v>59</v>
      </c>
    </row>
    <row r="1191">
      <c r="A1191" s="24" t="s">
        <v>4748</v>
      </c>
      <c r="B1191" s="24" t="s">
        <v>4749</v>
      </c>
      <c r="C1191" s="24" t="s">
        <v>4750</v>
      </c>
      <c r="D1191" s="24" t="s">
        <v>124</v>
      </c>
      <c r="E1191" s="24" t="s">
        <v>4751</v>
      </c>
      <c r="F1191" s="24" t="s">
        <v>59</v>
      </c>
    </row>
    <row r="1192">
      <c r="A1192" s="24" t="s">
        <v>4752</v>
      </c>
      <c r="B1192" s="24" t="s">
        <v>4753</v>
      </c>
      <c r="C1192" s="24" t="s">
        <v>4754</v>
      </c>
      <c r="D1192" s="24" t="s">
        <v>124</v>
      </c>
      <c r="E1192" s="24" t="s">
        <v>4755</v>
      </c>
      <c r="F1192" s="24" t="s">
        <v>59</v>
      </c>
    </row>
    <row r="1193">
      <c r="A1193" s="24" t="s">
        <v>4756</v>
      </c>
      <c r="B1193" s="24" t="s">
        <v>4757</v>
      </c>
      <c r="C1193" s="24" t="s">
        <v>4758</v>
      </c>
      <c r="D1193" s="24" t="s">
        <v>124</v>
      </c>
      <c r="E1193" s="24" t="s">
        <v>4759</v>
      </c>
      <c r="F1193" s="24" t="s">
        <v>59</v>
      </c>
    </row>
    <row r="1194">
      <c r="A1194" s="24" t="s">
        <v>4760</v>
      </c>
      <c r="B1194" s="24" t="s">
        <v>4761</v>
      </c>
      <c r="C1194" s="24" t="s">
        <v>4762</v>
      </c>
      <c r="D1194" s="24" t="s">
        <v>129</v>
      </c>
      <c r="E1194" s="24" t="s">
        <v>4763</v>
      </c>
      <c r="F1194" s="24" t="s">
        <v>59</v>
      </c>
    </row>
    <row r="1195">
      <c r="A1195" s="24" t="s">
        <v>4764</v>
      </c>
      <c r="B1195" s="24" t="s">
        <v>4765</v>
      </c>
      <c r="C1195" s="24" t="s">
        <v>4766</v>
      </c>
      <c r="D1195" s="24" t="s">
        <v>129</v>
      </c>
      <c r="E1195" s="24" t="s">
        <v>4767</v>
      </c>
      <c r="F1195" s="24" t="s">
        <v>59</v>
      </c>
    </row>
    <row r="1196">
      <c r="A1196" s="24" t="s">
        <v>4768</v>
      </c>
      <c r="B1196" s="24" t="s">
        <v>4769</v>
      </c>
      <c r="C1196" s="24" t="s">
        <v>4770</v>
      </c>
      <c r="D1196" s="24" t="s">
        <v>129</v>
      </c>
      <c r="E1196" s="24" t="s">
        <v>4771</v>
      </c>
      <c r="F1196" s="24" t="s">
        <v>59</v>
      </c>
    </row>
    <row r="1197">
      <c r="A1197" s="24" t="s">
        <v>4772</v>
      </c>
      <c r="B1197" s="24" t="s">
        <v>4773</v>
      </c>
      <c r="C1197" s="24" t="s">
        <v>4774</v>
      </c>
      <c r="D1197" s="24" t="s">
        <v>129</v>
      </c>
      <c r="E1197" s="24" t="s">
        <v>4775</v>
      </c>
      <c r="F1197" s="24" t="s">
        <v>59</v>
      </c>
    </row>
    <row r="1198">
      <c r="A1198" s="24" t="s">
        <v>4776</v>
      </c>
      <c r="B1198" s="24" t="s">
        <v>4777</v>
      </c>
      <c r="C1198" s="24" t="s">
        <v>4778</v>
      </c>
      <c r="D1198" s="24" t="s">
        <v>129</v>
      </c>
      <c r="E1198" s="24" t="s">
        <v>4779</v>
      </c>
      <c r="F1198" s="24" t="s">
        <v>59</v>
      </c>
    </row>
    <row r="1199">
      <c r="A1199" s="24" t="s">
        <v>4780</v>
      </c>
      <c r="B1199" s="24" t="s">
        <v>4781</v>
      </c>
      <c r="C1199" s="24" t="s">
        <v>4782</v>
      </c>
      <c r="D1199" s="24" t="s">
        <v>124</v>
      </c>
      <c r="E1199" s="24" t="s">
        <v>4783</v>
      </c>
      <c r="F1199" s="24" t="s">
        <v>59</v>
      </c>
    </row>
    <row r="1200">
      <c r="A1200" s="24" t="s">
        <v>4784</v>
      </c>
      <c r="B1200" s="24" t="s">
        <v>4785</v>
      </c>
      <c r="C1200" s="24" t="s">
        <v>4786</v>
      </c>
      <c r="D1200" s="24" t="s">
        <v>129</v>
      </c>
      <c r="E1200" s="24" t="s">
        <v>4787</v>
      </c>
      <c r="F1200" s="24" t="s">
        <v>59</v>
      </c>
    </row>
    <row r="1201">
      <c r="A1201" s="24" t="s">
        <v>4788</v>
      </c>
      <c r="B1201" s="24" t="s">
        <v>4789</v>
      </c>
      <c r="C1201" s="24" t="s">
        <v>4790</v>
      </c>
      <c r="D1201" s="24" t="s">
        <v>124</v>
      </c>
      <c r="E1201" s="24" t="s">
        <v>4791</v>
      </c>
      <c r="F1201" s="24" t="s">
        <v>59</v>
      </c>
    </row>
    <row r="1202">
      <c r="A1202" s="24" t="s">
        <v>4792</v>
      </c>
      <c r="B1202" s="24" t="s">
        <v>4793</v>
      </c>
      <c r="C1202" s="24" t="s">
        <v>4794</v>
      </c>
      <c r="D1202" s="24" t="s">
        <v>129</v>
      </c>
      <c r="E1202" s="24" t="s">
        <v>4795</v>
      </c>
      <c r="F1202" s="24" t="s">
        <v>59</v>
      </c>
    </row>
    <row r="1203">
      <c r="A1203" s="24" t="s">
        <v>4796</v>
      </c>
      <c r="B1203" s="24" t="s">
        <v>4797</v>
      </c>
      <c r="C1203" s="24" t="s">
        <v>4798</v>
      </c>
      <c r="D1203" s="24" t="s">
        <v>124</v>
      </c>
      <c r="E1203" s="24" t="s">
        <v>4799</v>
      </c>
      <c r="F1203" s="24" t="s">
        <v>59</v>
      </c>
    </row>
    <row r="1204">
      <c r="A1204" s="24" t="s">
        <v>4800</v>
      </c>
      <c r="B1204" s="24" t="s">
        <v>4801</v>
      </c>
      <c r="C1204" s="24" t="s">
        <v>4802</v>
      </c>
      <c r="D1204" s="24" t="s">
        <v>124</v>
      </c>
      <c r="E1204" s="24" t="s">
        <v>4803</v>
      </c>
      <c r="F1204" s="24" t="s">
        <v>59</v>
      </c>
    </row>
    <row r="1205">
      <c r="A1205" s="24" t="s">
        <v>4804</v>
      </c>
      <c r="B1205" s="24" t="s">
        <v>4805</v>
      </c>
      <c r="C1205" s="24" t="s">
        <v>4806</v>
      </c>
      <c r="D1205" s="24" t="s">
        <v>124</v>
      </c>
      <c r="E1205" s="24" t="s">
        <v>4807</v>
      </c>
      <c r="F1205" s="24" t="s">
        <v>59</v>
      </c>
    </row>
    <row r="1206">
      <c r="A1206" s="24" t="s">
        <v>4808</v>
      </c>
      <c r="B1206" s="24" t="s">
        <v>4809</v>
      </c>
      <c r="C1206" s="24" t="s">
        <v>4810</v>
      </c>
      <c r="D1206" s="24" t="s">
        <v>124</v>
      </c>
      <c r="E1206" s="24" t="s">
        <v>4811</v>
      </c>
      <c r="F1206" s="24" t="s">
        <v>59</v>
      </c>
    </row>
    <row r="1207">
      <c r="A1207" s="24" t="s">
        <v>4812</v>
      </c>
      <c r="B1207" s="24" t="s">
        <v>4813</v>
      </c>
      <c r="C1207" s="24" t="s">
        <v>4814</v>
      </c>
      <c r="D1207" s="24" t="s">
        <v>124</v>
      </c>
      <c r="E1207" s="24" t="s">
        <v>4815</v>
      </c>
      <c r="F1207" s="24" t="s">
        <v>59</v>
      </c>
    </row>
    <row r="1208">
      <c r="A1208" s="24" t="s">
        <v>4816</v>
      </c>
      <c r="B1208" s="24" t="s">
        <v>4817</v>
      </c>
      <c r="C1208" s="24" t="s">
        <v>4818</v>
      </c>
      <c r="D1208" s="24" t="s">
        <v>129</v>
      </c>
      <c r="E1208" s="24" t="s">
        <v>4819</v>
      </c>
      <c r="F1208" s="24" t="s">
        <v>59</v>
      </c>
    </row>
    <row r="1209">
      <c r="A1209" s="24" t="s">
        <v>4820</v>
      </c>
      <c r="B1209" s="24" t="s">
        <v>4821</v>
      </c>
      <c r="C1209" s="24" t="s">
        <v>4822</v>
      </c>
      <c r="D1209" s="24" t="s">
        <v>124</v>
      </c>
      <c r="E1209" s="24" t="s">
        <v>4823</v>
      </c>
      <c r="F1209" s="24" t="s">
        <v>59</v>
      </c>
    </row>
    <row r="1210">
      <c r="A1210" s="24" t="s">
        <v>4824</v>
      </c>
      <c r="B1210" s="24" t="s">
        <v>4825</v>
      </c>
      <c r="C1210" s="24" t="s">
        <v>4826</v>
      </c>
      <c r="D1210" s="24" t="s">
        <v>124</v>
      </c>
      <c r="E1210" s="24" t="s">
        <v>4827</v>
      </c>
      <c r="F1210" s="24" t="s">
        <v>59</v>
      </c>
    </row>
    <row r="1211">
      <c r="A1211" s="24" t="s">
        <v>4828</v>
      </c>
      <c r="B1211" s="24" t="s">
        <v>4829</v>
      </c>
      <c r="C1211" s="24" t="s">
        <v>4830</v>
      </c>
      <c r="D1211" s="24" t="s">
        <v>129</v>
      </c>
      <c r="E1211" s="24" t="s">
        <v>4831</v>
      </c>
      <c r="F1211" s="24" t="s">
        <v>59</v>
      </c>
    </row>
    <row r="1212">
      <c r="A1212" s="24" t="s">
        <v>4832</v>
      </c>
      <c r="B1212" s="24" t="s">
        <v>4833</v>
      </c>
      <c r="C1212" s="24" t="s">
        <v>4834</v>
      </c>
      <c r="D1212" s="24" t="s">
        <v>124</v>
      </c>
      <c r="E1212" s="24" t="s">
        <v>4835</v>
      </c>
      <c r="F1212" s="24" t="s">
        <v>59</v>
      </c>
    </row>
    <row r="1213">
      <c r="A1213" s="24" t="s">
        <v>4836</v>
      </c>
      <c r="B1213" s="24" t="s">
        <v>4837</v>
      </c>
      <c r="C1213" s="24" t="s">
        <v>4838</v>
      </c>
      <c r="D1213" s="24" t="s">
        <v>124</v>
      </c>
      <c r="E1213" s="24" t="s">
        <v>4839</v>
      </c>
      <c r="F1213" s="24" t="s">
        <v>59</v>
      </c>
    </row>
    <row r="1214">
      <c r="A1214" s="24" t="s">
        <v>4840</v>
      </c>
      <c r="B1214" s="24" t="s">
        <v>4841</v>
      </c>
      <c r="C1214" s="24" t="s">
        <v>4842</v>
      </c>
      <c r="D1214" s="24" t="s">
        <v>124</v>
      </c>
      <c r="E1214" s="24" t="s">
        <v>4843</v>
      </c>
      <c r="F1214" s="24" t="s">
        <v>59</v>
      </c>
    </row>
    <row r="1215">
      <c r="A1215" s="24" t="s">
        <v>4844</v>
      </c>
      <c r="B1215" s="24" t="s">
        <v>4845</v>
      </c>
      <c r="C1215" s="24" t="s">
        <v>4846</v>
      </c>
      <c r="D1215" s="24" t="s">
        <v>129</v>
      </c>
      <c r="E1215" s="24" t="s">
        <v>4847</v>
      </c>
      <c r="F1215" s="24" t="s">
        <v>59</v>
      </c>
    </row>
    <row r="1216">
      <c r="A1216" s="24" t="s">
        <v>4848</v>
      </c>
      <c r="B1216" s="24" t="s">
        <v>4849</v>
      </c>
      <c r="C1216" s="24" t="s">
        <v>4850</v>
      </c>
      <c r="D1216" s="24" t="s">
        <v>129</v>
      </c>
      <c r="E1216" s="24" t="s">
        <v>4851</v>
      </c>
      <c r="F1216" s="24" t="s">
        <v>59</v>
      </c>
    </row>
    <row r="1217">
      <c r="A1217" s="24" t="s">
        <v>4852</v>
      </c>
      <c r="B1217" s="24" t="s">
        <v>4853</v>
      </c>
      <c r="C1217" s="24" t="s">
        <v>4854</v>
      </c>
      <c r="D1217" s="24" t="s">
        <v>124</v>
      </c>
      <c r="E1217" s="24" t="s">
        <v>4855</v>
      </c>
      <c r="F1217" s="24" t="s">
        <v>59</v>
      </c>
    </row>
    <row r="1218">
      <c r="A1218" s="24" t="s">
        <v>4856</v>
      </c>
      <c r="B1218" s="24" t="s">
        <v>4857</v>
      </c>
      <c r="C1218" s="24" t="s">
        <v>4858</v>
      </c>
      <c r="D1218" s="24" t="s">
        <v>129</v>
      </c>
      <c r="E1218" s="24" t="s">
        <v>4859</v>
      </c>
      <c r="F1218" s="24" t="s">
        <v>59</v>
      </c>
    </row>
    <row r="1219">
      <c r="A1219" s="24" t="s">
        <v>4860</v>
      </c>
      <c r="B1219" s="24" t="s">
        <v>4861</v>
      </c>
      <c r="C1219" s="24" t="s">
        <v>4862</v>
      </c>
      <c r="D1219" s="24" t="s">
        <v>129</v>
      </c>
      <c r="E1219" s="24" t="s">
        <v>4863</v>
      </c>
      <c r="F1219" s="24" t="s">
        <v>59</v>
      </c>
    </row>
    <row r="1220">
      <c r="A1220" s="24" t="s">
        <v>4864</v>
      </c>
      <c r="B1220" s="24" t="s">
        <v>4865</v>
      </c>
      <c r="C1220" s="24" t="s">
        <v>4866</v>
      </c>
      <c r="D1220" s="24" t="s">
        <v>124</v>
      </c>
      <c r="E1220" s="24" t="s">
        <v>4867</v>
      </c>
      <c r="F1220" s="24" t="s">
        <v>59</v>
      </c>
    </row>
    <row r="1221">
      <c r="A1221" s="24" t="s">
        <v>4868</v>
      </c>
      <c r="B1221" s="24" t="s">
        <v>4869</v>
      </c>
      <c r="C1221" s="24" t="s">
        <v>4870</v>
      </c>
      <c r="D1221" s="24" t="s">
        <v>124</v>
      </c>
      <c r="E1221" s="24" t="s">
        <v>4871</v>
      </c>
      <c r="F1221" s="24" t="s">
        <v>59</v>
      </c>
    </row>
    <row r="1222">
      <c r="A1222" s="24" t="s">
        <v>4872</v>
      </c>
      <c r="B1222" s="24" t="s">
        <v>4873</v>
      </c>
      <c r="C1222" s="24" t="s">
        <v>4874</v>
      </c>
      <c r="D1222" s="24" t="s">
        <v>124</v>
      </c>
      <c r="E1222" s="24" t="s">
        <v>4875</v>
      </c>
      <c r="F1222" s="24" t="s">
        <v>59</v>
      </c>
    </row>
    <row r="1223">
      <c r="A1223" s="24" t="s">
        <v>4876</v>
      </c>
      <c r="B1223" s="24" t="s">
        <v>4877</v>
      </c>
      <c r="C1223" s="24" t="s">
        <v>4878</v>
      </c>
      <c r="D1223" s="24" t="s">
        <v>124</v>
      </c>
      <c r="E1223" s="24" t="s">
        <v>4879</v>
      </c>
      <c r="F1223" s="24" t="s">
        <v>59</v>
      </c>
    </row>
    <row r="1224">
      <c r="A1224" s="24" t="s">
        <v>4880</v>
      </c>
      <c r="B1224" s="24" t="s">
        <v>4881</v>
      </c>
      <c r="C1224" s="24" t="s">
        <v>4882</v>
      </c>
      <c r="D1224" s="24" t="s">
        <v>124</v>
      </c>
      <c r="E1224" s="24" t="s">
        <v>4883</v>
      </c>
      <c r="F1224" s="24" t="s">
        <v>59</v>
      </c>
    </row>
    <row r="1225">
      <c r="A1225" s="24" t="s">
        <v>4884</v>
      </c>
      <c r="B1225" s="24" t="s">
        <v>4885</v>
      </c>
      <c r="C1225" s="24" t="s">
        <v>4886</v>
      </c>
      <c r="D1225" s="24" t="s">
        <v>129</v>
      </c>
      <c r="E1225" s="24" t="s">
        <v>4887</v>
      </c>
      <c r="F1225" s="24" t="s">
        <v>59</v>
      </c>
    </row>
    <row r="1226">
      <c r="A1226" s="24" t="s">
        <v>4888</v>
      </c>
      <c r="B1226" s="24" t="s">
        <v>4889</v>
      </c>
      <c r="C1226" s="24" t="s">
        <v>4890</v>
      </c>
      <c r="D1226" s="24" t="s">
        <v>129</v>
      </c>
      <c r="E1226" s="24" t="s">
        <v>4891</v>
      </c>
      <c r="F1226" s="24" t="s">
        <v>59</v>
      </c>
    </row>
    <row r="1227">
      <c r="A1227" s="24" t="s">
        <v>4892</v>
      </c>
      <c r="B1227" s="24" t="s">
        <v>4893</v>
      </c>
      <c r="C1227" s="24" t="s">
        <v>4894</v>
      </c>
      <c r="D1227" s="24" t="s">
        <v>129</v>
      </c>
      <c r="E1227" s="24" t="s">
        <v>4895</v>
      </c>
      <c r="F1227" s="24" t="s">
        <v>59</v>
      </c>
    </row>
    <row r="1228">
      <c r="A1228" s="24" t="s">
        <v>4896</v>
      </c>
      <c r="B1228" s="24" t="s">
        <v>4897</v>
      </c>
      <c r="C1228" s="24" t="s">
        <v>4898</v>
      </c>
      <c r="D1228" s="24" t="s">
        <v>124</v>
      </c>
      <c r="E1228" s="24" t="s">
        <v>4899</v>
      </c>
      <c r="F1228" s="24" t="s">
        <v>59</v>
      </c>
    </row>
    <row r="1229">
      <c r="A1229" s="24" t="s">
        <v>4900</v>
      </c>
      <c r="B1229" s="24" t="s">
        <v>4901</v>
      </c>
      <c r="C1229" s="24" t="s">
        <v>4902</v>
      </c>
      <c r="D1229" s="24" t="s">
        <v>124</v>
      </c>
      <c r="E1229" s="24" t="s">
        <v>4903</v>
      </c>
      <c r="F1229" s="24" t="s">
        <v>59</v>
      </c>
    </row>
    <row r="1230">
      <c r="A1230" s="24" t="s">
        <v>4904</v>
      </c>
      <c r="B1230" s="24" t="s">
        <v>4905</v>
      </c>
      <c r="C1230" s="24" t="s">
        <v>4906</v>
      </c>
      <c r="D1230" s="24" t="s">
        <v>264</v>
      </c>
      <c r="E1230" s="24" t="s">
        <v>4907</v>
      </c>
      <c r="F1230" s="24" t="s">
        <v>59</v>
      </c>
    </row>
    <row r="1231">
      <c r="A1231" s="24" t="s">
        <v>4908</v>
      </c>
      <c r="B1231" s="24" t="s">
        <v>4909</v>
      </c>
      <c r="C1231" s="24" t="s">
        <v>4910</v>
      </c>
      <c r="D1231" s="24" t="s">
        <v>124</v>
      </c>
      <c r="E1231" s="24" t="s">
        <v>4911</v>
      </c>
      <c r="F1231" s="24" t="s">
        <v>59</v>
      </c>
    </row>
    <row r="1232">
      <c r="A1232" s="24" t="s">
        <v>4912</v>
      </c>
      <c r="B1232" s="24" t="s">
        <v>4913</v>
      </c>
      <c r="C1232" s="24" t="s">
        <v>4914</v>
      </c>
      <c r="D1232" s="24" t="s">
        <v>124</v>
      </c>
      <c r="E1232" s="24" t="s">
        <v>4915</v>
      </c>
      <c r="F1232" s="24" t="s">
        <v>59</v>
      </c>
    </row>
    <row r="1233">
      <c r="A1233" s="24" t="s">
        <v>4916</v>
      </c>
      <c r="B1233" s="24" t="s">
        <v>4917</v>
      </c>
      <c r="C1233" s="24" t="s">
        <v>4918</v>
      </c>
      <c r="D1233" s="24" t="s">
        <v>264</v>
      </c>
      <c r="E1233" s="24" t="s">
        <v>4919</v>
      </c>
      <c r="F1233" s="24" t="s">
        <v>59</v>
      </c>
    </row>
    <row r="1234">
      <c r="A1234" s="24" t="s">
        <v>4920</v>
      </c>
      <c r="B1234" s="24" t="s">
        <v>4921</v>
      </c>
      <c r="C1234" s="24" t="s">
        <v>4922</v>
      </c>
      <c r="D1234" s="24" t="s">
        <v>124</v>
      </c>
      <c r="E1234" s="24" t="s">
        <v>4923</v>
      </c>
      <c r="F1234" s="24" t="s">
        <v>59</v>
      </c>
    </row>
    <row r="1235">
      <c r="A1235" s="24" t="s">
        <v>4924</v>
      </c>
      <c r="B1235" s="24" t="s">
        <v>4925</v>
      </c>
      <c r="C1235" s="24" t="s">
        <v>4926</v>
      </c>
      <c r="D1235" s="24" t="s">
        <v>129</v>
      </c>
      <c r="E1235" s="24" t="s">
        <v>4927</v>
      </c>
      <c r="F1235" s="24" t="s">
        <v>59</v>
      </c>
    </row>
    <row r="1236">
      <c r="A1236" s="24" t="s">
        <v>4928</v>
      </c>
      <c r="B1236" s="24" t="s">
        <v>4929</v>
      </c>
      <c r="C1236" s="24" t="s">
        <v>4930</v>
      </c>
      <c r="D1236" s="24" t="s">
        <v>124</v>
      </c>
      <c r="E1236" s="24" t="s">
        <v>4931</v>
      </c>
      <c r="F1236" s="24" t="s">
        <v>59</v>
      </c>
    </row>
    <row r="1237">
      <c r="A1237" s="24" t="s">
        <v>4932</v>
      </c>
      <c r="B1237" s="24" t="s">
        <v>4933</v>
      </c>
      <c r="C1237" s="24" t="s">
        <v>4934</v>
      </c>
      <c r="D1237" s="24" t="s">
        <v>124</v>
      </c>
      <c r="E1237" s="24" t="s">
        <v>4935</v>
      </c>
      <c r="F1237" s="24" t="s">
        <v>59</v>
      </c>
    </row>
    <row r="1238">
      <c r="A1238" s="24" t="s">
        <v>4936</v>
      </c>
      <c r="B1238" s="24" t="s">
        <v>4937</v>
      </c>
      <c r="C1238" s="24" t="s">
        <v>4938</v>
      </c>
      <c r="D1238" s="24" t="s">
        <v>124</v>
      </c>
      <c r="E1238" s="24" t="s">
        <v>4939</v>
      </c>
      <c r="F1238" s="24" t="s">
        <v>59</v>
      </c>
    </row>
    <row r="1239">
      <c r="A1239" s="24" t="s">
        <v>4940</v>
      </c>
      <c r="B1239" s="24" t="s">
        <v>4941</v>
      </c>
      <c r="C1239" s="24" t="s">
        <v>4942</v>
      </c>
      <c r="D1239" s="24" t="s">
        <v>124</v>
      </c>
      <c r="E1239" s="24" t="s">
        <v>4943</v>
      </c>
      <c r="F1239" s="24" t="s">
        <v>59</v>
      </c>
    </row>
    <row r="1240">
      <c r="A1240" s="24" t="s">
        <v>4944</v>
      </c>
      <c r="B1240" s="24" t="s">
        <v>4945</v>
      </c>
      <c r="C1240" s="24" t="s">
        <v>4946</v>
      </c>
      <c r="D1240" s="24" t="s">
        <v>124</v>
      </c>
      <c r="E1240" s="24" t="s">
        <v>4947</v>
      </c>
      <c r="F1240" s="24" t="s">
        <v>59</v>
      </c>
    </row>
    <row r="1241">
      <c r="A1241" s="24" t="s">
        <v>4948</v>
      </c>
      <c r="B1241" s="24" t="s">
        <v>4949</v>
      </c>
      <c r="C1241" s="24" t="s">
        <v>4950</v>
      </c>
      <c r="D1241" s="24" t="s">
        <v>129</v>
      </c>
      <c r="E1241" s="24" t="s">
        <v>4951</v>
      </c>
      <c r="F1241" s="24" t="s">
        <v>59</v>
      </c>
    </row>
    <row r="1242">
      <c r="A1242" s="24" t="s">
        <v>4952</v>
      </c>
      <c r="B1242" s="24" t="s">
        <v>4953</v>
      </c>
      <c r="C1242" s="24" t="s">
        <v>4954</v>
      </c>
      <c r="D1242" s="24" t="s">
        <v>124</v>
      </c>
      <c r="E1242" s="24" t="s">
        <v>4955</v>
      </c>
      <c r="F1242" s="24" t="s">
        <v>59</v>
      </c>
    </row>
    <row r="1243">
      <c r="A1243" s="24" t="s">
        <v>4956</v>
      </c>
      <c r="B1243" s="24" t="s">
        <v>4957</v>
      </c>
      <c r="C1243" s="24" t="s">
        <v>4958</v>
      </c>
      <c r="D1243" s="24" t="s">
        <v>129</v>
      </c>
      <c r="E1243" s="24" t="s">
        <v>4959</v>
      </c>
      <c r="F1243" s="24" t="s">
        <v>59</v>
      </c>
    </row>
    <row r="1244">
      <c r="A1244" s="24" t="s">
        <v>4960</v>
      </c>
      <c r="B1244" s="24" t="s">
        <v>4961</v>
      </c>
      <c r="C1244" s="24" t="s">
        <v>4962</v>
      </c>
      <c r="D1244" s="24" t="s">
        <v>124</v>
      </c>
      <c r="E1244" s="24" t="s">
        <v>4963</v>
      </c>
      <c r="F1244" s="24" t="s">
        <v>59</v>
      </c>
    </row>
    <row r="1245">
      <c r="A1245" s="24" t="s">
        <v>4964</v>
      </c>
      <c r="B1245" s="24" t="s">
        <v>4965</v>
      </c>
      <c r="C1245" s="24" t="s">
        <v>4966</v>
      </c>
      <c r="D1245" s="24" t="s">
        <v>124</v>
      </c>
      <c r="E1245" s="24" t="s">
        <v>4967</v>
      </c>
      <c r="F1245" s="24" t="s">
        <v>59</v>
      </c>
    </row>
    <row r="1246">
      <c r="A1246" s="24" t="s">
        <v>4968</v>
      </c>
      <c r="B1246" s="24" t="s">
        <v>4969</v>
      </c>
      <c r="C1246" s="24" t="s">
        <v>4970</v>
      </c>
      <c r="D1246" s="24" t="s">
        <v>124</v>
      </c>
      <c r="E1246" s="24" t="s">
        <v>4971</v>
      </c>
      <c r="F1246" s="24" t="s">
        <v>59</v>
      </c>
    </row>
    <row r="1247">
      <c r="A1247" s="24" t="s">
        <v>4972</v>
      </c>
      <c r="B1247" s="24" t="s">
        <v>4973</v>
      </c>
      <c r="C1247" s="24" t="s">
        <v>4974</v>
      </c>
      <c r="D1247" s="24" t="s">
        <v>124</v>
      </c>
      <c r="E1247" s="24" t="s">
        <v>4975</v>
      </c>
      <c r="F1247" s="24" t="s">
        <v>59</v>
      </c>
    </row>
    <row r="1248">
      <c r="A1248" s="24" t="s">
        <v>4976</v>
      </c>
      <c r="B1248" s="24" t="s">
        <v>4977</v>
      </c>
      <c r="C1248" s="24" t="s">
        <v>4978</v>
      </c>
      <c r="D1248" s="24" t="s">
        <v>124</v>
      </c>
      <c r="E1248" s="24" t="s">
        <v>4979</v>
      </c>
      <c r="F1248" s="24" t="s">
        <v>59</v>
      </c>
    </row>
    <row r="1249">
      <c r="A1249" s="24" t="s">
        <v>4980</v>
      </c>
      <c r="B1249" s="24" t="s">
        <v>4981</v>
      </c>
      <c r="C1249" s="24" t="s">
        <v>4982</v>
      </c>
      <c r="D1249" s="24" t="s">
        <v>264</v>
      </c>
      <c r="E1249" s="24" t="s">
        <v>4983</v>
      </c>
      <c r="F1249" s="24" t="s">
        <v>59</v>
      </c>
    </row>
    <row r="1250">
      <c r="A1250" s="24" t="s">
        <v>4984</v>
      </c>
      <c r="B1250" s="24" t="s">
        <v>4985</v>
      </c>
      <c r="C1250" s="24" t="s">
        <v>4986</v>
      </c>
      <c r="D1250" s="24" t="s">
        <v>129</v>
      </c>
      <c r="E1250" s="24" t="s">
        <v>4987</v>
      </c>
      <c r="F1250" s="24" t="s">
        <v>59</v>
      </c>
    </row>
    <row r="1251">
      <c r="A1251" s="24" t="s">
        <v>4988</v>
      </c>
      <c r="B1251" s="24" t="s">
        <v>4989</v>
      </c>
      <c r="C1251" s="24" t="s">
        <v>4990</v>
      </c>
      <c r="D1251" s="24" t="s">
        <v>124</v>
      </c>
      <c r="E1251" s="24" t="s">
        <v>4991</v>
      </c>
      <c r="F1251" s="24" t="s">
        <v>59</v>
      </c>
    </row>
    <row r="1252">
      <c r="A1252" s="24" t="s">
        <v>4992</v>
      </c>
      <c r="B1252" s="24" t="s">
        <v>4993</v>
      </c>
      <c r="C1252" s="24" t="s">
        <v>4994</v>
      </c>
      <c r="D1252" s="24" t="s">
        <v>124</v>
      </c>
      <c r="E1252" s="24" t="s">
        <v>4995</v>
      </c>
      <c r="F1252" s="24" t="s">
        <v>59</v>
      </c>
    </row>
    <row r="1253">
      <c r="A1253" s="24" t="s">
        <v>4996</v>
      </c>
      <c r="B1253" s="24" t="s">
        <v>4997</v>
      </c>
      <c r="C1253" s="24" t="s">
        <v>4998</v>
      </c>
      <c r="D1253" s="24" t="s">
        <v>124</v>
      </c>
      <c r="E1253" s="24" t="s">
        <v>4999</v>
      </c>
      <c r="F1253" s="24" t="s">
        <v>59</v>
      </c>
    </row>
    <row r="1254">
      <c r="A1254" s="24" t="s">
        <v>5000</v>
      </c>
      <c r="B1254" s="24" t="s">
        <v>5001</v>
      </c>
      <c r="C1254" s="24" t="s">
        <v>5002</v>
      </c>
      <c r="D1254" s="24" t="s">
        <v>124</v>
      </c>
      <c r="E1254" s="24" t="s">
        <v>5003</v>
      </c>
      <c r="F1254" s="24" t="s">
        <v>59</v>
      </c>
    </row>
    <row r="1255">
      <c r="A1255" s="24" t="s">
        <v>5004</v>
      </c>
      <c r="B1255" s="24" t="s">
        <v>5005</v>
      </c>
      <c r="C1255" s="24" t="s">
        <v>5006</v>
      </c>
      <c r="D1255" s="24" t="s">
        <v>129</v>
      </c>
      <c r="E1255" s="24" t="s">
        <v>5007</v>
      </c>
      <c r="F1255" s="24" t="s">
        <v>59</v>
      </c>
    </row>
    <row r="1256">
      <c r="A1256" s="24" t="s">
        <v>5008</v>
      </c>
      <c r="B1256" s="24" t="s">
        <v>5009</v>
      </c>
      <c r="C1256" s="24" t="s">
        <v>5010</v>
      </c>
      <c r="D1256" s="24" t="s">
        <v>124</v>
      </c>
      <c r="E1256" s="24" t="s">
        <v>5011</v>
      </c>
      <c r="F1256" s="24" t="s">
        <v>59</v>
      </c>
    </row>
    <row r="1257">
      <c r="A1257" s="24" t="s">
        <v>5012</v>
      </c>
      <c r="B1257" s="24" t="s">
        <v>5013</v>
      </c>
      <c r="C1257" s="24" t="s">
        <v>5014</v>
      </c>
      <c r="D1257" s="24" t="s">
        <v>124</v>
      </c>
      <c r="E1257" s="24" t="s">
        <v>5015</v>
      </c>
      <c r="F1257" s="24" t="s">
        <v>59</v>
      </c>
    </row>
    <row r="1258">
      <c r="A1258" s="24" t="s">
        <v>5016</v>
      </c>
      <c r="B1258" s="24" t="s">
        <v>5017</v>
      </c>
      <c r="C1258" s="24" t="s">
        <v>5018</v>
      </c>
      <c r="D1258" s="24" t="s">
        <v>124</v>
      </c>
      <c r="E1258" s="24" t="s">
        <v>5019</v>
      </c>
      <c r="F1258" s="24" t="s">
        <v>59</v>
      </c>
    </row>
    <row r="1259">
      <c r="A1259" s="24" t="s">
        <v>5020</v>
      </c>
      <c r="B1259" s="24" t="s">
        <v>5021</v>
      </c>
      <c r="C1259" s="24" t="s">
        <v>5022</v>
      </c>
      <c r="D1259" s="24" t="s">
        <v>124</v>
      </c>
      <c r="E1259" s="24" t="s">
        <v>5023</v>
      </c>
      <c r="F1259" s="24" t="s">
        <v>59</v>
      </c>
    </row>
    <row r="1260">
      <c r="A1260" s="24" t="s">
        <v>5024</v>
      </c>
      <c r="B1260" s="24" t="s">
        <v>5025</v>
      </c>
      <c r="C1260" s="24" t="s">
        <v>5026</v>
      </c>
      <c r="D1260" s="24" t="s">
        <v>124</v>
      </c>
      <c r="E1260" s="24" t="s">
        <v>5027</v>
      </c>
      <c r="F1260" s="24" t="s">
        <v>59</v>
      </c>
    </row>
    <row r="1261">
      <c r="A1261" s="24" t="s">
        <v>5028</v>
      </c>
      <c r="B1261" s="24" t="s">
        <v>5029</v>
      </c>
      <c r="C1261" s="24" t="s">
        <v>5030</v>
      </c>
      <c r="D1261" s="24" t="s">
        <v>124</v>
      </c>
      <c r="E1261" s="24" t="s">
        <v>5031</v>
      </c>
      <c r="F1261" s="24" t="s">
        <v>59</v>
      </c>
    </row>
    <row r="1262">
      <c r="A1262" s="24" t="s">
        <v>5032</v>
      </c>
      <c r="B1262" s="24" t="s">
        <v>5033</v>
      </c>
      <c r="C1262" s="24" t="s">
        <v>5034</v>
      </c>
      <c r="D1262" s="24" t="s">
        <v>124</v>
      </c>
      <c r="E1262" s="24" t="s">
        <v>5035</v>
      </c>
      <c r="F1262" s="24" t="s">
        <v>59</v>
      </c>
    </row>
    <row r="1263">
      <c r="A1263" s="24" t="s">
        <v>5036</v>
      </c>
      <c r="B1263" s="24" t="s">
        <v>5037</v>
      </c>
      <c r="C1263" s="24" t="s">
        <v>5038</v>
      </c>
      <c r="D1263" s="24" t="s">
        <v>129</v>
      </c>
      <c r="E1263" s="24" t="s">
        <v>5039</v>
      </c>
      <c r="F1263" s="24" t="s">
        <v>59</v>
      </c>
    </row>
    <row r="1264">
      <c r="A1264" s="24" t="s">
        <v>5040</v>
      </c>
      <c r="B1264" s="24" t="s">
        <v>5041</v>
      </c>
      <c r="C1264" s="24" t="s">
        <v>5042</v>
      </c>
      <c r="D1264" s="24" t="s">
        <v>129</v>
      </c>
      <c r="E1264" s="24" t="s">
        <v>5043</v>
      </c>
      <c r="F1264" s="24" t="s">
        <v>59</v>
      </c>
    </row>
    <row r="1265">
      <c r="A1265" s="24" t="s">
        <v>5044</v>
      </c>
      <c r="B1265" s="24" t="s">
        <v>5045</v>
      </c>
      <c r="C1265" s="24" t="s">
        <v>5046</v>
      </c>
      <c r="D1265" s="24" t="s">
        <v>124</v>
      </c>
      <c r="E1265" s="24" t="s">
        <v>5047</v>
      </c>
      <c r="F1265" s="24" t="s">
        <v>59</v>
      </c>
    </row>
    <row r="1266">
      <c r="A1266" s="24" t="s">
        <v>5048</v>
      </c>
      <c r="B1266" s="24" t="s">
        <v>5049</v>
      </c>
      <c r="C1266" s="24" t="s">
        <v>5050</v>
      </c>
      <c r="D1266" s="24" t="s">
        <v>124</v>
      </c>
      <c r="E1266" s="24" t="s">
        <v>5051</v>
      </c>
      <c r="F1266" s="24" t="s">
        <v>59</v>
      </c>
    </row>
    <row r="1267">
      <c r="A1267" s="24" t="s">
        <v>5052</v>
      </c>
      <c r="B1267" s="24" t="s">
        <v>5053</v>
      </c>
      <c r="C1267" s="24" t="s">
        <v>5054</v>
      </c>
      <c r="D1267" s="24" t="s">
        <v>124</v>
      </c>
      <c r="E1267" s="24" t="s">
        <v>5055</v>
      </c>
      <c r="F1267" s="24" t="s">
        <v>59</v>
      </c>
    </row>
    <row r="1268">
      <c r="A1268" s="24" t="s">
        <v>5056</v>
      </c>
      <c r="B1268" s="24" t="s">
        <v>5057</v>
      </c>
      <c r="C1268" s="24" t="s">
        <v>5058</v>
      </c>
      <c r="D1268" s="24" t="s">
        <v>129</v>
      </c>
      <c r="E1268" s="24" t="s">
        <v>5059</v>
      </c>
      <c r="F1268" s="24" t="s">
        <v>59</v>
      </c>
    </row>
    <row r="1269">
      <c r="A1269" s="24" t="s">
        <v>5060</v>
      </c>
      <c r="B1269" s="24" t="s">
        <v>5061</v>
      </c>
      <c r="C1269" s="24" t="s">
        <v>5062</v>
      </c>
      <c r="D1269" s="24" t="s">
        <v>124</v>
      </c>
      <c r="E1269" s="24" t="s">
        <v>5063</v>
      </c>
      <c r="F1269" s="24" t="s">
        <v>59</v>
      </c>
    </row>
    <row r="1270">
      <c r="A1270" s="24" t="s">
        <v>5064</v>
      </c>
      <c r="B1270" s="24" t="s">
        <v>5065</v>
      </c>
      <c r="C1270" s="24" t="s">
        <v>5066</v>
      </c>
      <c r="D1270" s="24" t="s">
        <v>129</v>
      </c>
      <c r="E1270" s="24" t="s">
        <v>5067</v>
      </c>
      <c r="F1270" s="24" t="s">
        <v>59</v>
      </c>
    </row>
    <row r="1271">
      <c r="A1271" s="24" t="s">
        <v>5068</v>
      </c>
      <c r="B1271" s="24" t="s">
        <v>5069</v>
      </c>
      <c r="C1271" s="24" t="s">
        <v>5070</v>
      </c>
      <c r="D1271" s="24" t="s">
        <v>124</v>
      </c>
      <c r="E1271" s="24" t="s">
        <v>5071</v>
      </c>
      <c r="F1271" s="24" t="s">
        <v>59</v>
      </c>
    </row>
    <row r="1272">
      <c r="A1272" s="24" t="s">
        <v>5072</v>
      </c>
      <c r="B1272" s="24" t="s">
        <v>5073</v>
      </c>
      <c r="C1272" s="24" t="s">
        <v>5074</v>
      </c>
      <c r="D1272" s="24" t="s">
        <v>124</v>
      </c>
      <c r="E1272" s="24" t="s">
        <v>5075</v>
      </c>
      <c r="F1272" s="24" t="s">
        <v>59</v>
      </c>
    </row>
    <row r="1273">
      <c r="A1273" s="24" t="s">
        <v>5076</v>
      </c>
      <c r="B1273" s="24" t="s">
        <v>5077</v>
      </c>
      <c r="C1273" s="24" t="s">
        <v>5078</v>
      </c>
      <c r="D1273" s="24" t="s">
        <v>129</v>
      </c>
      <c r="E1273" s="24" t="s">
        <v>5079</v>
      </c>
      <c r="F1273" s="24" t="s">
        <v>59</v>
      </c>
    </row>
    <row r="1274">
      <c r="A1274" s="24" t="s">
        <v>5080</v>
      </c>
      <c r="B1274" s="24" t="s">
        <v>5081</v>
      </c>
      <c r="C1274" s="24" t="s">
        <v>5082</v>
      </c>
      <c r="D1274" s="24" t="s">
        <v>124</v>
      </c>
      <c r="E1274" s="24" t="s">
        <v>5083</v>
      </c>
      <c r="F1274" s="24" t="s">
        <v>59</v>
      </c>
    </row>
    <row r="1275">
      <c r="A1275" s="24" t="s">
        <v>5084</v>
      </c>
      <c r="B1275" s="24" t="s">
        <v>5085</v>
      </c>
      <c r="C1275" s="24" t="s">
        <v>5086</v>
      </c>
      <c r="D1275" s="24" t="s">
        <v>124</v>
      </c>
      <c r="E1275" s="24" t="s">
        <v>5087</v>
      </c>
      <c r="F1275" s="24" t="s">
        <v>59</v>
      </c>
    </row>
    <row r="1276">
      <c r="A1276" s="24" t="s">
        <v>5088</v>
      </c>
      <c r="B1276" s="24" t="s">
        <v>5089</v>
      </c>
      <c r="C1276" s="24" t="s">
        <v>5090</v>
      </c>
      <c r="D1276" s="24" t="s">
        <v>124</v>
      </c>
      <c r="E1276" s="24" t="s">
        <v>5091</v>
      </c>
      <c r="F1276" s="24" t="s">
        <v>59</v>
      </c>
    </row>
    <row r="1277">
      <c r="A1277" s="24" t="s">
        <v>5092</v>
      </c>
      <c r="B1277" s="24" t="s">
        <v>5093</v>
      </c>
      <c r="C1277" s="24" t="s">
        <v>5094</v>
      </c>
      <c r="D1277" s="24" t="s">
        <v>124</v>
      </c>
      <c r="E1277" s="24" t="s">
        <v>5095</v>
      </c>
      <c r="F1277" s="24" t="s">
        <v>59</v>
      </c>
    </row>
    <row r="1278">
      <c r="A1278" s="24" t="s">
        <v>5096</v>
      </c>
      <c r="B1278" s="24" t="s">
        <v>5097</v>
      </c>
      <c r="C1278" s="24" t="s">
        <v>5098</v>
      </c>
      <c r="D1278" s="24" t="s">
        <v>129</v>
      </c>
      <c r="E1278" s="24" t="s">
        <v>5099</v>
      </c>
      <c r="F1278" s="24" t="s">
        <v>59</v>
      </c>
    </row>
    <row r="1279">
      <c r="A1279" s="24" t="s">
        <v>5100</v>
      </c>
      <c r="B1279" s="24" t="s">
        <v>5101</v>
      </c>
      <c r="C1279" s="24" t="s">
        <v>5102</v>
      </c>
      <c r="D1279" s="24" t="s">
        <v>124</v>
      </c>
      <c r="E1279" s="24" t="s">
        <v>5103</v>
      </c>
      <c r="F1279" s="24" t="s">
        <v>59</v>
      </c>
    </row>
    <row r="1280">
      <c r="A1280" s="24" t="s">
        <v>5104</v>
      </c>
      <c r="B1280" s="24" t="s">
        <v>5105</v>
      </c>
      <c r="C1280" s="24" t="s">
        <v>5106</v>
      </c>
      <c r="D1280" s="24" t="s">
        <v>124</v>
      </c>
      <c r="E1280" s="24" t="s">
        <v>5107</v>
      </c>
      <c r="F1280" s="24" t="s">
        <v>59</v>
      </c>
    </row>
    <row r="1281">
      <c r="A1281" s="24" t="s">
        <v>5108</v>
      </c>
      <c r="B1281" s="24" t="s">
        <v>5109</v>
      </c>
      <c r="C1281" s="24" t="s">
        <v>5110</v>
      </c>
      <c r="D1281" s="24" t="s">
        <v>264</v>
      </c>
      <c r="E1281" s="24" t="s">
        <v>5111</v>
      </c>
      <c r="F1281" s="24" t="s">
        <v>59</v>
      </c>
    </row>
    <row r="1282">
      <c r="A1282" s="24" t="s">
        <v>5112</v>
      </c>
      <c r="B1282" s="24" t="s">
        <v>5113</v>
      </c>
      <c r="C1282" s="24" t="s">
        <v>5114</v>
      </c>
      <c r="D1282" s="24" t="s">
        <v>124</v>
      </c>
      <c r="E1282" s="24" t="s">
        <v>5115</v>
      </c>
      <c r="F1282" s="24" t="s">
        <v>59</v>
      </c>
    </row>
    <row r="1283">
      <c r="A1283" s="24" t="s">
        <v>5116</v>
      </c>
      <c r="B1283" s="24" t="s">
        <v>5117</v>
      </c>
      <c r="C1283" s="24" t="s">
        <v>5118</v>
      </c>
      <c r="D1283" s="24" t="s">
        <v>129</v>
      </c>
      <c r="E1283" s="24" t="s">
        <v>5119</v>
      </c>
      <c r="F1283" s="24" t="s">
        <v>59</v>
      </c>
    </row>
    <row r="1284">
      <c r="A1284" s="24" t="s">
        <v>5120</v>
      </c>
      <c r="B1284" s="24" t="s">
        <v>5121</v>
      </c>
      <c r="C1284" s="24" t="s">
        <v>5122</v>
      </c>
      <c r="D1284" s="24" t="s">
        <v>129</v>
      </c>
      <c r="E1284" s="24" t="s">
        <v>5123</v>
      </c>
      <c r="F1284" s="24" t="s">
        <v>59</v>
      </c>
    </row>
    <row r="1285">
      <c r="A1285" s="24" t="s">
        <v>5124</v>
      </c>
      <c r="B1285" s="24" t="s">
        <v>5125</v>
      </c>
      <c r="C1285" s="24" t="s">
        <v>5126</v>
      </c>
      <c r="D1285" s="24" t="s">
        <v>129</v>
      </c>
      <c r="E1285" s="24" t="s">
        <v>5127</v>
      </c>
      <c r="F1285" s="24" t="s">
        <v>59</v>
      </c>
    </row>
    <row r="1286">
      <c r="A1286" s="24" t="s">
        <v>5128</v>
      </c>
      <c r="B1286" s="24" t="s">
        <v>5129</v>
      </c>
      <c r="C1286" s="24" t="s">
        <v>5130</v>
      </c>
      <c r="D1286" s="24" t="s">
        <v>124</v>
      </c>
      <c r="E1286" s="24" t="s">
        <v>5131</v>
      </c>
      <c r="F1286" s="24" t="s">
        <v>59</v>
      </c>
    </row>
    <row r="1287">
      <c r="A1287" s="24" t="s">
        <v>5132</v>
      </c>
      <c r="B1287" s="24" t="s">
        <v>5133</v>
      </c>
      <c r="C1287" s="24" t="s">
        <v>5134</v>
      </c>
      <c r="D1287" s="24" t="s">
        <v>124</v>
      </c>
      <c r="E1287" s="24" t="s">
        <v>5135</v>
      </c>
      <c r="F1287" s="24" t="s">
        <v>59</v>
      </c>
    </row>
    <row r="1288">
      <c r="A1288" s="24" t="s">
        <v>5136</v>
      </c>
      <c r="B1288" s="24" t="s">
        <v>5137</v>
      </c>
      <c r="C1288" s="24" t="s">
        <v>5138</v>
      </c>
      <c r="D1288" s="24" t="s">
        <v>124</v>
      </c>
      <c r="E1288" s="24" t="s">
        <v>5139</v>
      </c>
      <c r="F1288" s="24" t="s">
        <v>59</v>
      </c>
    </row>
    <row r="1289">
      <c r="A1289" s="24" t="s">
        <v>5140</v>
      </c>
      <c r="B1289" s="24" t="s">
        <v>5141</v>
      </c>
      <c r="C1289" s="24" t="s">
        <v>5142</v>
      </c>
      <c r="D1289" s="24" t="s">
        <v>124</v>
      </c>
      <c r="E1289" s="24" t="s">
        <v>5143</v>
      </c>
      <c r="F1289" s="24" t="s">
        <v>59</v>
      </c>
    </row>
    <row r="1290">
      <c r="A1290" s="24" t="s">
        <v>5144</v>
      </c>
      <c r="B1290" s="24" t="s">
        <v>5145</v>
      </c>
      <c r="C1290" s="24" t="s">
        <v>5146</v>
      </c>
      <c r="D1290" s="24" t="s">
        <v>124</v>
      </c>
      <c r="E1290" s="24" t="s">
        <v>5147</v>
      </c>
      <c r="F1290" s="24" t="s">
        <v>59</v>
      </c>
    </row>
    <row r="1291">
      <c r="A1291" s="24" t="s">
        <v>5148</v>
      </c>
      <c r="B1291" s="24" t="s">
        <v>5149</v>
      </c>
      <c r="C1291" s="24" t="s">
        <v>5150</v>
      </c>
      <c r="D1291" s="24" t="s">
        <v>124</v>
      </c>
      <c r="E1291" s="24" t="s">
        <v>5151</v>
      </c>
      <c r="F1291" s="24" t="s">
        <v>59</v>
      </c>
    </row>
    <row r="1292">
      <c r="A1292" s="24" t="s">
        <v>5152</v>
      </c>
      <c r="B1292" s="24" t="s">
        <v>5153</v>
      </c>
      <c r="C1292" s="24" t="s">
        <v>5154</v>
      </c>
      <c r="D1292" s="24" t="s">
        <v>124</v>
      </c>
      <c r="E1292" s="24" t="s">
        <v>5155</v>
      </c>
      <c r="F1292" s="24" t="s">
        <v>59</v>
      </c>
    </row>
    <row r="1293">
      <c r="A1293" s="24" t="s">
        <v>5156</v>
      </c>
      <c r="B1293" s="24" t="s">
        <v>5157</v>
      </c>
      <c r="C1293" s="24" t="s">
        <v>5158</v>
      </c>
      <c r="D1293" s="24" t="s">
        <v>124</v>
      </c>
      <c r="E1293" s="24" t="s">
        <v>5159</v>
      </c>
      <c r="F1293" s="24" t="s">
        <v>59</v>
      </c>
    </row>
    <row r="1294">
      <c r="A1294" s="24" t="s">
        <v>5160</v>
      </c>
      <c r="B1294" s="24" t="s">
        <v>5161</v>
      </c>
      <c r="C1294" s="24" t="s">
        <v>5162</v>
      </c>
      <c r="D1294" s="24" t="s">
        <v>264</v>
      </c>
      <c r="E1294" s="24" t="s">
        <v>5163</v>
      </c>
      <c r="F1294" s="24" t="s">
        <v>59</v>
      </c>
    </row>
    <row r="1295">
      <c r="A1295" s="24" t="s">
        <v>5164</v>
      </c>
      <c r="B1295" s="24" t="s">
        <v>5165</v>
      </c>
      <c r="C1295" s="24" t="s">
        <v>5166</v>
      </c>
      <c r="D1295" s="24" t="s">
        <v>124</v>
      </c>
      <c r="E1295" s="24" t="s">
        <v>5167</v>
      </c>
      <c r="F1295" s="24" t="s">
        <v>59</v>
      </c>
    </row>
    <row r="1296">
      <c r="A1296" s="24" t="s">
        <v>5168</v>
      </c>
      <c r="B1296" s="24" t="s">
        <v>5169</v>
      </c>
      <c r="C1296" s="24" t="s">
        <v>5170</v>
      </c>
      <c r="D1296" s="24" t="s">
        <v>124</v>
      </c>
      <c r="E1296" s="24" t="s">
        <v>5171</v>
      </c>
      <c r="F1296" s="24" t="s">
        <v>59</v>
      </c>
    </row>
    <row r="1297">
      <c r="A1297" s="24" t="s">
        <v>5172</v>
      </c>
      <c r="B1297" s="24" t="s">
        <v>5173</v>
      </c>
      <c r="C1297" s="24" t="s">
        <v>5174</v>
      </c>
      <c r="D1297" s="24" t="s">
        <v>264</v>
      </c>
      <c r="E1297" s="24" t="s">
        <v>5175</v>
      </c>
      <c r="F1297" s="24" t="s">
        <v>59</v>
      </c>
    </row>
    <row r="1298">
      <c r="A1298" s="24" t="s">
        <v>5176</v>
      </c>
      <c r="B1298" s="24" t="s">
        <v>5177</v>
      </c>
      <c r="C1298" s="24" t="s">
        <v>5178</v>
      </c>
      <c r="D1298" s="24" t="s">
        <v>124</v>
      </c>
      <c r="E1298" s="24" t="s">
        <v>5179</v>
      </c>
      <c r="F1298" s="24" t="s">
        <v>59</v>
      </c>
    </row>
    <row r="1299">
      <c r="A1299" s="24" t="s">
        <v>5180</v>
      </c>
      <c r="B1299" s="24" t="s">
        <v>5181</v>
      </c>
      <c r="C1299" s="24" t="s">
        <v>5182</v>
      </c>
      <c r="D1299" s="24" t="s">
        <v>124</v>
      </c>
      <c r="E1299" s="24" t="s">
        <v>5183</v>
      </c>
      <c r="F1299" s="24" t="s">
        <v>59</v>
      </c>
    </row>
    <row r="1300">
      <c r="A1300" s="24" t="s">
        <v>5184</v>
      </c>
      <c r="B1300" s="24" t="s">
        <v>5185</v>
      </c>
      <c r="C1300" s="24" t="s">
        <v>5186</v>
      </c>
      <c r="D1300" s="24" t="s">
        <v>124</v>
      </c>
      <c r="E1300" s="24" t="s">
        <v>5187</v>
      </c>
      <c r="F1300" s="24" t="s">
        <v>59</v>
      </c>
    </row>
    <row r="1301">
      <c r="A1301" s="24" t="s">
        <v>5188</v>
      </c>
      <c r="B1301" s="24" t="s">
        <v>5189</v>
      </c>
      <c r="C1301" s="24" t="s">
        <v>5190</v>
      </c>
      <c r="D1301" s="24" t="s">
        <v>124</v>
      </c>
      <c r="E1301" s="24" t="s">
        <v>5191</v>
      </c>
      <c r="F1301" s="24" t="s">
        <v>59</v>
      </c>
    </row>
    <row r="1302">
      <c r="A1302" s="24" t="s">
        <v>5192</v>
      </c>
      <c r="B1302" s="24" t="s">
        <v>5193</v>
      </c>
      <c r="C1302" s="24" t="s">
        <v>5194</v>
      </c>
      <c r="D1302" s="24" t="s">
        <v>124</v>
      </c>
      <c r="E1302" s="24" t="s">
        <v>5195</v>
      </c>
      <c r="F1302" s="24" t="s">
        <v>59</v>
      </c>
    </row>
    <row r="1303">
      <c r="A1303" s="24" t="s">
        <v>5196</v>
      </c>
      <c r="B1303" s="24" t="s">
        <v>5197</v>
      </c>
      <c r="C1303" s="24" t="s">
        <v>5198</v>
      </c>
      <c r="D1303" s="24" t="s">
        <v>124</v>
      </c>
      <c r="E1303" s="24" t="s">
        <v>5199</v>
      </c>
      <c r="F1303" s="24" t="s">
        <v>59</v>
      </c>
    </row>
    <row r="1304">
      <c r="A1304" s="24" t="s">
        <v>5200</v>
      </c>
      <c r="B1304" s="24" t="s">
        <v>5201</v>
      </c>
      <c r="C1304" s="24" t="s">
        <v>5202</v>
      </c>
      <c r="D1304" s="24" t="s">
        <v>124</v>
      </c>
      <c r="E1304" s="24" t="s">
        <v>5203</v>
      </c>
      <c r="F1304" s="24" t="s">
        <v>59</v>
      </c>
    </row>
    <row r="1305">
      <c r="A1305" s="24" t="s">
        <v>5204</v>
      </c>
      <c r="B1305" s="24" t="s">
        <v>5205</v>
      </c>
      <c r="C1305" s="24" t="s">
        <v>5206</v>
      </c>
      <c r="D1305" s="24" t="s">
        <v>124</v>
      </c>
      <c r="E1305" s="24" t="s">
        <v>5207</v>
      </c>
      <c r="F1305" s="24" t="s">
        <v>59</v>
      </c>
    </row>
    <row r="1306">
      <c r="A1306" s="24" t="s">
        <v>5208</v>
      </c>
      <c r="B1306" s="24" t="s">
        <v>5209</v>
      </c>
      <c r="C1306" s="24" t="s">
        <v>5210</v>
      </c>
      <c r="D1306" s="24" t="s">
        <v>124</v>
      </c>
      <c r="E1306" s="24" t="s">
        <v>5211</v>
      </c>
      <c r="F1306" s="24" t="s">
        <v>59</v>
      </c>
    </row>
    <row r="1307">
      <c r="A1307" s="24" t="s">
        <v>5212</v>
      </c>
      <c r="B1307" s="24" t="s">
        <v>5213</v>
      </c>
      <c r="C1307" s="24" t="s">
        <v>5214</v>
      </c>
      <c r="D1307" s="24" t="s">
        <v>129</v>
      </c>
      <c r="E1307" s="24" t="s">
        <v>5215</v>
      </c>
      <c r="F1307" s="24" t="s">
        <v>59</v>
      </c>
    </row>
    <row r="1308">
      <c r="A1308" s="24" t="s">
        <v>5216</v>
      </c>
      <c r="B1308" s="24" t="s">
        <v>5217</v>
      </c>
      <c r="C1308" s="24" t="s">
        <v>5218</v>
      </c>
      <c r="D1308" s="24" t="s">
        <v>124</v>
      </c>
      <c r="E1308" s="24" t="s">
        <v>5219</v>
      </c>
      <c r="F1308" s="24" t="s">
        <v>59</v>
      </c>
    </row>
    <row r="1309">
      <c r="A1309" s="24" t="s">
        <v>5220</v>
      </c>
      <c r="B1309" s="24" t="s">
        <v>5221</v>
      </c>
      <c r="C1309" s="24" t="s">
        <v>5222</v>
      </c>
      <c r="D1309" s="24" t="s">
        <v>124</v>
      </c>
      <c r="E1309" s="24" t="s">
        <v>5223</v>
      </c>
      <c r="F1309" s="24" t="s">
        <v>59</v>
      </c>
    </row>
    <row r="1310">
      <c r="A1310" s="24" t="s">
        <v>5224</v>
      </c>
      <c r="B1310" s="24" t="s">
        <v>5225</v>
      </c>
      <c r="C1310" s="24" t="s">
        <v>5226</v>
      </c>
      <c r="D1310" s="24" t="s">
        <v>129</v>
      </c>
      <c r="E1310" s="24" t="s">
        <v>5227</v>
      </c>
      <c r="F1310" s="24" t="s">
        <v>59</v>
      </c>
    </row>
    <row r="1311">
      <c r="A1311" s="24" t="s">
        <v>5228</v>
      </c>
      <c r="B1311" s="24" t="s">
        <v>5229</v>
      </c>
      <c r="C1311" s="24" t="s">
        <v>5230</v>
      </c>
      <c r="D1311" s="24" t="s">
        <v>124</v>
      </c>
      <c r="E1311" s="24" t="s">
        <v>5231</v>
      </c>
      <c r="F1311" s="24" t="s">
        <v>59</v>
      </c>
    </row>
    <row r="1312">
      <c r="A1312" s="24" t="s">
        <v>5232</v>
      </c>
      <c r="B1312" s="24" t="s">
        <v>5233</v>
      </c>
      <c r="C1312" s="24" t="s">
        <v>5234</v>
      </c>
      <c r="D1312" s="24" t="s">
        <v>124</v>
      </c>
      <c r="E1312" s="24" t="s">
        <v>5235</v>
      </c>
      <c r="F1312" s="24" t="s">
        <v>59</v>
      </c>
    </row>
    <row r="1313">
      <c r="A1313" s="24" t="s">
        <v>5236</v>
      </c>
      <c r="B1313" s="24" t="s">
        <v>5237</v>
      </c>
      <c r="C1313" s="24" t="s">
        <v>5238</v>
      </c>
      <c r="D1313" s="24" t="s">
        <v>124</v>
      </c>
      <c r="E1313" s="24" t="s">
        <v>5239</v>
      </c>
      <c r="F1313" s="24" t="s">
        <v>59</v>
      </c>
    </row>
    <row r="1314">
      <c r="A1314" s="24" t="s">
        <v>5240</v>
      </c>
      <c r="B1314" s="24" t="s">
        <v>5241</v>
      </c>
      <c r="C1314" s="24" t="s">
        <v>5242</v>
      </c>
      <c r="D1314" s="24" t="s">
        <v>124</v>
      </c>
      <c r="E1314" s="24" t="s">
        <v>5243</v>
      </c>
      <c r="F1314" s="24" t="s">
        <v>59</v>
      </c>
    </row>
    <row r="1315">
      <c r="A1315" s="24" t="s">
        <v>5244</v>
      </c>
      <c r="B1315" s="24" t="s">
        <v>5245</v>
      </c>
      <c r="C1315" s="24" t="s">
        <v>5246</v>
      </c>
      <c r="D1315" s="24" t="s">
        <v>124</v>
      </c>
      <c r="E1315" s="24" t="s">
        <v>5247</v>
      </c>
      <c r="F1315" s="24" t="s">
        <v>59</v>
      </c>
    </row>
    <row r="1316">
      <c r="A1316" s="24" t="s">
        <v>5248</v>
      </c>
      <c r="B1316" s="24" t="s">
        <v>5249</v>
      </c>
      <c r="C1316" s="24" t="s">
        <v>5250</v>
      </c>
      <c r="D1316" s="24" t="s">
        <v>124</v>
      </c>
      <c r="E1316" s="24" t="s">
        <v>5251</v>
      </c>
      <c r="F1316" s="24" t="s">
        <v>59</v>
      </c>
    </row>
    <row r="1317">
      <c r="A1317" s="24" t="s">
        <v>5252</v>
      </c>
      <c r="B1317" s="24" t="s">
        <v>5253</v>
      </c>
      <c r="C1317" s="24" t="s">
        <v>5254</v>
      </c>
      <c r="D1317" s="24" t="s">
        <v>124</v>
      </c>
      <c r="E1317" s="24" t="s">
        <v>5255</v>
      </c>
      <c r="F1317" s="24" t="s">
        <v>59</v>
      </c>
    </row>
    <row r="1318">
      <c r="A1318" s="24" t="s">
        <v>5256</v>
      </c>
      <c r="B1318" s="24" t="s">
        <v>5257</v>
      </c>
      <c r="C1318" s="24" t="s">
        <v>5258</v>
      </c>
      <c r="D1318" s="24" t="s">
        <v>124</v>
      </c>
      <c r="E1318" s="24" t="s">
        <v>5259</v>
      </c>
      <c r="F1318" s="24" t="s">
        <v>59</v>
      </c>
    </row>
    <row r="1319">
      <c r="A1319" s="24" t="s">
        <v>5260</v>
      </c>
      <c r="B1319" s="24" t="s">
        <v>5261</v>
      </c>
      <c r="C1319" s="24" t="s">
        <v>5262</v>
      </c>
      <c r="D1319" s="24" t="s">
        <v>129</v>
      </c>
      <c r="E1319" s="24" t="s">
        <v>5263</v>
      </c>
      <c r="F1319" s="24" t="s">
        <v>59</v>
      </c>
    </row>
    <row r="1320">
      <c r="A1320" s="24" t="s">
        <v>5264</v>
      </c>
      <c r="B1320" s="24" t="s">
        <v>5265</v>
      </c>
      <c r="C1320" s="24" t="s">
        <v>5266</v>
      </c>
      <c r="D1320" s="24" t="s">
        <v>124</v>
      </c>
      <c r="E1320" s="24" t="s">
        <v>5267</v>
      </c>
      <c r="F1320" s="24" t="s">
        <v>59</v>
      </c>
    </row>
    <row r="1321">
      <c r="A1321" s="24" t="s">
        <v>5268</v>
      </c>
      <c r="B1321" s="24" t="s">
        <v>5269</v>
      </c>
      <c r="C1321" s="24" t="s">
        <v>5270</v>
      </c>
      <c r="D1321" s="24" t="s">
        <v>129</v>
      </c>
      <c r="E1321" s="24" t="s">
        <v>5271</v>
      </c>
      <c r="F1321" s="24" t="s">
        <v>59</v>
      </c>
    </row>
    <row r="1322">
      <c r="A1322" s="24" t="s">
        <v>5272</v>
      </c>
      <c r="B1322" s="24" t="s">
        <v>5273</v>
      </c>
      <c r="C1322" s="24" t="s">
        <v>5274</v>
      </c>
      <c r="D1322" s="24" t="s">
        <v>264</v>
      </c>
      <c r="E1322" s="24" t="s">
        <v>5275</v>
      </c>
      <c r="F1322" s="24" t="s">
        <v>59</v>
      </c>
    </row>
    <row r="1323">
      <c r="A1323" s="24" t="s">
        <v>5276</v>
      </c>
      <c r="B1323" s="24" t="s">
        <v>5277</v>
      </c>
      <c r="C1323" s="24" t="s">
        <v>5278</v>
      </c>
      <c r="D1323" s="24" t="s">
        <v>124</v>
      </c>
      <c r="E1323" s="24" t="s">
        <v>5279</v>
      </c>
      <c r="F1323" s="24" t="s">
        <v>59</v>
      </c>
    </row>
    <row r="1324">
      <c r="A1324" s="24" t="s">
        <v>5280</v>
      </c>
      <c r="B1324" s="24" t="s">
        <v>5281</v>
      </c>
      <c r="C1324" s="24" t="s">
        <v>5282</v>
      </c>
      <c r="D1324" s="24" t="s">
        <v>124</v>
      </c>
      <c r="E1324" s="24" t="s">
        <v>5283</v>
      </c>
      <c r="F1324" s="24" t="s">
        <v>59</v>
      </c>
    </row>
    <row r="1325">
      <c r="A1325" s="24" t="s">
        <v>5284</v>
      </c>
      <c r="B1325" s="24" t="s">
        <v>5285</v>
      </c>
      <c r="C1325" s="24" t="s">
        <v>5286</v>
      </c>
      <c r="D1325" s="24" t="s">
        <v>124</v>
      </c>
      <c r="E1325" s="24" t="s">
        <v>5287</v>
      </c>
      <c r="F1325" s="24" t="s">
        <v>59</v>
      </c>
    </row>
    <row r="1326">
      <c r="A1326" s="24" t="s">
        <v>5288</v>
      </c>
      <c r="B1326" s="24" t="s">
        <v>5289</v>
      </c>
      <c r="C1326" s="24" t="s">
        <v>5290</v>
      </c>
      <c r="D1326" s="24" t="s">
        <v>124</v>
      </c>
      <c r="E1326" s="24" t="s">
        <v>5291</v>
      </c>
      <c r="F1326" s="24" t="s">
        <v>59</v>
      </c>
    </row>
    <row r="1327">
      <c r="A1327" s="24" t="s">
        <v>5292</v>
      </c>
      <c r="B1327" s="24" t="s">
        <v>5293</v>
      </c>
      <c r="C1327" s="24" t="s">
        <v>5294</v>
      </c>
      <c r="D1327" s="24" t="s">
        <v>124</v>
      </c>
      <c r="E1327" s="24" t="s">
        <v>5295</v>
      </c>
      <c r="F1327" s="24" t="s">
        <v>59</v>
      </c>
    </row>
    <row r="1328">
      <c r="A1328" s="24" t="s">
        <v>5296</v>
      </c>
      <c r="B1328" s="24" t="s">
        <v>5297</v>
      </c>
      <c r="C1328" s="24" t="s">
        <v>5298</v>
      </c>
      <c r="D1328" s="24" t="s">
        <v>129</v>
      </c>
      <c r="E1328" s="24" t="s">
        <v>5299</v>
      </c>
      <c r="F1328" s="24" t="s">
        <v>59</v>
      </c>
    </row>
    <row r="1329">
      <c r="A1329" s="24" t="s">
        <v>5300</v>
      </c>
      <c r="B1329" s="24" t="s">
        <v>5301</v>
      </c>
      <c r="C1329" s="24" t="s">
        <v>5302</v>
      </c>
      <c r="D1329" s="24" t="s">
        <v>124</v>
      </c>
      <c r="E1329" s="24" t="s">
        <v>5303</v>
      </c>
      <c r="F1329" s="24" t="s">
        <v>59</v>
      </c>
    </row>
    <row r="1330">
      <c r="A1330" s="24" t="s">
        <v>5304</v>
      </c>
      <c r="B1330" s="24" t="s">
        <v>5305</v>
      </c>
      <c r="C1330" s="24" t="s">
        <v>5306</v>
      </c>
      <c r="D1330" s="24" t="s">
        <v>264</v>
      </c>
      <c r="E1330" s="24" t="s">
        <v>5307</v>
      </c>
      <c r="F1330" s="24" t="s">
        <v>59</v>
      </c>
    </row>
    <row r="1331">
      <c r="A1331" s="24" t="s">
        <v>5308</v>
      </c>
      <c r="B1331" s="24" t="s">
        <v>5309</v>
      </c>
      <c r="C1331" s="24" t="s">
        <v>5310</v>
      </c>
      <c r="D1331" s="24" t="s">
        <v>124</v>
      </c>
      <c r="E1331" s="24" t="s">
        <v>5311</v>
      </c>
      <c r="F1331" s="24" t="s">
        <v>59</v>
      </c>
    </row>
    <row r="1332">
      <c r="A1332" s="24" t="s">
        <v>5312</v>
      </c>
      <c r="B1332" s="24" t="s">
        <v>5313</v>
      </c>
      <c r="C1332" s="24" t="s">
        <v>5314</v>
      </c>
      <c r="D1332" s="24" t="s">
        <v>124</v>
      </c>
      <c r="E1332" s="24" t="s">
        <v>5315</v>
      </c>
      <c r="F1332" s="24" t="s">
        <v>59</v>
      </c>
    </row>
    <row r="1333">
      <c r="A1333" s="24" t="s">
        <v>5316</v>
      </c>
      <c r="B1333" s="24" t="s">
        <v>5317</v>
      </c>
      <c r="C1333" s="24" t="s">
        <v>5318</v>
      </c>
      <c r="D1333" s="24" t="s">
        <v>124</v>
      </c>
      <c r="E1333" s="24" t="s">
        <v>5319</v>
      </c>
      <c r="F1333" s="24" t="s">
        <v>59</v>
      </c>
    </row>
    <row r="1334">
      <c r="A1334" s="24" t="s">
        <v>5320</v>
      </c>
      <c r="B1334" s="24" t="s">
        <v>5321</v>
      </c>
      <c r="C1334" s="24" t="s">
        <v>5322</v>
      </c>
      <c r="D1334" s="24" t="s">
        <v>124</v>
      </c>
      <c r="E1334" s="24" t="s">
        <v>5323</v>
      </c>
      <c r="F1334" s="24" t="s">
        <v>59</v>
      </c>
    </row>
    <row r="1335">
      <c r="A1335" s="24" t="s">
        <v>5324</v>
      </c>
      <c r="B1335" s="24" t="s">
        <v>5325</v>
      </c>
      <c r="C1335" s="24" t="s">
        <v>5326</v>
      </c>
      <c r="D1335" s="24" t="s">
        <v>124</v>
      </c>
      <c r="E1335" s="24" t="s">
        <v>5327</v>
      </c>
      <c r="F1335" s="24" t="s">
        <v>59</v>
      </c>
    </row>
    <row r="1336">
      <c r="A1336" s="24" t="s">
        <v>5328</v>
      </c>
      <c r="B1336" s="24" t="s">
        <v>5329</v>
      </c>
      <c r="C1336" s="24" t="s">
        <v>5330</v>
      </c>
      <c r="D1336" s="24" t="s">
        <v>129</v>
      </c>
      <c r="E1336" s="24" t="s">
        <v>5331</v>
      </c>
      <c r="F1336" s="24" t="s">
        <v>59</v>
      </c>
    </row>
    <row r="1337">
      <c r="A1337" s="24" t="s">
        <v>5332</v>
      </c>
      <c r="B1337" s="24" t="s">
        <v>5333</v>
      </c>
      <c r="C1337" s="24" t="s">
        <v>5334</v>
      </c>
      <c r="D1337" s="24" t="s">
        <v>124</v>
      </c>
      <c r="E1337" s="24" t="s">
        <v>5335</v>
      </c>
      <c r="F1337" s="24" t="s">
        <v>59</v>
      </c>
    </row>
    <row r="1338">
      <c r="A1338" s="24" t="s">
        <v>5336</v>
      </c>
      <c r="B1338" s="24" t="s">
        <v>5337</v>
      </c>
      <c r="C1338" s="24" t="s">
        <v>5338</v>
      </c>
      <c r="D1338" s="24" t="s">
        <v>124</v>
      </c>
      <c r="E1338" s="24" t="s">
        <v>5339</v>
      </c>
      <c r="F1338" s="24" t="s">
        <v>59</v>
      </c>
    </row>
    <row r="1339">
      <c r="A1339" s="24" t="s">
        <v>5340</v>
      </c>
      <c r="B1339" s="24" t="s">
        <v>5341</v>
      </c>
      <c r="C1339" s="24" t="s">
        <v>5342</v>
      </c>
      <c r="D1339" s="24" t="s">
        <v>264</v>
      </c>
      <c r="E1339" s="24" t="s">
        <v>5343</v>
      </c>
      <c r="F1339" s="24" t="s">
        <v>59</v>
      </c>
    </row>
    <row r="1340">
      <c r="A1340" s="24" t="s">
        <v>5344</v>
      </c>
      <c r="B1340" s="24" t="s">
        <v>5345</v>
      </c>
      <c r="C1340" s="24" t="s">
        <v>5346</v>
      </c>
      <c r="D1340" s="24" t="s">
        <v>124</v>
      </c>
      <c r="E1340" s="24" t="s">
        <v>5347</v>
      </c>
      <c r="F1340" s="24" t="s">
        <v>59</v>
      </c>
    </row>
    <row r="1341">
      <c r="A1341" s="24" t="s">
        <v>5348</v>
      </c>
      <c r="B1341" s="24" t="s">
        <v>5349</v>
      </c>
      <c r="C1341" s="24" t="s">
        <v>5350</v>
      </c>
      <c r="D1341" s="24" t="s">
        <v>124</v>
      </c>
      <c r="E1341" s="24" t="s">
        <v>5351</v>
      </c>
      <c r="F1341" s="24" t="s">
        <v>59</v>
      </c>
    </row>
    <row r="1342">
      <c r="A1342" s="24" t="s">
        <v>5352</v>
      </c>
      <c r="B1342" s="24" t="s">
        <v>5353</v>
      </c>
      <c r="C1342" s="24" t="s">
        <v>5354</v>
      </c>
      <c r="D1342" s="24" t="s">
        <v>129</v>
      </c>
      <c r="E1342" s="24" t="s">
        <v>5355</v>
      </c>
      <c r="F1342" s="24" t="s">
        <v>59</v>
      </c>
    </row>
    <row r="1343">
      <c r="A1343" s="24" t="s">
        <v>5356</v>
      </c>
      <c r="B1343" s="24" t="s">
        <v>5357</v>
      </c>
      <c r="C1343" s="24" t="s">
        <v>5358</v>
      </c>
      <c r="D1343" s="24" t="s">
        <v>124</v>
      </c>
      <c r="E1343" s="24" t="s">
        <v>5359</v>
      </c>
      <c r="F1343" s="24" t="s">
        <v>59</v>
      </c>
    </row>
    <row r="1344">
      <c r="A1344" s="24" t="s">
        <v>5360</v>
      </c>
      <c r="B1344" s="24" t="s">
        <v>5361</v>
      </c>
      <c r="C1344" s="24" t="s">
        <v>5362</v>
      </c>
      <c r="D1344" s="24" t="s">
        <v>124</v>
      </c>
      <c r="E1344" s="24" t="s">
        <v>5363</v>
      </c>
      <c r="F1344" s="24" t="s">
        <v>59</v>
      </c>
    </row>
    <row r="1345">
      <c r="A1345" s="24" t="s">
        <v>5364</v>
      </c>
      <c r="B1345" s="24" t="s">
        <v>5365</v>
      </c>
      <c r="C1345" s="24" t="s">
        <v>5366</v>
      </c>
      <c r="D1345" s="24" t="s">
        <v>129</v>
      </c>
      <c r="E1345" s="24" t="s">
        <v>5367</v>
      </c>
      <c r="F1345" s="24" t="s">
        <v>59</v>
      </c>
    </row>
    <row r="1346">
      <c r="A1346" s="24" t="s">
        <v>5368</v>
      </c>
      <c r="B1346" s="24" t="s">
        <v>5369</v>
      </c>
      <c r="C1346" s="24" t="s">
        <v>5370</v>
      </c>
      <c r="D1346" s="24" t="s">
        <v>129</v>
      </c>
      <c r="E1346" s="24" t="s">
        <v>5371</v>
      </c>
      <c r="F1346" s="24" t="s">
        <v>59</v>
      </c>
    </row>
    <row r="1347">
      <c r="A1347" s="24" t="s">
        <v>5372</v>
      </c>
      <c r="B1347" s="24" t="s">
        <v>5373</v>
      </c>
      <c r="C1347" s="24" t="s">
        <v>5374</v>
      </c>
      <c r="D1347" s="24" t="s">
        <v>129</v>
      </c>
      <c r="E1347" s="24" t="s">
        <v>5375</v>
      </c>
      <c r="F1347" s="24" t="s">
        <v>59</v>
      </c>
    </row>
    <row r="1348">
      <c r="A1348" s="24" t="s">
        <v>5376</v>
      </c>
      <c r="B1348" s="24" t="s">
        <v>5377</v>
      </c>
      <c r="C1348" s="24" t="s">
        <v>5378</v>
      </c>
      <c r="D1348" s="24" t="s">
        <v>129</v>
      </c>
      <c r="E1348" s="24" t="s">
        <v>5379</v>
      </c>
      <c r="F1348" s="24" t="s">
        <v>59</v>
      </c>
    </row>
    <row r="1349">
      <c r="A1349" s="24" t="s">
        <v>5380</v>
      </c>
      <c r="B1349" s="24" t="s">
        <v>5381</v>
      </c>
      <c r="C1349" s="24" t="s">
        <v>5382</v>
      </c>
      <c r="D1349" s="24" t="s">
        <v>124</v>
      </c>
      <c r="E1349" s="24" t="s">
        <v>5383</v>
      </c>
      <c r="F1349" s="24" t="s">
        <v>59</v>
      </c>
    </row>
    <row r="1350">
      <c r="A1350" s="24" t="s">
        <v>5384</v>
      </c>
      <c r="B1350" s="24" t="s">
        <v>5385</v>
      </c>
      <c r="C1350" s="24" t="s">
        <v>5386</v>
      </c>
      <c r="D1350" s="24" t="s">
        <v>124</v>
      </c>
      <c r="E1350" s="24" t="s">
        <v>5387</v>
      </c>
      <c r="F1350" s="24" t="s">
        <v>59</v>
      </c>
    </row>
    <row r="1351">
      <c r="A1351" s="24" t="s">
        <v>5388</v>
      </c>
      <c r="B1351" s="24" t="s">
        <v>5389</v>
      </c>
      <c r="C1351" s="24" t="s">
        <v>5390</v>
      </c>
      <c r="D1351" s="24" t="s">
        <v>124</v>
      </c>
      <c r="E1351" s="24" t="s">
        <v>5391</v>
      </c>
      <c r="F1351" s="24" t="s">
        <v>59</v>
      </c>
    </row>
    <row r="1352">
      <c r="A1352" s="24" t="s">
        <v>5392</v>
      </c>
      <c r="B1352" s="24" t="s">
        <v>5393</v>
      </c>
      <c r="C1352" s="24" t="s">
        <v>5394</v>
      </c>
      <c r="D1352" s="24" t="s">
        <v>124</v>
      </c>
      <c r="E1352" s="24" t="s">
        <v>5395</v>
      </c>
      <c r="F1352" s="24" t="s">
        <v>59</v>
      </c>
    </row>
    <row r="1353">
      <c r="A1353" s="24" t="s">
        <v>5396</v>
      </c>
      <c r="B1353" s="24" t="s">
        <v>5397</v>
      </c>
      <c r="C1353" s="24" t="s">
        <v>5398</v>
      </c>
      <c r="D1353" s="24" t="s">
        <v>129</v>
      </c>
      <c r="E1353" s="24" t="s">
        <v>5399</v>
      </c>
      <c r="F1353" s="24" t="s">
        <v>59</v>
      </c>
    </row>
    <row r="1354">
      <c r="A1354" s="24" t="s">
        <v>5400</v>
      </c>
      <c r="B1354" s="24" t="s">
        <v>5401</v>
      </c>
      <c r="C1354" s="24" t="s">
        <v>5402</v>
      </c>
      <c r="D1354" s="24" t="s">
        <v>124</v>
      </c>
      <c r="E1354" s="24" t="s">
        <v>5403</v>
      </c>
      <c r="F1354" s="24" t="s">
        <v>59</v>
      </c>
    </row>
    <row r="1355">
      <c r="A1355" s="24" t="s">
        <v>5404</v>
      </c>
      <c r="B1355" s="24" t="s">
        <v>5405</v>
      </c>
      <c r="C1355" s="24" t="s">
        <v>5406</v>
      </c>
      <c r="D1355" s="24" t="s">
        <v>124</v>
      </c>
      <c r="E1355" s="24" t="s">
        <v>5407</v>
      </c>
      <c r="F1355" s="24" t="s">
        <v>59</v>
      </c>
    </row>
    <row r="1356">
      <c r="A1356" s="24" t="s">
        <v>5408</v>
      </c>
      <c r="B1356" s="24" t="s">
        <v>5409</v>
      </c>
      <c r="C1356" s="24" t="s">
        <v>5410</v>
      </c>
      <c r="D1356" s="24" t="s">
        <v>129</v>
      </c>
      <c r="E1356" s="24" t="s">
        <v>5411</v>
      </c>
      <c r="F1356" s="24" t="s">
        <v>59</v>
      </c>
    </row>
    <row r="1357">
      <c r="A1357" s="24" t="s">
        <v>5412</v>
      </c>
      <c r="B1357" s="24" t="s">
        <v>5413</v>
      </c>
      <c r="C1357" s="24" t="s">
        <v>5414</v>
      </c>
      <c r="D1357" s="24" t="s">
        <v>129</v>
      </c>
      <c r="E1357" s="24" t="s">
        <v>5415</v>
      </c>
      <c r="F1357" s="24" t="s">
        <v>59</v>
      </c>
    </row>
    <row r="1358">
      <c r="A1358" s="24" t="s">
        <v>5416</v>
      </c>
      <c r="B1358" s="24" t="s">
        <v>5417</v>
      </c>
      <c r="C1358" s="24" t="s">
        <v>5418</v>
      </c>
      <c r="D1358" s="24" t="s">
        <v>129</v>
      </c>
      <c r="E1358" s="24" t="s">
        <v>5419</v>
      </c>
      <c r="F1358" s="24" t="s">
        <v>59</v>
      </c>
    </row>
    <row r="1359">
      <c r="A1359" s="24" t="s">
        <v>5420</v>
      </c>
      <c r="B1359" s="24" t="s">
        <v>5421</v>
      </c>
      <c r="C1359" s="24" t="s">
        <v>5422</v>
      </c>
      <c r="D1359" s="24" t="s">
        <v>129</v>
      </c>
      <c r="E1359" s="24" t="s">
        <v>5423</v>
      </c>
      <c r="F1359" s="24" t="s">
        <v>59</v>
      </c>
    </row>
    <row r="1360">
      <c r="A1360" s="24" t="s">
        <v>5424</v>
      </c>
      <c r="B1360" s="24" t="s">
        <v>5425</v>
      </c>
      <c r="C1360" s="24" t="s">
        <v>5426</v>
      </c>
      <c r="D1360" s="24" t="s">
        <v>129</v>
      </c>
      <c r="E1360" s="24" t="s">
        <v>5427</v>
      </c>
      <c r="F1360" s="24" t="s">
        <v>59</v>
      </c>
    </row>
    <row r="1361">
      <c r="A1361" s="24" t="s">
        <v>5428</v>
      </c>
      <c r="B1361" s="24" t="s">
        <v>5429</v>
      </c>
      <c r="C1361" s="24" t="s">
        <v>5430</v>
      </c>
      <c r="D1361" s="24" t="s">
        <v>124</v>
      </c>
      <c r="E1361" s="24" t="s">
        <v>5431</v>
      </c>
      <c r="F1361" s="24" t="s">
        <v>59</v>
      </c>
    </row>
    <row r="1362">
      <c r="A1362" s="24" t="s">
        <v>5432</v>
      </c>
      <c r="B1362" s="24" t="s">
        <v>5433</v>
      </c>
      <c r="C1362" s="24" t="s">
        <v>5434</v>
      </c>
      <c r="D1362" s="24" t="s">
        <v>124</v>
      </c>
      <c r="E1362" s="24" t="s">
        <v>5435</v>
      </c>
      <c r="F1362" s="24" t="s">
        <v>59</v>
      </c>
    </row>
    <row r="1363">
      <c r="A1363" s="24" t="s">
        <v>5436</v>
      </c>
      <c r="B1363" s="24" t="s">
        <v>5437</v>
      </c>
      <c r="C1363" s="24" t="s">
        <v>5438</v>
      </c>
      <c r="D1363" s="24" t="s">
        <v>264</v>
      </c>
      <c r="E1363" s="24" t="s">
        <v>5439</v>
      </c>
      <c r="F1363" s="24" t="s">
        <v>59</v>
      </c>
    </row>
    <row r="1364">
      <c r="A1364" s="24" t="s">
        <v>5440</v>
      </c>
      <c r="B1364" s="24" t="s">
        <v>5441</v>
      </c>
      <c r="C1364" s="24" t="s">
        <v>5442</v>
      </c>
      <c r="D1364" s="24" t="s">
        <v>124</v>
      </c>
      <c r="E1364" s="24" t="s">
        <v>5443</v>
      </c>
      <c r="F1364" s="24" t="s">
        <v>59</v>
      </c>
    </row>
    <row r="1365">
      <c r="A1365" s="24" t="s">
        <v>5444</v>
      </c>
      <c r="B1365" s="24" t="s">
        <v>5445</v>
      </c>
      <c r="C1365" s="24" t="s">
        <v>5446</v>
      </c>
      <c r="D1365" s="24" t="s">
        <v>124</v>
      </c>
      <c r="E1365" s="24" t="s">
        <v>5447</v>
      </c>
      <c r="F1365" s="24" t="s">
        <v>59</v>
      </c>
    </row>
    <row r="1366">
      <c r="A1366" s="24" t="s">
        <v>5448</v>
      </c>
      <c r="B1366" s="24" t="s">
        <v>5449</v>
      </c>
      <c r="C1366" s="24" t="s">
        <v>5450</v>
      </c>
      <c r="D1366" s="24" t="s">
        <v>124</v>
      </c>
      <c r="E1366" s="24" t="s">
        <v>5451</v>
      </c>
      <c r="F1366" s="24" t="s">
        <v>59</v>
      </c>
    </row>
    <row r="1367">
      <c r="A1367" s="24" t="s">
        <v>5452</v>
      </c>
      <c r="B1367" s="24" t="s">
        <v>5453</v>
      </c>
      <c r="C1367" s="24" t="s">
        <v>5454</v>
      </c>
      <c r="D1367" s="24" t="s">
        <v>124</v>
      </c>
      <c r="E1367" s="24" t="s">
        <v>5455</v>
      </c>
      <c r="F1367" s="24" t="s">
        <v>59</v>
      </c>
    </row>
    <row r="1368">
      <c r="A1368" s="24" t="s">
        <v>5456</v>
      </c>
      <c r="B1368" s="24" t="s">
        <v>5457</v>
      </c>
      <c r="C1368" s="24" t="s">
        <v>5458</v>
      </c>
      <c r="D1368" s="24" t="s">
        <v>124</v>
      </c>
      <c r="E1368" s="24" t="s">
        <v>5459</v>
      </c>
      <c r="F1368" s="24" t="s">
        <v>59</v>
      </c>
    </row>
    <row r="1369">
      <c r="A1369" s="24" t="s">
        <v>5460</v>
      </c>
      <c r="B1369" s="24" t="s">
        <v>5461</v>
      </c>
      <c r="C1369" s="24" t="s">
        <v>5462</v>
      </c>
      <c r="D1369" s="24" t="s">
        <v>124</v>
      </c>
      <c r="E1369" s="24" t="s">
        <v>5463</v>
      </c>
      <c r="F1369" s="24" t="s">
        <v>59</v>
      </c>
    </row>
    <row r="1370">
      <c r="A1370" s="24" t="s">
        <v>5464</v>
      </c>
      <c r="B1370" s="24" t="s">
        <v>5465</v>
      </c>
      <c r="C1370" s="24" t="s">
        <v>5466</v>
      </c>
      <c r="D1370" s="24" t="s">
        <v>124</v>
      </c>
      <c r="E1370" s="24" t="s">
        <v>5467</v>
      </c>
      <c r="F1370" s="24" t="s">
        <v>59</v>
      </c>
    </row>
    <row r="1371">
      <c r="A1371" s="24" t="s">
        <v>5468</v>
      </c>
      <c r="B1371" s="24" t="s">
        <v>5469</v>
      </c>
      <c r="C1371" s="24" t="s">
        <v>5470</v>
      </c>
      <c r="D1371" s="24" t="s">
        <v>124</v>
      </c>
      <c r="E1371" s="24" t="s">
        <v>5471</v>
      </c>
      <c r="F1371" s="24" t="s">
        <v>59</v>
      </c>
    </row>
    <row r="1372">
      <c r="A1372" s="24" t="s">
        <v>5472</v>
      </c>
      <c r="B1372" s="24" t="s">
        <v>5473</v>
      </c>
      <c r="C1372" s="24" t="s">
        <v>5474</v>
      </c>
      <c r="D1372" s="24" t="s">
        <v>264</v>
      </c>
      <c r="E1372" s="24" t="s">
        <v>5475</v>
      </c>
      <c r="F1372" s="24" t="s">
        <v>59</v>
      </c>
    </row>
    <row r="1373">
      <c r="A1373" s="24" t="s">
        <v>5476</v>
      </c>
      <c r="B1373" s="24" t="s">
        <v>5477</v>
      </c>
      <c r="C1373" s="24" t="s">
        <v>5478</v>
      </c>
      <c r="D1373" s="24" t="s">
        <v>124</v>
      </c>
      <c r="E1373" s="24" t="s">
        <v>5479</v>
      </c>
      <c r="F1373" s="24" t="s">
        <v>59</v>
      </c>
    </row>
    <row r="1374">
      <c r="A1374" s="24" t="s">
        <v>5480</v>
      </c>
      <c r="B1374" s="24" t="s">
        <v>5481</v>
      </c>
      <c r="C1374" s="24" t="s">
        <v>5482</v>
      </c>
      <c r="D1374" s="24" t="s">
        <v>124</v>
      </c>
      <c r="E1374" s="24" t="s">
        <v>5483</v>
      </c>
      <c r="F1374" s="24" t="s">
        <v>59</v>
      </c>
    </row>
    <row r="1375">
      <c r="A1375" s="24" t="s">
        <v>5484</v>
      </c>
      <c r="B1375" s="24" t="s">
        <v>5485</v>
      </c>
      <c r="C1375" s="24" t="s">
        <v>5486</v>
      </c>
      <c r="D1375" s="24" t="s">
        <v>124</v>
      </c>
      <c r="E1375" s="24" t="s">
        <v>5487</v>
      </c>
      <c r="F1375" s="24" t="s">
        <v>59</v>
      </c>
    </row>
    <row r="1376">
      <c r="A1376" s="24" t="s">
        <v>5488</v>
      </c>
      <c r="B1376" s="24" t="s">
        <v>5489</v>
      </c>
      <c r="C1376" s="24" t="s">
        <v>5490</v>
      </c>
      <c r="D1376" s="24" t="s">
        <v>124</v>
      </c>
      <c r="E1376" s="24" t="s">
        <v>5491</v>
      </c>
      <c r="F1376" s="24" t="s">
        <v>59</v>
      </c>
    </row>
    <row r="1377">
      <c r="A1377" s="24" t="s">
        <v>5492</v>
      </c>
      <c r="B1377" s="24" t="s">
        <v>5493</v>
      </c>
      <c r="C1377" s="24" t="s">
        <v>5494</v>
      </c>
      <c r="D1377" s="24" t="s">
        <v>129</v>
      </c>
      <c r="E1377" s="24" t="s">
        <v>5495</v>
      </c>
      <c r="F1377" s="24" t="s">
        <v>59</v>
      </c>
    </row>
    <row r="1378">
      <c r="A1378" s="24" t="s">
        <v>5496</v>
      </c>
      <c r="B1378" s="24" t="s">
        <v>5497</v>
      </c>
      <c r="C1378" s="24" t="s">
        <v>5498</v>
      </c>
      <c r="D1378" s="24" t="s">
        <v>124</v>
      </c>
      <c r="E1378" s="24" t="s">
        <v>5499</v>
      </c>
      <c r="F1378" s="24" t="s">
        <v>59</v>
      </c>
    </row>
    <row r="1379">
      <c r="A1379" s="24" t="s">
        <v>5500</v>
      </c>
      <c r="B1379" s="24" t="s">
        <v>5501</v>
      </c>
      <c r="C1379" s="24" t="s">
        <v>5502</v>
      </c>
      <c r="D1379" s="24" t="s">
        <v>124</v>
      </c>
      <c r="E1379" s="24" t="s">
        <v>5503</v>
      </c>
      <c r="F1379" s="24" t="s">
        <v>59</v>
      </c>
    </row>
    <row r="1380">
      <c r="A1380" s="24" t="s">
        <v>5504</v>
      </c>
      <c r="B1380" s="24" t="s">
        <v>5505</v>
      </c>
      <c r="C1380" s="24" t="s">
        <v>5506</v>
      </c>
      <c r="D1380" s="24" t="s">
        <v>124</v>
      </c>
      <c r="E1380" s="24" t="s">
        <v>5507</v>
      </c>
      <c r="F1380" s="24" t="s">
        <v>59</v>
      </c>
    </row>
    <row r="1381">
      <c r="A1381" s="24" t="s">
        <v>5508</v>
      </c>
      <c r="B1381" s="24" t="s">
        <v>5509</v>
      </c>
      <c r="C1381" s="24" t="s">
        <v>5510</v>
      </c>
      <c r="D1381" s="24" t="s">
        <v>264</v>
      </c>
      <c r="E1381" s="24" t="s">
        <v>5511</v>
      </c>
      <c r="F1381" s="24" t="s">
        <v>59</v>
      </c>
    </row>
    <row r="1382">
      <c r="A1382" s="24" t="s">
        <v>5512</v>
      </c>
      <c r="B1382" s="24" t="s">
        <v>5513</v>
      </c>
      <c r="C1382" s="24" t="s">
        <v>5514</v>
      </c>
      <c r="D1382" s="24" t="s">
        <v>124</v>
      </c>
      <c r="E1382" s="24" t="s">
        <v>5515</v>
      </c>
      <c r="F1382" s="24" t="s">
        <v>59</v>
      </c>
    </row>
    <row r="1383">
      <c r="A1383" s="24" t="s">
        <v>5516</v>
      </c>
      <c r="B1383" s="24" t="s">
        <v>5517</v>
      </c>
      <c r="C1383" s="24" t="s">
        <v>5518</v>
      </c>
      <c r="D1383" s="24" t="s">
        <v>124</v>
      </c>
      <c r="E1383" s="24" t="s">
        <v>5519</v>
      </c>
      <c r="F1383" s="24" t="s">
        <v>59</v>
      </c>
    </row>
    <row r="1384">
      <c r="A1384" s="24" t="s">
        <v>5520</v>
      </c>
      <c r="B1384" s="24" t="s">
        <v>5521</v>
      </c>
      <c r="C1384" s="24" t="s">
        <v>5522</v>
      </c>
      <c r="D1384" s="24" t="s">
        <v>124</v>
      </c>
      <c r="E1384" s="24" t="s">
        <v>5523</v>
      </c>
      <c r="F1384" s="24" t="s">
        <v>59</v>
      </c>
    </row>
    <row r="1385">
      <c r="A1385" s="24" t="s">
        <v>5524</v>
      </c>
      <c r="B1385" s="24" t="s">
        <v>5525</v>
      </c>
      <c r="C1385" s="24" t="s">
        <v>5526</v>
      </c>
      <c r="D1385" s="24" t="s">
        <v>264</v>
      </c>
      <c r="E1385" s="24" t="s">
        <v>5527</v>
      </c>
      <c r="F1385" s="24" t="s">
        <v>59</v>
      </c>
    </row>
    <row r="1386">
      <c r="A1386" s="24" t="s">
        <v>5528</v>
      </c>
      <c r="B1386" s="24" t="s">
        <v>5529</v>
      </c>
      <c r="C1386" s="24" t="s">
        <v>5530</v>
      </c>
      <c r="D1386" s="24" t="s">
        <v>124</v>
      </c>
      <c r="E1386" s="24" t="s">
        <v>5531</v>
      </c>
      <c r="F1386" s="24" t="s">
        <v>59</v>
      </c>
    </row>
    <row r="1387">
      <c r="A1387" s="24" t="s">
        <v>5532</v>
      </c>
      <c r="B1387" s="24" t="s">
        <v>5533</v>
      </c>
      <c r="C1387" s="24" t="s">
        <v>5534</v>
      </c>
      <c r="D1387" s="24" t="s">
        <v>124</v>
      </c>
      <c r="E1387" s="24" t="s">
        <v>5535</v>
      </c>
      <c r="F1387" s="24" t="s">
        <v>59</v>
      </c>
    </row>
    <row r="1388">
      <c r="A1388" s="24" t="s">
        <v>5536</v>
      </c>
      <c r="B1388" s="24" t="s">
        <v>5537</v>
      </c>
      <c r="C1388" s="24" t="s">
        <v>5538</v>
      </c>
      <c r="D1388" s="24" t="s">
        <v>124</v>
      </c>
      <c r="E1388" s="24" t="s">
        <v>5539</v>
      </c>
      <c r="F1388" s="24" t="s">
        <v>59</v>
      </c>
    </row>
    <row r="1389">
      <c r="A1389" s="24" t="s">
        <v>5540</v>
      </c>
      <c r="B1389" s="24" t="s">
        <v>5541</v>
      </c>
      <c r="C1389" s="24" t="s">
        <v>5542</v>
      </c>
      <c r="D1389" s="24" t="s">
        <v>124</v>
      </c>
      <c r="E1389" s="24" t="s">
        <v>5543</v>
      </c>
      <c r="F1389" s="24" t="s">
        <v>59</v>
      </c>
    </row>
    <row r="1390">
      <c r="A1390" s="24" t="s">
        <v>5544</v>
      </c>
      <c r="B1390" s="24" t="s">
        <v>5545</v>
      </c>
      <c r="C1390" s="24" t="s">
        <v>5546</v>
      </c>
      <c r="D1390" s="24" t="s">
        <v>264</v>
      </c>
      <c r="E1390" s="24" t="s">
        <v>5547</v>
      </c>
      <c r="F1390" s="24" t="s">
        <v>59</v>
      </c>
    </row>
    <row r="1391">
      <c r="A1391" s="24" t="s">
        <v>5548</v>
      </c>
      <c r="B1391" s="24" t="s">
        <v>5549</v>
      </c>
      <c r="C1391" s="24" t="s">
        <v>5550</v>
      </c>
      <c r="D1391" s="24" t="s">
        <v>124</v>
      </c>
      <c r="E1391" s="24" t="s">
        <v>5551</v>
      </c>
      <c r="F1391" s="24" t="s">
        <v>59</v>
      </c>
    </row>
    <row r="1392">
      <c r="A1392" s="24" t="s">
        <v>5552</v>
      </c>
      <c r="B1392" s="24" t="s">
        <v>5553</v>
      </c>
      <c r="C1392" s="24" t="s">
        <v>5554</v>
      </c>
      <c r="D1392" s="24" t="s">
        <v>129</v>
      </c>
      <c r="E1392" s="24" t="s">
        <v>5555</v>
      </c>
      <c r="F1392" s="24" t="s">
        <v>59</v>
      </c>
    </row>
    <row r="1393">
      <c r="A1393" s="24" t="s">
        <v>5556</v>
      </c>
      <c r="B1393" s="24" t="s">
        <v>5557</v>
      </c>
      <c r="C1393" s="24" t="s">
        <v>5558</v>
      </c>
      <c r="D1393" s="24" t="s">
        <v>124</v>
      </c>
      <c r="E1393" s="24" t="s">
        <v>5559</v>
      </c>
      <c r="F1393" s="24" t="s">
        <v>59</v>
      </c>
    </row>
    <row r="1394">
      <c r="A1394" s="24" t="s">
        <v>5560</v>
      </c>
      <c r="B1394" s="24" t="s">
        <v>5561</v>
      </c>
      <c r="C1394" s="24" t="s">
        <v>5562</v>
      </c>
      <c r="D1394" s="24" t="s">
        <v>124</v>
      </c>
      <c r="E1394" s="24" t="s">
        <v>5563</v>
      </c>
      <c r="F1394" s="24" t="s">
        <v>59</v>
      </c>
    </row>
    <row r="1395">
      <c r="A1395" s="24" t="s">
        <v>5564</v>
      </c>
      <c r="B1395" s="24" t="s">
        <v>5565</v>
      </c>
      <c r="C1395" s="24" t="s">
        <v>5566</v>
      </c>
      <c r="D1395" s="24" t="s">
        <v>129</v>
      </c>
      <c r="E1395" s="24" t="s">
        <v>5567</v>
      </c>
      <c r="F1395" s="24" t="s">
        <v>59</v>
      </c>
    </row>
    <row r="1396">
      <c r="A1396" s="24" t="s">
        <v>5568</v>
      </c>
      <c r="B1396" s="24" t="s">
        <v>5569</v>
      </c>
      <c r="C1396" s="24" t="s">
        <v>5570</v>
      </c>
      <c r="D1396" s="24" t="s">
        <v>124</v>
      </c>
      <c r="E1396" s="24" t="s">
        <v>5571</v>
      </c>
      <c r="F1396" s="24" t="s">
        <v>59</v>
      </c>
    </row>
    <row r="1397">
      <c r="A1397" s="24" t="s">
        <v>5572</v>
      </c>
      <c r="B1397" s="24" t="s">
        <v>5573</v>
      </c>
      <c r="C1397" s="24" t="s">
        <v>5574</v>
      </c>
      <c r="D1397" s="24" t="s">
        <v>124</v>
      </c>
      <c r="E1397" s="24" t="s">
        <v>5575</v>
      </c>
      <c r="F1397" s="24" t="s">
        <v>59</v>
      </c>
    </row>
    <row r="1398">
      <c r="A1398" s="24" t="s">
        <v>5576</v>
      </c>
      <c r="B1398" s="24" t="s">
        <v>5577</v>
      </c>
      <c r="C1398" s="24" t="s">
        <v>5578</v>
      </c>
      <c r="D1398" s="24" t="s">
        <v>124</v>
      </c>
      <c r="E1398" s="24" t="s">
        <v>5579</v>
      </c>
      <c r="F1398" s="24" t="s">
        <v>59</v>
      </c>
    </row>
    <row r="1399">
      <c r="A1399" s="24" t="s">
        <v>5580</v>
      </c>
      <c r="B1399" s="24" t="s">
        <v>5581</v>
      </c>
      <c r="C1399" s="24" t="s">
        <v>5582</v>
      </c>
      <c r="D1399" s="24" t="s">
        <v>124</v>
      </c>
      <c r="E1399" s="24" t="s">
        <v>5583</v>
      </c>
      <c r="F1399" s="24" t="s">
        <v>59</v>
      </c>
    </row>
    <row r="1400">
      <c r="A1400" s="24" t="s">
        <v>5584</v>
      </c>
      <c r="B1400" s="24" t="s">
        <v>5585</v>
      </c>
      <c r="C1400" s="24" t="s">
        <v>5586</v>
      </c>
      <c r="D1400" s="24" t="s">
        <v>124</v>
      </c>
      <c r="E1400" s="24" t="s">
        <v>5587</v>
      </c>
      <c r="F1400" s="24" t="s">
        <v>59</v>
      </c>
    </row>
    <row r="1401">
      <c r="A1401" s="24" t="s">
        <v>5588</v>
      </c>
      <c r="B1401" s="24" t="s">
        <v>5589</v>
      </c>
      <c r="C1401" s="24" t="s">
        <v>5590</v>
      </c>
      <c r="D1401" s="24" t="s">
        <v>264</v>
      </c>
      <c r="E1401" s="24" t="s">
        <v>5591</v>
      </c>
      <c r="F1401" s="24" t="s">
        <v>59</v>
      </c>
    </row>
    <row r="1402">
      <c r="A1402" s="24" t="s">
        <v>5592</v>
      </c>
      <c r="B1402" s="24" t="s">
        <v>5593</v>
      </c>
      <c r="C1402" s="24" t="s">
        <v>5594</v>
      </c>
      <c r="D1402" s="24" t="s">
        <v>129</v>
      </c>
      <c r="E1402" s="24" t="s">
        <v>5595</v>
      </c>
      <c r="F1402" s="24" t="s">
        <v>59</v>
      </c>
    </row>
    <row r="1403">
      <c r="A1403" s="24" t="s">
        <v>5596</v>
      </c>
      <c r="B1403" s="24" t="s">
        <v>5597</v>
      </c>
      <c r="C1403" s="24" t="s">
        <v>5598</v>
      </c>
      <c r="D1403" s="24" t="s">
        <v>124</v>
      </c>
      <c r="E1403" s="24" t="s">
        <v>5599</v>
      </c>
      <c r="F1403" s="24" t="s">
        <v>59</v>
      </c>
    </row>
    <row r="1404">
      <c r="A1404" s="24" t="s">
        <v>5600</v>
      </c>
      <c r="B1404" s="24" t="s">
        <v>5601</v>
      </c>
      <c r="C1404" s="24" t="s">
        <v>5602</v>
      </c>
      <c r="D1404" s="24" t="s">
        <v>124</v>
      </c>
      <c r="E1404" s="24" t="s">
        <v>5603</v>
      </c>
      <c r="F1404" s="24" t="s">
        <v>59</v>
      </c>
    </row>
    <row r="1405">
      <c r="A1405" s="24" t="s">
        <v>5604</v>
      </c>
      <c r="B1405" s="24" t="s">
        <v>5605</v>
      </c>
      <c r="C1405" s="24" t="s">
        <v>5606</v>
      </c>
      <c r="D1405" s="24" t="s">
        <v>124</v>
      </c>
      <c r="E1405" s="24" t="s">
        <v>5607</v>
      </c>
      <c r="F1405" s="24" t="s">
        <v>59</v>
      </c>
    </row>
    <row r="1406">
      <c r="A1406" s="24" t="s">
        <v>5608</v>
      </c>
      <c r="B1406" s="24" t="s">
        <v>5609</v>
      </c>
      <c r="C1406" s="24" t="s">
        <v>5610</v>
      </c>
      <c r="D1406" s="24" t="s">
        <v>124</v>
      </c>
      <c r="E1406" s="24" t="s">
        <v>5611</v>
      </c>
      <c r="F1406" s="24" t="s">
        <v>59</v>
      </c>
    </row>
    <row r="1407">
      <c r="A1407" s="24" t="s">
        <v>5612</v>
      </c>
      <c r="B1407" s="24" t="s">
        <v>5613</v>
      </c>
      <c r="C1407" s="24" t="s">
        <v>5614</v>
      </c>
      <c r="D1407" s="24" t="s">
        <v>124</v>
      </c>
      <c r="E1407" s="24" t="s">
        <v>5615</v>
      </c>
      <c r="F1407" s="24" t="s">
        <v>59</v>
      </c>
    </row>
    <row r="1408">
      <c r="A1408" s="24" t="s">
        <v>5616</v>
      </c>
      <c r="B1408" s="24" t="s">
        <v>5617</v>
      </c>
      <c r="C1408" s="24" t="s">
        <v>5618</v>
      </c>
      <c r="D1408" s="24" t="s">
        <v>129</v>
      </c>
      <c r="E1408" s="24" t="s">
        <v>5619</v>
      </c>
      <c r="F1408" s="24" t="s">
        <v>59</v>
      </c>
    </row>
    <row r="1409">
      <c r="A1409" s="24" t="s">
        <v>5620</v>
      </c>
      <c r="B1409" s="24" t="s">
        <v>5621</v>
      </c>
      <c r="C1409" s="24" t="s">
        <v>5622</v>
      </c>
      <c r="D1409" s="24" t="s">
        <v>124</v>
      </c>
      <c r="E1409" s="24" t="s">
        <v>5623</v>
      </c>
      <c r="F1409" s="24" t="s">
        <v>59</v>
      </c>
    </row>
    <row r="1410">
      <c r="A1410" s="24" t="s">
        <v>5624</v>
      </c>
      <c r="B1410" s="24" t="s">
        <v>5625</v>
      </c>
      <c r="C1410" s="24" t="s">
        <v>5626</v>
      </c>
      <c r="D1410" s="24" t="s">
        <v>264</v>
      </c>
      <c r="E1410" s="24" t="s">
        <v>5627</v>
      </c>
      <c r="F1410" s="24" t="s">
        <v>59</v>
      </c>
    </row>
    <row r="1411">
      <c r="A1411" s="24" t="s">
        <v>5628</v>
      </c>
      <c r="B1411" s="24" t="s">
        <v>5629</v>
      </c>
      <c r="C1411" s="24" t="s">
        <v>5630</v>
      </c>
      <c r="D1411" s="24" t="s">
        <v>124</v>
      </c>
      <c r="E1411" s="24" t="s">
        <v>5631</v>
      </c>
      <c r="F1411" s="24" t="s">
        <v>59</v>
      </c>
    </row>
    <row r="1412">
      <c r="A1412" s="24" t="s">
        <v>5632</v>
      </c>
      <c r="B1412" s="24" t="s">
        <v>5633</v>
      </c>
      <c r="C1412" s="24" t="s">
        <v>5634</v>
      </c>
      <c r="D1412" s="24" t="s">
        <v>129</v>
      </c>
      <c r="E1412" s="24" t="s">
        <v>5635</v>
      </c>
      <c r="F1412" s="24" t="s">
        <v>59</v>
      </c>
    </row>
    <row r="1413">
      <c r="A1413" s="24" t="s">
        <v>5636</v>
      </c>
      <c r="B1413" s="24" t="s">
        <v>5637</v>
      </c>
      <c r="C1413" s="24" t="s">
        <v>5638</v>
      </c>
      <c r="D1413" s="24" t="s">
        <v>124</v>
      </c>
      <c r="E1413" s="24" t="s">
        <v>5639</v>
      </c>
      <c r="F1413" s="24" t="s">
        <v>59</v>
      </c>
    </row>
    <row r="1414">
      <c r="A1414" s="24" t="s">
        <v>5640</v>
      </c>
      <c r="B1414" s="24" t="s">
        <v>5641</v>
      </c>
      <c r="C1414" s="24" t="s">
        <v>5642</v>
      </c>
      <c r="D1414" s="24" t="s">
        <v>124</v>
      </c>
      <c r="E1414" s="24" t="s">
        <v>5643</v>
      </c>
      <c r="F1414" s="24" t="s">
        <v>59</v>
      </c>
    </row>
    <row r="1415">
      <c r="A1415" s="24" t="s">
        <v>5644</v>
      </c>
      <c r="B1415" s="24" t="s">
        <v>5645</v>
      </c>
      <c r="C1415" s="24" t="s">
        <v>5646</v>
      </c>
      <c r="D1415" s="24" t="s">
        <v>124</v>
      </c>
      <c r="E1415" s="24" t="s">
        <v>5647</v>
      </c>
      <c r="F1415" s="24" t="s">
        <v>59</v>
      </c>
    </row>
    <row r="1416">
      <c r="A1416" s="24" t="s">
        <v>5648</v>
      </c>
      <c r="B1416" s="24" t="s">
        <v>5649</v>
      </c>
      <c r="C1416" s="24" t="s">
        <v>5650</v>
      </c>
      <c r="D1416" s="24" t="s">
        <v>124</v>
      </c>
      <c r="E1416" s="24" t="s">
        <v>5651</v>
      </c>
      <c r="F1416" s="24" t="s">
        <v>59</v>
      </c>
    </row>
    <row r="1417">
      <c r="A1417" s="24" t="s">
        <v>5652</v>
      </c>
      <c r="B1417" s="24" t="s">
        <v>5653</v>
      </c>
      <c r="C1417" s="24" t="s">
        <v>5654</v>
      </c>
      <c r="D1417" s="24" t="s">
        <v>124</v>
      </c>
      <c r="E1417" s="24" t="s">
        <v>5655</v>
      </c>
      <c r="F1417" s="24" t="s">
        <v>59</v>
      </c>
    </row>
    <row r="1418">
      <c r="A1418" s="24" t="s">
        <v>5656</v>
      </c>
      <c r="B1418" s="24" t="s">
        <v>5657</v>
      </c>
      <c r="C1418" s="24" t="s">
        <v>5658</v>
      </c>
      <c r="D1418" s="24" t="s">
        <v>124</v>
      </c>
      <c r="E1418" s="24" t="s">
        <v>5659</v>
      </c>
      <c r="F1418" s="24" t="s">
        <v>59</v>
      </c>
    </row>
    <row r="1419">
      <c r="A1419" s="24" t="s">
        <v>5660</v>
      </c>
      <c r="B1419" s="24" t="s">
        <v>5661</v>
      </c>
      <c r="C1419" s="24" t="s">
        <v>5662</v>
      </c>
      <c r="D1419" s="24" t="s">
        <v>124</v>
      </c>
      <c r="E1419" s="24" t="s">
        <v>5663</v>
      </c>
      <c r="F1419" s="24" t="s">
        <v>59</v>
      </c>
    </row>
    <row r="1420">
      <c r="A1420" s="24" t="s">
        <v>5664</v>
      </c>
      <c r="B1420" s="24" t="s">
        <v>5665</v>
      </c>
      <c r="C1420" s="24" t="s">
        <v>5666</v>
      </c>
      <c r="D1420" s="24" t="s">
        <v>124</v>
      </c>
      <c r="E1420" s="24" t="s">
        <v>5667</v>
      </c>
      <c r="F1420" s="24" t="s">
        <v>59</v>
      </c>
    </row>
    <row r="1421">
      <c r="A1421" s="24" t="s">
        <v>5668</v>
      </c>
      <c r="B1421" s="24" t="s">
        <v>5669</v>
      </c>
      <c r="C1421" s="24" t="s">
        <v>5670</v>
      </c>
      <c r="D1421" s="24" t="s">
        <v>129</v>
      </c>
      <c r="E1421" s="24" t="s">
        <v>5671</v>
      </c>
      <c r="F1421" s="24" t="s">
        <v>59</v>
      </c>
    </row>
    <row r="1422">
      <c r="A1422" s="24" t="s">
        <v>5672</v>
      </c>
      <c r="B1422" s="24" t="s">
        <v>5673</v>
      </c>
      <c r="C1422" s="24" t="s">
        <v>5674</v>
      </c>
      <c r="D1422" s="24" t="s">
        <v>129</v>
      </c>
      <c r="E1422" s="24" t="s">
        <v>5675</v>
      </c>
      <c r="F1422" s="24" t="s">
        <v>59</v>
      </c>
    </row>
    <row r="1423">
      <c r="A1423" s="24" t="s">
        <v>5676</v>
      </c>
      <c r="B1423" s="24" t="s">
        <v>5677</v>
      </c>
      <c r="C1423" s="24" t="s">
        <v>5678</v>
      </c>
      <c r="D1423" s="24" t="s">
        <v>124</v>
      </c>
      <c r="E1423" s="24" t="s">
        <v>5679</v>
      </c>
      <c r="F1423" s="24" t="s">
        <v>59</v>
      </c>
    </row>
    <row r="1424">
      <c r="A1424" s="24" t="s">
        <v>5680</v>
      </c>
      <c r="B1424" s="24" t="s">
        <v>5681</v>
      </c>
      <c r="C1424" s="24" t="s">
        <v>5682</v>
      </c>
      <c r="D1424" s="24" t="s">
        <v>124</v>
      </c>
      <c r="E1424" s="24" t="s">
        <v>5683</v>
      </c>
      <c r="F1424" s="24" t="s">
        <v>59</v>
      </c>
    </row>
    <row r="1425">
      <c r="A1425" s="24" t="s">
        <v>5684</v>
      </c>
      <c r="B1425" s="24" t="s">
        <v>5685</v>
      </c>
      <c r="C1425" s="24" t="s">
        <v>5686</v>
      </c>
      <c r="D1425" s="24" t="s">
        <v>124</v>
      </c>
      <c r="E1425" s="24" t="s">
        <v>5687</v>
      </c>
      <c r="F1425" s="24" t="s">
        <v>59</v>
      </c>
    </row>
    <row r="1426">
      <c r="A1426" s="24" t="s">
        <v>5688</v>
      </c>
      <c r="B1426" s="24" t="s">
        <v>5689</v>
      </c>
      <c r="C1426" s="24" t="s">
        <v>5690</v>
      </c>
      <c r="D1426" s="24" t="s">
        <v>124</v>
      </c>
      <c r="E1426" s="24" t="s">
        <v>5691</v>
      </c>
      <c r="F1426" s="24" t="s">
        <v>59</v>
      </c>
    </row>
    <row r="1427">
      <c r="A1427" s="24" t="s">
        <v>5692</v>
      </c>
      <c r="B1427" s="24" t="s">
        <v>5693</v>
      </c>
      <c r="C1427" s="24" t="s">
        <v>5694</v>
      </c>
      <c r="D1427" s="24" t="s">
        <v>129</v>
      </c>
      <c r="E1427" s="24" t="s">
        <v>5695</v>
      </c>
      <c r="F1427" s="24" t="s">
        <v>59</v>
      </c>
    </row>
    <row r="1428">
      <c r="A1428" s="24" t="s">
        <v>5696</v>
      </c>
      <c r="B1428" s="24" t="s">
        <v>5697</v>
      </c>
      <c r="C1428" s="24" t="s">
        <v>5698</v>
      </c>
      <c r="D1428" s="24" t="s">
        <v>124</v>
      </c>
      <c r="E1428" s="24" t="s">
        <v>5699</v>
      </c>
      <c r="F1428" s="24" t="s">
        <v>59</v>
      </c>
    </row>
    <row r="1429">
      <c r="A1429" s="24" t="s">
        <v>5700</v>
      </c>
      <c r="B1429" s="24" t="s">
        <v>5701</v>
      </c>
      <c r="C1429" s="24" t="s">
        <v>5702</v>
      </c>
      <c r="D1429" s="24" t="s">
        <v>124</v>
      </c>
      <c r="E1429" s="24" t="s">
        <v>5703</v>
      </c>
      <c r="F1429" s="24" t="s">
        <v>59</v>
      </c>
    </row>
    <row r="1430">
      <c r="A1430" s="24" t="s">
        <v>5704</v>
      </c>
      <c r="B1430" s="24" t="s">
        <v>5705</v>
      </c>
      <c r="C1430" s="24" t="s">
        <v>5706</v>
      </c>
      <c r="D1430" s="24" t="s">
        <v>264</v>
      </c>
      <c r="E1430" s="24" t="s">
        <v>5707</v>
      </c>
      <c r="F1430" s="24" t="s">
        <v>59</v>
      </c>
    </row>
    <row r="1431">
      <c r="A1431" s="24" t="s">
        <v>5708</v>
      </c>
      <c r="B1431" s="24" t="s">
        <v>5709</v>
      </c>
      <c r="C1431" s="24" t="s">
        <v>5710</v>
      </c>
      <c r="D1431" s="24" t="s">
        <v>124</v>
      </c>
      <c r="E1431" s="24" t="s">
        <v>5711</v>
      </c>
      <c r="F1431" s="24" t="s">
        <v>59</v>
      </c>
    </row>
    <row r="1432">
      <c r="A1432" s="24" t="s">
        <v>5712</v>
      </c>
      <c r="B1432" s="24" t="s">
        <v>5713</v>
      </c>
      <c r="C1432" s="24" t="s">
        <v>5714</v>
      </c>
      <c r="D1432" s="24" t="s">
        <v>264</v>
      </c>
      <c r="E1432" s="24" t="s">
        <v>5715</v>
      </c>
      <c r="F1432" s="24" t="s">
        <v>59</v>
      </c>
    </row>
    <row r="1433">
      <c r="A1433" s="24" t="s">
        <v>5716</v>
      </c>
      <c r="B1433" s="24" t="s">
        <v>5717</v>
      </c>
      <c r="C1433" s="24" t="s">
        <v>5718</v>
      </c>
      <c r="D1433" s="24" t="s">
        <v>124</v>
      </c>
      <c r="E1433" s="24" t="s">
        <v>5719</v>
      </c>
      <c r="F1433" s="24" t="s">
        <v>59</v>
      </c>
    </row>
    <row r="1434">
      <c r="A1434" s="24" t="s">
        <v>5720</v>
      </c>
      <c r="B1434" s="24" t="s">
        <v>5721</v>
      </c>
      <c r="C1434" s="24" t="s">
        <v>5722</v>
      </c>
      <c r="D1434" s="24" t="s">
        <v>124</v>
      </c>
      <c r="E1434" s="24" t="s">
        <v>5723</v>
      </c>
      <c r="F1434" s="24" t="s">
        <v>59</v>
      </c>
    </row>
    <row r="1435">
      <c r="A1435" s="24" t="s">
        <v>5724</v>
      </c>
      <c r="B1435" s="24" t="s">
        <v>5725</v>
      </c>
      <c r="C1435" s="24" t="s">
        <v>5726</v>
      </c>
      <c r="D1435" s="24" t="s">
        <v>124</v>
      </c>
      <c r="E1435" s="24" t="s">
        <v>5727</v>
      </c>
      <c r="F1435" s="24" t="s">
        <v>59</v>
      </c>
    </row>
    <row r="1436">
      <c r="A1436" s="24" t="s">
        <v>5728</v>
      </c>
      <c r="B1436" s="24" t="s">
        <v>5729</v>
      </c>
      <c r="C1436" s="24" t="s">
        <v>5730</v>
      </c>
      <c r="D1436" s="24" t="s">
        <v>124</v>
      </c>
      <c r="E1436" s="24" t="s">
        <v>5731</v>
      </c>
      <c r="F1436" s="24" t="s">
        <v>59</v>
      </c>
    </row>
    <row r="1437">
      <c r="A1437" s="24" t="s">
        <v>5732</v>
      </c>
      <c r="B1437" s="24" t="s">
        <v>5733</v>
      </c>
      <c r="C1437" s="24" t="s">
        <v>5734</v>
      </c>
      <c r="D1437" s="24" t="s">
        <v>129</v>
      </c>
      <c r="E1437" s="24" t="s">
        <v>5735</v>
      </c>
      <c r="F1437" s="24" t="s">
        <v>59</v>
      </c>
    </row>
    <row r="1438">
      <c r="A1438" s="24" t="s">
        <v>5736</v>
      </c>
      <c r="B1438" s="24" t="s">
        <v>5737</v>
      </c>
      <c r="C1438" s="24" t="s">
        <v>5738</v>
      </c>
      <c r="D1438" s="24" t="s">
        <v>124</v>
      </c>
      <c r="E1438" s="24" t="s">
        <v>5739</v>
      </c>
      <c r="F1438" s="24" t="s">
        <v>59</v>
      </c>
    </row>
    <row r="1439">
      <c r="A1439" s="24" t="s">
        <v>5740</v>
      </c>
      <c r="B1439" s="24" t="s">
        <v>5741</v>
      </c>
      <c r="C1439" s="24" t="s">
        <v>5742</v>
      </c>
      <c r="D1439" s="24" t="s">
        <v>124</v>
      </c>
      <c r="E1439" s="24" t="s">
        <v>5743</v>
      </c>
      <c r="F1439" s="24" t="s">
        <v>59</v>
      </c>
    </row>
    <row r="1440">
      <c r="A1440" s="24" t="s">
        <v>5744</v>
      </c>
      <c r="B1440" s="24" t="s">
        <v>5745</v>
      </c>
      <c r="C1440" s="24" t="s">
        <v>5746</v>
      </c>
      <c r="D1440" s="24" t="s">
        <v>124</v>
      </c>
      <c r="E1440" s="24" t="s">
        <v>5747</v>
      </c>
      <c r="F1440" s="24" t="s">
        <v>59</v>
      </c>
    </row>
    <row r="1441">
      <c r="A1441" s="24" t="s">
        <v>5748</v>
      </c>
      <c r="B1441" s="24" t="s">
        <v>5749</v>
      </c>
      <c r="C1441" s="24" t="s">
        <v>5750</v>
      </c>
      <c r="D1441" s="24" t="s">
        <v>124</v>
      </c>
      <c r="E1441" s="24" t="s">
        <v>5751</v>
      </c>
      <c r="F1441" s="24" t="s">
        <v>59</v>
      </c>
    </row>
    <row r="1442">
      <c r="A1442" s="24" t="s">
        <v>5752</v>
      </c>
      <c r="B1442" s="24" t="s">
        <v>5753</v>
      </c>
      <c r="C1442" s="24" t="s">
        <v>5754</v>
      </c>
      <c r="D1442" s="24" t="s">
        <v>124</v>
      </c>
      <c r="E1442" s="24" t="s">
        <v>5755</v>
      </c>
      <c r="F1442" s="24" t="s">
        <v>59</v>
      </c>
    </row>
    <row r="1443">
      <c r="A1443" s="24" t="s">
        <v>5756</v>
      </c>
      <c r="B1443" s="24" t="s">
        <v>5757</v>
      </c>
      <c r="C1443" s="24" t="s">
        <v>5758</v>
      </c>
      <c r="D1443" s="24" t="s">
        <v>124</v>
      </c>
      <c r="E1443" s="24" t="s">
        <v>5759</v>
      </c>
      <c r="F1443" s="24" t="s">
        <v>59</v>
      </c>
    </row>
    <row r="1444">
      <c r="A1444" s="24" t="s">
        <v>5760</v>
      </c>
      <c r="B1444" s="24" t="s">
        <v>5761</v>
      </c>
      <c r="C1444" s="24" t="s">
        <v>5762</v>
      </c>
      <c r="D1444" s="24" t="s">
        <v>129</v>
      </c>
      <c r="E1444" s="24" t="s">
        <v>5763</v>
      </c>
      <c r="F1444" s="24" t="s">
        <v>59</v>
      </c>
    </row>
    <row r="1445">
      <c r="A1445" s="24" t="s">
        <v>5764</v>
      </c>
      <c r="B1445" s="24" t="s">
        <v>5765</v>
      </c>
      <c r="C1445" s="24" t="s">
        <v>5766</v>
      </c>
      <c r="D1445" s="24" t="s">
        <v>129</v>
      </c>
      <c r="E1445" s="24" t="s">
        <v>5767</v>
      </c>
      <c r="F1445" s="24" t="s">
        <v>59</v>
      </c>
    </row>
    <row r="1446">
      <c r="A1446" s="24" t="s">
        <v>5768</v>
      </c>
      <c r="B1446" s="24" t="s">
        <v>5769</v>
      </c>
      <c r="C1446" s="24" t="s">
        <v>5770</v>
      </c>
      <c r="D1446" s="24" t="s">
        <v>124</v>
      </c>
      <c r="E1446" s="24" t="s">
        <v>5771</v>
      </c>
      <c r="F1446" s="24" t="s">
        <v>59</v>
      </c>
    </row>
    <row r="1447">
      <c r="A1447" s="24" t="s">
        <v>5772</v>
      </c>
      <c r="B1447" s="24" t="s">
        <v>5773</v>
      </c>
      <c r="C1447" s="24" t="s">
        <v>5774</v>
      </c>
      <c r="D1447" s="24" t="s">
        <v>124</v>
      </c>
      <c r="E1447" s="24" t="s">
        <v>5775</v>
      </c>
      <c r="F1447" s="24" t="s">
        <v>59</v>
      </c>
    </row>
    <row r="1448">
      <c r="A1448" s="24" t="s">
        <v>5776</v>
      </c>
      <c r="B1448" s="24" t="s">
        <v>5777</v>
      </c>
      <c r="C1448" s="24" t="s">
        <v>5778</v>
      </c>
      <c r="D1448" s="24" t="s">
        <v>124</v>
      </c>
      <c r="E1448" s="24" t="s">
        <v>5779</v>
      </c>
      <c r="F1448" s="24" t="s">
        <v>59</v>
      </c>
    </row>
    <row r="1449">
      <c r="A1449" s="24" t="s">
        <v>5780</v>
      </c>
      <c r="B1449" s="24" t="s">
        <v>5781</v>
      </c>
      <c r="C1449" s="24" t="s">
        <v>5782</v>
      </c>
      <c r="D1449" s="24" t="s">
        <v>124</v>
      </c>
      <c r="E1449" s="24" t="s">
        <v>5783</v>
      </c>
      <c r="F1449" s="24" t="s">
        <v>59</v>
      </c>
    </row>
    <row r="1450">
      <c r="A1450" s="24" t="s">
        <v>5784</v>
      </c>
      <c r="B1450" s="24" t="s">
        <v>5785</v>
      </c>
      <c r="C1450" s="24" t="s">
        <v>5786</v>
      </c>
      <c r="D1450" s="24" t="s">
        <v>124</v>
      </c>
      <c r="E1450" s="24" t="s">
        <v>5787</v>
      </c>
      <c r="F1450" s="24" t="s">
        <v>59</v>
      </c>
    </row>
    <row r="1451">
      <c r="A1451" s="24" t="s">
        <v>5788</v>
      </c>
      <c r="B1451" s="24" t="s">
        <v>5789</v>
      </c>
      <c r="C1451" s="24" t="s">
        <v>5790</v>
      </c>
      <c r="D1451" s="24" t="s">
        <v>124</v>
      </c>
      <c r="E1451" s="24" t="s">
        <v>5791</v>
      </c>
      <c r="F1451" s="24" t="s">
        <v>59</v>
      </c>
    </row>
    <row r="1452">
      <c r="A1452" s="24" t="s">
        <v>5792</v>
      </c>
      <c r="B1452" s="24" t="s">
        <v>5793</v>
      </c>
      <c r="C1452" s="24" t="s">
        <v>5794</v>
      </c>
      <c r="D1452" s="24" t="s">
        <v>129</v>
      </c>
      <c r="E1452" s="24" t="s">
        <v>5795</v>
      </c>
      <c r="F1452" s="24" t="s">
        <v>59</v>
      </c>
    </row>
    <row r="1453">
      <c r="A1453" s="24" t="s">
        <v>5796</v>
      </c>
      <c r="B1453" s="24" t="s">
        <v>5797</v>
      </c>
      <c r="C1453" s="24" t="s">
        <v>5798</v>
      </c>
      <c r="D1453" s="24" t="s">
        <v>129</v>
      </c>
      <c r="E1453" s="24" t="s">
        <v>5799</v>
      </c>
      <c r="F1453" s="24" t="s">
        <v>59</v>
      </c>
    </row>
    <row r="1454">
      <c r="A1454" s="24" t="s">
        <v>5800</v>
      </c>
      <c r="B1454" s="24" t="s">
        <v>5801</v>
      </c>
      <c r="C1454" s="24" t="s">
        <v>5802</v>
      </c>
      <c r="D1454" s="24" t="s">
        <v>124</v>
      </c>
      <c r="E1454" s="24" t="s">
        <v>5803</v>
      </c>
      <c r="F1454" s="24" t="s">
        <v>59</v>
      </c>
    </row>
    <row r="1455">
      <c r="A1455" s="24" t="s">
        <v>5804</v>
      </c>
      <c r="B1455" s="24" t="s">
        <v>5805</v>
      </c>
      <c r="C1455" s="24" t="s">
        <v>5806</v>
      </c>
      <c r="D1455" s="24" t="s">
        <v>124</v>
      </c>
      <c r="E1455" s="24" t="s">
        <v>5807</v>
      </c>
      <c r="F1455" s="24" t="s">
        <v>59</v>
      </c>
    </row>
    <row r="1456">
      <c r="A1456" s="24" t="s">
        <v>5808</v>
      </c>
      <c r="B1456" s="24" t="s">
        <v>5809</v>
      </c>
      <c r="C1456" s="24" t="s">
        <v>5810</v>
      </c>
      <c r="D1456" s="24" t="s">
        <v>124</v>
      </c>
      <c r="E1456" s="24" t="s">
        <v>5811</v>
      </c>
      <c r="F1456" s="24" t="s">
        <v>59</v>
      </c>
    </row>
    <row r="1457">
      <c r="A1457" s="24" t="s">
        <v>5812</v>
      </c>
      <c r="B1457" s="24" t="s">
        <v>5813</v>
      </c>
      <c r="C1457" s="24" t="s">
        <v>5814</v>
      </c>
      <c r="D1457" s="24" t="s">
        <v>264</v>
      </c>
      <c r="E1457" s="24" t="s">
        <v>5815</v>
      </c>
      <c r="F1457" s="24" t="s">
        <v>59</v>
      </c>
    </row>
    <row r="1458">
      <c r="A1458" s="24" t="s">
        <v>5816</v>
      </c>
      <c r="B1458" s="24" t="s">
        <v>5817</v>
      </c>
      <c r="C1458" s="24" t="s">
        <v>5818</v>
      </c>
      <c r="D1458" s="24" t="s">
        <v>124</v>
      </c>
      <c r="E1458" s="24" t="s">
        <v>5819</v>
      </c>
      <c r="F1458" s="24" t="s">
        <v>59</v>
      </c>
    </row>
    <row r="1459">
      <c r="A1459" s="24" t="s">
        <v>5820</v>
      </c>
      <c r="B1459" s="24" t="s">
        <v>5821</v>
      </c>
      <c r="C1459" s="24" t="s">
        <v>5822</v>
      </c>
      <c r="D1459" s="24" t="s">
        <v>124</v>
      </c>
      <c r="E1459" s="24" t="s">
        <v>5823</v>
      </c>
      <c r="F1459" s="24" t="s">
        <v>59</v>
      </c>
    </row>
    <row r="1460">
      <c r="A1460" s="24" t="s">
        <v>5824</v>
      </c>
      <c r="B1460" s="24" t="s">
        <v>5825</v>
      </c>
      <c r="C1460" s="24" t="s">
        <v>5826</v>
      </c>
      <c r="D1460" s="24" t="s">
        <v>124</v>
      </c>
      <c r="E1460" s="24" t="s">
        <v>5827</v>
      </c>
      <c r="F1460" s="24" t="s">
        <v>59</v>
      </c>
    </row>
    <row r="1461">
      <c r="A1461" s="24" t="s">
        <v>5828</v>
      </c>
      <c r="B1461" s="24" t="s">
        <v>5829</v>
      </c>
      <c r="C1461" s="24" t="s">
        <v>5830</v>
      </c>
      <c r="D1461" s="24" t="s">
        <v>124</v>
      </c>
      <c r="E1461" s="24" t="s">
        <v>5831</v>
      </c>
      <c r="F1461" s="24" t="s">
        <v>59</v>
      </c>
    </row>
    <row r="1462">
      <c r="A1462" s="24" t="s">
        <v>5832</v>
      </c>
      <c r="B1462" s="24" t="s">
        <v>5833</v>
      </c>
      <c r="C1462" s="24" t="s">
        <v>5834</v>
      </c>
      <c r="D1462" s="24" t="s">
        <v>129</v>
      </c>
      <c r="E1462" s="24" t="s">
        <v>5835</v>
      </c>
      <c r="F1462" s="24" t="s">
        <v>59</v>
      </c>
    </row>
    <row r="1463">
      <c r="A1463" s="24" t="s">
        <v>5836</v>
      </c>
      <c r="B1463" s="24" t="s">
        <v>5837</v>
      </c>
      <c r="C1463" s="24" t="s">
        <v>5838</v>
      </c>
      <c r="D1463" s="24" t="s">
        <v>124</v>
      </c>
      <c r="E1463" s="24" t="s">
        <v>5839</v>
      </c>
      <c r="F1463" s="24" t="s">
        <v>59</v>
      </c>
    </row>
    <row r="1464">
      <c r="A1464" s="24" t="s">
        <v>5840</v>
      </c>
      <c r="B1464" s="24" t="s">
        <v>5841</v>
      </c>
      <c r="C1464" s="24" t="s">
        <v>5842</v>
      </c>
      <c r="D1464" s="24" t="s">
        <v>124</v>
      </c>
      <c r="E1464" s="24" t="s">
        <v>5843</v>
      </c>
      <c r="F1464" s="24" t="s">
        <v>59</v>
      </c>
    </row>
    <row r="1465">
      <c r="A1465" s="24" t="s">
        <v>5844</v>
      </c>
      <c r="B1465" s="24" t="s">
        <v>5845</v>
      </c>
      <c r="C1465" s="24" t="s">
        <v>5846</v>
      </c>
      <c r="D1465" s="24" t="s">
        <v>124</v>
      </c>
      <c r="E1465" s="24" t="s">
        <v>5847</v>
      </c>
      <c r="F1465" s="24" t="s">
        <v>59</v>
      </c>
    </row>
    <row r="1466">
      <c r="A1466" s="24" t="s">
        <v>5848</v>
      </c>
      <c r="B1466" s="24" t="s">
        <v>5849</v>
      </c>
      <c r="C1466" s="24" t="s">
        <v>5850</v>
      </c>
      <c r="D1466" s="24" t="s">
        <v>129</v>
      </c>
      <c r="E1466" s="24" t="s">
        <v>5851</v>
      </c>
      <c r="F1466" s="24" t="s">
        <v>59</v>
      </c>
    </row>
    <row r="1467">
      <c r="A1467" s="24" t="s">
        <v>5852</v>
      </c>
      <c r="B1467" s="24" t="s">
        <v>5853</v>
      </c>
      <c r="C1467" s="24" t="s">
        <v>5854</v>
      </c>
      <c r="D1467" s="24" t="s">
        <v>124</v>
      </c>
      <c r="E1467" s="24" t="s">
        <v>5855</v>
      </c>
      <c r="F1467" s="24" t="s">
        <v>59</v>
      </c>
    </row>
    <row r="1468">
      <c r="A1468" s="24" t="s">
        <v>5856</v>
      </c>
      <c r="B1468" s="24" t="s">
        <v>5857</v>
      </c>
      <c r="C1468" s="24" t="s">
        <v>5858</v>
      </c>
      <c r="D1468" s="24" t="s">
        <v>264</v>
      </c>
      <c r="E1468" s="24" t="s">
        <v>5859</v>
      </c>
      <c r="F1468" s="24" t="s">
        <v>59</v>
      </c>
    </row>
    <row r="1469">
      <c r="A1469" s="24" t="s">
        <v>5860</v>
      </c>
      <c r="B1469" s="24" t="s">
        <v>5861</v>
      </c>
      <c r="C1469" s="24" t="s">
        <v>5862</v>
      </c>
      <c r="D1469" s="24" t="s">
        <v>264</v>
      </c>
      <c r="E1469" s="24" t="s">
        <v>5863</v>
      </c>
      <c r="F1469" s="24" t="s">
        <v>59</v>
      </c>
    </row>
    <row r="1470">
      <c r="A1470" s="24" t="s">
        <v>5864</v>
      </c>
      <c r="B1470" s="24" t="s">
        <v>5865</v>
      </c>
      <c r="C1470" s="24" t="s">
        <v>5866</v>
      </c>
      <c r="D1470" s="24" t="s">
        <v>264</v>
      </c>
      <c r="E1470" s="24" t="s">
        <v>5867</v>
      </c>
      <c r="F1470" s="24" t="s">
        <v>59</v>
      </c>
    </row>
    <row r="1471">
      <c r="A1471" s="24" t="s">
        <v>5868</v>
      </c>
      <c r="B1471" s="24" t="s">
        <v>5869</v>
      </c>
      <c r="C1471" s="24" t="s">
        <v>5870</v>
      </c>
      <c r="D1471" s="24" t="s">
        <v>264</v>
      </c>
      <c r="E1471" s="24" t="s">
        <v>5871</v>
      </c>
      <c r="F1471" s="24" t="s">
        <v>59</v>
      </c>
    </row>
    <row r="1472">
      <c r="A1472" s="24" t="s">
        <v>5872</v>
      </c>
      <c r="B1472" s="24" t="s">
        <v>5873</v>
      </c>
      <c r="C1472" s="24" t="s">
        <v>5874</v>
      </c>
      <c r="D1472" s="24" t="s">
        <v>124</v>
      </c>
      <c r="E1472" s="24" t="s">
        <v>5875</v>
      </c>
      <c r="F1472" s="24" t="s">
        <v>59</v>
      </c>
    </row>
    <row r="1473">
      <c r="A1473" s="24" t="s">
        <v>5876</v>
      </c>
      <c r="B1473" s="24" t="s">
        <v>5877</v>
      </c>
      <c r="C1473" s="24" t="s">
        <v>5878</v>
      </c>
      <c r="D1473" s="24" t="s">
        <v>124</v>
      </c>
      <c r="E1473" s="24" t="s">
        <v>5879</v>
      </c>
      <c r="F1473" s="24" t="s">
        <v>59</v>
      </c>
    </row>
    <row r="1474">
      <c r="A1474" s="24" t="s">
        <v>5880</v>
      </c>
      <c r="B1474" s="24" t="s">
        <v>5881</v>
      </c>
      <c r="C1474" s="24" t="s">
        <v>5882</v>
      </c>
      <c r="D1474" s="24" t="s">
        <v>124</v>
      </c>
      <c r="E1474" s="24" t="s">
        <v>5883</v>
      </c>
      <c r="F1474" s="24" t="s">
        <v>59</v>
      </c>
    </row>
    <row r="1475">
      <c r="A1475" s="24" t="s">
        <v>5884</v>
      </c>
      <c r="B1475" s="24" t="s">
        <v>5885</v>
      </c>
      <c r="C1475" s="24" t="s">
        <v>5886</v>
      </c>
      <c r="D1475" s="24" t="s">
        <v>124</v>
      </c>
      <c r="E1475" s="24" t="s">
        <v>5887</v>
      </c>
      <c r="F1475" s="24" t="s">
        <v>59</v>
      </c>
    </row>
    <row r="1476">
      <c r="A1476" s="24" t="s">
        <v>5888</v>
      </c>
      <c r="B1476" s="24" t="s">
        <v>5889</v>
      </c>
      <c r="C1476" s="24" t="s">
        <v>5890</v>
      </c>
      <c r="D1476" s="24" t="s">
        <v>264</v>
      </c>
      <c r="E1476" s="24" t="s">
        <v>5891</v>
      </c>
      <c r="F1476" s="24" t="s">
        <v>59</v>
      </c>
    </row>
    <row r="1477">
      <c r="A1477" s="24" t="s">
        <v>5892</v>
      </c>
      <c r="B1477" s="24" t="s">
        <v>5893</v>
      </c>
      <c r="C1477" s="24" t="s">
        <v>5894</v>
      </c>
      <c r="D1477" s="24" t="s">
        <v>124</v>
      </c>
      <c r="E1477" s="24" t="s">
        <v>5895</v>
      </c>
      <c r="F1477" s="24" t="s">
        <v>59</v>
      </c>
    </row>
    <row r="1478">
      <c r="A1478" s="24" t="s">
        <v>5896</v>
      </c>
      <c r="B1478" s="24" t="s">
        <v>5897</v>
      </c>
      <c r="C1478" s="24" t="s">
        <v>5898</v>
      </c>
      <c r="D1478" s="24" t="s">
        <v>124</v>
      </c>
      <c r="E1478" s="24" t="s">
        <v>5899</v>
      </c>
      <c r="F1478" s="24" t="s">
        <v>59</v>
      </c>
    </row>
    <row r="1479">
      <c r="A1479" s="24" t="s">
        <v>5900</v>
      </c>
      <c r="B1479" s="24" t="s">
        <v>5901</v>
      </c>
      <c r="C1479" s="24" t="s">
        <v>5902</v>
      </c>
      <c r="D1479" s="24" t="s">
        <v>124</v>
      </c>
      <c r="E1479" s="24" t="s">
        <v>5903</v>
      </c>
      <c r="F1479" s="24" t="s">
        <v>59</v>
      </c>
    </row>
    <row r="1480">
      <c r="A1480" s="24" t="s">
        <v>5904</v>
      </c>
      <c r="B1480" s="24" t="s">
        <v>5905</v>
      </c>
      <c r="C1480" s="24" t="s">
        <v>5906</v>
      </c>
      <c r="D1480" s="24" t="s">
        <v>124</v>
      </c>
      <c r="E1480" s="24" t="s">
        <v>5907</v>
      </c>
      <c r="F1480" s="24" t="s">
        <v>59</v>
      </c>
    </row>
    <row r="1481">
      <c r="A1481" s="24" t="s">
        <v>5908</v>
      </c>
      <c r="B1481" s="24" t="s">
        <v>5909</v>
      </c>
      <c r="C1481" s="24" t="s">
        <v>5910</v>
      </c>
      <c r="D1481" s="24" t="s">
        <v>129</v>
      </c>
      <c r="E1481" s="24" t="s">
        <v>5911</v>
      </c>
      <c r="F1481" s="24" t="s">
        <v>59</v>
      </c>
    </row>
    <row r="1482">
      <c r="A1482" s="24" t="s">
        <v>5912</v>
      </c>
      <c r="B1482" s="24" t="s">
        <v>5913</v>
      </c>
      <c r="C1482" s="24" t="s">
        <v>5914</v>
      </c>
      <c r="D1482" s="24" t="s">
        <v>124</v>
      </c>
      <c r="E1482" s="24" t="s">
        <v>5915</v>
      </c>
      <c r="F1482" s="24" t="s">
        <v>59</v>
      </c>
    </row>
    <row r="1483">
      <c r="A1483" s="24" t="s">
        <v>5916</v>
      </c>
      <c r="B1483" s="24" t="s">
        <v>5917</v>
      </c>
      <c r="C1483" s="24" t="s">
        <v>5918</v>
      </c>
      <c r="D1483" s="24" t="s">
        <v>124</v>
      </c>
      <c r="E1483" s="24" t="s">
        <v>5919</v>
      </c>
      <c r="F1483" s="24" t="s">
        <v>59</v>
      </c>
    </row>
    <row r="1484">
      <c r="A1484" s="24" t="s">
        <v>5920</v>
      </c>
      <c r="B1484" s="24" t="s">
        <v>5921</v>
      </c>
      <c r="C1484" s="24" t="s">
        <v>5922</v>
      </c>
      <c r="D1484" s="24" t="s">
        <v>124</v>
      </c>
      <c r="E1484" s="24" t="s">
        <v>5923</v>
      </c>
      <c r="F1484" s="24" t="s">
        <v>59</v>
      </c>
    </row>
    <row r="1485">
      <c r="A1485" s="24" t="s">
        <v>5924</v>
      </c>
      <c r="B1485" s="24" t="s">
        <v>5925</v>
      </c>
      <c r="C1485" s="24" t="s">
        <v>5926</v>
      </c>
      <c r="D1485" s="24" t="s">
        <v>124</v>
      </c>
      <c r="E1485" s="24" t="s">
        <v>5927</v>
      </c>
      <c r="F1485" s="24" t="s">
        <v>59</v>
      </c>
    </row>
    <row r="1486">
      <c r="A1486" s="24" t="s">
        <v>5928</v>
      </c>
      <c r="B1486" s="24" t="s">
        <v>5929</v>
      </c>
      <c r="C1486" s="24" t="s">
        <v>5930</v>
      </c>
      <c r="D1486" s="24" t="s">
        <v>124</v>
      </c>
      <c r="E1486" s="24" t="s">
        <v>5931</v>
      </c>
      <c r="F1486" s="24" t="s">
        <v>59</v>
      </c>
    </row>
    <row r="1487">
      <c r="A1487" s="24" t="s">
        <v>5932</v>
      </c>
      <c r="B1487" s="24" t="s">
        <v>5933</v>
      </c>
      <c r="C1487" s="24" t="s">
        <v>5934</v>
      </c>
      <c r="D1487" s="24" t="s">
        <v>129</v>
      </c>
      <c r="E1487" s="24" t="s">
        <v>5935</v>
      </c>
      <c r="F1487" s="24" t="s">
        <v>59</v>
      </c>
    </row>
    <row r="1488">
      <c r="A1488" s="24" t="s">
        <v>5936</v>
      </c>
      <c r="B1488" s="24" t="s">
        <v>5937</v>
      </c>
      <c r="C1488" s="24" t="s">
        <v>5938</v>
      </c>
      <c r="D1488" s="24" t="s">
        <v>129</v>
      </c>
      <c r="E1488" s="24" t="s">
        <v>5939</v>
      </c>
      <c r="F1488" s="24" t="s">
        <v>59</v>
      </c>
    </row>
    <row r="1489">
      <c r="A1489" s="24" t="s">
        <v>5940</v>
      </c>
      <c r="B1489" s="24" t="s">
        <v>5941</v>
      </c>
      <c r="C1489" s="24" t="s">
        <v>5942</v>
      </c>
      <c r="D1489" s="24" t="s">
        <v>124</v>
      </c>
      <c r="E1489" s="24" t="s">
        <v>5943</v>
      </c>
      <c r="F1489" s="24" t="s">
        <v>59</v>
      </c>
    </row>
    <row r="1490">
      <c r="A1490" s="24" t="s">
        <v>5944</v>
      </c>
      <c r="B1490" s="24" t="s">
        <v>5945</v>
      </c>
      <c r="C1490" s="24" t="s">
        <v>5946</v>
      </c>
      <c r="D1490" s="24" t="s">
        <v>129</v>
      </c>
      <c r="E1490" s="24" t="s">
        <v>5947</v>
      </c>
      <c r="F1490" s="24" t="s">
        <v>59</v>
      </c>
    </row>
    <row r="1491">
      <c r="A1491" s="24" t="s">
        <v>5948</v>
      </c>
      <c r="B1491" s="24" t="s">
        <v>5949</v>
      </c>
      <c r="C1491" s="24" t="s">
        <v>5950</v>
      </c>
      <c r="D1491" s="24" t="s">
        <v>124</v>
      </c>
      <c r="E1491" s="24" t="s">
        <v>5951</v>
      </c>
      <c r="F1491" s="24" t="s">
        <v>59</v>
      </c>
    </row>
    <row r="1492">
      <c r="A1492" s="24" t="s">
        <v>5952</v>
      </c>
      <c r="B1492" s="24" t="s">
        <v>5953</v>
      </c>
      <c r="C1492" s="24" t="s">
        <v>5954</v>
      </c>
      <c r="D1492" s="24" t="s">
        <v>124</v>
      </c>
      <c r="E1492" s="24" t="s">
        <v>5955</v>
      </c>
      <c r="F1492" s="24" t="s">
        <v>59</v>
      </c>
    </row>
    <row r="1493">
      <c r="A1493" s="24" t="s">
        <v>5956</v>
      </c>
      <c r="B1493" s="24" t="s">
        <v>5957</v>
      </c>
      <c r="C1493" s="24" t="s">
        <v>5958</v>
      </c>
      <c r="D1493" s="24" t="s">
        <v>264</v>
      </c>
      <c r="E1493" s="24" t="s">
        <v>5959</v>
      </c>
      <c r="F1493" s="24" t="s">
        <v>59</v>
      </c>
    </row>
    <row r="1494">
      <c r="A1494" s="24" t="s">
        <v>5960</v>
      </c>
      <c r="B1494" s="24" t="s">
        <v>5961</v>
      </c>
      <c r="C1494" s="24" t="s">
        <v>5962</v>
      </c>
      <c r="D1494" s="24" t="s">
        <v>124</v>
      </c>
      <c r="E1494" s="24" t="s">
        <v>5963</v>
      </c>
      <c r="F1494" s="24" t="s">
        <v>59</v>
      </c>
    </row>
    <row r="1495">
      <c r="A1495" s="24" t="s">
        <v>5964</v>
      </c>
      <c r="B1495" s="24" t="s">
        <v>5965</v>
      </c>
      <c r="C1495" s="24" t="s">
        <v>5966</v>
      </c>
      <c r="D1495" s="24" t="s">
        <v>124</v>
      </c>
      <c r="E1495" s="24" t="s">
        <v>5967</v>
      </c>
      <c r="F1495" s="24" t="s">
        <v>59</v>
      </c>
    </row>
    <row r="1496">
      <c r="A1496" s="24" t="s">
        <v>5968</v>
      </c>
      <c r="B1496" s="24" t="s">
        <v>5969</v>
      </c>
      <c r="C1496" s="24" t="s">
        <v>5970</v>
      </c>
      <c r="D1496" s="24" t="s">
        <v>129</v>
      </c>
      <c r="E1496" s="24" t="s">
        <v>5971</v>
      </c>
      <c r="F1496" s="24" t="s">
        <v>59</v>
      </c>
    </row>
    <row r="1497">
      <c r="A1497" s="24" t="s">
        <v>5972</v>
      </c>
      <c r="B1497" s="24" t="s">
        <v>5973</v>
      </c>
      <c r="C1497" s="24" t="s">
        <v>5974</v>
      </c>
      <c r="D1497" s="24" t="s">
        <v>124</v>
      </c>
      <c r="E1497" s="24" t="s">
        <v>5975</v>
      </c>
      <c r="F1497" s="24" t="s">
        <v>59</v>
      </c>
    </row>
    <row r="1498">
      <c r="A1498" s="24" t="s">
        <v>5976</v>
      </c>
      <c r="B1498" s="24" t="s">
        <v>5977</v>
      </c>
      <c r="C1498" s="24" t="s">
        <v>5978</v>
      </c>
      <c r="D1498" s="24" t="s">
        <v>124</v>
      </c>
      <c r="E1498" s="24" t="s">
        <v>5979</v>
      </c>
      <c r="F1498" s="24" t="s">
        <v>59</v>
      </c>
    </row>
    <row r="1499">
      <c r="A1499" s="24" t="s">
        <v>5980</v>
      </c>
      <c r="B1499" s="24" t="s">
        <v>5981</v>
      </c>
      <c r="C1499" s="24" t="s">
        <v>5982</v>
      </c>
      <c r="D1499" s="24" t="s">
        <v>129</v>
      </c>
      <c r="E1499" s="24" t="s">
        <v>5983</v>
      </c>
      <c r="F1499" s="24" t="s">
        <v>59</v>
      </c>
    </row>
    <row r="1500">
      <c r="A1500" s="24" t="s">
        <v>5984</v>
      </c>
      <c r="B1500" s="24" t="s">
        <v>5985</v>
      </c>
      <c r="C1500" s="24" t="s">
        <v>5986</v>
      </c>
      <c r="D1500" s="24" t="s">
        <v>129</v>
      </c>
      <c r="E1500" s="24" t="s">
        <v>5987</v>
      </c>
      <c r="F1500" s="24" t="s">
        <v>59</v>
      </c>
    </row>
    <row r="1501">
      <c r="A1501" s="24" t="s">
        <v>5988</v>
      </c>
      <c r="B1501" s="24" t="s">
        <v>5989</v>
      </c>
      <c r="C1501" s="24" t="s">
        <v>5990</v>
      </c>
      <c r="D1501" s="24" t="s">
        <v>264</v>
      </c>
      <c r="E1501" s="24" t="s">
        <v>5991</v>
      </c>
      <c r="F1501" s="24" t="s">
        <v>59</v>
      </c>
    </row>
    <row r="1502">
      <c r="A1502" s="24" t="s">
        <v>5992</v>
      </c>
      <c r="B1502" s="24" t="s">
        <v>5993</v>
      </c>
      <c r="C1502" s="24" t="s">
        <v>5994</v>
      </c>
      <c r="D1502" s="24" t="s">
        <v>124</v>
      </c>
      <c r="E1502" s="24" t="s">
        <v>5995</v>
      </c>
      <c r="F1502" s="24" t="s">
        <v>59</v>
      </c>
    </row>
    <row r="1503">
      <c r="A1503" s="24" t="s">
        <v>5996</v>
      </c>
      <c r="B1503" s="24" t="s">
        <v>5997</v>
      </c>
      <c r="C1503" s="24" t="s">
        <v>5998</v>
      </c>
      <c r="D1503" s="24" t="s">
        <v>129</v>
      </c>
      <c r="E1503" s="24" t="s">
        <v>5999</v>
      </c>
      <c r="F1503" s="24" t="s">
        <v>59</v>
      </c>
    </row>
    <row r="1504">
      <c r="A1504" s="24" t="s">
        <v>6000</v>
      </c>
      <c r="B1504" s="24" t="s">
        <v>6001</v>
      </c>
      <c r="C1504" s="24" t="s">
        <v>6002</v>
      </c>
      <c r="D1504" s="24" t="s">
        <v>124</v>
      </c>
      <c r="E1504" s="24" t="s">
        <v>6003</v>
      </c>
      <c r="F1504" s="24" t="s">
        <v>59</v>
      </c>
    </row>
    <row r="1505">
      <c r="A1505" s="24" t="s">
        <v>6004</v>
      </c>
      <c r="B1505" s="24" t="s">
        <v>6005</v>
      </c>
      <c r="C1505" s="24" t="s">
        <v>6006</v>
      </c>
      <c r="D1505" s="24" t="s">
        <v>264</v>
      </c>
      <c r="E1505" s="24" t="s">
        <v>6007</v>
      </c>
      <c r="F1505" s="24" t="s">
        <v>59</v>
      </c>
    </row>
    <row r="1506">
      <c r="A1506" s="24" t="s">
        <v>6008</v>
      </c>
      <c r="B1506" s="24" t="s">
        <v>6009</v>
      </c>
      <c r="C1506" s="24" t="s">
        <v>6010</v>
      </c>
      <c r="D1506" s="24" t="s">
        <v>124</v>
      </c>
      <c r="E1506" s="24" t="s">
        <v>6011</v>
      </c>
      <c r="F1506" s="24" t="s">
        <v>59</v>
      </c>
    </row>
    <row r="1507">
      <c r="A1507" s="24" t="s">
        <v>6012</v>
      </c>
      <c r="B1507" s="24" t="s">
        <v>6013</v>
      </c>
      <c r="C1507" s="24" t="s">
        <v>6014</v>
      </c>
      <c r="D1507" s="24" t="s">
        <v>124</v>
      </c>
      <c r="E1507" s="24" t="s">
        <v>6015</v>
      </c>
      <c r="F1507" s="24" t="s">
        <v>59</v>
      </c>
    </row>
    <row r="1508">
      <c r="A1508" s="24" t="s">
        <v>6016</v>
      </c>
      <c r="B1508" s="24" t="s">
        <v>6017</v>
      </c>
      <c r="C1508" s="24" t="s">
        <v>6018</v>
      </c>
      <c r="D1508" s="24" t="s">
        <v>264</v>
      </c>
      <c r="E1508" s="24" t="s">
        <v>6019</v>
      </c>
      <c r="F1508" s="24" t="s">
        <v>59</v>
      </c>
    </row>
    <row r="1509">
      <c r="A1509" s="24" t="s">
        <v>6020</v>
      </c>
      <c r="B1509" s="24" t="s">
        <v>6021</v>
      </c>
      <c r="C1509" s="24" t="s">
        <v>6022</v>
      </c>
      <c r="D1509" s="24" t="s">
        <v>124</v>
      </c>
      <c r="E1509" s="24" t="s">
        <v>6023</v>
      </c>
      <c r="F1509" s="24" t="s">
        <v>59</v>
      </c>
    </row>
    <row r="1510">
      <c r="A1510" s="24" t="s">
        <v>6024</v>
      </c>
      <c r="B1510" s="24" t="s">
        <v>6025</v>
      </c>
      <c r="C1510" s="24" t="s">
        <v>6026</v>
      </c>
      <c r="D1510" s="24" t="s">
        <v>129</v>
      </c>
      <c r="E1510" s="24" t="s">
        <v>6027</v>
      </c>
      <c r="F1510" s="24" t="s">
        <v>59</v>
      </c>
    </row>
    <row r="1511">
      <c r="A1511" s="24" t="s">
        <v>6028</v>
      </c>
      <c r="B1511" s="24" t="s">
        <v>6029</v>
      </c>
      <c r="C1511" s="24" t="s">
        <v>6030</v>
      </c>
      <c r="D1511" s="24" t="s">
        <v>129</v>
      </c>
      <c r="E1511" s="24" t="s">
        <v>6031</v>
      </c>
      <c r="F1511" s="24" t="s">
        <v>59</v>
      </c>
    </row>
    <row r="1512">
      <c r="A1512" s="24" t="s">
        <v>6032</v>
      </c>
      <c r="B1512" s="24" t="s">
        <v>6033</v>
      </c>
      <c r="C1512" s="24" t="s">
        <v>6034</v>
      </c>
      <c r="D1512" s="24" t="s">
        <v>129</v>
      </c>
      <c r="E1512" s="24" t="s">
        <v>6035</v>
      </c>
      <c r="F1512" s="24" t="s">
        <v>59</v>
      </c>
    </row>
    <row r="1513">
      <c r="A1513" s="24" t="s">
        <v>6036</v>
      </c>
      <c r="B1513" s="24" t="s">
        <v>6037</v>
      </c>
      <c r="C1513" s="24" t="s">
        <v>6038</v>
      </c>
      <c r="D1513" s="24" t="s">
        <v>124</v>
      </c>
      <c r="E1513" s="24" t="s">
        <v>6039</v>
      </c>
      <c r="F1513" s="24" t="s">
        <v>59</v>
      </c>
    </row>
    <row r="1514">
      <c r="A1514" s="24" t="s">
        <v>6040</v>
      </c>
      <c r="B1514" s="24" t="s">
        <v>6041</v>
      </c>
      <c r="C1514" s="24" t="s">
        <v>6042</v>
      </c>
      <c r="D1514" s="24" t="s">
        <v>124</v>
      </c>
      <c r="E1514" s="24" t="s">
        <v>6043</v>
      </c>
      <c r="F1514" s="24" t="s">
        <v>59</v>
      </c>
    </row>
    <row r="1515">
      <c r="A1515" s="24" t="s">
        <v>6044</v>
      </c>
      <c r="B1515" s="24" t="s">
        <v>6045</v>
      </c>
      <c r="C1515" s="24" t="s">
        <v>6046</v>
      </c>
      <c r="D1515" s="24" t="s">
        <v>124</v>
      </c>
      <c r="E1515" s="24" t="s">
        <v>6047</v>
      </c>
      <c r="F1515" s="24" t="s">
        <v>59</v>
      </c>
    </row>
    <row r="1516">
      <c r="A1516" s="24" t="s">
        <v>6048</v>
      </c>
      <c r="B1516" s="24" t="s">
        <v>6049</v>
      </c>
      <c r="C1516" s="24" t="s">
        <v>6050</v>
      </c>
      <c r="D1516" s="24" t="s">
        <v>124</v>
      </c>
      <c r="E1516" s="24" t="s">
        <v>6051</v>
      </c>
      <c r="F1516" s="24" t="s">
        <v>59</v>
      </c>
    </row>
    <row r="1517">
      <c r="A1517" s="24" t="s">
        <v>6052</v>
      </c>
      <c r="B1517" s="24" t="s">
        <v>6053</v>
      </c>
      <c r="C1517" s="24" t="s">
        <v>6054</v>
      </c>
      <c r="D1517" s="24" t="s">
        <v>124</v>
      </c>
      <c r="E1517" s="24" t="s">
        <v>6055</v>
      </c>
      <c r="F1517" s="24" t="s">
        <v>59</v>
      </c>
    </row>
    <row r="1518">
      <c r="A1518" s="24" t="s">
        <v>6056</v>
      </c>
      <c r="B1518" s="24" t="s">
        <v>6057</v>
      </c>
      <c r="C1518" s="24" t="s">
        <v>6058</v>
      </c>
      <c r="D1518" s="24" t="s">
        <v>124</v>
      </c>
      <c r="E1518" s="24" t="s">
        <v>6059</v>
      </c>
      <c r="F1518" s="24" t="s">
        <v>59</v>
      </c>
    </row>
    <row r="1519">
      <c r="A1519" s="24" t="s">
        <v>6060</v>
      </c>
      <c r="B1519" s="24" t="s">
        <v>6061</v>
      </c>
      <c r="C1519" s="24" t="s">
        <v>6062</v>
      </c>
      <c r="D1519" s="24" t="s">
        <v>124</v>
      </c>
      <c r="E1519" s="24" t="s">
        <v>6063</v>
      </c>
      <c r="F1519" s="24" t="s">
        <v>59</v>
      </c>
    </row>
    <row r="1520">
      <c r="A1520" s="24" t="s">
        <v>6064</v>
      </c>
      <c r="B1520" s="24" t="s">
        <v>6065</v>
      </c>
      <c r="C1520" s="24" t="s">
        <v>6066</v>
      </c>
      <c r="D1520" s="24" t="s">
        <v>124</v>
      </c>
      <c r="E1520" s="24" t="s">
        <v>6067</v>
      </c>
      <c r="F1520" s="24" t="s">
        <v>59</v>
      </c>
    </row>
    <row r="1521">
      <c r="A1521" s="24" t="s">
        <v>6068</v>
      </c>
      <c r="B1521" s="24" t="s">
        <v>6069</v>
      </c>
      <c r="C1521" s="24" t="s">
        <v>6070</v>
      </c>
      <c r="D1521" s="24" t="s">
        <v>124</v>
      </c>
      <c r="E1521" s="24" t="s">
        <v>6071</v>
      </c>
      <c r="F1521" s="24" t="s">
        <v>59</v>
      </c>
    </row>
    <row r="1522">
      <c r="A1522" s="24" t="s">
        <v>6072</v>
      </c>
      <c r="B1522" s="24" t="s">
        <v>6073</v>
      </c>
      <c r="C1522" s="24" t="s">
        <v>6074</v>
      </c>
      <c r="D1522" s="24" t="s">
        <v>264</v>
      </c>
      <c r="E1522" s="24" t="s">
        <v>6075</v>
      </c>
      <c r="F1522" s="24" t="s">
        <v>59</v>
      </c>
    </row>
    <row r="1523">
      <c r="A1523" s="24" t="s">
        <v>6076</v>
      </c>
      <c r="B1523" s="24" t="s">
        <v>6077</v>
      </c>
      <c r="C1523" s="24" t="s">
        <v>6078</v>
      </c>
      <c r="D1523" s="24" t="s">
        <v>264</v>
      </c>
      <c r="E1523" s="24" t="s">
        <v>6079</v>
      </c>
      <c r="F1523" s="24" t="s">
        <v>59</v>
      </c>
    </row>
    <row r="1524">
      <c r="A1524" s="24" t="s">
        <v>6080</v>
      </c>
      <c r="B1524" s="24" t="s">
        <v>6081</v>
      </c>
      <c r="C1524" s="24" t="s">
        <v>6082</v>
      </c>
      <c r="D1524" s="24" t="s">
        <v>124</v>
      </c>
      <c r="E1524" s="24" t="s">
        <v>6083</v>
      </c>
      <c r="F1524" s="24" t="s">
        <v>59</v>
      </c>
    </row>
    <row r="1525">
      <c r="A1525" s="24" t="s">
        <v>6084</v>
      </c>
      <c r="B1525" s="24" t="s">
        <v>6085</v>
      </c>
      <c r="C1525" s="24" t="s">
        <v>6086</v>
      </c>
      <c r="D1525" s="24" t="s">
        <v>124</v>
      </c>
      <c r="E1525" s="24" t="s">
        <v>6087</v>
      </c>
      <c r="F1525" s="24" t="s">
        <v>59</v>
      </c>
    </row>
    <row r="1526">
      <c r="A1526" s="24" t="s">
        <v>6088</v>
      </c>
      <c r="B1526" s="24" t="s">
        <v>6089</v>
      </c>
      <c r="C1526" s="24" t="s">
        <v>6090</v>
      </c>
      <c r="D1526" s="24" t="s">
        <v>124</v>
      </c>
      <c r="E1526" s="24" t="s">
        <v>6091</v>
      </c>
      <c r="F1526" s="24" t="s">
        <v>59</v>
      </c>
    </row>
    <row r="1527">
      <c r="A1527" s="24" t="s">
        <v>6092</v>
      </c>
      <c r="B1527" s="24" t="s">
        <v>6093</v>
      </c>
      <c r="C1527" s="24" t="s">
        <v>6094</v>
      </c>
      <c r="D1527" s="24" t="s">
        <v>124</v>
      </c>
      <c r="E1527" s="24" t="s">
        <v>6095</v>
      </c>
      <c r="F1527" s="24" t="s">
        <v>59</v>
      </c>
    </row>
    <row r="1528">
      <c r="A1528" s="24" t="s">
        <v>6096</v>
      </c>
      <c r="B1528" s="24" t="s">
        <v>6097</v>
      </c>
      <c r="C1528" s="24" t="s">
        <v>6098</v>
      </c>
      <c r="D1528" s="24" t="s">
        <v>129</v>
      </c>
      <c r="E1528" s="24" t="s">
        <v>6099</v>
      </c>
      <c r="F1528" s="24" t="s">
        <v>59</v>
      </c>
    </row>
    <row r="1529">
      <c r="A1529" s="24" t="s">
        <v>6100</v>
      </c>
      <c r="B1529" s="24" t="s">
        <v>6101</v>
      </c>
      <c r="C1529" s="24" t="s">
        <v>6102</v>
      </c>
      <c r="D1529" s="24" t="s">
        <v>124</v>
      </c>
      <c r="E1529" s="24" t="s">
        <v>6103</v>
      </c>
      <c r="F1529" s="24" t="s">
        <v>59</v>
      </c>
    </row>
    <row r="1530">
      <c r="A1530" s="24" t="s">
        <v>6104</v>
      </c>
      <c r="B1530" s="24" t="s">
        <v>6105</v>
      </c>
      <c r="C1530" s="24" t="s">
        <v>6106</v>
      </c>
      <c r="D1530" s="24" t="s">
        <v>124</v>
      </c>
      <c r="E1530" s="24" t="s">
        <v>6107</v>
      </c>
      <c r="F1530" s="24" t="s">
        <v>59</v>
      </c>
    </row>
    <row r="1531">
      <c r="A1531" s="24" t="s">
        <v>6108</v>
      </c>
      <c r="B1531" s="24" t="s">
        <v>6109</v>
      </c>
      <c r="C1531" s="24" t="s">
        <v>6110</v>
      </c>
      <c r="D1531" s="24" t="s">
        <v>124</v>
      </c>
      <c r="E1531" s="24" t="s">
        <v>6111</v>
      </c>
      <c r="F1531" s="24" t="s">
        <v>59</v>
      </c>
    </row>
    <row r="1532">
      <c r="A1532" s="24" t="s">
        <v>6112</v>
      </c>
      <c r="B1532" s="24" t="s">
        <v>6113</v>
      </c>
      <c r="C1532" s="24" t="s">
        <v>6114</v>
      </c>
      <c r="D1532" s="24" t="s">
        <v>124</v>
      </c>
      <c r="E1532" s="24" t="s">
        <v>6115</v>
      </c>
      <c r="F1532" s="24" t="s">
        <v>59</v>
      </c>
    </row>
    <row r="1533">
      <c r="A1533" s="24" t="s">
        <v>6116</v>
      </c>
      <c r="B1533" s="24" t="s">
        <v>6117</v>
      </c>
      <c r="C1533" s="24" t="s">
        <v>6118</v>
      </c>
      <c r="D1533" s="24" t="s">
        <v>264</v>
      </c>
      <c r="E1533" s="24" t="s">
        <v>6119</v>
      </c>
      <c r="F1533" s="24" t="s">
        <v>59</v>
      </c>
    </row>
    <row r="1534">
      <c r="A1534" s="24" t="s">
        <v>6120</v>
      </c>
      <c r="B1534" s="24" t="s">
        <v>6121</v>
      </c>
      <c r="C1534" s="24" t="s">
        <v>6122</v>
      </c>
      <c r="D1534" s="24" t="s">
        <v>124</v>
      </c>
      <c r="E1534" s="24" t="s">
        <v>6123</v>
      </c>
      <c r="F1534" s="24" t="s">
        <v>59</v>
      </c>
    </row>
    <row r="1535">
      <c r="A1535" s="24" t="s">
        <v>6124</v>
      </c>
      <c r="B1535" s="24" t="s">
        <v>6125</v>
      </c>
      <c r="C1535" s="24" t="s">
        <v>6126</v>
      </c>
      <c r="D1535" s="24" t="s">
        <v>124</v>
      </c>
      <c r="E1535" s="24" t="s">
        <v>6127</v>
      </c>
      <c r="F1535" s="24" t="s">
        <v>59</v>
      </c>
    </row>
    <row r="1536">
      <c r="A1536" s="24" t="s">
        <v>6128</v>
      </c>
      <c r="B1536" s="24" t="s">
        <v>6129</v>
      </c>
      <c r="C1536" s="24" t="s">
        <v>6130</v>
      </c>
      <c r="D1536" s="24" t="s">
        <v>124</v>
      </c>
      <c r="E1536" s="24" t="s">
        <v>6131</v>
      </c>
      <c r="F1536" s="24" t="s">
        <v>59</v>
      </c>
    </row>
    <row r="1537">
      <c r="A1537" s="24" t="s">
        <v>6132</v>
      </c>
      <c r="B1537" s="24" t="s">
        <v>6133</v>
      </c>
      <c r="C1537" s="24" t="s">
        <v>6134</v>
      </c>
      <c r="D1537" s="24" t="s">
        <v>124</v>
      </c>
      <c r="E1537" s="24" t="s">
        <v>6135</v>
      </c>
      <c r="F1537" s="24" t="s">
        <v>59</v>
      </c>
    </row>
    <row r="1538">
      <c r="A1538" s="24" t="s">
        <v>6136</v>
      </c>
      <c r="B1538" s="24" t="s">
        <v>6137</v>
      </c>
      <c r="C1538" s="24" t="s">
        <v>6138</v>
      </c>
      <c r="D1538" s="24" t="s">
        <v>264</v>
      </c>
      <c r="E1538" s="24" t="s">
        <v>6139</v>
      </c>
      <c r="F1538" s="24" t="s">
        <v>59</v>
      </c>
    </row>
    <row r="1539">
      <c r="A1539" s="24" t="s">
        <v>6140</v>
      </c>
      <c r="B1539" s="24" t="s">
        <v>6141</v>
      </c>
      <c r="C1539" s="24" t="s">
        <v>6142</v>
      </c>
      <c r="D1539" s="24" t="s">
        <v>264</v>
      </c>
      <c r="E1539" s="24" t="s">
        <v>6143</v>
      </c>
      <c r="F1539" s="24" t="s">
        <v>59</v>
      </c>
    </row>
    <row r="1540">
      <c r="A1540" s="24" t="s">
        <v>6144</v>
      </c>
      <c r="B1540" s="24" t="s">
        <v>6145</v>
      </c>
      <c r="C1540" s="24" t="s">
        <v>6146</v>
      </c>
      <c r="D1540" s="24" t="s">
        <v>124</v>
      </c>
      <c r="E1540" s="24" t="s">
        <v>6147</v>
      </c>
      <c r="F1540" s="24" t="s">
        <v>59</v>
      </c>
    </row>
    <row r="1541">
      <c r="A1541" s="24" t="s">
        <v>6148</v>
      </c>
      <c r="B1541" s="24" t="s">
        <v>6149</v>
      </c>
      <c r="C1541" s="24" t="s">
        <v>6150</v>
      </c>
      <c r="D1541" s="24" t="s">
        <v>124</v>
      </c>
      <c r="E1541" s="24" t="s">
        <v>6151</v>
      </c>
      <c r="F1541" s="24" t="s">
        <v>59</v>
      </c>
    </row>
    <row r="1542">
      <c r="A1542" s="24" t="s">
        <v>6152</v>
      </c>
      <c r="B1542" s="24" t="s">
        <v>6153</v>
      </c>
      <c r="C1542" s="24" t="s">
        <v>6154</v>
      </c>
      <c r="D1542" s="24" t="s">
        <v>124</v>
      </c>
      <c r="E1542" s="24" t="s">
        <v>6155</v>
      </c>
      <c r="F1542" s="24" t="s">
        <v>59</v>
      </c>
    </row>
    <row r="1543">
      <c r="A1543" s="24" t="s">
        <v>6156</v>
      </c>
      <c r="B1543" s="24" t="s">
        <v>6157</v>
      </c>
      <c r="C1543" s="24" t="s">
        <v>6158</v>
      </c>
      <c r="D1543" s="24" t="s">
        <v>124</v>
      </c>
      <c r="E1543" s="24" t="s">
        <v>6159</v>
      </c>
      <c r="F1543" s="24" t="s">
        <v>59</v>
      </c>
    </row>
    <row r="1544">
      <c r="A1544" s="24" t="s">
        <v>6160</v>
      </c>
      <c r="B1544" s="24" t="s">
        <v>6161</v>
      </c>
      <c r="C1544" s="24" t="s">
        <v>6162</v>
      </c>
      <c r="D1544" s="24" t="s">
        <v>124</v>
      </c>
      <c r="E1544" s="24" t="s">
        <v>6163</v>
      </c>
      <c r="F1544" s="24" t="s">
        <v>59</v>
      </c>
    </row>
    <row r="1545">
      <c r="A1545" s="24" t="s">
        <v>6164</v>
      </c>
      <c r="B1545" s="24" t="s">
        <v>6165</v>
      </c>
      <c r="C1545" s="24" t="s">
        <v>6166</v>
      </c>
      <c r="D1545" s="24" t="s">
        <v>124</v>
      </c>
      <c r="E1545" s="24" t="s">
        <v>6167</v>
      </c>
      <c r="F1545" s="24" t="s">
        <v>59</v>
      </c>
    </row>
    <row r="1546">
      <c r="A1546" s="24" t="s">
        <v>6168</v>
      </c>
      <c r="B1546" s="24" t="s">
        <v>6169</v>
      </c>
      <c r="C1546" s="24" t="s">
        <v>6170</v>
      </c>
      <c r="D1546" s="24" t="s">
        <v>124</v>
      </c>
      <c r="E1546" s="24" t="s">
        <v>6171</v>
      </c>
      <c r="F1546" s="24" t="s">
        <v>59</v>
      </c>
    </row>
    <row r="1547">
      <c r="A1547" s="24" t="s">
        <v>6172</v>
      </c>
      <c r="B1547" s="24" t="s">
        <v>6173</v>
      </c>
      <c r="C1547" s="24" t="s">
        <v>6174</v>
      </c>
      <c r="D1547" s="24" t="s">
        <v>124</v>
      </c>
      <c r="E1547" s="24" t="s">
        <v>6175</v>
      </c>
      <c r="F1547" s="24" t="s">
        <v>59</v>
      </c>
    </row>
    <row r="1548">
      <c r="A1548" s="24" t="s">
        <v>6176</v>
      </c>
      <c r="B1548" s="24" t="s">
        <v>6177</v>
      </c>
      <c r="C1548" s="24" t="s">
        <v>6178</v>
      </c>
      <c r="D1548" s="24" t="s">
        <v>124</v>
      </c>
      <c r="E1548" s="24" t="s">
        <v>6179</v>
      </c>
      <c r="F1548" s="24" t="s">
        <v>59</v>
      </c>
    </row>
    <row r="1549">
      <c r="A1549" s="24" t="s">
        <v>6180</v>
      </c>
      <c r="B1549" s="24" t="s">
        <v>6181</v>
      </c>
      <c r="C1549" s="24" t="s">
        <v>6182</v>
      </c>
      <c r="D1549" s="24" t="s">
        <v>124</v>
      </c>
      <c r="E1549" s="24" t="s">
        <v>6183</v>
      </c>
      <c r="F1549" s="24" t="s">
        <v>59</v>
      </c>
    </row>
    <row r="1550">
      <c r="A1550" s="24" t="s">
        <v>6184</v>
      </c>
      <c r="B1550" s="24" t="s">
        <v>6185</v>
      </c>
      <c r="C1550" s="24" t="s">
        <v>6186</v>
      </c>
      <c r="D1550" s="24" t="s">
        <v>124</v>
      </c>
      <c r="E1550" s="24" t="s">
        <v>6187</v>
      </c>
      <c r="F1550" s="24" t="s">
        <v>59</v>
      </c>
    </row>
    <row r="1551">
      <c r="A1551" s="24" t="s">
        <v>6188</v>
      </c>
      <c r="B1551" s="24" t="s">
        <v>6189</v>
      </c>
      <c r="C1551" s="24" t="s">
        <v>6190</v>
      </c>
      <c r="D1551" s="24" t="s">
        <v>124</v>
      </c>
      <c r="E1551" s="24" t="s">
        <v>6191</v>
      </c>
      <c r="F1551" s="24" t="s">
        <v>59</v>
      </c>
    </row>
    <row r="1552">
      <c r="A1552" s="24" t="s">
        <v>6192</v>
      </c>
      <c r="B1552" s="24" t="s">
        <v>6193</v>
      </c>
      <c r="C1552" s="24" t="s">
        <v>6194</v>
      </c>
      <c r="D1552" s="24" t="s">
        <v>124</v>
      </c>
      <c r="E1552" s="24" t="s">
        <v>6195</v>
      </c>
      <c r="F1552" s="24" t="s">
        <v>59</v>
      </c>
    </row>
    <row r="1553">
      <c r="A1553" s="24" t="s">
        <v>6196</v>
      </c>
      <c r="B1553" s="24" t="s">
        <v>6197</v>
      </c>
      <c r="C1553" s="24" t="s">
        <v>6198</v>
      </c>
      <c r="D1553" s="24" t="s">
        <v>124</v>
      </c>
      <c r="E1553" s="24" t="s">
        <v>6199</v>
      </c>
      <c r="F1553" s="24" t="s">
        <v>59</v>
      </c>
    </row>
    <row r="1554">
      <c r="A1554" s="24" t="s">
        <v>6200</v>
      </c>
      <c r="B1554" s="24" t="s">
        <v>6201</v>
      </c>
      <c r="C1554" s="24" t="s">
        <v>6202</v>
      </c>
      <c r="D1554" s="24" t="s">
        <v>124</v>
      </c>
      <c r="E1554" s="24" t="s">
        <v>6203</v>
      </c>
      <c r="F1554" s="24" t="s">
        <v>59</v>
      </c>
    </row>
    <row r="1555">
      <c r="A1555" s="24" t="s">
        <v>6204</v>
      </c>
      <c r="B1555" s="24" t="s">
        <v>6205</v>
      </c>
      <c r="C1555" s="24" t="s">
        <v>6206</v>
      </c>
      <c r="D1555" s="24" t="s">
        <v>124</v>
      </c>
      <c r="E1555" s="24" t="s">
        <v>6207</v>
      </c>
      <c r="F1555" s="24" t="s">
        <v>59</v>
      </c>
    </row>
    <row r="1556">
      <c r="A1556" s="24" t="s">
        <v>6208</v>
      </c>
      <c r="B1556" s="24" t="s">
        <v>6209</v>
      </c>
      <c r="C1556" s="24" t="s">
        <v>6210</v>
      </c>
      <c r="D1556" s="24" t="s">
        <v>124</v>
      </c>
      <c r="E1556" s="24" t="s">
        <v>6211</v>
      </c>
      <c r="F1556" s="24" t="s">
        <v>59</v>
      </c>
    </row>
    <row r="1557">
      <c r="A1557" s="24" t="s">
        <v>6212</v>
      </c>
      <c r="B1557" s="24" t="s">
        <v>6213</v>
      </c>
      <c r="C1557" s="24" t="s">
        <v>6214</v>
      </c>
      <c r="D1557" s="24" t="s">
        <v>124</v>
      </c>
      <c r="E1557" s="24" t="s">
        <v>6215</v>
      </c>
      <c r="F1557" s="24" t="s">
        <v>59</v>
      </c>
    </row>
    <row r="1558">
      <c r="A1558" s="24" t="s">
        <v>6216</v>
      </c>
      <c r="B1558" s="24" t="s">
        <v>6217</v>
      </c>
      <c r="C1558" s="24" t="s">
        <v>6218</v>
      </c>
      <c r="D1558" s="24" t="s">
        <v>124</v>
      </c>
      <c r="E1558" s="24" t="s">
        <v>6219</v>
      </c>
      <c r="F1558" s="24" t="s">
        <v>59</v>
      </c>
    </row>
    <row r="1559">
      <c r="A1559" s="24" t="s">
        <v>6220</v>
      </c>
      <c r="B1559" s="24" t="s">
        <v>6221</v>
      </c>
      <c r="C1559" s="24" t="s">
        <v>6222</v>
      </c>
      <c r="D1559" s="24" t="s">
        <v>124</v>
      </c>
      <c r="E1559" s="24" t="s">
        <v>6223</v>
      </c>
      <c r="F1559" s="24" t="s">
        <v>59</v>
      </c>
    </row>
    <row r="1560">
      <c r="A1560" s="24" t="s">
        <v>6224</v>
      </c>
      <c r="B1560" s="24" t="s">
        <v>6225</v>
      </c>
      <c r="C1560" s="24" t="s">
        <v>6226</v>
      </c>
      <c r="D1560" s="24" t="s">
        <v>129</v>
      </c>
      <c r="E1560" s="24" t="s">
        <v>6227</v>
      </c>
      <c r="F1560" s="24" t="s">
        <v>59</v>
      </c>
    </row>
    <row r="1561">
      <c r="A1561" s="24" t="s">
        <v>6228</v>
      </c>
      <c r="B1561" s="24" t="s">
        <v>6229</v>
      </c>
      <c r="C1561" s="24" t="s">
        <v>6230</v>
      </c>
      <c r="D1561" s="24" t="s">
        <v>124</v>
      </c>
      <c r="E1561" s="24" t="s">
        <v>6231</v>
      </c>
      <c r="F1561" s="24" t="s">
        <v>59</v>
      </c>
    </row>
    <row r="1562">
      <c r="A1562" s="24" t="s">
        <v>6232</v>
      </c>
      <c r="B1562" s="24" t="s">
        <v>6233</v>
      </c>
      <c r="C1562" s="24" t="s">
        <v>6234</v>
      </c>
      <c r="D1562" s="24" t="s">
        <v>124</v>
      </c>
      <c r="E1562" s="24" t="s">
        <v>6235</v>
      </c>
      <c r="F1562" s="24" t="s">
        <v>59</v>
      </c>
    </row>
    <row r="1563">
      <c r="A1563" s="24" t="s">
        <v>6236</v>
      </c>
      <c r="B1563" s="24" t="s">
        <v>6237</v>
      </c>
      <c r="C1563" s="24" t="s">
        <v>6238</v>
      </c>
      <c r="D1563" s="24" t="s">
        <v>124</v>
      </c>
      <c r="E1563" s="24" t="s">
        <v>6239</v>
      </c>
      <c r="F1563" s="24" t="s">
        <v>59</v>
      </c>
    </row>
    <row r="1564">
      <c r="A1564" s="24" t="s">
        <v>6240</v>
      </c>
      <c r="B1564" s="24" t="s">
        <v>6241</v>
      </c>
      <c r="C1564" s="24" t="s">
        <v>6242</v>
      </c>
      <c r="D1564" s="24" t="s">
        <v>124</v>
      </c>
      <c r="E1564" s="24" t="s">
        <v>6243</v>
      </c>
      <c r="F1564" s="24" t="s">
        <v>59</v>
      </c>
    </row>
    <row r="1565">
      <c r="A1565" s="24" t="s">
        <v>6244</v>
      </c>
      <c r="B1565" s="24" t="s">
        <v>6245</v>
      </c>
      <c r="C1565" s="24" t="s">
        <v>6246</v>
      </c>
      <c r="D1565" s="24" t="s">
        <v>124</v>
      </c>
      <c r="E1565" s="24" t="s">
        <v>6247</v>
      </c>
      <c r="F1565" s="24" t="s">
        <v>59</v>
      </c>
    </row>
    <row r="1566">
      <c r="A1566" s="24" t="s">
        <v>6248</v>
      </c>
      <c r="B1566" s="24" t="s">
        <v>6249</v>
      </c>
      <c r="C1566" s="24" t="s">
        <v>6250</v>
      </c>
      <c r="D1566" s="24" t="s">
        <v>124</v>
      </c>
      <c r="E1566" s="24" t="s">
        <v>6251</v>
      </c>
      <c r="F1566" s="24" t="s">
        <v>59</v>
      </c>
    </row>
    <row r="1567">
      <c r="A1567" s="24" t="s">
        <v>6252</v>
      </c>
      <c r="B1567" s="24" t="s">
        <v>6253</v>
      </c>
      <c r="C1567" s="24" t="s">
        <v>6254</v>
      </c>
      <c r="D1567" s="24" t="s">
        <v>124</v>
      </c>
      <c r="E1567" s="24" t="s">
        <v>6255</v>
      </c>
      <c r="F1567" s="24" t="s">
        <v>59</v>
      </c>
    </row>
    <row r="1568">
      <c r="A1568" s="24" t="s">
        <v>6256</v>
      </c>
      <c r="B1568" s="24" t="s">
        <v>6257</v>
      </c>
      <c r="C1568" s="24" t="s">
        <v>6258</v>
      </c>
      <c r="D1568" s="24" t="s">
        <v>129</v>
      </c>
      <c r="E1568" s="24" t="s">
        <v>6259</v>
      </c>
      <c r="F1568" s="24" t="s">
        <v>59</v>
      </c>
    </row>
    <row r="1569">
      <c r="A1569" s="24" t="s">
        <v>6260</v>
      </c>
      <c r="B1569" s="24" t="s">
        <v>6261</v>
      </c>
      <c r="C1569" s="24" t="s">
        <v>6262</v>
      </c>
      <c r="D1569" s="24" t="s">
        <v>124</v>
      </c>
      <c r="E1569" s="24" t="s">
        <v>6263</v>
      </c>
      <c r="F1569" s="24" t="s">
        <v>59</v>
      </c>
    </row>
    <row r="1570">
      <c r="A1570" s="24" t="s">
        <v>6264</v>
      </c>
      <c r="B1570" s="24" t="s">
        <v>6265</v>
      </c>
      <c r="C1570" s="24" t="s">
        <v>6266</v>
      </c>
      <c r="D1570" s="24" t="s">
        <v>124</v>
      </c>
      <c r="E1570" s="24" t="s">
        <v>6267</v>
      </c>
      <c r="F1570" s="24" t="s">
        <v>59</v>
      </c>
    </row>
    <row r="1571">
      <c r="A1571" s="24" t="s">
        <v>6268</v>
      </c>
      <c r="B1571" s="24" t="s">
        <v>6269</v>
      </c>
      <c r="C1571" s="24" t="s">
        <v>6270</v>
      </c>
      <c r="D1571" s="24" t="s">
        <v>124</v>
      </c>
      <c r="E1571" s="24" t="s">
        <v>6271</v>
      </c>
      <c r="F1571" s="24" t="s">
        <v>59</v>
      </c>
    </row>
    <row r="1572">
      <c r="A1572" s="24" t="s">
        <v>6272</v>
      </c>
      <c r="B1572" s="24" t="s">
        <v>6273</v>
      </c>
      <c r="C1572" s="24" t="s">
        <v>6274</v>
      </c>
      <c r="D1572" s="24" t="s">
        <v>124</v>
      </c>
      <c r="E1572" s="24" t="s">
        <v>6275</v>
      </c>
      <c r="F1572" s="24" t="s">
        <v>59</v>
      </c>
    </row>
    <row r="1573">
      <c r="A1573" s="24" t="s">
        <v>6276</v>
      </c>
      <c r="B1573" s="24" t="s">
        <v>6277</v>
      </c>
      <c r="C1573" s="24" t="s">
        <v>6278</v>
      </c>
      <c r="D1573" s="24" t="s">
        <v>129</v>
      </c>
      <c r="E1573" s="24" t="s">
        <v>6279</v>
      </c>
      <c r="F1573" s="24" t="s">
        <v>59</v>
      </c>
    </row>
    <row r="1574">
      <c r="A1574" s="24" t="s">
        <v>6280</v>
      </c>
      <c r="B1574" s="24" t="s">
        <v>6281</v>
      </c>
      <c r="C1574" s="24" t="s">
        <v>6282</v>
      </c>
      <c r="D1574" s="24" t="s">
        <v>129</v>
      </c>
      <c r="E1574" s="24" t="s">
        <v>6283</v>
      </c>
      <c r="F1574" s="24" t="s">
        <v>59</v>
      </c>
    </row>
    <row r="1575">
      <c r="A1575" s="24" t="s">
        <v>6284</v>
      </c>
      <c r="B1575" s="24" t="s">
        <v>6285</v>
      </c>
      <c r="C1575" s="24" t="s">
        <v>6286</v>
      </c>
      <c r="D1575" s="24" t="s">
        <v>129</v>
      </c>
      <c r="E1575" s="24" t="s">
        <v>6287</v>
      </c>
      <c r="F1575" s="24" t="s">
        <v>59</v>
      </c>
    </row>
    <row r="1576">
      <c r="A1576" s="24" t="s">
        <v>6288</v>
      </c>
      <c r="B1576" s="24" t="s">
        <v>6289</v>
      </c>
      <c r="C1576" s="24" t="s">
        <v>6290</v>
      </c>
      <c r="D1576" s="24" t="s">
        <v>129</v>
      </c>
      <c r="E1576" s="24" t="s">
        <v>6291</v>
      </c>
      <c r="F1576" s="24" t="s">
        <v>59</v>
      </c>
    </row>
    <row r="1577">
      <c r="A1577" s="24" t="s">
        <v>6292</v>
      </c>
      <c r="B1577" s="24" t="s">
        <v>6293</v>
      </c>
      <c r="C1577" s="24" t="s">
        <v>6294</v>
      </c>
      <c r="D1577" s="24" t="s">
        <v>129</v>
      </c>
      <c r="E1577" s="24" t="s">
        <v>6295</v>
      </c>
      <c r="F1577" s="24" t="s">
        <v>59</v>
      </c>
    </row>
    <row r="1578">
      <c r="A1578" s="24" t="s">
        <v>6296</v>
      </c>
      <c r="B1578" s="24" t="s">
        <v>6297</v>
      </c>
      <c r="C1578" s="24" t="s">
        <v>6298</v>
      </c>
      <c r="D1578" s="24" t="s">
        <v>264</v>
      </c>
      <c r="E1578" s="24" t="s">
        <v>6299</v>
      </c>
      <c r="F1578" s="24" t="s">
        <v>59</v>
      </c>
    </row>
    <row r="1579">
      <c r="A1579" s="24" t="s">
        <v>6300</v>
      </c>
      <c r="B1579" s="24" t="s">
        <v>6301</v>
      </c>
      <c r="C1579" s="24" t="s">
        <v>6302</v>
      </c>
      <c r="D1579" s="24" t="s">
        <v>124</v>
      </c>
      <c r="E1579" s="24" t="s">
        <v>6303</v>
      </c>
      <c r="F1579" s="24" t="s">
        <v>59</v>
      </c>
    </row>
    <row r="1580">
      <c r="A1580" s="24" t="s">
        <v>6304</v>
      </c>
      <c r="B1580" s="24" t="s">
        <v>6305</v>
      </c>
      <c r="C1580" s="24" t="s">
        <v>6306</v>
      </c>
      <c r="D1580" s="24" t="s">
        <v>124</v>
      </c>
      <c r="E1580" s="24" t="s">
        <v>6307</v>
      </c>
      <c r="F1580" s="24" t="s">
        <v>59</v>
      </c>
    </row>
    <row r="1581">
      <c r="A1581" s="24" t="s">
        <v>6308</v>
      </c>
      <c r="B1581" s="24" t="s">
        <v>6309</v>
      </c>
      <c r="C1581" s="24" t="s">
        <v>6310</v>
      </c>
      <c r="D1581" s="24" t="s">
        <v>124</v>
      </c>
      <c r="E1581" s="24" t="s">
        <v>6311</v>
      </c>
      <c r="F1581" s="24" t="s">
        <v>59</v>
      </c>
    </row>
    <row r="1582">
      <c r="A1582" s="24" t="s">
        <v>6312</v>
      </c>
      <c r="B1582" s="24" t="s">
        <v>6313</v>
      </c>
      <c r="C1582" s="24" t="s">
        <v>6314</v>
      </c>
      <c r="D1582" s="24" t="s">
        <v>124</v>
      </c>
      <c r="E1582" s="24" t="s">
        <v>6315</v>
      </c>
      <c r="F1582" s="24" t="s">
        <v>59</v>
      </c>
    </row>
    <row r="1583">
      <c r="A1583" s="24" t="s">
        <v>6316</v>
      </c>
      <c r="B1583" s="24" t="s">
        <v>6317</v>
      </c>
      <c r="C1583" s="24" t="s">
        <v>6318</v>
      </c>
      <c r="D1583" s="24" t="s">
        <v>129</v>
      </c>
      <c r="E1583" s="24" t="s">
        <v>6319</v>
      </c>
      <c r="F1583" s="24" t="s">
        <v>59</v>
      </c>
    </row>
    <row r="1584">
      <c r="A1584" s="24" t="s">
        <v>6320</v>
      </c>
      <c r="B1584" s="24" t="s">
        <v>6321</v>
      </c>
      <c r="C1584" s="24" t="s">
        <v>6322</v>
      </c>
      <c r="D1584" s="24" t="s">
        <v>129</v>
      </c>
      <c r="E1584" s="24" t="s">
        <v>6323</v>
      </c>
      <c r="F1584" s="24" t="s">
        <v>59</v>
      </c>
    </row>
    <row r="1585">
      <c r="A1585" s="24" t="s">
        <v>6324</v>
      </c>
      <c r="B1585" s="24" t="s">
        <v>6325</v>
      </c>
      <c r="C1585" s="24" t="s">
        <v>6326</v>
      </c>
      <c r="D1585" s="24" t="s">
        <v>124</v>
      </c>
      <c r="E1585" s="24" t="s">
        <v>6327</v>
      </c>
      <c r="F1585" s="24" t="s">
        <v>59</v>
      </c>
    </row>
    <row r="1586">
      <c r="A1586" s="24" t="s">
        <v>6328</v>
      </c>
      <c r="B1586" s="24" t="s">
        <v>6329</v>
      </c>
      <c r="C1586" s="24" t="s">
        <v>6330</v>
      </c>
      <c r="D1586" s="24" t="s">
        <v>264</v>
      </c>
      <c r="E1586" s="24" t="s">
        <v>6331</v>
      </c>
      <c r="F1586" s="24" t="s">
        <v>59</v>
      </c>
    </row>
    <row r="1587">
      <c r="A1587" s="24" t="s">
        <v>6332</v>
      </c>
      <c r="B1587" s="24" t="s">
        <v>6333</v>
      </c>
      <c r="C1587" s="24" t="s">
        <v>6334</v>
      </c>
      <c r="D1587" s="24" t="s">
        <v>264</v>
      </c>
      <c r="E1587" s="24" t="s">
        <v>6335</v>
      </c>
      <c r="F1587" s="24" t="s">
        <v>59</v>
      </c>
    </row>
    <row r="1588">
      <c r="A1588" s="24" t="s">
        <v>6336</v>
      </c>
      <c r="B1588" s="24" t="s">
        <v>6337</v>
      </c>
      <c r="C1588" s="24" t="s">
        <v>6338</v>
      </c>
      <c r="D1588" s="24" t="s">
        <v>124</v>
      </c>
      <c r="E1588" s="24" t="s">
        <v>6339</v>
      </c>
      <c r="F1588" s="24" t="s">
        <v>59</v>
      </c>
    </row>
    <row r="1589">
      <c r="A1589" s="24" t="s">
        <v>6340</v>
      </c>
      <c r="B1589" s="24" t="s">
        <v>6341</v>
      </c>
      <c r="C1589" s="24" t="s">
        <v>6342</v>
      </c>
      <c r="D1589" s="24" t="s">
        <v>124</v>
      </c>
      <c r="E1589" s="24" t="s">
        <v>6343</v>
      </c>
      <c r="F1589" s="24" t="s">
        <v>59</v>
      </c>
    </row>
    <row r="1590">
      <c r="A1590" s="24" t="s">
        <v>6344</v>
      </c>
      <c r="B1590" s="24" t="s">
        <v>6345</v>
      </c>
      <c r="C1590" s="24" t="s">
        <v>6346</v>
      </c>
      <c r="D1590" s="24" t="s">
        <v>124</v>
      </c>
      <c r="E1590" s="24" t="s">
        <v>6347</v>
      </c>
      <c r="F1590" s="24" t="s">
        <v>59</v>
      </c>
    </row>
    <row r="1591">
      <c r="A1591" s="24" t="s">
        <v>6348</v>
      </c>
      <c r="B1591" s="24" t="s">
        <v>6349</v>
      </c>
      <c r="C1591" s="24" t="s">
        <v>6350</v>
      </c>
      <c r="D1591" s="24" t="s">
        <v>264</v>
      </c>
      <c r="E1591" s="24" t="s">
        <v>6351</v>
      </c>
      <c r="F1591" s="24" t="s">
        <v>59</v>
      </c>
    </row>
    <row r="1592">
      <c r="A1592" s="24" t="s">
        <v>6352</v>
      </c>
      <c r="B1592" s="24" t="s">
        <v>6353</v>
      </c>
      <c r="C1592" s="24" t="s">
        <v>6354</v>
      </c>
      <c r="D1592" s="24" t="s">
        <v>124</v>
      </c>
      <c r="E1592" s="24" t="s">
        <v>6355</v>
      </c>
      <c r="F1592" s="24" t="s">
        <v>59</v>
      </c>
    </row>
    <row r="1593">
      <c r="A1593" s="24" t="s">
        <v>6356</v>
      </c>
      <c r="B1593" s="24" t="s">
        <v>6357</v>
      </c>
      <c r="C1593" s="24" t="s">
        <v>6358</v>
      </c>
      <c r="D1593" s="24" t="s">
        <v>124</v>
      </c>
      <c r="E1593" s="24" t="s">
        <v>6359</v>
      </c>
      <c r="F1593" s="24" t="s">
        <v>59</v>
      </c>
    </row>
    <row r="1594">
      <c r="A1594" s="24" t="s">
        <v>6360</v>
      </c>
      <c r="B1594" s="24" t="s">
        <v>6361</v>
      </c>
      <c r="C1594" s="24" t="s">
        <v>6362</v>
      </c>
      <c r="D1594" s="24" t="s">
        <v>124</v>
      </c>
      <c r="E1594" s="24" t="s">
        <v>6363</v>
      </c>
      <c r="F1594" s="24" t="s">
        <v>59</v>
      </c>
    </row>
    <row r="1595">
      <c r="A1595" s="24" t="s">
        <v>6364</v>
      </c>
      <c r="B1595" s="24" t="s">
        <v>6365</v>
      </c>
      <c r="C1595" s="24" t="s">
        <v>6366</v>
      </c>
      <c r="D1595" s="24" t="s">
        <v>124</v>
      </c>
      <c r="E1595" s="24" t="s">
        <v>6367</v>
      </c>
      <c r="F1595" s="24" t="s">
        <v>59</v>
      </c>
    </row>
    <row r="1596">
      <c r="A1596" s="24" t="s">
        <v>6368</v>
      </c>
      <c r="B1596" s="24" t="s">
        <v>6369</v>
      </c>
      <c r="C1596" s="24" t="s">
        <v>6370</v>
      </c>
      <c r="D1596" s="24" t="s">
        <v>129</v>
      </c>
      <c r="E1596" s="24" t="s">
        <v>6371</v>
      </c>
      <c r="F1596" s="24" t="s">
        <v>59</v>
      </c>
    </row>
    <row r="1597">
      <c r="A1597" s="24" t="s">
        <v>6372</v>
      </c>
      <c r="B1597" s="24" t="s">
        <v>6373</v>
      </c>
      <c r="C1597" s="24" t="s">
        <v>6374</v>
      </c>
      <c r="D1597" s="24" t="s">
        <v>124</v>
      </c>
      <c r="E1597" s="24" t="s">
        <v>6375</v>
      </c>
      <c r="F1597" s="24" t="s">
        <v>59</v>
      </c>
    </row>
    <row r="1598">
      <c r="A1598" s="24" t="s">
        <v>6376</v>
      </c>
      <c r="B1598" s="24" t="s">
        <v>6377</v>
      </c>
      <c r="C1598" s="24" t="s">
        <v>6378</v>
      </c>
      <c r="D1598" s="24" t="s">
        <v>124</v>
      </c>
      <c r="E1598" s="24" t="s">
        <v>6379</v>
      </c>
      <c r="F1598" s="24" t="s">
        <v>59</v>
      </c>
    </row>
    <row r="1599">
      <c r="A1599" s="24" t="s">
        <v>6380</v>
      </c>
      <c r="B1599" s="24" t="s">
        <v>6381</v>
      </c>
      <c r="C1599" s="24" t="s">
        <v>6382</v>
      </c>
      <c r="D1599" s="24" t="s">
        <v>124</v>
      </c>
      <c r="E1599" s="24" t="s">
        <v>6383</v>
      </c>
      <c r="F1599" s="24" t="s">
        <v>59</v>
      </c>
    </row>
    <row r="1600">
      <c r="A1600" s="24" t="s">
        <v>6384</v>
      </c>
      <c r="B1600" s="24" t="s">
        <v>6385</v>
      </c>
      <c r="C1600" s="24" t="s">
        <v>6386</v>
      </c>
      <c r="D1600" s="24" t="s">
        <v>124</v>
      </c>
      <c r="E1600" s="24" t="s">
        <v>6387</v>
      </c>
      <c r="F1600" s="24" t="s">
        <v>59</v>
      </c>
    </row>
    <row r="1601">
      <c r="A1601" s="24" t="s">
        <v>6388</v>
      </c>
      <c r="B1601" s="24" t="s">
        <v>6389</v>
      </c>
      <c r="C1601" s="24" t="s">
        <v>6390</v>
      </c>
      <c r="D1601" s="24" t="s">
        <v>124</v>
      </c>
      <c r="E1601" s="24" t="s">
        <v>6391</v>
      </c>
      <c r="F1601" s="24" t="s">
        <v>59</v>
      </c>
    </row>
    <row r="1602">
      <c r="A1602" s="24" t="s">
        <v>6392</v>
      </c>
      <c r="B1602" s="24" t="s">
        <v>6393</v>
      </c>
      <c r="C1602" s="24" t="s">
        <v>6394</v>
      </c>
      <c r="D1602" s="24" t="s">
        <v>124</v>
      </c>
      <c r="E1602" s="24" t="s">
        <v>6395</v>
      </c>
      <c r="F1602" s="24" t="s">
        <v>59</v>
      </c>
    </row>
    <row r="1603">
      <c r="A1603" s="24" t="s">
        <v>6396</v>
      </c>
      <c r="B1603" s="24" t="s">
        <v>6397</v>
      </c>
      <c r="C1603" s="24" t="s">
        <v>6398</v>
      </c>
      <c r="D1603" s="24" t="s">
        <v>124</v>
      </c>
      <c r="E1603" s="24" t="s">
        <v>6399</v>
      </c>
      <c r="F1603" s="24" t="s">
        <v>59</v>
      </c>
    </row>
    <row r="1604">
      <c r="A1604" s="24" t="s">
        <v>6400</v>
      </c>
      <c r="B1604" s="24" t="s">
        <v>6401</v>
      </c>
      <c r="C1604" s="24" t="s">
        <v>6402</v>
      </c>
      <c r="D1604" s="24" t="s">
        <v>124</v>
      </c>
      <c r="E1604" s="24" t="s">
        <v>6403</v>
      </c>
      <c r="F1604" s="24" t="s">
        <v>59</v>
      </c>
    </row>
    <row r="1605">
      <c r="A1605" s="24" t="s">
        <v>6404</v>
      </c>
      <c r="B1605" s="24" t="s">
        <v>6405</v>
      </c>
      <c r="C1605" s="24" t="s">
        <v>6406</v>
      </c>
      <c r="D1605" s="24" t="s">
        <v>264</v>
      </c>
      <c r="E1605" s="24" t="s">
        <v>6407</v>
      </c>
      <c r="F1605" s="24" t="s">
        <v>59</v>
      </c>
    </row>
    <row r="1606">
      <c r="A1606" s="24" t="s">
        <v>6408</v>
      </c>
      <c r="B1606" s="24" t="s">
        <v>6409</v>
      </c>
      <c r="C1606" s="24" t="s">
        <v>6410</v>
      </c>
      <c r="D1606" s="24" t="s">
        <v>124</v>
      </c>
      <c r="E1606" s="24" t="s">
        <v>6411</v>
      </c>
      <c r="F1606" s="24" t="s">
        <v>59</v>
      </c>
    </row>
    <row r="1607">
      <c r="A1607" s="24" t="s">
        <v>6412</v>
      </c>
      <c r="B1607" s="24" t="s">
        <v>6413</v>
      </c>
      <c r="C1607" s="24" t="s">
        <v>6414</v>
      </c>
      <c r="D1607" s="24" t="s">
        <v>124</v>
      </c>
      <c r="E1607" s="24" t="s">
        <v>6415</v>
      </c>
      <c r="F1607" s="24" t="s">
        <v>59</v>
      </c>
    </row>
    <row r="1608">
      <c r="A1608" s="24" t="s">
        <v>6416</v>
      </c>
      <c r="B1608" s="24" t="s">
        <v>6417</v>
      </c>
      <c r="C1608" s="24" t="s">
        <v>6418</v>
      </c>
      <c r="D1608" s="24" t="s">
        <v>124</v>
      </c>
      <c r="E1608" s="24" t="s">
        <v>6419</v>
      </c>
      <c r="F1608" s="24" t="s">
        <v>59</v>
      </c>
    </row>
    <row r="1609">
      <c r="A1609" s="24" t="s">
        <v>6420</v>
      </c>
      <c r="B1609" s="24" t="s">
        <v>6421</v>
      </c>
      <c r="C1609" s="24" t="s">
        <v>6422</v>
      </c>
      <c r="D1609" s="24" t="s">
        <v>264</v>
      </c>
      <c r="E1609" s="24" t="s">
        <v>6423</v>
      </c>
      <c r="F1609" s="24" t="s">
        <v>59</v>
      </c>
    </row>
    <row r="1610">
      <c r="A1610" s="24" t="s">
        <v>6424</v>
      </c>
      <c r="B1610" s="24" t="s">
        <v>6425</v>
      </c>
      <c r="C1610" s="24" t="s">
        <v>6426</v>
      </c>
      <c r="D1610" s="24" t="s">
        <v>124</v>
      </c>
      <c r="E1610" s="24" t="s">
        <v>6427</v>
      </c>
      <c r="F1610" s="24" t="s">
        <v>59</v>
      </c>
    </row>
    <row r="1611">
      <c r="A1611" s="24" t="s">
        <v>6428</v>
      </c>
      <c r="B1611" s="24" t="s">
        <v>6429</v>
      </c>
      <c r="C1611" s="24" t="s">
        <v>6430</v>
      </c>
      <c r="D1611" s="24" t="s">
        <v>124</v>
      </c>
      <c r="E1611" s="24" t="s">
        <v>6431</v>
      </c>
      <c r="F1611" s="24" t="s">
        <v>59</v>
      </c>
    </row>
    <row r="1612">
      <c r="A1612" s="24" t="s">
        <v>6432</v>
      </c>
      <c r="B1612" s="24" t="s">
        <v>6433</v>
      </c>
      <c r="C1612" s="24" t="s">
        <v>6434</v>
      </c>
      <c r="D1612" s="24" t="s">
        <v>124</v>
      </c>
      <c r="E1612" s="24" t="s">
        <v>6435</v>
      </c>
      <c r="F1612" s="24" t="s">
        <v>59</v>
      </c>
    </row>
    <row r="1613">
      <c r="A1613" s="24" t="s">
        <v>6436</v>
      </c>
      <c r="B1613" s="24" t="s">
        <v>6437</v>
      </c>
      <c r="C1613" s="24" t="s">
        <v>6438</v>
      </c>
      <c r="D1613" s="24" t="s">
        <v>129</v>
      </c>
      <c r="E1613" s="24" t="s">
        <v>6439</v>
      </c>
      <c r="F1613" s="24" t="s">
        <v>59</v>
      </c>
    </row>
    <row r="1614">
      <c r="A1614" s="24" t="s">
        <v>6440</v>
      </c>
      <c r="B1614" s="24" t="s">
        <v>6441</v>
      </c>
      <c r="C1614" s="24" t="s">
        <v>6442</v>
      </c>
      <c r="D1614" s="24" t="s">
        <v>124</v>
      </c>
      <c r="E1614" s="24" t="s">
        <v>6443</v>
      </c>
      <c r="F1614" s="24" t="s">
        <v>59</v>
      </c>
    </row>
    <row r="1615">
      <c r="A1615" s="24" t="s">
        <v>6444</v>
      </c>
      <c r="B1615" s="24" t="s">
        <v>6445</v>
      </c>
      <c r="C1615" s="24" t="s">
        <v>6446</v>
      </c>
      <c r="D1615" s="24" t="s">
        <v>124</v>
      </c>
      <c r="E1615" s="24" t="s">
        <v>6447</v>
      </c>
      <c r="F1615" s="24" t="s">
        <v>59</v>
      </c>
    </row>
    <row r="1616">
      <c r="A1616" s="24" t="s">
        <v>6448</v>
      </c>
      <c r="B1616" s="24" t="s">
        <v>6449</v>
      </c>
      <c r="C1616" s="24" t="s">
        <v>6450</v>
      </c>
      <c r="D1616" s="24" t="s">
        <v>129</v>
      </c>
      <c r="E1616" s="24" t="s">
        <v>6451</v>
      </c>
      <c r="F1616" s="24" t="s">
        <v>59</v>
      </c>
    </row>
    <row r="1617">
      <c r="A1617" s="24" t="s">
        <v>6452</v>
      </c>
      <c r="B1617" s="24" t="s">
        <v>6453</v>
      </c>
      <c r="C1617" s="24" t="s">
        <v>6454</v>
      </c>
      <c r="D1617" s="24" t="s">
        <v>129</v>
      </c>
      <c r="E1617" s="24" t="s">
        <v>6455</v>
      </c>
      <c r="F1617" s="24" t="s">
        <v>59</v>
      </c>
    </row>
    <row r="1618">
      <c r="A1618" s="24" t="s">
        <v>6456</v>
      </c>
      <c r="B1618" s="24" t="s">
        <v>6457</v>
      </c>
      <c r="C1618" s="24" t="s">
        <v>6458</v>
      </c>
      <c r="D1618" s="24" t="s">
        <v>264</v>
      </c>
      <c r="E1618" s="24" t="s">
        <v>6459</v>
      </c>
      <c r="F1618" s="24" t="s">
        <v>59</v>
      </c>
    </row>
    <row r="1619">
      <c r="A1619" s="24" t="s">
        <v>6460</v>
      </c>
      <c r="B1619" s="24" t="s">
        <v>6461</v>
      </c>
      <c r="C1619" s="24" t="s">
        <v>6462</v>
      </c>
      <c r="D1619" s="24" t="s">
        <v>124</v>
      </c>
      <c r="E1619" s="24" t="s">
        <v>6463</v>
      </c>
      <c r="F1619" s="24" t="s">
        <v>59</v>
      </c>
    </row>
    <row r="1620">
      <c r="A1620" s="24" t="s">
        <v>6464</v>
      </c>
      <c r="B1620" s="24" t="s">
        <v>6465</v>
      </c>
      <c r="C1620" s="24" t="s">
        <v>6466</v>
      </c>
      <c r="D1620" s="24" t="s">
        <v>264</v>
      </c>
      <c r="E1620" s="24" t="s">
        <v>6467</v>
      </c>
      <c r="F1620" s="24" t="s">
        <v>59</v>
      </c>
    </row>
    <row r="1621">
      <c r="A1621" s="24" t="s">
        <v>6468</v>
      </c>
      <c r="B1621" s="24" t="s">
        <v>6469</v>
      </c>
      <c r="C1621" s="24" t="s">
        <v>6470</v>
      </c>
      <c r="D1621" s="24" t="s">
        <v>124</v>
      </c>
      <c r="E1621" s="24" t="s">
        <v>6471</v>
      </c>
      <c r="F1621" s="24" t="s">
        <v>59</v>
      </c>
    </row>
    <row r="1622">
      <c r="A1622" s="24" t="s">
        <v>6472</v>
      </c>
      <c r="B1622" s="24" t="s">
        <v>6473</v>
      </c>
      <c r="C1622" s="24" t="s">
        <v>6474</v>
      </c>
      <c r="D1622" s="24" t="s">
        <v>124</v>
      </c>
      <c r="E1622" s="24" t="s">
        <v>6475</v>
      </c>
      <c r="F1622" s="24" t="s">
        <v>59</v>
      </c>
    </row>
    <row r="1623">
      <c r="A1623" s="24" t="s">
        <v>6476</v>
      </c>
      <c r="B1623" s="24" t="s">
        <v>6477</v>
      </c>
      <c r="C1623" s="24" t="s">
        <v>6478</v>
      </c>
      <c r="D1623" s="24" t="s">
        <v>124</v>
      </c>
      <c r="E1623" s="24" t="s">
        <v>6479</v>
      </c>
      <c r="F1623" s="24" t="s">
        <v>59</v>
      </c>
    </row>
    <row r="1624">
      <c r="A1624" s="24" t="s">
        <v>6480</v>
      </c>
      <c r="B1624" s="24" t="s">
        <v>6481</v>
      </c>
      <c r="C1624" s="24" t="s">
        <v>6482</v>
      </c>
      <c r="D1624" s="24" t="s">
        <v>129</v>
      </c>
      <c r="E1624" s="24" t="s">
        <v>6483</v>
      </c>
      <c r="F1624" s="24" t="s">
        <v>59</v>
      </c>
    </row>
    <row r="1625">
      <c r="A1625" s="24" t="s">
        <v>6484</v>
      </c>
      <c r="B1625" s="24" t="s">
        <v>6485</v>
      </c>
      <c r="C1625" s="24" t="s">
        <v>6486</v>
      </c>
      <c r="D1625" s="24" t="s">
        <v>124</v>
      </c>
      <c r="E1625" s="24" t="s">
        <v>6487</v>
      </c>
      <c r="F1625" s="24" t="s">
        <v>59</v>
      </c>
    </row>
    <row r="1626">
      <c r="A1626" s="24" t="s">
        <v>6488</v>
      </c>
      <c r="B1626" s="24" t="s">
        <v>6489</v>
      </c>
      <c r="C1626" s="24" t="s">
        <v>6490</v>
      </c>
      <c r="D1626" s="24" t="s">
        <v>129</v>
      </c>
      <c r="E1626" s="24" t="s">
        <v>6491</v>
      </c>
      <c r="F1626" s="24" t="s">
        <v>59</v>
      </c>
    </row>
    <row r="1627">
      <c r="A1627" s="24" t="s">
        <v>6492</v>
      </c>
      <c r="B1627" s="24" t="s">
        <v>6493</v>
      </c>
      <c r="C1627" s="24" t="s">
        <v>6494</v>
      </c>
      <c r="D1627" s="24" t="s">
        <v>124</v>
      </c>
      <c r="E1627" s="24" t="s">
        <v>6495</v>
      </c>
      <c r="F1627" s="24" t="s">
        <v>59</v>
      </c>
    </row>
    <row r="1628">
      <c r="A1628" s="24" t="s">
        <v>6496</v>
      </c>
      <c r="B1628" s="24" t="s">
        <v>6497</v>
      </c>
      <c r="C1628" s="24" t="s">
        <v>6498</v>
      </c>
      <c r="D1628" s="24" t="s">
        <v>124</v>
      </c>
      <c r="E1628" s="24" t="s">
        <v>6499</v>
      </c>
      <c r="F1628" s="24" t="s">
        <v>59</v>
      </c>
    </row>
    <row r="1629">
      <c r="A1629" s="24" t="s">
        <v>6500</v>
      </c>
      <c r="B1629" s="24" t="s">
        <v>6501</v>
      </c>
      <c r="C1629" s="24" t="s">
        <v>6502</v>
      </c>
      <c r="D1629" s="24" t="s">
        <v>124</v>
      </c>
      <c r="E1629" s="24" t="s">
        <v>6503</v>
      </c>
      <c r="F1629" s="24" t="s">
        <v>59</v>
      </c>
    </row>
    <row r="1630">
      <c r="A1630" s="24" t="s">
        <v>6504</v>
      </c>
      <c r="B1630" s="24" t="s">
        <v>6505</v>
      </c>
      <c r="C1630" s="24" t="s">
        <v>6506</v>
      </c>
      <c r="D1630" s="24" t="s">
        <v>124</v>
      </c>
      <c r="E1630" s="24" t="s">
        <v>6507</v>
      </c>
      <c r="F1630" s="24" t="s">
        <v>59</v>
      </c>
    </row>
    <row r="1631">
      <c r="A1631" s="24" t="s">
        <v>6508</v>
      </c>
      <c r="B1631" s="24" t="s">
        <v>6509</v>
      </c>
      <c r="C1631" s="24" t="s">
        <v>6510</v>
      </c>
      <c r="D1631" s="24" t="s">
        <v>124</v>
      </c>
      <c r="E1631" s="24" t="s">
        <v>6511</v>
      </c>
      <c r="F1631" s="24" t="s">
        <v>59</v>
      </c>
    </row>
    <row r="1632">
      <c r="A1632" s="24" t="s">
        <v>6512</v>
      </c>
      <c r="B1632" s="24" t="s">
        <v>6513</v>
      </c>
      <c r="C1632" s="24" t="s">
        <v>6514</v>
      </c>
      <c r="D1632" s="24" t="s">
        <v>264</v>
      </c>
      <c r="E1632" s="24" t="s">
        <v>6515</v>
      </c>
      <c r="F1632" s="24" t="s">
        <v>59</v>
      </c>
    </row>
    <row r="1633">
      <c r="A1633" s="24" t="s">
        <v>6516</v>
      </c>
      <c r="B1633" s="24" t="s">
        <v>6517</v>
      </c>
      <c r="C1633" s="24" t="s">
        <v>6518</v>
      </c>
      <c r="D1633" s="24" t="s">
        <v>124</v>
      </c>
      <c r="E1633" s="24" t="s">
        <v>6519</v>
      </c>
      <c r="F1633" s="24" t="s">
        <v>59</v>
      </c>
    </row>
    <row r="1634">
      <c r="A1634" s="24" t="s">
        <v>6520</v>
      </c>
      <c r="B1634" s="24" t="s">
        <v>6521</v>
      </c>
      <c r="C1634" s="24" t="s">
        <v>6522</v>
      </c>
      <c r="D1634" s="24" t="s">
        <v>129</v>
      </c>
      <c r="E1634" s="24" t="s">
        <v>6523</v>
      </c>
      <c r="F1634" s="24" t="s">
        <v>59</v>
      </c>
    </row>
    <row r="1635">
      <c r="A1635" s="24" t="s">
        <v>6524</v>
      </c>
      <c r="B1635" s="24" t="s">
        <v>6525</v>
      </c>
      <c r="C1635" s="24" t="s">
        <v>6526</v>
      </c>
      <c r="D1635" s="24" t="s">
        <v>124</v>
      </c>
      <c r="E1635" s="24" t="s">
        <v>6527</v>
      </c>
      <c r="F1635" s="24" t="s">
        <v>59</v>
      </c>
    </row>
    <row r="1636">
      <c r="A1636" s="24" t="s">
        <v>6528</v>
      </c>
      <c r="B1636" s="24" t="s">
        <v>6529</v>
      </c>
      <c r="C1636" s="24" t="s">
        <v>6530</v>
      </c>
      <c r="D1636" s="24" t="s">
        <v>124</v>
      </c>
      <c r="E1636" s="24" t="s">
        <v>6531</v>
      </c>
      <c r="F1636" s="24" t="s">
        <v>59</v>
      </c>
    </row>
    <row r="1637">
      <c r="A1637" s="24" t="s">
        <v>6532</v>
      </c>
      <c r="B1637" s="24" t="s">
        <v>6533</v>
      </c>
      <c r="C1637" s="24" t="s">
        <v>6534</v>
      </c>
      <c r="D1637" s="24" t="s">
        <v>124</v>
      </c>
      <c r="E1637" s="24" t="s">
        <v>6535</v>
      </c>
      <c r="F1637" s="24" t="s">
        <v>59</v>
      </c>
    </row>
    <row r="1638">
      <c r="A1638" s="24" t="s">
        <v>6536</v>
      </c>
      <c r="B1638" s="24" t="s">
        <v>6537</v>
      </c>
      <c r="C1638" s="24" t="s">
        <v>6538</v>
      </c>
      <c r="D1638" s="24" t="s">
        <v>124</v>
      </c>
      <c r="E1638" s="24" t="s">
        <v>6539</v>
      </c>
      <c r="F1638" s="24" t="s">
        <v>59</v>
      </c>
    </row>
    <row r="1639">
      <c r="A1639" s="24" t="s">
        <v>6540</v>
      </c>
      <c r="B1639" s="24" t="s">
        <v>6541</v>
      </c>
      <c r="C1639" s="24" t="s">
        <v>6542</v>
      </c>
      <c r="D1639" s="24" t="s">
        <v>124</v>
      </c>
      <c r="E1639" s="24" t="s">
        <v>6543</v>
      </c>
      <c r="F1639" s="24" t="s">
        <v>59</v>
      </c>
    </row>
    <row r="1640">
      <c r="A1640" s="24" t="s">
        <v>6544</v>
      </c>
      <c r="B1640" s="24" t="s">
        <v>6545</v>
      </c>
      <c r="C1640" s="24" t="s">
        <v>6546</v>
      </c>
      <c r="D1640" s="24" t="s">
        <v>124</v>
      </c>
      <c r="E1640" s="24" t="s">
        <v>6547</v>
      </c>
      <c r="F1640" s="24" t="s">
        <v>59</v>
      </c>
    </row>
    <row r="1641">
      <c r="A1641" s="24" t="s">
        <v>6548</v>
      </c>
      <c r="B1641" s="24" t="s">
        <v>6549</v>
      </c>
      <c r="C1641" s="24" t="s">
        <v>6550</v>
      </c>
      <c r="D1641" s="24" t="s">
        <v>129</v>
      </c>
      <c r="E1641" s="24" t="s">
        <v>6551</v>
      </c>
      <c r="F1641" s="24" t="s">
        <v>59</v>
      </c>
    </row>
    <row r="1642">
      <c r="A1642" s="24" t="s">
        <v>6552</v>
      </c>
      <c r="B1642" s="24" t="s">
        <v>6553</v>
      </c>
      <c r="C1642" s="24" t="s">
        <v>6554</v>
      </c>
      <c r="D1642" s="24" t="s">
        <v>124</v>
      </c>
      <c r="E1642" s="24" t="s">
        <v>6555</v>
      </c>
      <c r="F1642" s="24" t="s">
        <v>59</v>
      </c>
    </row>
    <row r="1643">
      <c r="A1643" s="24" t="s">
        <v>6556</v>
      </c>
      <c r="B1643" s="24" t="s">
        <v>6557</v>
      </c>
      <c r="C1643" s="24" t="s">
        <v>6558</v>
      </c>
      <c r="D1643" s="24" t="s">
        <v>264</v>
      </c>
      <c r="E1643" s="24" t="s">
        <v>6559</v>
      </c>
      <c r="F1643" s="24" t="s">
        <v>59</v>
      </c>
    </row>
    <row r="1644">
      <c r="A1644" s="24" t="s">
        <v>6560</v>
      </c>
      <c r="B1644" s="24" t="s">
        <v>6561</v>
      </c>
      <c r="C1644" s="24" t="s">
        <v>6562</v>
      </c>
      <c r="D1644" s="24" t="s">
        <v>124</v>
      </c>
      <c r="E1644" s="24" t="s">
        <v>6563</v>
      </c>
      <c r="F1644" s="24" t="s">
        <v>59</v>
      </c>
    </row>
    <row r="1645">
      <c r="A1645" s="24" t="s">
        <v>6564</v>
      </c>
      <c r="B1645" s="24" t="s">
        <v>6565</v>
      </c>
      <c r="C1645" s="24" t="s">
        <v>6566</v>
      </c>
      <c r="D1645" s="24" t="s">
        <v>124</v>
      </c>
      <c r="E1645" s="24" t="s">
        <v>6567</v>
      </c>
      <c r="F1645" s="24" t="s">
        <v>59</v>
      </c>
    </row>
    <row r="1646">
      <c r="A1646" s="24" t="s">
        <v>6568</v>
      </c>
      <c r="B1646" s="24" t="s">
        <v>6569</v>
      </c>
      <c r="C1646" s="24" t="s">
        <v>6570</v>
      </c>
      <c r="D1646" s="24" t="s">
        <v>124</v>
      </c>
      <c r="E1646" s="24" t="s">
        <v>6571</v>
      </c>
      <c r="F1646" s="24" t="s">
        <v>59</v>
      </c>
    </row>
    <row r="1647">
      <c r="A1647" s="24" t="s">
        <v>6572</v>
      </c>
      <c r="B1647" s="24" t="s">
        <v>6573</v>
      </c>
      <c r="C1647" s="24" t="s">
        <v>6574</v>
      </c>
      <c r="D1647" s="24" t="s">
        <v>124</v>
      </c>
      <c r="E1647" s="24" t="s">
        <v>6575</v>
      </c>
      <c r="F1647" s="24" t="s">
        <v>59</v>
      </c>
    </row>
    <row r="1648">
      <c r="A1648" s="24" t="s">
        <v>6576</v>
      </c>
      <c r="B1648" s="24" t="s">
        <v>6577</v>
      </c>
      <c r="C1648" s="24" t="s">
        <v>6578</v>
      </c>
      <c r="D1648" s="24" t="s">
        <v>124</v>
      </c>
      <c r="E1648" s="24" t="s">
        <v>6579</v>
      </c>
      <c r="F1648" s="24" t="s">
        <v>59</v>
      </c>
    </row>
    <row r="1649">
      <c r="A1649" s="24" t="s">
        <v>6580</v>
      </c>
      <c r="B1649" s="24" t="s">
        <v>6581</v>
      </c>
      <c r="C1649" s="24" t="s">
        <v>6582</v>
      </c>
      <c r="D1649" s="24" t="s">
        <v>264</v>
      </c>
      <c r="E1649" s="24" t="s">
        <v>6583</v>
      </c>
      <c r="F1649" s="24" t="s">
        <v>59</v>
      </c>
    </row>
    <row r="1650">
      <c r="A1650" s="24" t="s">
        <v>6584</v>
      </c>
      <c r="B1650" s="24" t="s">
        <v>6585</v>
      </c>
      <c r="C1650" s="24" t="s">
        <v>6586</v>
      </c>
      <c r="D1650" s="24" t="s">
        <v>124</v>
      </c>
      <c r="E1650" s="24" t="s">
        <v>6587</v>
      </c>
      <c r="F1650" s="24" t="s">
        <v>59</v>
      </c>
    </row>
    <row r="1651">
      <c r="A1651" s="24" t="s">
        <v>6588</v>
      </c>
      <c r="B1651" s="24" t="s">
        <v>6589</v>
      </c>
      <c r="C1651" s="24" t="s">
        <v>6590</v>
      </c>
      <c r="D1651" s="24" t="s">
        <v>124</v>
      </c>
      <c r="E1651" s="24" t="s">
        <v>6591</v>
      </c>
      <c r="F1651" s="24" t="s">
        <v>59</v>
      </c>
    </row>
    <row r="1652">
      <c r="A1652" s="24" t="s">
        <v>6592</v>
      </c>
      <c r="B1652" s="24" t="s">
        <v>6593</v>
      </c>
      <c r="C1652" s="24" t="s">
        <v>6594</v>
      </c>
      <c r="D1652" s="24" t="s">
        <v>124</v>
      </c>
      <c r="E1652" s="24" t="s">
        <v>6595</v>
      </c>
      <c r="F1652" s="24" t="s">
        <v>59</v>
      </c>
    </row>
    <row r="1653">
      <c r="A1653" s="24" t="s">
        <v>6596</v>
      </c>
      <c r="B1653" s="24" t="s">
        <v>6597</v>
      </c>
      <c r="C1653" s="24" t="s">
        <v>6598</v>
      </c>
      <c r="D1653" s="24" t="s">
        <v>124</v>
      </c>
      <c r="E1653" s="24" t="s">
        <v>6599</v>
      </c>
      <c r="F1653" s="24" t="s">
        <v>59</v>
      </c>
    </row>
    <row r="1654">
      <c r="A1654" s="24" t="s">
        <v>6600</v>
      </c>
      <c r="B1654" s="24" t="s">
        <v>6601</v>
      </c>
      <c r="C1654" s="24" t="s">
        <v>6602</v>
      </c>
      <c r="D1654" s="24" t="s">
        <v>124</v>
      </c>
      <c r="E1654" s="24" t="s">
        <v>6603</v>
      </c>
      <c r="F1654" s="24" t="s">
        <v>59</v>
      </c>
    </row>
    <row r="1655">
      <c r="A1655" s="24" t="s">
        <v>6604</v>
      </c>
      <c r="B1655" s="24" t="s">
        <v>6605</v>
      </c>
      <c r="C1655" s="24" t="s">
        <v>6606</v>
      </c>
      <c r="D1655" s="24" t="s">
        <v>124</v>
      </c>
      <c r="E1655" s="24" t="s">
        <v>6607</v>
      </c>
      <c r="F1655" s="24" t="s">
        <v>59</v>
      </c>
    </row>
    <row r="1656">
      <c r="A1656" s="24" t="s">
        <v>6608</v>
      </c>
      <c r="B1656" s="24" t="s">
        <v>6609</v>
      </c>
      <c r="C1656" s="24" t="s">
        <v>6610</v>
      </c>
      <c r="D1656" s="24" t="s">
        <v>124</v>
      </c>
      <c r="E1656" s="24" t="s">
        <v>6611</v>
      </c>
      <c r="F1656" s="24" t="s">
        <v>59</v>
      </c>
    </row>
    <row r="1657">
      <c r="A1657" s="24" t="s">
        <v>6612</v>
      </c>
      <c r="B1657" s="24" t="s">
        <v>6613</v>
      </c>
      <c r="C1657" s="24" t="s">
        <v>6614</v>
      </c>
      <c r="D1657" s="24" t="s">
        <v>124</v>
      </c>
      <c r="E1657" s="24" t="s">
        <v>6615</v>
      </c>
      <c r="F1657" s="24" t="s">
        <v>59</v>
      </c>
    </row>
    <row r="1658">
      <c r="A1658" s="24" t="s">
        <v>6616</v>
      </c>
      <c r="B1658" s="24" t="s">
        <v>6617</v>
      </c>
      <c r="C1658" s="24" t="s">
        <v>6618</v>
      </c>
      <c r="D1658" s="24" t="s">
        <v>129</v>
      </c>
      <c r="E1658" s="24" t="s">
        <v>6619</v>
      </c>
      <c r="F1658" s="24" t="s">
        <v>59</v>
      </c>
    </row>
    <row r="1659">
      <c r="A1659" s="24" t="s">
        <v>6620</v>
      </c>
      <c r="B1659" s="24" t="s">
        <v>6621</v>
      </c>
      <c r="C1659" s="24" t="s">
        <v>6622</v>
      </c>
      <c r="D1659" s="24" t="s">
        <v>124</v>
      </c>
      <c r="E1659" s="24" t="s">
        <v>6623</v>
      </c>
      <c r="F1659" s="24" t="s">
        <v>59</v>
      </c>
    </row>
    <row r="1660">
      <c r="A1660" s="24" t="s">
        <v>6624</v>
      </c>
      <c r="B1660" s="24" t="s">
        <v>6625</v>
      </c>
      <c r="C1660" s="24" t="s">
        <v>6626</v>
      </c>
      <c r="D1660" s="24" t="s">
        <v>124</v>
      </c>
      <c r="E1660" s="24" t="s">
        <v>6627</v>
      </c>
      <c r="F1660" s="24" t="s">
        <v>59</v>
      </c>
    </row>
    <row r="1661">
      <c r="A1661" s="24" t="s">
        <v>6628</v>
      </c>
      <c r="B1661" s="24" t="s">
        <v>6629</v>
      </c>
      <c r="C1661" s="24" t="s">
        <v>6630</v>
      </c>
      <c r="D1661" s="24" t="s">
        <v>124</v>
      </c>
      <c r="E1661" s="24" t="s">
        <v>6631</v>
      </c>
      <c r="F1661" s="24" t="s">
        <v>59</v>
      </c>
    </row>
    <row r="1662">
      <c r="A1662" s="24" t="s">
        <v>6632</v>
      </c>
      <c r="B1662" s="24" t="s">
        <v>6633</v>
      </c>
      <c r="C1662" s="24" t="s">
        <v>6634</v>
      </c>
      <c r="D1662" s="24" t="s">
        <v>124</v>
      </c>
      <c r="E1662" s="24" t="s">
        <v>6635</v>
      </c>
      <c r="F1662" s="24" t="s">
        <v>59</v>
      </c>
    </row>
    <row r="1663">
      <c r="A1663" s="24" t="s">
        <v>6636</v>
      </c>
      <c r="B1663" s="24" t="s">
        <v>6637</v>
      </c>
      <c r="C1663" s="24" t="s">
        <v>6638</v>
      </c>
      <c r="D1663" s="24" t="s">
        <v>124</v>
      </c>
      <c r="E1663" s="24" t="s">
        <v>6639</v>
      </c>
      <c r="F1663" s="24" t="s">
        <v>59</v>
      </c>
    </row>
    <row r="1664">
      <c r="A1664" s="24" t="s">
        <v>6640</v>
      </c>
      <c r="B1664" s="24" t="s">
        <v>6641</v>
      </c>
      <c r="C1664" s="24" t="s">
        <v>6642</v>
      </c>
      <c r="D1664" s="24" t="s">
        <v>124</v>
      </c>
      <c r="E1664" s="24" t="s">
        <v>6643</v>
      </c>
      <c r="F1664" s="24" t="s">
        <v>59</v>
      </c>
    </row>
    <row r="1665">
      <c r="A1665" s="24" t="s">
        <v>6644</v>
      </c>
      <c r="B1665" s="24" t="s">
        <v>6645</v>
      </c>
      <c r="C1665" s="24" t="s">
        <v>6646</v>
      </c>
      <c r="D1665" s="24" t="s">
        <v>124</v>
      </c>
      <c r="E1665" s="24" t="s">
        <v>6647</v>
      </c>
      <c r="F1665" s="24" t="s">
        <v>59</v>
      </c>
    </row>
    <row r="1666">
      <c r="A1666" s="24" t="s">
        <v>6648</v>
      </c>
      <c r="B1666" s="24" t="s">
        <v>6649</v>
      </c>
      <c r="C1666" s="24" t="s">
        <v>6650</v>
      </c>
      <c r="D1666" s="24" t="s">
        <v>129</v>
      </c>
      <c r="E1666" s="24" t="s">
        <v>6651</v>
      </c>
      <c r="F1666" s="24" t="s">
        <v>59</v>
      </c>
    </row>
    <row r="1667">
      <c r="A1667" s="24" t="s">
        <v>6652</v>
      </c>
      <c r="B1667" s="24" t="s">
        <v>6653</v>
      </c>
      <c r="C1667" s="24" t="s">
        <v>6654</v>
      </c>
      <c r="D1667" s="24" t="s">
        <v>124</v>
      </c>
      <c r="E1667" s="24" t="s">
        <v>6655</v>
      </c>
      <c r="F1667" s="24" t="s">
        <v>59</v>
      </c>
    </row>
    <row r="1668">
      <c r="A1668" s="24" t="s">
        <v>6656</v>
      </c>
      <c r="B1668" s="24" t="s">
        <v>6657</v>
      </c>
      <c r="C1668" s="24" t="s">
        <v>6658</v>
      </c>
      <c r="D1668" s="24" t="s">
        <v>124</v>
      </c>
      <c r="E1668" s="24" t="s">
        <v>6659</v>
      </c>
      <c r="F1668" s="24" t="s">
        <v>59</v>
      </c>
    </row>
    <row r="1669">
      <c r="A1669" s="24" t="s">
        <v>6660</v>
      </c>
      <c r="B1669" s="24" t="s">
        <v>6661</v>
      </c>
      <c r="C1669" s="24" t="s">
        <v>6662</v>
      </c>
      <c r="D1669" s="24" t="s">
        <v>124</v>
      </c>
      <c r="E1669" s="24" t="s">
        <v>6663</v>
      </c>
      <c r="F1669" s="24" t="s">
        <v>59</v>
      </c>
    </row>
    <row r="1670">
      <c r="A1670" s="24" t="s">
        <v>6664</v>
      </c>
      <c r="B1670" s="24" t="s">
        <v>6665</v>
      </c>
      <c r="C1670" s="24" t="s">
        <v>6666</v>
      </c>
      <c r="D1670" s="24" t="s">
        <v>124</v>
      </c>
      <c r="E1670" s="24" t="s">
        <v>6667</v>
      </c>
      <c r="F1670" s="24" t="s">
        <v>59</v>
      </c>
    </row>
    <row r="1671">
      <c r="A1671" s="24" t="s">
        <v>6668</v>
      </c>
      <c r="B1671" s="24" t="s">
        <v>6669</v>
      </c>
      <c r="C1671" s="24" t="s">
        <v>6670</v>
      </c>
      <c r="D1671" s="24" t="s">
        <v>124</v>
      </c>
      <c r="E1671" s="24" t="s">
        <v>6671</v>
      </c>
      <c r="F1671" s="24" t="s">
        <v>59</v>
      </c>
    </row>
    <row r="1672">
      <c r="A1672" s="24" t="s">
        <v>6672</v>
      </c>
      <c r="B1672" s="24" t="s">
        <v>6673</v>
      </c>
      <c r="C1672" s="24" t="s">
        <v>6674</v>
      </c>
      <c r="D1672" s="24" t="s">
        <v>124</v>
      </c>
      <c r="E1672" s="24" t="s">
        <v>6675</v>
      </c>
      <c r="F1672" s="24" t="s">
        <v>59</v>
      </c>
    </row>
    <row r="1673">
      <c r="A1673" s="24" t="s">
        <v>6676</v>
      </c>
      <c r="B1673" s="24" t="s">
        <v>6677</v>
      </c>
      <c r="C1673" s="24" t="s">
        <v>6678</v>
      </c>
      <c r="D1673" s="24" t="s">
        <v>124</v>
      </c>
      <c r="E1673" s="24" t="s">
        <v>6679</v>
      </c>
      <c r="F1673" s="24" t="s">
        <v>59</v>
      </c>
    </row>
    <row r="1674">
      <c r="A1674" s="24" t="s">
        <v>6680</v>
      </c>
      <c r="B1674" s="24" t="s">
        <v>6681</v>
      </c>
      <c r="C1674" s="24" t="s">
        <v>6682</v>
      </c>
      <c r="D1674" s="24" t="s">
        <v>124</v>
      </c>
      <c r="E1674" s="24" t="s">
        <v>6683</v>
      </c>
      <c r="F1674" s="24" t="s">
        <v>59</v>
      </c>
    </row>
    <row r="1675">
      <c r="A1675" s="24" t="s">
        <v>6684</v>
      </c>
      <c r="B1675" s="24" t="s">
        <v>6685</v>
      </c>
      <c r="C1675" s="24" t="s">
        <v>6686</v>
      </c>
      <c r="D1675" s="24" t="s">
        <v>124</v>
      </c>
      <c r="E1675" s="24" t="s">
        <v>6687</v>
      </c>
      <c r="F1675" s="24" t="s">
        <v>59</v>
      </c>
    </row>
    <row r="1676">
      <c r="A1676" s="24" t="s">
        <v>6688</v>
      </c>
      <c r="B1676" s="24" t="s">
        <v>6689</v>
      </c>
      <c r="C1676" s="24" t="s">
        <v>6690</v>
      </c>
      <c r="D1676" s="24" t="s">
        <v>124</v>
      </c>
      <c r="E1676" s="24" t="s">
        <v>6691</v>
      </c>
      <c r="F1676" s="24" t="s">
        <v>59</v>
      </c>
    </row>
    <row r="1677">
      <c r="A1677" s="24" t="s">
        <v>6692</v>
      </c>
      <c r="B1677" s="24" t="s">
        <v>6693</v>
      </c>
      <c r="C1677" s="24" t="s">
        <v>6694</v>
      </c>
      <c r="D1677" s="24" t="s">
        <v>124</v>
      </c>
      <c r="E1677" s="24" t="s">
        <v>6695</v>
      </c>
      <c r="F1677" s="24" t="s">
        <v>59</v>
      </c>
    </row>
    <row r="1678">
      <c r="A1678" s="24" t="s">
        <v>6696</v>
      </c>
      <c r="B1678" s="24" t="s">
        <v>6697</v>
      </c>
      <c r="C1678" s="24" t="s">
        <v>6698</v>
      </c>
      <c r="D1678" s="24" t="s">
        <v>124</v>
      </c>
      <c r="E1678" s="24" t="s">
        <v>6699</v>
      </c>
      <c r="F1678" s="24" t="s">
        <v>59</v>
      </c>
    </row>
    <row r="1679">
      <c r="A1679" s="24" t="s">
        <v>6700</v>
      </c>
      <c r="B1679" s="24" t="s">
        <v>6701</v>
      </c>
      <c r="C1679" s="24" t="s">
        <v>6702</v>
      </c>
      <c r="D1679" s="24" t="s">
        <v>124</v>
      </c>
      <c r="E1679" s="24" t="s">
        <v>6703</v>
      </c>
      <c r="F1679" s="24" t="s">
        <v>59</v>
      </c>
    </row>
    <row r="1680">
      <c r="A1680" s="24" t="s">
        <v>6704</v>
      </c>
      <c r="B1680" s="24" t="s">
        <v>6705</v>
      </c>
      <c r="C1680" s="24" t="s">
        <v>6706</v>
      </c>
      <c r="D1680" s="24" t="s">
        <v>124</v>
      </c>
      <c r="E1680" s="24" t="s">
        <v>6707</v>
      </c>
      <c r="F1680" s="24" t="s">
        <v>59</v>
      </c>
    </row>
    <row r="1681">
      <c r="A1681" s="24" t="s">
        <v>6708</v>
      </c>
      <c r="B1681" s="24" t="s">
        <v>6709</v>
      </c>
      <c r="C1681" s="24" t="s">
        <v>6710</v>
      </c>
      <c r="D1681" s="24" t="s">
        <v>124</v>
      </c>
      <c r="E1681" s="24" t="s">
        <v>6711</v>
      </c>
      <c r="F1681" s="24" t="s">
        <v>59</v>
      </c>
    </row>
    <row r="1682">
      <c r="A1682" s="24" t="s">
        <v>6712</v>
      </c>
      <c r="B1682" s="24" t="s">
        <v>6713</v>
      </c>
      <c r="C1682" s="24" t="s">
        <v>6714</v>
      </c>
      <c r="D1682" s="24" t="s">
        <v>124</v>
      </c>
      <c r="E1682" s="24" t="s">
        <v>6715</v>
      </c>
      <c r="F1682" s="24" t="s">
        <v>59</v>
      </c>
    </row>
    <row r="1683">
      <c r="A1683" s="24" t="s">
        <v>6716</v>
      </c>
      <c r="B1683" s="24" t="s">
        <v>6717</v>
      </c>
      <c r="C1683" s="24" t="s">
        <v>6718</v>
      </c>
      <c r="D1683" s="24" t="s">
        <v>124</v>
      </c>
      <c r="E1683" s="24" t="s">
        <v>6719</v>
      </c>
      <c r="F1683" s="24" t="s">
        <v>59</v>
      </c>
    </row>
    <row r="1684">
      <c r="A1684" s="24" t="s">
        <v>6720</v>
      </c>
      <c r="B1684" s="24" t="s">
        <v>6721</v>
      </c>
      <c r="C1684" s="24" t="s">
        <v>6722</v>
      </c>
      <c r="D1684" s="24" t="s">
        <v>124</v>
      </c>
      <c r="E1684" s="24" t="s">
        <v>6723</v>
      </c>
      <c r="F1684" s="24" t="s">
        <v>59</v>
      </c>
    </row>
    <row r="1685">
      <c r="A1685" s="24" t="s">
        <v>6724</v>
      </c>
      <c r="B1685" s="24" t="s">
        <v>6725</v>
      </c>
      <c r="C1685" s="24" t="s">
        <v>6726</v>
      </c>
      <c r="D1685" s="24" t="s">
        <v>124</v>
      </c>
      <c r="E1685" s="24" t="s">
        <v>6727</v>
      </c>
      <c r="F1685" s="24" t="s">
        <v>59</v>
      </c>
    </row>
    <row r="1686">
      <c r="A1686" s="24" t="s">
        <v>6728</v>
      </c>
      <c r="B1686" s="24" t="s">
        <v>6729</v>
      </c>
      <c r="C1686" s="24" t="s">
        <v>6730</v>
      </c>
      <c r="D1686" s="24" t="s">
        <v>129</v>
      </c>
      <c r="E1686" s="24" t="s">
        <v>6731</v>
      </c>
      <c r="F1686" s="24" t="s">
        <v>59</v>
      </c>
    </row>
    <row r="1687">
      <c r="A1687" s="24" t="s">
        <v>6732</v>
      </c>
      <c r="B1687" s="24" t="s">
        <v>6733</v>
      </c>
      <c r="C1687" s="24" t="s">
        <v>6734</v>
      </c>
      <c r="D1687" s="24" t="s">
        <v>124</v>
      </c>
      <c r="E1687" s="24" t="s">
        <v>6735</v>
      </c>
      <c r="F1687" s="24" t="s">
        <v>59</v>
      </c>
    </row>
    <row r="1688">
      <c r="A1688" s="24" t="s">
        <v>6736</v>
      </c>
      <c r="B1688" s="24" t="s">
        <v>6737</v>
      </c>
      <c r="C1688" s="24" t="s">
        <v>6738</v>
      </c>
      <c r="D1688" s="24" t="s">
        <v>124</v>
      </c>
      <c r="E1688" s="24" t="s">
        <v>6739</v>
      </c>
      <c r="F1688" s="24" t="s">
        <v>59</v>
      </c>
    </row>
    <row r="1689">
      <c r="A1689" s="24" t="s">
        <v>6740</v>
      </c>
      <c r="B1689" s="24" t="s">
        <v>6741</v>
      </c>
      <c r="C1689" s="24" t="s">
        <v>6742</v>
      </c>
      <c r="D1689" s="24" t="s">
        <v>124</v>
      </c>
      <c r="E1689" s="24" t="s">
        <v>6743</v>
      </c>
      <c r="F1689" s="24" t="s">
        <v>59</v>
      </c>
    </row>
    <row r="1690">
      <c r="A1690" s="24" t="s">
        <v>6744</v>
      </c>
      <c r="B1690" s="24" t="s">
        <v>6745</v>
      </c>
      <c r="C1690" s="24" t="s">
        <v>6746</v>
      </c>
      <c r="D1690" s="24" t="s">
        <v>124</v>
      </c>
      <c r="E1690" s="24" t="s">
        <v>6747</v>
      </c>
      <c r="F1690" s="24" t="s">
        <v>59</v>
      </c>
    </row>
    <row r="1691">
      <c r="A1691" s="24" t="s">
        <v>6748</v>
      </c>
      <c r="B1691" s="24" t="s">
        <v>6749</v>
      </c>
      <c r="C1691" s="24" t="s">
        <v>6750</v>
      </c>
      <c r="D1691" s="24" t="s">
        <v>124</v>
      </c>
      <c r="E1691" s="24" t="s">
        <v>6751</v>
      </c>
      <c r="F1691" s="24" t="s">
        <v>59</v>
      </c>
    </row>
    <row r="1692">
      <c r="A1692" s="24" t="s">
        <v>6752</v>
      </c>
      <c r="B1692" s="24" t="s">
        <v>6753</v>
      </c>
      <c r="C1692" s="24" t="s">
        <v>6754</v>
      </c>
      <c r="D1692" s="24" t="s">
        <v>124</v>
      </c>
      <c r="E1692" s="24" t="s">
        <v>6755</v>
      </c>
      <c r="F1692" s="24" t="s">
        <v>59</v>
      </c>
    </row>
    <row r="1693">
      <c r="A1693" s="24" t="s">
        <v>6756</v>
      </c>
      <c r="B1693" s="24" t="s">
        <v>6757</v>
      </c>
      <c r="C1693" s="24" t="s">
        <v>6758</v>
      </c>
      <c r="D1693" s="24" t="s">
        <v>124</v>
      </c>
      <c r="E1693" s="24" t="s">
        <v>6759</v>
      </c>
      <c r="F1693" s="24" t="s">
        <v>59</v>
      </c>
    </row>
    <row r="1694">
      <c r="A1694" s="24" t="s">
        <v>6760</v>
      </c>
      <c r="B1694" s="24" t="s">
        <v>6761</v>
      </c>
      <c r="C1694" s="24" t="s">
        <v>6762</v>
      </c>
      <c r="D1694" s="24" t="s">
        <v>124</v>
      </c>
      <c r="E1694" s="24" t="s">
        <v>6763</v>
      </c>
      <c r="F1694" s="24" t="s">
        <v>59</v>
      </c>
    </row>
    <row r="1695">
      <c r="A1695" s="24" t="s">
        <v>6764</v>
      </c>
      <c r="B1695" s="24" t="s">
        <v>6765</v>
      </c>
      <c r="C1695" s="24" t="s">
        <v>6766</v>
      </c>
      <c r="D1695" s="24" t="s">
        <v>124</v>
      </c>
      <c r="E1695" s="24" t="s">
        <v>6767</v>
      </c>
      <c r="F1695" s="24" t="s">
        <v>59</v>
      </c>
    </row>
    <row r="1696">
      <c r="A1696" s="24" t="s">
        <v>6768</v>
      </c>
      <c r="B1696" s="24" t="s">
        <v>6769</v>
      </c>
      <c r="C1696" s="24" t="s">
        <v>6770</v>
      </c>
      <c r="D1696" s="24" t="s">
        <v>124</v>
      </c>
      <c r="E1696" s="24" t="s">
        <v>6771</v>
      </c>
      <c r="F1696" s="24" t="s">
        <v>59</v>
      </c>
    </row>
    <row r="1697">
      <c r="A1697" s="24" t="s">
        <v>6772</v>
      </c>
      <c r="B1697" s="24" t="s">
        <v>6773</v>
      </c>
      <c r="C1697" s="24" t="s">
        <v>6774</v>
      </c>
      <c r="D1697" s="24" t="s">
        <v>124</v>
      </c>
      <c r="E1697" s="24" t="s">
        <v>6775</v>
      </c>
      <c r="F1697" s="24" t="s">
        <v>59</v>
      </c>
    </row>
    <row r="1698">
      <c r="A1698" s="24" t="s">
        <v>6776</v>
      </c>
      <c r="B1698" s="24" t="s">
        <v>6777</v>
      </c>
      <c r="C1698" s="24" t="s">
        <v>6778</v>
      </c>
      <c r="D1698" s="24" t="s">
        <v>129</v>
      </c>
      <c r="E1698" s="24" t="s">
        <v>6779</v>
      </c>
      <c r="F1698" s="24" t="s">
        <v>59</v>
      </c>
    </row>
    <row r="1699">
      <c r="A1699" s="24" t="s">
        <v>6780</v>
      </c>
      <c r="B1699" s="24" t="s">
        <v>6781</v>
      </c>
      <c r="C1699" s="24" t="s">
        <v>6782</v>
      </c>
      <c r="D1699" s="24" t="s">
        <v>124</v>
      </c>
      <c r="E1699" s="24" t="s">
        <v>6783</v>
      </c>
      <c r="F1699" s="24" t="s">
        <v>59</v>
      </c>
    </row>
    <row r="1700">
      <c r="A1700" s="24" t="s">
        <v>6784</v>
      </c>
      <c r="B1700" s="24" t="s">
        <v>6785</v>
      </c>
      <c r="C1700" s="24" t="s">
        <v>6786</v>
      </c>
      <c r="D1700" s="24" t="s">
        <v>124</v>
      </c>
      <c r="E1700" s="24" t="s">
        <v>6787</v>
      </c>
      <c r="F1700" s="24" t="s">
        <v>59</v>
      </c>
    </row>
    <row r="1701">
      <c r="A1701" s="24" t="s">
        <v>6788</v>
      </c>
      <c r="B1701" s="24" t="s">
        <v>6789</v>
      </c>
      <c r="C1701" s="24" t="s">
        <v>6790</v>
      </c>
      <c r="D1701" s="24" t="s">
        <v>124</v>
      </c>
      <c r="E1701" s="24" t="s">
        <v>6791</v>
      </c>
      <c r="F1701" s="24" t="s">
        <v>59</v>
      </c>
    </row>
    <row r="1702">
      <c r="A1702" s="24" t="s">
        <v>6792</v>
      </c>
      <c r="B1702" s="24" t="s">
        <v>6793</v>
      </c>
      <c r="C1702" s="24" t="s">
        <v>6794</v>
      </c>
      <c r="D1702" s="24" t="s">
        <v>124</v>
      </c>
      <c r="E1702" s="24" t="s">
        <v>6795</v>
      </c>
      <c r="F1702" s="24" t="s">
        <v>59</v>
      </c>
    </row>
    <row r="1703">
      <c r="A1703" s="24" t="s">
        <v>6796</v>
      </c>
      <c r="B1703" s="24" t="s">
        <v>6797</v>
      </c>
      <c r="C1703" s="24" t="s">
        <v>6798</v>
      </c>
      <c r="D1703" s="24" t="s">
        <v>124</v>
      </c>
      <c r="E1703" s="24" t="s">
        <v>6799</v>
      </c>
      <c r="F1703" s="24" t="s">
        <v>59</v>
      </c>
    </row>
    <row r="1704">
      <c r="A1704" s="24" t="s">
        <v>6800</v>
      </c>
      <c r="B1704" s="24" t="s">
        <v>6801</v>
      </c>
      <c r="C1704" s="24" t="s">
        <v>6802</v>
      </c>
      <c r="D1704" s="24" t="s">
        <v>124</v>
      </c>
      <c r="E1704" s="24" t="s">
        <v>6803</v>
      </c>
      <c r="F1704" s="24" t="s">
        <v>59</v>
      </c>
    </row>
    <row r="1705">
      <c r="A1705" s="24" t="s">
        <v>6804</v>
      </c>
      <c r="B1705" s="24" t="s">
        <v>6805</v>
      </c>
      <c r="C1705" s="24" t="s">
        <v>6806</v>
      </c>
      <c r="D1705" s="24" t="s">
        <v>124</v>
      </c>
      <c r="E1705" s="24" t="s">
        <v>6807</v>
      </c>
      <c r="F1705" s="24" t="s">
        <v>59</v>
      </c>
    </row>
    <row r="1706">
      <c r="A1706" s="24" t="s">
        <v>6808</v>
      </c>
      <c r="B1706" s="24" t="s">
        <v>6809</v>
      </c>
      <c r="C1706" s="24" t="s">
        <v>6810</v>
      </c>
      <c r="D1706" s="24" t="s">
        <v>124</v>
      </c>
      <c r="E1706" s="24" t="s">
        <v>6811</v>
      </c>
      <c r="F1706" s="24" t="s">
        <v>59</v>
      </c>
    </row>
    <row r="1707">
      <c r="A1707" s="24" t="s">
        <v>6812</v>
      </c>
      <c r="B1707" s="24" t="s">
        <v>6813</v>
      </c>
      <c r="C1707" s="24" t="s">
        <v>6814</v>
      </c>
      <c r="D1707" s="24" t="s">
        <v>124</v>
      </c>
      <c r="E1707" s="24" t="s">
        <v>6815</v>
      </c>
      <c r="F1707" s="24" t="s">
        <v>59</v>
      </c>
    </row>
    <row r="1708">
      <c r="A1708" s="24" t="s">
        <v>6816</v>
      </c>
      <c r="B1708" s="24" t="s">
        <v>6817</v>
      </c>
      <c r="C1708" s="24" t="s">
        <v>6818</v>
      </c>
      <c r="D1708" s="24" t="s">
        <v>124</v>
      </c>
      <c r="E1708" s="24" t="s">
        <v>6819</v>
      </c>
      <c r="F1708" s="24" t="s">
        <v>59</v>
      </c>
    </row>
    <row r="1709">
      <c r="A1709" s="24" t="s">
        <v>6820</v>
      </c>
      <c r="B1709" s="24" t="s">
        <v>6821</v>
      </c>
      <c r="C1709" s="24" t="s">
        <v>6822</v>
      </c>
      <c r="D1709" s="24" t="s">
        <v>124</v>
      </c>
      <c r="E1709" s="24" t="s">
        <v>6823</v>
      </c>
      <c r="F1709" s="24" t="s">
        <v>59</v>
      </c>
    </row>
    <row r="1710">
      <c r="A1710" s="24" t="s">
        <v>6824</v>
      </c>
      <c r="B1710" s="24" t="s">
        <v>6825</v>
      </c>
      <c r="C1710" s="24" t="s">
        <v>6826</v>
      </c>
      <c r="D1710" s="24" t="s">
        <v>129</v>
      </c>
      <c r="E1710" s="24" t="s">
        <v>6827</v>
      </c>
      <c r="F1710" s="24" t="s">
        <v>59</v>
      </c>
    </row>
    <row r="1711">
      <c r="A1711" s="24" t="s">
        <v>6828</v>
      </c>
      <c r="B1711" s="24" t="s">
        <v>6829</v>
      </c>
      <c r="C1711" s="24" t="s">
        <v>6830</v>
      </c>
      <c r="D1711" s="24" t="s">
        <v>124</v>
      </c>
      <c r="E1711" s="24" t="s">
        <v>6831</v>
      </c>
      <c r="F1711" s="24" t="s">
        <v>59</v>
      </c>
    </row>
    <row r="1712">
      <c r="A1712" s="24" t="s">
        <v>6832</v>
      </c>
      <c r="B1712" s="24" t="s">
        <v>6833</v>
      </c>
      <c r="C1712" s="24" t="s">
        <v>6834</v>
      </c>
      <c r="D1712" s="24" t="s">
        <v>124</v>
      </c>
      <c r="E1712" s="24" t="s">
        <v>6835</v>
      </c>
      <c r="F1712" s="24" t="s">
        <v>59</v>
      </c>
    </row>
    <row r="1713">
      <c r="A1713" s="24" t="s">
        <v>6836</v>
      </c>
      <c r="B1713" s="24" t="s">
        <v>6837</v>
      </c>
      <c r="C1713" s="24" t="s">
        <v>6838</v>
      </c>
      <c r="D1713" s="24" t="s">
        <v>124</v>
      </c>
      <c r="E1713" s="24" t="s">
        <v>6839</v>
      </c>
      <c r="F1713" s="24" t="s">
        <v>59</v>
      </c>
    </row>
    <row r="1714">
      <c r="A1714" s="24" t="s">
        <v>6840</v>
      </c>
      <c r="B1714" s="24" t="s">
        <v>6841</v>
      </c>
      <c r="C1714" s="24" t="s">
        <v>6842</v>
      </c>
      <c r="D1714" s="24" t="s">
        <v>124</v>
      </c>
      <c r="E1714" s="24" t="s">
        <v>6843</v>
      </c>
      <c r="F1714" s="24" t="s">
        <v>59</v>
      </c>
    </row>
    <row r="1715">
      <c r="A1715" s="24" t="s">
        <v>6844</v>
      </c>
      <c r="B1715" s="24" t="s">
        <v>6845</v>
      </c>
      <c r="C1715" s="24" t="s">
        <v>6846</v>
      </c>
      <c r="D1715" s="24" t="s">
        <v>129</v>
      </c>
      <c r="E1715" s="24" t="s">
        <v>6847</v>
      </c>
      <c r="F1715" s="24" t="s">
        <v>59</v>
      </c>
    </row>
    <row r="1716">
      <c r="A1716" s="24" t="s">
        <v>6848</v>
      </c>
      <c r="B1716" s="24" t="s">
        <v>6849</v>
      </c>
      <c r="C1716" s="24" t="s">
        <v>6850</v>
      </c>
      <c r="D1716" s="24" t="s">
        <v>124</v>
      </c>
      <c r="E1716" s="24" t="s">
        <v>6851</v>
      </c>
      <c r="F1716" s="24" t="s">
        <v>59</v>
      </c>
    </row>
    <row r="1717">
      <c r="A1717" s="24" t="s">
        <v>6852</v>
      </c>
      <c r="B1717" s="24" t="s">
        <v>6853</v>
      </c>
      <c r="C1717" s="24" t="s">
        <v>6854</v>
      </c>
      <c r="D1717" s="24" t="s">
        <v>124</v>
      </c>
      <c r="E1717" s="24" t="s">
        <v>6855</v>
      </c>
      <c r="F1717" s="24" t="s">
        <v>59</v>
      </c>
    </row>
    <row r="1718">
      <c r="A1718" s="24" t="s">
        <v>6856</v>
      </c>
      <c r="B1718" s="24" t="s">
        <v>6857</v>
      </c>
      <c r="C1718" s="24" t="s">
        <v>6858</v>
      </c>
      <c r="D1718" s="24" t="s">
        <v>124</v>
      </c>
      <c r="E1718" s="24" t="s">
        <v>6859</v>
      </c>
      <c r="F1718" s="24" t="s">
        <v>59</v>
      </c>
    </row>
    <row r="1719">
      <c r="A1719" s="24" t="s">
        <v>6860</v>
      </c>
      <c r="B1719" s="24" t="s">
        <v>6861</v>
      </c>
      <c r="C1719" s="24" t="s">
        <v>6862</v>
      </c>
      <c r="D1719" s="24" t="s">
        <v>124</v>
      </c>
      <c r="E1719" s="24" t="s">
        <v>6863</v>
      </c>
      <c r="F1719" s="24" t="s">
        <v>59</v>
      </c>
    </row>
    <row r="1720">
      <c r="A1720" s="24" t="s">
        <v>6864</v>
      </c>
      <c r="B1720" s="24" t="s">
        <v>6865</v>
      </c>
      <c r="C1720" s="24" t="s">
        <v>6866</v>
      </c>
      <c r="D1720" s="24" t="s">
        <v>124</v>
      </c>
      <c r="E1720" s="24" t="s">
        <v>6867</v>
      </c>
      <c r="F1720" s="24" t="s">
        <v>59</v>
      </c>
    </row>
    <row r="1721">
      <c r="A1721" s="24" t="s">
        <v>6868</v>
      </c>
      <c r="B1721" s="24" t="s">
        <v>6869</v>
      </c>
      <c r="C1721" s="24" t="s">
        <v>6870</v>
      </c>
      <c r="D1721" s="24" t="s">
        <v>124</v>
      </c>
      <c r="E1721" s="24" t="s">
        <v>6871</v>
      </c>
      <c r="F1721" s="24" t="s">
        <v>59</v>
      </c>
    </row>
    <row r="1722">
      <c r="A1722" s="24" t="s">
        <v>6872</v>
      </c>
      <c r="B1722" s="24" t="s">
        <v>6873</v>
      </c>
      <c r="C1722" s="24" t="s">
        <v>6874</v>
      </c>
      <c r="D1722" s="24" t="s">
        <v>124</v>
      </c>
      <c r="E1722" s="24" t="s">
        <v>6875</v>
      </c>
      <c r="F1722" s="24" t="s">
        <v>59</v>
      </c>
    </row>
    <row r="1723">
      <c r="A1723" s="24" t="s">
        <v>6876</v>
      </c>
      <c r="B1723" s="24" t="s">
        <v>6877</v>
      </c>
      <c r="C1723" s="24" t="s">
        <v>6878</v>
      </c>
      <c r="D1723" s="24" t="s">
        <v>124</v>
      </c>
      <c r="E1723" s="24" t="s">
        <v>6879</v>
      </c>
      <c r="F1723" s="24" t="s">
        <v>59</v>
      </c>
    </row>
    <row r="1724">
      <c r="A1724" s="24" t="s">
        <v>6880</v>
      </c>
      <c r="B1724" s="24" t="s">
        <v>6881</v>
      </c>
      <c r="C1724" s="24" t="s">
        <v>6882</v>
      </c>
      <c r="D1724" s="24" t="s">
        <v>124</v>
      </c>
      <c r="E1724" s="24" t="s">
        <v>6883</v>
      </c>
      <c r="F1724" s="24" t="s">
        <v>59</v>
      </c>
    </row>
    <row r="1725">
      <c r="A1725" s="24" t="s">
        <v>6884</v>
      </c>
      <c r="B1725" s="24" t="s">
        <v>6885</v>
      </c>
      <c r="C1725" s="24" t="s">
        <v>6886</v>
      </c>
      <c r="D1725" s="24" t="s">
        <v>124</v>
      </c>
      <c r="E1725" s="24" t="s">
        <v>6887</v>
      </c>
      <c r="F1725" s="24" t="s">
        <v>59</v>
      </c>
    </row>
    <row r="1726">
      <c r="A1726" s="24" t="s">
        <v>6888</v>
      </c>
      <c r="B1726" s="24" t="s">
        <v>6889</v>
      </c>
      <c r="C1726" s="24" t="s">
        <v>6890</v>
      </c>
      <c r="D1726" s="24" t="s">
        <v>124</v>
      </c>
      <c r="E1726" s="24" t="s">
        <v>6891</v>
      </c>
      <c r="F1726" s="24" t="s">
        <v>59</v>
      </c>
    </row>
    <row r="1727">
      <c r="A1727" s="24" t="s">
        <v>6892</v>
      </c>
      <c r="B1727" s="24" t="s">
        <v>6893</v>
      </c>
      <c r="C1727" s="24" t="s">
        <v>6894</v>
      </c>
      <c r="D1727" s="24" t="s">
        <v>124</v>
      </c>
      <c r="E1727" s="24" t="s">
        <v>6895</v>
      </c>
      <c r="F1727" s="24" t="s">
        <v>59</v>
      </c>
    </row>
    <row r="1728">
      <c r="A1728" s="24" t="s">
        <v>6896</v>
      </c>
      <c r="B1728" s="24" t="s">
        <v>6897</v>
      </c>
      <c r="C1728" s="24" t="s">
        <v>6898</v>
      </c>
      <c r="D1728" s="24" t="s">
        <v>124</v>
      </c>
      <c r="E1728" s="24" t="s">
        <v>6899</v>
      </c>
      <c r="F1728" s="24" t="s">
        <v>59</v>
      </c>
    </row>
    <row r="1729">
      <c r="A1729" s="24" t="s">
        <v>6900</v>
      </c>
      <c r="B1729" s="24" t="s">
        <v>6901</v>
      </c>
      <c r="C1729" s="24" t="s">
        <v>6902</v>
      </c>
      <c r="D1729" s="24" t="s">
        <v>124</v>
      </c>
      <c r="E1729" s="24" t="s">
        <v>6903</v>
      </c>
      <c r="F1729" s="24" t="s">
        <v>59</v>
      </c>
    </row>
    <row r="1730">
      <c r="A1730" s="24" t="s">
        <v>6904</v>
      </c>
      <c r="B1730" s="24" t="s">
        <v>6905</v>
      </c>
      <c r="C1730" s="24" t="s">
        <v>6906</v>
      </c>
      <c r="D1730" s="24" t="s">
        <v>124</v>
      </c>
      <c r="E1730" s="24" t="s">
        <v>6907</v>
      </c>
      <c r="F1730" s="24" t="s">
        <v>59</v>
      </c>
    </row>
    <row r="1731">
      <c r="A1731" s="24" t="s">
        <v>6908</v>
      </c>
      <c r="B1731" s="24" t="s">
        <v>6909</v>
      </c>
      <c r="C1731" s="24" t="s">
        <v>6910</v>
      </c>
      <c r="D1731" s="24" t="s">
        <v>124</v>
      </c>
      <c r="E1731" s="24" t="s">
        <v>6911</v>
      </c>
      <c r="F1731" s="24" t="s">
        <v>59</v>
      </c>
    </row>
    <row r="1732">
      <c r="A1732" s="24" t="s">
        <v>6912</v>
      </c>
      <c r="B1732" s="24" t="s">
        <v>6913</v>
      </c>
      <c r="C1732" s="24" t="s">
        <v>6914</v>
      </c>
      <c r="D1732" s="24" t="s">
        <v>124</v>
      </c>
      <c r="E1732" s="24" t="s">
        <v>6915</v>
      </c>
      <c r="F1732" s="24" t="s">
        <v>59</v>
      </c>
    </row>
    <row r="1733">
      <c r="A1733" s="24" t="s">
        <v>6916</v>
      </c>
      <c r="B1733" s="24" t="s">
        <v>6917</v>
      </c>
      <c r="C1733" s="24" t="s">
        <v>6918</v>
      </c>
      <c r="D1733" s="24" t="s">
        <v>124</v>
      </c>
      <c r="E1733" s="24" t="s">
        <v>6919</v>
      </c>
      <c r="F1733" s="24" t="s">
        <v>59</v>
      </c>
    </row>
    <row r="1734">
      <c r="A1734" s="24" t="s">
        <v>6920</v>
      </c>
      <c r="B1734" s="24" t="s">
        <v>6921</v>
      </c>
      <c r="C1734" s="24" t="s">
        <v>6922</v>
      </c>
      <c r="D1734" s="24" t="s">
        <v>124</v>
      </c>
      <c r="E1734" s="24" t="s">
        <v>6923</v>
      </c>
      <c r="F1734" s="24" t="s">
        <v>59</v>
      </c>
    </row>
    <row r="1735">
      <c r="A1735" s="24" t="s">
        <v>6924</v>
      </c>
      <c r="B1735" s="24" t="s">
        <v>6925</v>
      </c>
      <c r="C1735" s="24" t="s">
        <v>6926</v>
      </c>
      <c r="D1735" s="24" t="s">
        <v>124</v>
      </c>
      <c r="E1735" s="24" t="s">
        <v>6927</v>
      </c>
      <c r="F1735" s="24" t="s">
        <v>59</v>
      </c>
    </row>
    <row r="1736">
      <c r="A1736" s="24" t="s">
        <v>6928</v>
      </c>
      <c r="B1736" s="24" t="s">
        <v>6929</v>
      </c>
      <c r="C1736" s="24" t="s">
        <v>6930</v>
      </c>
      <c r="D1736" s="24" t="s">
        <v>124</v>
      </c>
      <c r="E1736" s="24" t="s">
        <v>6931</v>
      </c>
      <c r="F1736" s="24" t="s">
        <v>59</v>
      </c>
    </row>
    <row r="1737">
      <c r="A1737" s="24" t="s">
        <v>6932</v>
      </c>
      <c r="B1737" s="24" t="s">
        <v>6933</v>
      </c>
      <c r="C1737" s="24" t="s">
        <v>6934</v>
      </c>
      <c r="D1737" s="24" t="s">
        <v>124</v>
      </c>
      <c r="E1737" s="24" t="s">
        <v>6935</v>
      </c>
      <c r="F1737" s="24" t="s">
        <v>59</v>
      </c>
    </row>
    <row r="1738">
      <c r="A1738" s="24" t="s">
        <v>6936</v>
      </c>
      <c r="B1738" s="24" t="s">
        <v>6937</v>
      </c>
      <c r="C1738" s="24" t="s">
        <v>6938</v>
      </c>
      <c r="D1738" s="24" t="s">
        <v>124</v>
      </c>
      <c r="E1738" s="24" t="s">
        <v>6939</v>
      </c>
      <c r="F1738" s="24" t="s">
        <v>59</v>
      </c>
    </row>
    <row r="1739">
      <c r="A1739" s="24" t="s">
        <v>6940</v>
      </c>
      <c r="B1739" s="24" t="s">
        <v>6941</v>
      </c>
      <c r="C1739" s="24" t="s">
        <v>6942</v>
      </c>
      <c r="D1739" s="24" t="s">
        <v>124</v>
      </c>
      <c r="E1739" s="24" t="s">
        <v>6943</v>
      </c>
      <c r="F1739" s="24" t="s">
        <v>59</v>
      </c>
    </row>
    <row r="1740">
      <c r="A1740" s="24" t="s">
        <v>6944</v>
      </c>
      <c r="B1740" s="24" t="s">
        <v>6945</v>
      </c>
      <c r="C1740" s="24" t="s">
        <v>6946</v>
      </c>
      <c r="D1740" s="24" t="s">
        <v>124</v>
      </c>
      <c r="E1740" s="24" t="s">
        <v>6947</v>
      </c>
      <c r="F1740" s="24" t="s">
        <v>59</v>
      </c>
    </row>
    <row r="1741">
      <c r="A1741" s="24" t="s">
        <v>6948</v>
      </c>
      <c r="B1741" s="24" t="s">
        <v>6949</v>
      </c>
      <c r="C1741" s="24" t="s">
        <v>6950</v>
      </c>
      <c r="D1741" s="24" t="s">
        <v>124</v>
      </c>
      <c r="E1741" s="24" t="s">
        <v>6951</v>
      </c>
      <c r="F1741" s="24" t="s">
        <v>59</v>
      </c>
    </row>
    <row r="1742">
      <c r="A1742" s="24" t="s">
        <v>6952</v>
      </c>
      <c r="B1742" s="24" t="s">
        <v>6953</v>
      </c>
      <c r="C1742" s="24" t="s">
        <v>6954</v>
      </c>
      <c r="D1742" s="24" t="s">
        <v>124</v>
      </c>
      <c r="E1742" s="24" t="s">
        <v>6955</v>
      </c>
      <c r="F1742" s="24" t="s">
        <v>59</v>
      </c>
    </row>
    <row r="1743">
      <c r="A1743" s="24" t="s">
        <v>6956</v>
      </c>
      <c r="B1743" s="24" t="s">
        <v>6957</v>
      </c>
      <c r="C1743" s="24" t="s">
        <v>6958</v>
      </c>
      <c r="D1743" s="24" t="s">
        <v>124</v>
      </c>
      <c r="E1743" s="24" t="s">
        <v>6959</v>
      </c>
      <c r="F1743" s="24" t="s">
        <v>59</v>
      </c>
    </row>
    <row r="1744">
      <c r="A1744" s="24" t="s">
        <v>6960</v>
      </c>
      <c r="B1744" s="24" t="s">
        <v>6961</v>
      </c>
      <c r="C1744" s="24" t="s">
        <v>6962</v>
      </c>
      <c r="D1744" s="24" t="s">
        <v>124</v>
      </c>
      <c r="E1744" s="24" t="s">
        <v>6963</v>
      </c>
      <c r="F1744" s="24" t="s">
        <v>59</v>
      </c>
    </row>
    <row r="1745">
      <c r="A1745" s="24" t="s">
        <v>6964</v>
      </c>
      <c r="B1745" s="24" t="s">
        <v>6965</v>
      </c>
      <c r="C1745" s="24" t="s">
        <v>6966</v>
      </c>
      <c r="D1745" s="24" t="s">
        <v>124</v>
      </c>
      <c r="E1745" s="24" t="s">
        <v>6967</v>
      </c>
      <c r="F1745" s="24" t="s">
        <v>59</v>
      </c>
    </row>
    <row r="1746">
      <c r="A1746" s="24" t="s">
        <v>6968</v>
      </c>
      <c r="B1746" s="24" t="s">
        <v>6969</v>
      </c>
      <c r="C1746" s="24" t="s">
        <v>6970</v>
      </c>
      <c r="D1746" s="24" t="s">
        <v>124</v>
      </c>
      <c r="E1746" s="24" t="s">
        <v>6971</v>
      </c>
      <c r="F1746" s="24" t="s">
        <v>59</v>
      </c>
    </row>
    <row r="1747">
      <c r="A1747" s="24" t="s">
        <v>6972</v>
      </c>
      <c r="B1747" s="24" t="s">
        <v>6973</v>
      </c>
      <c r="C1747" s="24" t="s">
        <v>6974</v>
      </c>
      <c r="D1747" s="24" t="s">
        <v>124</v>
      </c>
      <c r="E1747" s="24" t="s">
        <v>6975</v>
      </c>
      <c r="F1747" s="24" t="s">
        <v>59</v>
      </c>
    </row>
    <row r="1748">
      <c r="A1748" s="24" t="s">
        <v>6976</v>
      </c>
      <c r="B1748" s="24" t="s">
        <v>6977</v>
      </c>
      <c r="C1748" s="24" t="s">
        <v>6978</v>
      </c>
      <c r="D1748" s="24" t="s">
        <v>124</v>
      </c>
      <c r="E1748" s="24" t="s">
        <v>6979</v>
      </c>
      <c r="F1748" s="24" t="s">
        <v>59</v>
      </c>
    </row>
    <row r="1749">
      <c r="A1749" s="24" t="s">
        <v>6980</v>
      </c>
      <c r="B1749" s="24" t="s">
        <v>6981</v>
      </c>
      <c r="C1749" s="24" t="s">
        <v>6982</v>
      </c>
      <c r="D1749" s="24" t="s">
        <v>124</v>
      </c>
      <c r="E1749" s="24" t="s">
        <v>6983</v>
      </c>
      <c r="F1749" s="24" t="s">
        <v>59</v>
      </c>
    </row>
    <row r="1750">
      <c r="A1750" s="24" t="s">
        <v>6984</v>
      </c>
      <c r="B1750" s="24" t="s">
        <v>6985</v>
      </c>
      <c r="C1750" s="24" t="s">
        <v>6986</v>
      </c>
      <c r="D1750" s="24" t="s">
        <v>124</v>
      </c>
      <c r="E1750" s="24" t="s">
        <v>6987</v>
      </c>
      <c r="F1750" s="24" t="s">
        <v>59</v>
      </c>
    </row>
    <row r="1751">
      <c r="A1751" s="24" t="s">
        <v>6988</v>
      </c>
      <c r="B1751" s="24" t="s">
        <v>6989</v>
      </c>
      <c r="C1751" s="24" t="s">
        <v>6990</v>
      </c>
      <c r="D1751" s="24" t="s">
        <v>124</v>
      </c>
      <c r="E1751" s="24" t="s">
        <v>6991</v>
      </c>
      <c r="F1751" s="24" t="s">
        <v>59</v>
      </c>
    </row>
    <row r="1752">
      <c r="A1752" s="24" t="s">
        <v>6992</v>
      </c>
      <c r="B1752" s="24" t="s">
        <v>6993</v>
      </c>
      <c r="C1752" s="24" t="s">
        <v>6994</v>
      </c>
      <c r="D1752" s="24" t="s">
        <v>124</v>
      </c>
      <c r="E1752" s="24" t="s">
        <v>6995</v>
      </c>
      <c r="F1752" s="24" t="s">
        <v>59</v>
      </c>
    </row>
    <row r="1753">
      <c r="A1753" s="24" t="s">
        <v>6996</v>
      </c>
      <c r="B1753" s="24" t="s">
        <v>6997</v>
      </c>
      <c r="C1753" s="24" t="s">
        <v>6998</v>
      </c>
      <c r="D1753" s="24" t="s">
        <v>124</v>
      </c>
      <c r="E1753" s="24" t="s">
        <v>6999</v>
      </c>
      <c r="F1753" s="24" t="s">
        <v>59</v>
      </c>
    </row>
    <row r="1754">
      <c r="A1754" s="24" t="s">
        <v>7000</v>
      </c>
      <c r="B1754" s="24" t="s">
        <v>7001</v>
      </c>
      <c r="C1754" s="24" t="s">
        <v>7002</v>
      </c>
      <c r="D1754" s="24" t="s">
        <v>124</v>
      </c>
      <c r="E1754" s="24" t="s">
        <v>7003</v>
      </c>
      <c r="F1754" s="24" t="s">
        <v>59</v>
      </c>
    </row>
    <row r="1755">
      <c r="A1755" s="24" t="s">
        <v>7004</v>
      </c>
      <c r="B1755" s="24" t="s">
        <v>7005</v>
      </c>
      <c r="C1755" s="24" t="s">
        <v>7006</v>
      </c>
      <c r="D1755" s="24" t="s">
        <v>124</v>
      </c>
      <c r="E1755" s="24" t="s">
        <v>7007</v>
      </c>
      <c r="F1755" s="24" t="s">
        <v>59</v>
      </c>
    </row>
    <row r="1756">
      <c r="A1756" s="24" t="s">
        <v>7008</v>
      </c>
      <c r="B1756" s="24" t="s">
        <v>7009</v>
      </c>
      <c r="C1756" s="24" t="s">
        <v>7010</v>
      </c>
      <c r="D1756" s="24" t="s">
        <v>124</v>
      </c>
      <c r="E1756" s="24" t="s">
        <v>7011</v>
      </c>
      <c r="F1756" s="24" t="s">
        <v>59</v>
      </c>
    </row>
    <row r="1757">
      <c r="A1757" s="24" t="s">
        <v>7012</v>
      </c>
      <c r="B1757" s="24" t="s">
        <v>7013</v>
      </c>
      <c r="C1757" s="24" t="s">
        <v>7014</v>
      </c>
      <c r="D1757" s="24" t="s">
        <v>124</v>
      </c>
      <c r="E1757" s="24" t="s">
        <v>7015</v>
      </c>
      <c r="F1757" s="24" t="s">
        <v>59</v>
      </c>
    </row>
    <row r="1758">
      <c r="A1758" s="24" t="s">
        <v>7016</v>
      </c>
      <c r="B1758" s="24" t="s">
        <v>7017</v>
      </c>
      <c r="C1758" s="24" t="s">
        <v>7018</v>
      </c>
      <c r="D1758" s="24" t="s">
        <v>124</v>
      </c>
      <c r="E1758" s="24" t="s">
        <v>7019</v>
      </c>
      <c r="F1758" s="24" t="s">
        <v>59</v>
      </c>
    </row>
    <row r="1759">
      <c r="A1759" s="24" t="s">
        <v>7020</v>
      </c>
      <c r="B1759" s="24" t="s">
        <v>7021</v>
      </c>
      <c r="C1759" s="24" t="s">
        <v>7022</v>
      </c>
      <c r="D1759" s="24" t="s">
        <v>124</v>
      </c>
      <c r="E1759" s="24" t="s">
        <v>7023</v>
      </c>
      <c r="F1759" s="24" t="s">
        <v>59</v>
      </c>
    </row>
    <row r="1760">
      <c r="A1760" s="24" t="s">
        <v>7024</v>
      </c>
      <c r="B1760" s="24" t="s">
        <v>7025</v>
      </c>
      <c r="C1760" s="24" t="s">
        <v>7026</v>
      </c>
      <c r="D1760" s="24" t="s">
        <v>124</v>
      </c>
      <c r="E1760" s="24" t="s">
        <v>7027</v>
      </c>
      <c r="F1760" s="24" t="s">
        <v>59</v>
      </c>
    </row>
    <row r="1761">
      <c r="A1761" s="24" t="s">
        <v>7028</v>
      </c>
      <c r="B1761" s="24" t="s">
        <v>7029</v>
      </c>
      <c r="C1761" s="24" t="s">
        <v>7030</v>
      </c>
      <c r="D1761" s="24" t="s">
        <v>124</v>
      </c>
      <c r="E1761" s="24" t="s">
        <v>7031</v>
      </c>
      <c r="F1761" s="24" t="s">
        <v>59</v>
      </c>
    </row>
    <row r="1762">
      <c r="A1762" s="24" t="s">
        <v>7032</v>
      </c>
      <c r="B1762" s="24" t="s">
        <v>7033</v>
      </c>
      <c r="C1762" s="24" t="s">
        <v>7034</v>
      </c>
      <c r="D1762" s="24" t="s">
        <v>124</v>
      </c>
      <c r="E1762" s="24" t="s">
        <v>7035</v>
      </c>
      <c r="F1762" s="24" t="s">
        <v>59</v>
      </c>
    </row>
    <row r="1763">
      <c r="A1763" s="24" t="s">
        <v>7036</v>
      </c>
      <c r="B1763" s="24" t="s">
        <v>7037</v>
      </c>
      <c r="C1763" s="24" t="s">
        <v>7038</v>
      </c>
      <c r="D1763" s="24" t="s">
        <v>124</v>
      </c>
      <c r="E1763" s="24" t="s">
        <v>7039</v>
      </c>
      <c r="F1763" s="24" t="s">
        <v>59</v>
      </c>
    </row>
    <row r="1764">
      <c r="A1764" s="24" t="s">
        <v>7040</v>
      </c>
      <c r="B1764" s="24" t="s">
        <v>7041</v>
      </c>
      <c r="C1764" s="24" t="s">
        <v>7042</v>
      </c>
      <c r="D1764" s="24" t="s">
        <v>124</v>
      </c>
      <c r="E1764" s="24" t="s">
        <v>7043</v>
      </c>
      <c r="F1764" s="24" t="s">
        <v>59</v>
      </c>
    </row>
    <row r="1765">
      <c r="A1765" s="24" t="s">
        <v>7044</v>
      </c>
      <c r="B1765" s="24" t="s">
        <v>7045</v>
      </c>
      <c r="C1765" s="24" t="s">
        <v>7046</v>
      </c>
      <c r="D1765" s="24" t="s">
        <v>124</v>
      </c>
      <c r="E1765" s="24" t="s">
        <v>7047</v>
      </c>
      <c r="F1765" s="24" t="s">
        <v>59</v>
      </c>
    </row>
    <row r="1766">
      <c r="A1766" s="24" t="s">
        <v>7048</v>
      </c>
      <c r="B1766" s="24" t="s">
        <v>7049</v>
      </c>
      <c r="C1766" s="24" t="s">
        <v>7050</v>
      </c>
      <c r="D1766" s="24" t="s">
        <v>124</v>
      </c>
      <c r="E1766" s="24" t="s">
        <v>7051</v>
      </c>
      <c r="F1766" s="24" t="s">
        <v>59</v>
      </c>
    </row>
    <row r="1767">
      <c r="A1767" s="24" t="s">
        <v>7052</v>
      </c>
      <c r="B1767" s="24" t="s">
        <v>7053</v>
      </c>
      <c r="C1767" s="24" t="s">
        <v>7054</v>
      </c>
      <c r="D1767" s="24" t="s">
        <v>124</v>
      </c>
      <c r="E1767" s="24" t="s">
        <v>7055</v>
      </c>
      <c r="F1767" s="24" t="s">
        <v>59</v>
      </c>
    </row>
    <row r="1768">
      <c r="A1768" s="24" t="s">
        <v>7056</v>
      </c>
      <c r="B1768" s="24" t="s">
        <v>7057</v>
      </c>
      <c r="C1768" s="24" t="s">
        <v>7058</v>
      </c>
      <c r="D1768" s="24" t="s">
        <v>124</v>
      </c>
      <c r="E1768" s="24" t="s">
        <v>7059</v>
      </c>
      <c r="F1768" s="24" t="s">
        <v>59</v>
      </c>
    </row>
    <row r="1769">
      <c r="A1769" s="24" t="s">
        <v>7060</v>
      </c>
      <c r="B1769" s="24" t="s">
        <v>7061</v>
      </c>
      <c r="C1769" s="24" t="s">
        <v>7062</v>
      </c>
      <c r="D1769" s="24" t="s">
        <v>124</v>
      </c>
      <c r="E1769" s="24" t="s">
        <v>7063</v>
      </c>
      <c r="F1769" s="24" t="s">
        <v>59</v>
      </c>
    </row>
    <row r="1770">
      <c r="A1770" s="24" t="s">
        <v>7064</v>
      </c>
      <c r="B1770" s="24" t="s">
        <v>7065</v>
      </c>
      <c r="C1770" s="24" t="s">
        <v>7066</v>
      </c>
      <c r="D1770" s="24" t="s">
        <v>124</v>
      </c>
      <c r="E1770" s="24" t="s">
        <v>7067</v>
      </c>
      <c r="F1770" s="24" t="s">
        <v>59</v>
      </c>
    </row>
    <row r="1771">
      <c r="A1771" s="24" t="s">
        <v>7068</v>
      </c>
      <c r="B1771" s="24" t="s">
        <v>7069</v>
      </c>
      <c r="C1771" s="24" t="s">
        <v>7070</v>
      </c>
      <c r="D1771" s="24" t="s">
        <v>124</v>
      </c>
      <c r="E1771" s="24" t="s">
        <v>7071</v>
      </c>
      <c r="F1771" s="24" t="s">
        <v>59</v>
      </c>
    </row>
    <row r="1772">
      <c r="A1772" s="24" t="s">
        <v>7072</v>
      </c>
      <c r="B1772" s="24" t="s">
        <v>7073</v>
      </c>
      <c r="C1772" s="24" t="s">
        <v>7074</v>
      </c>
      <c r="D1772" s="24" t="s">
        <v>124</v>
      </c>
      <c r="E1772" s="24" t="s">
        <v>7075</v>
      </c>
      <c r="F1772" s="24" t="s">
        <v>59</v>
      </c>
    </row>
    <row r="1773">
      <c r="A1773" s="24" t="s">
        <v>7076</v>
      </c>
      <c r="B1773" s="24" t="s">
        <v>7077</v>
      </c>
      <c r="C1773" s="24" t="s">
        <v>7078</v>
      </c>
      <c r="D1773" s="24" t="s">
        <v>124</v>
      </c>
      <c r="E1773" s="24" t="s">
        <v>7079</v>
      </c>
      <c r="F1773" s="24" t="s">
        <v>59</v>
      </c>
    </row>
    <row r="1774">
      <c r="A1774" s="24" t="s">
        <v>7080</v>
      </c>
      <c r="B1774" s="24" t="s">
        <v>7081</v>
      </c>
      <c r="C1774" s="24" t="s">
        <v>7082</v>
      </c>
      <c r="D1774" s="24" t="s">
        <v>124</v>
      </c>
      <c r="E1774" s="24" t="s">
        <v>7083</v>
      </c>
      <c r="F1774" s="24" t="s">
        <v>59</v>
      </c>
    </row>
    <row r="1775">
      <c r="A1775" s="24" t="s">
        <v>7084</v>
      </c>
      <c r="B1775" s="24" t="s">
        <v>7085</v>
      </c>
      <c r="C1775" s="24" t="s">
        <v>7086</v>
      </c>
      <c r="D1775" s="24" t="s">
        <v>124</v>
      </c>
      <c r="E1775" s="24" t="s">
        <v>7087</v>
      </c>
      <c r="F1775" s="24" t="s">
        <v>59</v>
      </c>
    </row>
    <row r="1776">
      <c r="A1776" s="24" t="s">
        <v>7088</v>
      </c>
      <c r="B1776" s="24" t="s">
        <v>7089</v>
      </c>
      <c r="C1776" s="24" t="s">
        <v>7090</v>
      </c>
      <c r="D1776" s="24" t="s">
        <v>124</v>
      </c>
      <c r="E1776" s="24" t="s">
        <v>7091</v>
      </c>
      <c r="F1776" s="24" t="s">
        <v>59</v>
      </c>
    </row>
    <row r="1777">
      <c r="A1777" s="24" t="s">
        <v>7092</v>
      </c>
      <c r="B1777" s="24" t="s">
        <v>7093</v>
      </c>
      <c r="C1777" s="24" t="s">
        <v>7094</v>
      </c>
      <c r="D1777" s="24" t="s">
        <v>124</v>
      </c>
      <c r="E1777" s="24" t="s">
        <v>7095</v>
      </c>
      <c r="F1777" s="24" t="s">
        <v>59</v>
      </c>
    </row>
    <row r="1778">
      <c r="A1778" s="24" t="s">
        <v>7096</v>
      </c>
      <c r="B1778" s="24" t="s">
        <v>7097</v>
      </c>
      <c r="C1778" s="24" t="s">
        <v>7098</v>
      </c>
      <c r="D1778" s="24" t="s">
        <v>124</v>
      </c>
      <c r="E1778" s="24" t="s">
        <v>7099</v>
      </c>
      <c r="F1778" s="24" t="s">
        <v>59</v>
      </c>
    </row>
    <row r="1779">
      <c r="A1779" s="24" t="s">
        <v>7100</v>
      </c>
      <c r="B1779" s="24" t="s">
        <v>7101</v>
      </c>
      <c r="C1779" s="24" t="s">
        <v>7102</v>
      </c>
      <c r="D1779" s="24" t="s">
        <v>124</v>
      </c>
      <c r="E1779" s="24" t="s">
        <v>7103</v>
      </c>
      <c r="F1779" s="24" t="s">
        <v>59</v>
      </c>
    </row>
    <row r="1780">
      <c r="A1780" s="24" t="s">
        <v>7104</v>
      </c>
      <c r="B1780" s="24" t="s">
        <v>7105</v>
      </c>
      <c r="C1780" s="24" t="s">
        <v>7106</v>
      </c>
      <c r="D1780" s="24" t="s">
        <v>124</v>
      </c>
      <c r="E1780" s="24" t="s">
        <v>7107</v>
      </c>
      <c r="F1780" s="24" t="s">
        <v>59</v>
      </c>
    </row>
    <row r="1781">
      <c r="A1781" s="24" t="s">
        <v>7108</v>
      </c>
      <c r="B1781" s="24" t="s">
        <v>7109</v>
      </c>
      <c r="C1781" s="24" t="s">
        <v>7110</v>
      </c>
      <c r="D1781" s="24" t="s">
        <v>124</v>
      </c>
      <c r="E1781" s="24" t="s">
        <v>7111</v>
      </c>
      <c r="F1781" s="24" t="s">
        <v>59</v>
      </c>
    </row>
    <row r="1782">
      <c r="A1782" s="24" t="s">
        <v>7112</v>
      </c>
      <c r="B1782" s="24" t="s">
        <v>7113</v>
      </c>
      <c r="C1782" s="24" t="s">
        <v>7114</v>
      </c>
      <c r="D1782" s="24" t="s">
        <v>124</v>
      </c>
      <c r="E1782" s="24" t="s">
        <v>7115</v>
      </c>
      <c r="F1782" s="24" t="s">
        <v>59</v>
      </c>
    </row>
    <row r="1783">
      <c r="A1783" s="24" t="s">
        <v>7116</v>
      </c>
      <c r="B1783" s="24" t="s">
        <v>7117</v>
      </c>
      <c r="C1783" s="24" t="s">
        <v>7118</v>
      </c>
      <c r="D1783" s="24" t="s">
        <v>124</v>
      </c>
      <c r="E1783" s="24" t="s">
        <v>7119</v>
      </c>
      <c r="F1783" s="24" t="s">
        <v>59</v>
      </c>
    </row>
    <row r="1784">
      <c r="A1784" s="24" t="s">
        <v>7120</v>
      </c>
      <c r="B1784" s="24" t="s">
        <v>7121</v>
      </c>
      <c r="C1784" s="24" t="s">
        <v>7122</v>
      </c>
      <c r="D1784" s="24" t="s">
        <v>124</v>
      </c>
      <c r="E1784" s="24" t="s">
        <v>7123</v>
      </c>
      <c r="F1784" s="24" t="s">
        <v>59</v>
      </c>
    </row>
    <row r="1785">
      <c r="A1785" s="24" t="s">
        <v>7124</v>
      </c>
      <c r="B1785" s="24" t="s">
        <v>7125</v>
      </c>
      <c r="C1785" s="24" t="s">
        <v>7126</v>
      </c>
      <c r="D1785" s="24" t="s">
        <v>124</v>
      </c>
      <c r="E1785" s="24" t="s">
        <v>7127</v>
      </c>
      <c r="F1785" s="24" t="s">
        <v>59</v>
      </c>
    </row>
    <row r="1786">
      <c r="A1786" s="24" t="s">
        <v>7128</v>
      </c>
      <c r="B1786" s="24" t="s">
        <v>7129</v>
      </c>
      <c r="C1786" s="24" t="s">
        <v>7130</v>
      </c>
      <c r="D1786" s="24" t="s">
        <v>124</v>
      </c>
      <c r="E1786" s="24" t="s">
        <v>7131</v>
      </c>
      <c r="F1786" s="24" t="s">
        <v>59</v>
      </c>
    </row>
    <row r="1787">
      <c r="A1787" s="24" t="s">
        <v>7132</v>
      </c>
      <c r="B1787" s="24" t="s">
        <v>7133</v>
      </c>
      <c r="C1787" s="24" t="s">
        <v>7134</v>
      </c>
      <c r="D1787" s="24" t="s">
        <v>124</v>
      </c>
      <c r="E1787" s="24" t="s">
        <v>7135</v>
      </c>
      <c r="F1787" s="24" t="s">
        <v>59</v>
      </c>
    </row>
    <row r="1788">
      <c r="A1788" s="24" t="s">
        <v>7136</v>
      </c>
      <c r="B1788" s="24" t="s">
        <v>7137</v>
      </c>
      <c r="C1788" s="24" t="s">
        <v>7138</v>
      </c>
      <c r="D1788" s="24" t="s">
        <v>124</v>
      </c>
      <c r="E1788" s="24" t="s">
        <v>7139</v>
      </c>
      <c r="F1788" s="24" t="s">
        <v>59</v>
      </c>
    </row>
    <row r="1789">
      <c r="A1789" s="24" t="s">
        <v>7140</v>
      </c>
      <c r="B1789" s="24" t="s">
        <v>7141</v>
      </c>
      <c r="C1789" s="24" t="s">
        <v>7142</v>
      </c>
      <c r="D1789" s="24" t="s">
        <v>124</v>
      </c>
      <c r="E1789" s="24" t="s">
        <v>7143</v>
      </c>
      <c r="F1789" s="24" t="s">
        <v>59</v>
      </c>
    </row>
    <row r="1790">
      <c r="A1790" s="24" t="s">
        <v>7144</v>
      </c>
      <c r="B1790" s="24" t="s">
        <v>7145</v>
      </c>
      <c r="C1790" s="24" t="s">
        <v>7146</v>
      </c>
      <c r="D1790" s="24" t="s">
        <v>124</v>
      </c>
      <c r="E1790" s="24" t="s">
        <v>7147</v>
      </c>
      <c r="F1790" s="24" t="s">
        <v>59</v>
      </c>
    </row>
    <row r="1791">
      <c r="A1791" s="24" t="s">
        <v>7148</v>
      </c>
      <c r="B1791" s="24" t="s">
        <v>7149</v>
      </c>
      <c r="C1791" s="24" t="s">
        <v>7150</v>
      </c>
      <c r="D1791" s="24" t="s">
        <v>124</v>
      </c>
      <c r="E1791" s="24" t="s">
        <v>7151</v>
      </c>
      <c r="F1791" s="24" t="s">
        <v>59</v>
      </c>
    </row>
    <row r="1792">
      <c r="A1792" s="24" t="s">
        <v>7152</v>
      </c>
      <c r="B1792" s="24" t="s">
        <v>7153</v>
      </c>
      <c r="C1792" s="24" t="s">
        <v>7154</v>
      </c>
      <c r="D1792" s="24" t="s">
        <v>124</v>
      </c>
      <c r="E1792" s="24" t="s">
        <v>7155</v>
      </c>
      <c r="F1792" s="24" t="s">
        <v>59</v>
      </c>
    </row>
    <row r="1793">
      <c r="A1793" s="24" t="s">
        <v>7156</v>
      </c>
      <c r="B1793" s="24" t="s">
        <v>7157</v>
      </c>
      <c r="C1793" s="24" t="s">
        <v>7158</v>
      </c>
      <c r="D1793" s="24" t="s">
        <v>124</v>
      </c>
      <c r="E1793" s="24" t="s">
        <v>7159</v>
      </c>
      <c r="F1793" s="24" t="s">
        <v>59</v>
      </c>
    </row>
    <row r="1794">
      <c r="A1794" s="24" t="s">
        <v>7160</v>
      </c>
      <c r="B1794" s="24" t="s">
        <v>7161</v>
      </c>
      <c r="C1794" s="24" t="s">
        <v>7162</v>
      </c>
      <c r="D1794" s="24" t="s">
        <v>124</v>
      </c>
      <c r="E1794" s="24" t="s">
        <v>7163</v>
      </c>
      <c r="F1794" s="24" t="s">
        <v>59</v>
      </c>
    </row>
    <row r="1795">
      <c r="A1795" s="24" t="s">
        <v>7164</v>
      </c>
      <c r="B1795" s="24" t="s">
        <v>7165</v>
      </c>
      <c r="C1795" s="24" t="s">
        <v>7166</v>
      </c>
      <c r="D1795" s="24" t="s">
        <v>124</v>
      </c>
      <c r="E1795" s="24" t="s">
        <v>7167</v>
      </c>
      <c r="F1795" s="24" t="s">
        <v>59</v>
      </c>
    </row>
    <row r="1796">
      <c r="A1796" s="24" t="s">
        <v>7168</v>
      </c>
      <c r="B1796" s="24" t="s">
        <v>7169</v>
      </c>
      <c r="C1796" s="24" t="s">
        <v>7170</v>
      </c>
      <c r="D1796" s="24" t="s">
        <v>124</v>
      </c>
      <c r="E1796" s="24" t="s">
        <v>7171</v>
      </c>
      <c r="F1796" s="24" t="s">
        <v>59</v>
      </c>
    </row>
    <row r="1797">
      <c r="A1797" s="24" t="s">
        <v>7172</v>
      </c>
      <c r="B1797" s="24" t="s">
        <v>7173</v>
      </c>
      <c r="C1797" s="24" t="s">
        <v>7174</v>
      </c>
      <c r="D1797" s="24" t="s">
        <v>124</v>
      </c>
      <c r="E1797" s="24" t="s">
        <v>7175</v>
      </c>
      <c r="F1797" s="24" t="s">
        <v>59</v>
      </c>
    </row>
    <row r="1798">
      <c r="A1798" s="24" t="s">
        <v>7176</v>
      </c>
      <c r="B1798" s="24" t="s">
        <v>7177</v>
      </c>
      <c r="C1798" s="24" t="s">
        <v>7178</v>
      </c>
      <c r="D1798" s="24" t="s">
        <v>124</v>
      </c>
      <c r="E1798" s="24" t="s">
        <v>7179</v>
      </c>
      <c r="F1798" s="24" t="s">
        <v>59</v>
      </c>
    </row>
    <row r="1799">
      <c r="A1799" s="24" t="s">
        <v>7180</v>
      </c>
      <c r="B1799" s="24" t="s">
        <v>7181</v>
      </c>
      <c r="C1799" s="24" t="s">
        <v>7182</v>
      </c>
      <c r="D1799" s="24" t="s">
        <v>124</v>
      </c>
      <c r="E1799" s="24" t="s">
        <v>7183</v>
      </c>
      <c r="F1799" s="24" t="s">
        <v>59</v>
      </c>
    </row>
    <row r="1800">
      <c r="A1800" s="24" t="s">
        <v>7184</v>
      </c>
      <c r="B1800" s="24" t="s">
        <v>7185</v>
      </c>
      <c r="C1800" s="24" t="s">
        <v>7186</v>
      </c>
      <c r="D1800" s="24" t="s">
        <v>124</v>
      </c>
      <c r="E1800" s="24" t="s">
        <v>7187</v>
      </c>
      <c r="F1800" s="24" t="s">
        <v>59</v>
      </c>
    </row>
    <row r="1801">
      <c r="A1801" s="24" t="s">
        <v>7188</v>
      </c>
      <c r="B1801" s="24" t="s">
        <v>7189</v>
      </c>
      <c r="C1801" s="24" t="s">
        <v>7190</v>
      </c>
      <c r="D1801" s="24" t="s">
        <v>124</v>
      </c>
      <c r="E1801" s="24" t="s">
        <v>7191</v>
      </c>
      <c r="F1801" s="24" t="s">
        <v>59</v>
      </c>
    </row>
    <row r="1802">
      <c r="A1802" s="24" t="s">
        <v>7192</v>
      </c>
      <c r="B1802" s="24" t="s">
        <v>7193</v>
      </c>
      <c r="C1802" s="24" t="s">
        <v>7194</v>
      </c>
      <c r="D1802" s="24" t="s">
        <v>124</v>
      </c>
      <c r="E1802" s="24" t="s">
        <v>7195</v>
      </c>
      <c r="F1802" s="24" t="s">
        <v>59</v>
      </c>
    </row>
    <row r="1803">
      <c r="A1803" s="24" t="s">
        <v>7196</v>
      </c>
      <c r="B1803" s="24" t="s">
        <v>7197</v>
      </c>
      <c r="C1803" s="24" t="s">
        <v>7198</v>
      </c>
      <c r="D1803" s="24" t="s">
        <v>124</v>
      </c>
      <c r="E1803" s="24" t="s">
        <v>7199</v>
      </c>
      <c r="F1803" s="24" t="s">
        <v>59</v>
      </c>
    </row>
    <row r="1804">
      <c r="A1804" s="24" t="s">
        <v>7200</v>
      </c>
      <c r="B1804" s="24" t="s">
        <v>7201</v>
      </c>
      <c r="C1804" s="24" t="s">
        <v>7202</v>
      </c>
      <c r="D1804" s="24" t="s">
        <v>124</v>
      </c>
      <c r="E1804" s="24" t="s">
        <v>7203</v>
      </c>
      <c r="F1804" s="24" t="s">
        <v>59</v>
      </c>
    </row>
    <row r="1805">
      <c r="A1805" s="24" t="s">
        <v>7204</v>
      </c>
      <c r="B1805" s="24" t="s">
        <v>7205</v>
      </c>
      <c r="C1805" s="24" t="s">
        <v>7206</v>
      </c>
      <c r="D1805" s="24" t="s">
        <v>124</v>
      </c>
      <c r="E1805" s="24" t="s">
        <v>7207</v>
      </c>
      <c r="F1805" s="24" t="s">
        <v>59</v>
      </c>
    </row>
    <row r="1806">
      <c r="A1806" s="24" t="s">
        <v>7208</v>
      </c>
      <c r="B1806" s="24" t="s">
        <v>7209</v>
      </c>
      <c r="C1806" s="24" t="s">
        <v>7210</v>
      </c>
      <c r="D1806" s="24" t="s">
        <v>124</v>
      </c>
      <c r="E1806" s="24" t="s">
        <v>7211</v>
      </c>
      <c r="F1806" s="24" t="s">
        <v>59</v>
      </c>
    </row>
    <row r="1807">
      <c r="A1807" s="24" t="s">
        <v>7212</v>
      </c>
      <c r="B1807" s="24" t="s">
        <v>7213</v>
      </c>
      <c r="C1807" s="24" t="s">
        <v>7214</v>
      </c>
      <c r="D1807" s="24" t="s">
        <v>124</v>
      </c>
      <c r="E1807" s="24" t="s">
        <v>7215</v>
      </c>
      <c r="F1807" s="24" t="s">
        <v>59</v>
      </c>
    </row>
    <row r="1808">
      <c r="A1808" s="24" t="s">
        <v>7216</v>
      </c>
      <c r="B1808" s="24" t="s">
        <v>7217</v>
      </c>
      <c r="C1808" s="24" t="s">
        <v>7218</v>
      </c>
      <c r="D1808" s="24" t="s">
        <v>124</v>
      </c>
      <c r="E1808" s="24" t="s">
        <v>7219</v>
      </c>
      <c r="F1808" s="24" t="s">
        <v>59</v>
      </c>
    </row>
    <row r="1809">
      <c r="A1809" s="24" t="s">
        <v>7220</v>
      </c>
      <c r="B1809" s="24" t="s">
        <v>7221</v>
      </c>
      <c r="C1809" s="24" t="s">
        <v>7222</v>
      </c>
      <c r="D1809" s="24" t="s">
        <v>124</v>
      </c>
      <c r="E1809" s="24" t="s">
        <v>7223</v>
      </c>
      <c r="F1809" s="24" t="s">
        <v>59</v>
      </c>
    </row>
    <row r="1810">
      <c r="A1810" s="24" t="s">
        <v>7224</v>
      </c>
      <c r="B1810" s="24" t="s">
        <v>7225</v>
      </c>
      <c r="C1810" s="24" t="s">
        <v>7226</v>
      </c>
      <c r="D1810" s="24" t="s">
        <v>124</v>
      </c>
      <c r="E1810" s="24" t="s">
        <v>7227</v>
      </c>
      <c r="F1810" s="24" t="s">
        <v>59</v>
      </c>
    </row>
    <row r="1811">
      <c r="A1811" s="24" t="s">
        <v>7228</v>
      </c>
      <c r="B1811" s="24" t="s">
        <v>7229</v>
      </c>
      <c r="C1811" s="24" t="s">
        <v>7230</v>
      </c>
      <c r="D1811" s="24" t="s">
        <v>124</v>
      </c>
      <c r="E1811" s="24" t="s">
        <v>7231</v>
      </c>
      <c r="F1811" s="24" t="s">
        <v>59</v>
      </c>
    </row>
    <row r="1812">
      <c r="A1812" s="24" t="s">
        <v>7232</v>
      </c>
      <c r="B1812" s="24" t="s">
        <v>7233</v>
      </c>
      <c r="C1812" s="24" t="s">
        <v>7234</v>
      </c>
      <c r="D1812" s="24" t="s">
        <v>124</v>
      </c>
      <c r="E1812" s="24" t="s">
        <v>7235</v>
      </c>
      <c r="F1812" s="24" t="s">
        <v>59</v>
      </c>
    </row>
    <row r="1813">
      <c r="A1813" s="24" t="s">
        <v>7236</v>
      </c>
      <c r="B1813" s="24" t="s">
        <v>7237</v>
      </c>
      <c r="C1813" s="24" t="s">
        <v>7238</v>
      </c>
      <c r="D1813" s="24" t="s">
        <v>124</v>
      </c>
      <c r="E1813" s="24" t="s">
        <v>7239</v>
      </c>
      <c r="F1813" s="24" t="s">
        <v>59</v>
      </c>
    </row>
    <row r="1814">
      <c r="A1814" s="24" t="s">
        <v>7240</v>
      </c>
      <c r="B1814" s="24" t="s">
        <v>7241</v>
      </c>
      <c r="C1814" s="24" t="s">
        <v>7242</v>
      </c>
      <c r="D1814" s="24" t="s">
        <v>124</v>
      </c>
      <c r="E1814" s="24" t="s">
        <v>7243</v>
      </c>
      <c r="F1814" s="24" t="s">
        <v>59</v>
      </c>
    </row>
    <row r="1815">
      <c r="A1815" s="24" t="s">
        <v>7244</v>
      </c>
      <c r="B1815" s="24" t="s">
        <v>7245</v>
      </c>
      <c r="C1815" s="24" t="s">
        <v>7246</v>
      </c>
      <c r="D1815" s="24" t="s">
        <v>124</v>
      </c>
      <c r="E1815" s="24" t="s">
        <v>7247</v>
      </c>
      <c r="F1815" s="24" t="s">
        <v>59</v>
      </c>
    </row>
    <row r="1816">
      <c r="A1816" s="24" t="s">
        <v>7248</v>
      </c>
      <c r="B1816" s="24" t="s">
        <v>7249</v>
      </c>
      <c r="C1816" s="24" t="s">
        <v>7250</v>
      </c>
      <c r="D1816" s="24" t="s">
        <v>124</v>
      </c>
      <c r="E1816" s="24" t="s">
        <v>7251</v>
      </c>
      <c r="F1816" s="24" t="s">
        <v>59</v>
      </c>
    </row>
    <row r="1817">
      <c r="A1817" s="24" t="s">
        <v>7252</v>
      </c>
      <c r="B1817" s="24" t="s">
        <v>7253</v>
      </c>
      <c r="C1817" s="24" t="s">
        <v>7254</v>
      </c>
      <c r="D1817" s="24" t="s">
        <v>124</v>
      </c>
      <c r="E1817" s="24" t="s">
        <v>7255</v>
      </c>
      <c r="F1817" s="24" t="s">
        <v>59</v>
      </c>
    </row>
    <row r="1818">
      <c r="A1818" s="24" t="s">
        <v>7256</v>
      </c>
      <c r="B1818" s="24" t="s">
        <v>7257</v>
      </c>
      <c r="C1818" s="24" t="s">
        <v>7258</v>
      </c>
      <c r="D1818" s="24" t="s">
        <v>124</v>
      </c>
      <c r="E1818" s="24" t="s">
        <v>7259</v>
      </c>
      <c r="F1818" s="24" t="s">
        <v>59</v>
      </c>
    </row>
    <row r="1819">
      <c r="A1819" s="24" t="s">
        <v>7260</v>
      </c>
      <c r="B1819" s="24" t="s">
        <v>7261</v>
      </c>
      <c r="C1819" s="24" t="s">
        <v>7262</v>
      </c>
      <c r="D1819" s="24" t="s">
        <v>124</v>
      </c>
      <c r="E1819" s="24" t="s">
        <v>7263</v>
      </c>
      <c r="F1819" s="24" t="s">
        <v>59</v>
      </c>
    </row>
    <row r="1820">
      <c r="A1820" s="24" t="s">
        <v>7264</v>
      </c>
      <c r="B1820" s="24" t="s">
        <v>7265</v>
      </c>
      <c r="C1820" s="24" t="s">
        <v>7266</v>
      </c>
      <c r="D1820" s="24" t="s">
        <v>124</v>
      </c>
      <c r="E1820" s="24" t="s">
        <v>7267</v>
      </c>
      <c r="F1820" s="24" t="s">
        <v>59</v>
      </c>
    </row>
    <row r="1821">
      <c r="A1821" s="24" t="s">
        <v>7268</v>
      </c>
      <c r="B1821" s="24" t="s">
        <v>7269</v>
      </c>
      <c r="C1821" s="24" t="s">
        <v>7270</v>
      </c>
      <c r="D1821" s="24" t="s">
        <v>124</v>
      </c>
      <c r="E1821" s="24" t="s">
        <v>7271</v>
      </c>
      <c r="F1821" s="24" t="s">
        <v>59</v>
      </c>
    </row>
    <row r="1822">
      <c r="A1822" s="24" t="s">
        <v>7272</v>
      </c>
      <c r="B1822" s="24" t="s">
        <v>7273</v>
      </c>
      <c r="C1822" s="24" t="s">
        <v>7274</v>
      </c>
      <c r="D1822" s="24" t="s">
        <v>124</v>
      </c>
      <c r="E1822" s="24" t="s">
        <v>7275</v>
      </c>
      <c r="F1822" s="24" t="s">
        <v>59</v>
      </c>
    </row>
    <row r="1823">
      <c r="A1823" s="24" t="s">
        <v>7276</v>
      </c>
      <c r="B1823" s="24" t="s">
        <v>7277</v>
      </c>
      <c r="C1823" s="24" t="s">
        <v>7278</v>
      </c>
      <c r="D1823" s="24" t="s">
        <v>124</v>
      </c>
      <c r="E1823" s="24" t="s">
        <v>7279</v>
      </c>
      <c r="F1823" s="24" t="s">
        <v>59</v>
      </c>
    </row>
    <row r="1824">
      <c r="A1824" s="24" t="s">
        <v>7280</v>
      </c>
      <c r="B1824" s="24" t="s">
        <v>7281</v>
      </c>
      <c r="C1824" s="24" t="s">
        <v>7282</v>
      </c>
      <c r="D1824" s="24" t="s">
        <v>124</v>
      </c>
      <c r="E1824" s="24" t="s">
        <v>7283</v>
      </c>
      <c r="F1824" s="24" t="s">
        <v>59</v>
      </c>
    </row>
    <row r="1825">
      <c r="A1825" s="24" t="s">
        <v>7284</v>
      </c>
      <c r="B1825" s="24" t="s">
        <v>7285</v>
      </c>
      <c r="C1825" s="24" t="s">
        <v>7286</v>
      </c>
      <c r="D1825" s="24" t="s">
        <v>124</v>
      </c>
      <c r="E1825" s="24" t="s">
        <v>7287</v>
      </c>
      <c r="F1825" s="24" t="s">
        <v>59</v>
      </c>
    </row>
    <row r="1826">
      <c r="A1826" s="24" t="s">
        <v>7288</v>
      </c>
      <c r="B1826" s="24" t="s">
        <v>7289</v>
      </c>
      <c r="C1826" s="24" t="s">
        <v>7290</v>
      </c>
      <c r="D1826" s="24" t="s">
        <v>124</v>
      </c>
      <c r="E1826" s="24" t="s">
        <v>7291</v>
      </c>
      <c r="F1826" s="24" t="s">
        <v>59</v>
      </c>
    </row>
    <row r="1827">
      <c r="A1827" s="24" t="s">
        <v>7292</v>
      </c>
      <c r="B1827" s="24" t="s">
        <v>7293</v>
      </c>
      <c r="C1827" s="24" t="s">
        <v>7294</v>
      </c>
      <c r="D1827" s="24" t="s">
        <v>124</v>
      </c>
      <c r="E1827" s="24" t="s">
        <v>7295</v>
      </c>
      <c r="F1827" s="24" t="s">
        <v>59</v>
      </c>
    </row>
    <row r="1828">
      <c r="A1828" s="24" t="s">
        <v>7296</v>
      </c>
      <c r="B1828" s="24" t="s">
        <v>7297</v>
      </c>
      <c r="C1828" s="24" t="s">
        <v>7298</v>
      </c>
      <c r="D1828" s="24" t="s">
        <v>124</v>
      </c>
      <c r="E1828" s="24" t="s">
        <v>7299</v>
      </c>
      <c r="F1828" s="24" t="s">
        <v>59</v>
      </c>
    </row>
    <row r="1829">
      <c r="A1829" s="24" t="s">
        <v>7300</v>
      </c>
      <c r="B1829" s="24" t="s">
        <v>7301</v>
      </c>
      <c r="C1829" s="24" t="s">
        <v>7302</v>
      </c>
      <c r="D1829" s="24" t="s">
        <v>124</v>
      </c>
      <c r="E1829" s="24" t="s">
        <v>7303</v>
      </c>
      <c r="F1829" s="24" t="s">
        <v>59</v>
      </c>
    </row>
    <row r="1830">
      <c r="A1830" s="24" t="s">
        <v>7304</v>
      </c>
      <c r="B1830" s="24" t="s">
        <v>7305</v>
      </c>
      <c r="C1830" s="24" t="s">
        <v>7306</v>
      </c>
      <c r="D1830" s="24" t="s">
        <v>124</v>
      </c>
      <c r="E1830" s="24" t="s">
        <v>7307</v>
      </c>
      <c r="F1830" s="24" t="s">
        <v>59</v>
      </c>
    </row>
    <row r="1831">
      <c r="A1831" s="24" t="s">
        <v>7308</v>
      </c>
      <c r="B1831" s="24" t="s">
        <v>7309</v>
      </c>
      <c r="C1831" s="24" t="s">
        <v>7310</v>
      </c>
      <c r="D1831" s="24" t="s">
        <v>124</v>
      </c>
      <c r="E1831" s="24" t="s">
        <v>7311</v>
      </c>
      <c r="F1831" s="24" t="s">
        <v>59</v>
      </c>
    </row>
    <row r="1832">
      <c r="A1832" s="24" t="s">
        <v>7312</v>
      </c>
      <c r="B1832" s="24" t="s">
        <v>7313</v>
      </c>
      <c r="C1832" s="24" t="s">
        <v>7314</v>
      </c>
      <c r="D1832" s="24" t="s">
        <v>124</v>
      </c>
      <c r="E1832" s="24" t="s">
        <v>7315</v>
      </c>
      <c r="F1832" s="24" t="s">
        <v>59</v>
      </c>
    </row>
    <row r="1833">
      <c r="A1833" s="24" t="s">
        <v>7316</v>
      </c>
      <c r="B1833" s="24" t="s">
        <v>7317</v>
      </c>
      <c r="C1833" s="24" t="s">
        <v>7318</v>
      </c>
      <c r="D1833" s="24" t="s">
        <v>124</v>
      </c>
      <c r="E1833" s="24" t="s">
        <v>7319</v>
      </c>
      <c r="F1833" s="24" t="s">
        <v>59</v>
      </c>
    </row>
    <row r="1834">
      <c r="A1834" s="24" t="s">
        <v>7320</v>
      </c>
      <c r="B1834" s="24" t="s">
        <v>7321</v>
      </c>
      <c r="C1834" s="24" t="s">
        <v>7322</v>
      </c>
      <c r="D1834" s="24" t="s">
        <v>124</v>
      </c>
      <c r="E1834" s="24" t="s">
        <v>7323</v>
      </c>
      <c r="F1834" s="24" t="s">
        <v>59</v>
      </c>
    </row>
    <row r="1835">
      <c r="A1835" s="24" t="s">
        <v>7324</v>
      </c>
      <c r="B1835" s="24" t="s">
        <v>7325</v>
      </c>
      <c r="C1835" s="24" t="s">
        <v>7326</v>
      </c>
      <c r="D1835" s="24" t="s">
        <v>124</v>
      </c>
      <c r="E1835" s="24" t="s">
        <v>7327</v>
      </c>
      <c r="F1835" s="24" t="s">
        <v>59</v>
      </c>
    </row>
    <row r="1836">
      <c r="A1836" s="24" t="s">
        <v>7328</v>
      </c>
      <c r="B1836" s="24" t="s">
        <v>7329</v>
      </c>
      <c r="C1836" s="24" t="s">
        <v>7330</v>
      </c>
      <c r="D1836" s="24" t="s">
        <v>124</v>
      </c>
      <c r="E1836" s="24" t="s">
        <v>7331</v>
      </c>
      <c r="F1836" s="24" t="s">
        <v>59</v>
      </c>
    </row>
    <row r="1837">
      <c r="A1837" s="24" t="s">
        <v>7332</v>
      </c>
      <c r="B1837" s="24" t="s">
        <v>7333</v>
      </c>
      <c r="C1837" s="24" t="s">
        <v>7334</v>
      </c>
      <c r="D1837" s="24" t="s">
        <v>124</v>
      </c>
      <c r="E1837" s="24" t="s">
        <v>7335</v>
      </c>
      <c r="F1837" s="24" t="s">
        <v>59</v>
      </c>
    </row>
    <row r="1838">
      <c r="A1838" s="24" t="s">
        <v>7336</v>
      </c>
      <c r="B1838" s="24" t="s">
        <v>7337</v>
      </c>
      <c r="C1838" s="24" t="s">
        <v>7338</v>
      </c>
      <c r="D1838" s="24" t="s">
        <v>124</v>
      </c>
      <c r="E1838" s="24" t="s">
        <v>7339</v>
      </c>
      <c r="F1838" s="24" t="s">
        <v>59</v>
      </c>
    </row>
    <row r="1839">
      <c r="A1839" s="24" t="s">
        <v>7340</v>
      </c>
      <c r="B1839" s="24" t="s">
        <v>7341</v>
      </c>
      <c r="C1839" s="24" t="s">
        <v>7342</v>
      </c>
      <c r="D1839" s="24" t="s">
        <v>124</v>
      </c>
      <c r="E1839" s="24" t="s">
        <v>7343</v>
      </c>
      <c r="F1839" s="24" t="s">
        <v>59</v>
      </c>
    </row>
    <row r="1840">
      <c r="A1840" s="24" t="s">
        <v>7344</v>
      </c>
      <c r="B1840" s="24" t="s">
        <v>7345</v>
      </c>
      <c r="C1840" s="24" t="s">
        <v>7346</v>
      </c>
      <c r="D1840" s="24" t="s">
        <v>124</v>
      </c>
      <c r="E1840" s="24" t="s">
        <v>7347</v>
      </c>
      <c r="F1840" s="24" t="s">
        <v>59</v>
      </c>
    </row>
    <row r="1841">
      <c r="A1841" s="24" t="s">
        <v>7348</v>
      </c>
      <c r="B1841" s="24" t="s">
        <v>7349</v>
      </c>
      <c r="C1841" s="24" t="s">
        <v>7350</v>
      </c>
      <c r="D1841" s="24" t="s">
        <v>124</v>
      </c>
      <c r="E1841" s="24" t="s">
        <v>7351</v>
      </c>
      <c r="F1841" s="24" t="s">
        <v>59</v>
      </c>
    </row>
    <row r="1842">
      <c r="A1842" s="24" t="s">
        <v>7352</v>
      </c>
      <c r="B1842" s="24" t="s">
        <v>7353</v>
      </c>
      <c r="C1842" s="24" t="s">
        <v>7354</v>
      </c>
      <c r="D1842" s="24" t="s">
        <v>124</v>
      </c>
      <c r="E1842" s="24" t="s">
        <v>7355</v>
      </c>
      <c r="F1842" s="24" t="s">
        <v>59</v>
      </c>
    </row>
    <row r="1843">
      <c r="A1843" s="24" t="s">
        <v>7356</v>
      </c>
      <c r="B1843" s="24" t="s">
        <v>7357</v>
      </c>
      <c r="C1843" s="24" t="s">
        <v>7358</v>
      </c>
      <c r="D1843" s="24" t="s">
        <v>124</v>
      </c>
      <c r="E1843" s="24" t="s">
        <v>7359</v>
      </c>
      <c r="F1843" s="24" t="s">
        <v>59</v>
      </c>
    </row>
    <row r="1844">
      <c r="A1844" s="24" t="s">
        <v>7360</v>
      </c>
      <c r="B1844" s="24" t="s">
        <v>7361</v>
      </c>
      <c r="C1844" s="24" t="s">
        <v>7362</v>
      </c>
      <c r="D1844" s="24" t="s">
        <v>124</v>
      </c>
      <c r="E1844" s="24" t="s">
        <v>7363</v>
      </c>
      <c r="F1844" s="24" t="s">
        <v>59</v>
      </c>
    </row>
    <row r="1845">
      <c r="A1845" s="24" t="s">
        <v>7364</v>
      </c>
      <c r="B1845" s="24" t="s">
        <v>7365</v>
      </c>
      <c r="C1845" s="24" t="s">
        <v>7366</v>
      </c>
      <c r="D1845" s="24" t="s">
        <v>124</v>
      </c>
      <c r="E1845" s="24" t="s">
        <v>7367</v>
      </c>
      <c r="F1845" s="24" t="s">
        <v>59</v>
      </c>
    </row>
    <row r="1846">
      <c r="A1846" s="24" t="s">
        <v>7368</v>
      </c>
      <c r="B1846" s="24" t="s">
        <v>7369</v>
      </c>
      <c r="C1846" s="24" t="s">
        <v>7370</v>
      </c>
      <c r="D1846" s="24" t="s">
        <v>124</v>
      </c>
      <c r="E1846" s="24" t="s">
        <v>7371</v>
      </c>
      <c r="F1846" s="24" t="s">
        <v>59</v>
      </c>
    </row>
    <row r="1847">
      <c r="A1847" s="24" t="s">
        <v>7372</v>
      </c>
      <c r="B1847" s="24" t="s">
        <v>7373</v>
      </c>
      <c r="C1847" s="24" t="s">
        <v>7374</v>
      </c>
      <c r="D1847" s="24" t="s">
        <v>124</v>
      </c>
      <c r="E1847" s="24" t="s">
        <v>7375</v>
      </c>
      <c r="F1847" s="24" t="s">
        <v>59</v>
      </c>
    </row>
    <row r="1848">
      <c r="A1848" s="24" t="s">
        <v>7376</v>
      </c>
      <c r="B1848" s="24" t="s">
        <v>7377</v>
      </c>
      <c r="C1848" s="24" t="s">
        <v>7378</v>
      </c>
      <c r="D1848" s="24" t="s">
        <v>124</v>
      </c>
      <c r="E1848" s="24" t="s">
        <v>7379</v>
      </c>
      <c r="F1848" s="24" t="s">
        <v>59</v>
      </c>
    </row>
    <row r="1849">
      <c r="A1849" s="24" t="s">
        <v>7380</v>
      </c>
      <c r="B1849" s="24" t="s">
        <v>7381</v>
      </c>
      <c r="C1849" s="24" t="s">
        <v>7382</v>
      </c>
      <c r="D1849" s="24" t="s">
        <v>124</v>
      </c>
      <c r="E1849" s="24" t="s">
        <v>7383</v>
      </c>
      <c r="F1849" s="24" t="s">
        <v>59</v>
      </c>
    </row>
    <row r="1850">
      <c r="A1850" s="24" t="s">
        <v>7384</v>
      </c>
      <c r="B1850" s="24" t="s">
        <v>7385</v>
      </c>
      <c r="C1850" s="24" t="s">
        <v>7386</v>
      </c>
      <c r="D1850" s="24" t="s">
        <v>124</v>
      </c>
      <c r="E1850" s="24" t="s">
        <v>7387</v>
      </c>
      <c r="F1850" s="24" t="s">
        <v>59</v>
      </c>
    </row>
    <row r="1851">
      <c r="A1851" s="24" t="s">
        <v>7388</v>
      </c>
      <c r="B1851" s="24" t="s">
        <v>7389</v>
      </c>
      <c r="C1851" s="24" t="s">
        <v>7390</v>
      </c>
      <c r="D1851" s="24" t="s">
        <v>124</v>
      </c>
      <c r="E1851" s="24" t="s">
        <v>7391</v>
      </c>
      <c r="F1851" s="24" t="s">
        <v>59</v>
      </c>
    </row>
    <row r="1852">
      <c r="A1852" s="24" t="s">
        <v>7392</v>
      </c>
      <c r="B1852" s="24" t="s">
        <v>7393</v>
      </c>
      <c r="C1852" s="24" t="s">
        <v>7394</v>
      </c>
      <c r="D1852" s="24" t="s">
        <v>124</v>
      </c>
      <c r="E1852" s="24" t="s">
        <v>7395</v>
      </c>
      <c r="F1852" s="24" t="s">
        <v>59</v>
      </c>
    </row>
    <row r="1853">
      <c r="A1853" s="24" t="s">
        <v>7396</v>
      </c>
      <c r="B1853" s="24" t="s">
        <v>7397</v>
      </c>
      <c r="C1853" s="24" t="s">
        <v>7398</v>
      </c>
      <c r="D1853" s="24" t="s">
        <v>124</v>
      </c>
      <c r="E1853" s="24" t="s">
        <v>7399</v>
      </c>
      <c r="F1853" s="24" t="s">
        <v>59</v>
      </c>
    </row>
    <row r="1854">
      <c r="A1854" s="24" t="s">
        <v>7400</v>
      </c>
      <c r="B1854" s="24" t="s">
        <v>7401</v>
      </c>
      <c r="C1854" s="24" t="s">
        <v>7402</v>
      </c>
      <c r="D1854" s="24" t="s">
        <v>124</v>
      </c>
      <c r="E1854" s="24" t="s">
        <v>7403</v>
      </c>
      <c r="F1854" s="24" t="s">
        <v>59</v>
      </c>
    </row>
    <row r="1855">
      <c r="A1855" s="24" t="s">
        <v>7404</v>
      </c>
      <c r="B1855" s="24" t="s">
        <v>7405</v>
      </c>
      <c r="C1855" s="24" t="s">
        <v>7406</v>
      </c>
      <c r="D1855" s="24" t="s">
        <v>124</v>
      </c>
      <c r="E1855" s="24" t="s">
        <v>7407</v>
      </c>
      <c r="F1855" s="24" t="s">
        <v>59</v>
      </c>
    </row>
    <row r="1856">
      <c r="A1856" s="24" t="s">
        <v>7408</v>
      </c>
      <c r="B1856" s="24" t="s">
        <v>7409</v>
      </c>
      <c r="C1856" s="24" t="s">
        <v>7410</v>
      </c>
      <c r="D1856" s="24" t="s">
        <v>124</v>
      </c>
      <c r="E1856" s="24" t="s">
        <v>7411</v>
      </c>
      <c r="F1856" s="24" t="s">
        <v>59</v>
      </c>
    </row>
    <row r="1857">
      <c r="A1857" s="24" t="s">
        <v>7412</v>
      </c>
      <c r="B1857" s="24" t="s">
        <v>7413</v>
      </c>
      <c r="C1857" s="24" t="s">
        <v>7414</v>
      </c>
      <c r="D1857" s="24" t="s">
        <v>124</v>
      </c>
      <c r="E1857" s="24" t="s">
        <v>7415</v>
      </c>
      <c r="F1857" s="24" t="s">
        <v>59</v>
      </c>
    </row>
    <row r="1858">
      <c r="A1858" s="24" t="s">
        <v>7416</v>
      </c>
      <c r="B1858" s="24" t="s">
        <v>7417</v>
      </c>
      <c r="C1858" s="24" t="s">
        <v>7418</v>
      </c>
      <c r="D1858" s="24" t="s">
        <v>124</v>
      </c>
      <c r="E1858" s="24" t="s">
        <v>7419</v>
      </c>
      <c r="F1858" s="24" t="s">
        <v>59</v>
      </c>
    </row>
    <row r="1859">
      <c r="A1859" s="24" t="s">
        <v>7420</v>
      </c>
      <c r="B1859" s="24" t="s">
        <v>7421</v>
      </c>
      <c r="C1859" s="24" t="s">
        <v>7422</v>
      </c>
      <c r="D1859" s="24" t="s">
        <v>124</v>
      </c>
      <c r="E1859" s="24" t="s">
        <v>7423</v>
      </c>
      <c r="F1859" s="24" t="s">
        <v>59</v>
      </c>
    </row>
    <row r="1860">
      <c r="A1860" s="24" t="s">
        <v>7424</v>
      </c>
      <c r="B1860" s="24" t="s">
        <v>7425</v>
      </c>
      <c r="C1860" s="24" t="s">
        <v>7426</v>
      </c>
      <c r="D1860" s="24" t="s">
        <v>124</v>
      </c>
      <c r="E1860" s="24" t="s">
        <v>7427</v>
      </c>
      <c r="F1860" s="24" t="s">
        <v>59</v>
      </c>
    </row>
    <row r="1861">
      <c r="A1861" s="24" t="s">
        <v>7428</v>
      </c>
      <c r="B1861" s="24" t="s">
        <v>7429</v>
      </c>
      <c r="C1861" s="24" t="s">
        <v>7430</v>
      </c>
      <c r="D1861" s="24" t="s">
        <v>124</v>
      </c>
      <c r="E1861" s="24" t="s">
        <v>7431</v>
      </c>
      <c r="F1861" s="24" t="s">
        <v>59</v>
      </c>
    </row>
    <row r="1862">
      <c r="A1862" s="24" t="s">
        <v>7432</v>
      </c>
      <c r="B1862" s="24" t="s">
        <v>7433</v>
      </c>
      <c r="C1862" s="24" t="s">
        <v>7434</v>
      </c>
      <c r="D1862" s="24" t="s">
        <v>124</v>
      </c>
      <c r="E1862" s="24" t="s">
        <v>7435</v>
      </c>
      <c r="F1862" s="24" t="s">
        <v>59</v>
      </c>
    </row>
    <row r="1863">
      <c r="A1863" s="24" t="s">
        <v>7436</v>
      </c>
      <c r="B1863" s="24" t="s">
        <v>7437</v>
      </c>
      <c r="C1863" s="24" t="s">
        <v>7438</v>
      </c>
      <c r="D1863" s="24" t="s">
        <v>124</v>
      </c>
      <c r="E1863" s="24" t="s">
        <v>7439</v>
      </c>
      <c r="F1863" s="24" t="s">
        <v>59</v>
      </c>
    </row>
    <row r="1864">
      <c r="A1864" s="24" t="s">
        <v>7440</v>
      </c>
      <c r="B1864" s="24" t="s">
        <v>7441</v>
      </c>
      <c r="C1864" s="24" t="s">
        <v>7442</v>
      </c>
      <c r="D1864" s="24" t="s">
        <v>124</v>
      </c>
      <c r="E1864" s="24" t="s">
        <v>7443</v>
      </c>
      <c r="F1864" s="24" t="s">
        <v>59</v>
      </c>
    </row>
    <row r="1865">
      <c r="A1865" s="24" t="s">
        <v>7444</v>
      </c>
      <c r="B1865" s="24" t="s">
        <v>7445</v>
      </c>
      <c r="C1865" s="24" t="s">
        <v>7446</v>
      </c>
      <c r="D1865" s="24" t="s">
        <v>124</v>
      </c>
      <c r="E1865" s="24" t="s">
        <v>7447</v>
      </c>
      <c r="F1865" s="24" t="s">
        <v>59</v>
      </c>
    </row>
    <row r="1866">
      <c r="A1866" s="24" t="s">
        <v>7448</v>
      </c>
      <c r="B1866" s="24" t="s">
        <v>7449</v>
      </c>
      <c r="C1866" s="24" t="s">
        <v>7450</v>
      </c>
      <c r="D1866" s="24" t="s">
        <v>124</v>
      </c>
      <c r="E1866" s="24" t="s">
        <v>7451</v>
      </c>
      <c r="F1866" s="24" t="s">
        <v>59</v>
      </c>
    </row>
    <row r="1867">
      <c r="A1867" s="24" t="s">
        <v>7452</v>
      </c>
      <c r="B1867" s="24" t="s">
        <v>7453</v>
      </c>
      <c r="C1867" s="24" t="s">
        <v>7454</v>
      </c>
      <c r="D1867" s="24" t="s">
        <v>124</v>
      </c>
      <c r="E1867" s="24" t="s">
        <v>7455</v>
      </c>
      <c r="F1867" s="24" t="s">
        <v>59</v>
      </c>
    </row>
    <row r="1868">
      <c r="A1868" s="24" t="s">
        <v>7456</v>
      </c>
      <c r="B1868" s="24" t="s">
        <v>7457</v>
      </c>
      <c r="C1868" s="24" t="s">
        <v>7458</v>
      </c>
      <c r="D1868" s="24" t="s">
        <v>124</v>
      </c>
      <c r="E1868" s="24" t="s">
        <v>7459</v>
      </c>
      <c r="F1868" s="24" t="s">
        <v>59</v>
      </c>
    </row>
    <row r="1869">
      <c r="A1869" s="24" t="s">
        <v>7460</v>
      </c>
      <c r="B1869" s="24" t="s">
        <v>7461</v>
      </c>
      <c r="C1869" s="24" t="s">
        <v>7462</v>
      </c>
      <c r="D1869" s="24" t="s">
        <v>124</v>
      </c>
      <c r="E1869" s="24" t="s">
        <v>7463</v>
      </c>
      <c r="F1869" s="24" t="s">
        <v>59</v>
      </c>
    </row>
    <row r="1870">
      <c r="A1870" s="24" t="s">
        <v>7464</v>
      </c>
      <c r="B1870" s="24" t="s">
        <v>7465</v>
      </c>
      <c r="C1870" s="24" t="s">
        <v>7466</v>
      </c>
      <c r="D1870" s="24" t="s">
        <v>124</v>
      </c>
      <c r="E1870" s="24" t="s">
        <v>7467</v>
      </c>
      <c r="F1870" s="24" t="s">
        <v>59</v>
      </c>
    </row>
    <row r="1871">
      <c r="A1871" s="24" t="s">
        <v>7468</v>
      </c>
      <c r="B1871" s="24" t="s">
        <v>7469</v>
      </c>
      <c r="C1871" s="24" t="s">
        <v>7470</v>
      </c>
      <c r="D1871" s="24" t="s">
        <v>124</v>
      </c>
      <c r="E1871" s="24" t="s">
        <v>7471</v>
      </c>
      <c r="F1871" s="24" t="s">
        <v>59</v>
      </c>
    </row>
    <row r="1872">
      <c r="A1872" s="24" t="s">
        <v>7472</v>
      </c>
      <c r="B1872" s="24" t="s">
        <v>7473</v>
      </c>
      <c r="C1872" s="24" t="s">
        <v>7474</v>
      </c>
      <c r="D1872" s="24" t="s">
        <v>124</v>
      </c>
      <c r="E1872" s="24" t="s">
        <v>7475</v>
      </c>
      <c r="F1872" s="24" t="s">
        <v>59</v>
      </c>
    </row>
    <row r="1873">
      <c r="A1873" s="24" t="s">
        <v>7476</v>
      </c>
      <c r="B1873" s="24" t="s">
        <v>7477</v>
      </c>
      <c r="C1873" s="24" t="s">
        <v>7478</v>
      </c>
      <c r="D1873" s="24" t="s">
        <v>124</v>
      </c>
      <c r="E1873" s="24" t="s">
        <v>7479</v>
      </c>
      <c r="F1873" s="24" t="s">
        <v>59</v>
      </c>
    </row>
    <row r="1874">
      <c r="A1874" s="24" t="s">
        <v>7480</v>
      </c>
      <c r="B1874" s="24" t="s">
        <v>7481</v>
      </c>
      <c r="C1874" s="24" t="s">
        <v>7482</v>
      </c>
      <c r="D1874" s="24" t="s">
        <v>124</v>
      </c>
      <c r="E1874" s="24" t="s">
        <v>7483</v>
      </c>
      <c r="F1874" s="24" t="s">
        <v>59</v>
      </c>
    </row>
    <row r="1875">
      <c r="A1875" s="24" t="s">
        <v>7484</v>
      </c>
      <c r="B1875" s="24" t="s">
        <v>7485</v>
      </c>
      <c r="C1875" s="24" t="s">
        <v>7486</v>
      </c>
      <c r="D1875" s="24" t="s">
        <v>124</v>
      </c>
      <c r="E1875" s="24" t="s">
        <v>7487</v>
      </c>
      <c r="F1875" s="24" t="s">
        <v>59</v>
      </c>
    </row>
    <row r="1876">
      <c r="A1876" s="24" t="s">
        <v>7488</v>
      </c>
      <c r="B1876" s="24" t="s">
        <v>7489</v>
      </c>
      <c r="C1876" s="24" t="s">
        <v>7490</v>
      </c>
      <c r="D1876" s="24" t="s">
        <v>124</v>
      </c>
      <c r="E1876" s="24" t="s">
        <v>7491</v>
      </c>
      <c r="F1876" s="24" t="s">
        <v>59</v>
      </c>
    </row>
    <row r="1877">
      <c r="A1877" s="24" t="s">
        <v>7492</v>
      </c>
      <c r="B1877" s="24" t="s">
        <v>7493</v>
      </c>
      <c r="C1877" s="24" t="s">
        <v>7494</v>
      </c>
      <c r="D1877" s="24" t="s">
        <v>124</v>
      </c>
      <c r="E1877" s="24" t="s">
        <v>7495</v>
      </c>
      <c r="F1877" s="24" t="s">
        <v>59</v>
      </c>
    </row>
    <row r="1878">
      <c r="A1878" s="24" t="s">
        <v>7496</v>
      </c>
      <c r="B1878" s="24" t="s">
        <v>7497</v>
      </c>
      <c r="C1878" s="24" t="s">
        <v>7498</v>
      </c>
      <c r="D1878" s="24" t="s">
        <v>124</v>
      </c>
      <c r="E1878" s="24" t="s">
        <v>7499</v>
      </c>
      <c r="F1878" s="24" t="s">
        <v>59</v>
      </c>
    </row>
    <row r="1879">
      <c r="A1879" s="24" t="s">
        <v>7500</v>
      </c>
      <c r="B1879" s="24" t="s">
        <v>7501</v>
      </c>
      <c r="C1879" s="24" t="s">
        <v>7502</v>
      </c>
      <c r="D1879" s="24" t="s">
        <v>124</v>
      </c>
      <c r="E1879" s="24" t="s">
        <v>7503</v>
      </c>
      <c r="F1879" s="24" t="s">
        <v>59</v>
      </c>
    </row>
    <row r="1880">
      <c r="A1880" s="24" t="s">
        <v>7504</v>
      </c>
      <c r="B1880" s="24" t="s">
        <v>7505</v>
      </c>
      <c r="C1880" s="24" t="s">
        <v>7506</v>
      </c>
      <c r="D1880" s="24" t="s">
        <v>124</v>
      </c>
      <c r="E1880" s="24" t="s">
        <v>7507</v>
      </c>
      <c r="F1880" s="24" t="s">
        <v>59</v>
      </c>
    </row>
    <row r="1881">
      <c r="A1881" s="24" t="s">
        <v>7508</v>
      </c>
      <c r="B1881" s="24" t="s">
        <v>7509</v>
      </c>
      <c r="C1881" s="24" t="s">
        <v>7510</v>
      </c>
      <c r="D1881" s="24" t="s">
        <v>124</v>
      </c>
      <c r="E1881" s="24" t="s">
        <v>7511</v>
      </c>
      <c r="F1881" s="24" t="s">
        <v>59</v>
      </c>
    </row>
    <row r="1882">
      <c r="A1882" s="24" t="s">
        <v>7512</v>
      </c>
      <c r="B1882" s="24" t="s">
        <v>7513</v>
      </c>
      <c r="C1882" s="24" t="s">
        <v>7514</v>
      </c>
      <c r="D1882" s="24" t="s">
        <v>124</v>
      </c>
      <c r="E1882" s="24" t="s">
        <v>7515</v>
      </c>
      <c r="F1882" s="24" t="s">
        <v>59</v>
      </c>
    </row>
    <row r="1883">
      <c r="A1883" s="24" t="s">
        <v>7516</v>
      </c>
      <c r="B1883" s="24" t="s">
        <v>7517</v>
      </c>
      <c r="C1883" s="24" t="s">
        <v>7518</v>
      </c>
      <c r="D1883" s="24" t="s">
        <v>124</v>
      </c>
      <c r="E1883" s="24" t="s">
        <v>7519</v>
      </c>
      <c r="F1883" s="24" t="s">
        <v>59</v>
      </c>
    </row>
    <row r="1884">
      <c r="A1884" s="24" t="s">
        <v>7520</v>
      </c>
      <c r="B1884" s="24" t="s">
        <v>7521</v>
      </c>
      <c r="C1884" s="24" t="s">
        <v>7522</v>
      </c>
      <c r="D1884" s="24" t="s">
        <v>124</v>
      </c>
      <c r="E1884" s="24" t="s">
        <v>7523</v>
      </c>
      <c r="F1884" s="24" t="s">
        <v>59</v>
      </c>
    </row>
    <row r="1885">
      <c r="A1885" s="24" t="s">
        <v>7524</v>
      </c>
      <c r="B1885" s="24" t="s">
        <v>7525</v>
      </c>
      <c r="C1885" s="24" t="s">
        <v>7526</v>
      </c>
      <c r="D1885" s="24" t="s">
        <v>124</v>
      </c>
      <c r="E1885" s="24" t="s">
        <v>7527</v>
      </c>
      <c r="F1885" s="24" t="s">
        <v>59</v>
      </c>
    </row>
    <row r="1886">
      <c r="A1886" s="24" t="s">
        <v>7528</v>
      </c>
      <c r="B1886" s="24" t="s">
        <v>7529</v>
      </c>
      <c r="C1886" s="24" t="s">
        <v>7530</v>
      </c>
      <c r="D1886" s="24" t="s">
        <v>124</v>
      </c>
      <c r="E1886" s="24" t="s">
        <v>7531</v>
      </c>
      <c r="F1886" s="24" t="s">
        <v>59</v>
      </c>
    </row>
    <row r="1887">
      <c r="A1887" s="24" t="s">
        <v>7532</v>
      </c>
      <c r="B1887" s="24" t="s">
        <v>7533</v>
      </c>
      <c r="C1887" s="24" t="s">
        <v>7534</v>
      </c>
      <c r="D1887" s="24" t="s">
        <v>124</v>
      </c>
      <c r="E1887" s="24" t="s">
        <v>7535</v>
      </c>
      <c r="F1887" s="24" t="s">
        <v>59</v>
      </c>
    </row>
    <row r="1888">
      <c r="A1888" s="24" t="s">
        <v>7536</v>
      </c>
      <c r="B1888" s="24" t="s">
        <v>7537</v>
      </c>
      <c r="C1888" s="24" t="s">
        <v>7538</v>
      </c>
      <c r="D1888" s="24" t="s">
        <v>124</v>
      </c>
      <c r="E1888" s="24" t="s">
        <v>7539</v>
      </c>
      <c r="F1888" s="24" t="s">
        <v>59</v>
      </c>
    </row>
    <row r="1889">
      <c r="A1889" s="24" t="s">
        <v>7540</v>
      </c>
      <c r="B1889" s="24" t="s">
        <v>7541</v>
      </c>
      <c r="C1889" s="24" t="s">
        <v>7542</v>
      </c>
      <c r="D1889" s="24" t="s">
        <v>124</v>
      </c>
      <c r="E1889" s="24" t="s">
        <v>7543</v>
      </c>
      <c r="F1889" s="24" t="s">
        <v>59</v>
      </c>
    </row>
    <row r="1890">
      <c r="A1890" s="24" t="s">
        <v>7544</v>
      </c>
      <c r="B1890" s="24" t="s">
        <v>7545</v>
      </c>
      <c r="C1890" s="24" t="s">
        <v>7546</v>
      </c>
      <c r="D1890" s="24" t="s">
        <v>124</v>
      </c>
      <c r="E1890" s="24" t="s">
        <v>7547</v>
      </c>
      <c r="F1890" s="24" t="s">
        <v>59</v>
      </c>
    </row>
    <row r="1891">
      <c r="A1891" s="24" t="s">
        <v>7548</v>
      </c>
      <c r="B1891" s="24" t="s">
        <v>7549</v>
      </c>
      <c r="C1891" s="24" t="s">
        <v>7550</v>
      </c>
      <c r="D1891" s="24" t="s">
        <v>124</v>
      </c>
      <c r="E1891" s="24" t="s">
        <v>7551</v>
      </c>
      <c r="F1891" s="24" t="s">
        <v>59</v>
      </c>
    </row>
    <row r="1892">
      <c r="A1892" s="24" t="s">
        <v>7552</v>
      </c>
      <c r="B1892" s="24" t="s">
        <v>7553</v>
      </c>
      <c r="C1892" s="24" t="s">
        <v>7554</v>
      </c>
      <c r="D1892" s="24" t="s">
        <v>124</v>
      </c>
      <c r="E1892" s="24" t="s">
        <v>7555</v>
      </c>
      <c r="F1892" s="24" t="s">
        <v>59</v>
      </c>
    </row>
    <row r="1893">
      <c r="A1893" s="24" t="s">
        <v>7556</v>
      </c>
      <c r="B1893" s="24" t="s">
        <v>7557</v>
      </c>
      <c r="C1893" s="24" t="s">
        <v>7558</v>
      </c>
      <c r="D1893" s="24" t="s">
        <v>124</v>
      </c>
      <c r="E1893" s="24" t="s">
        <v>7559</v>
      </c>
      <c r="F1893" s="24" t="s">
        <v>59</v>
      </c>
    </row>
    <row r="1894">
      <c r="A1894" s="24" t="s">
        <v>7560</v>
      </c>
      <c r="B1894" s="24" t="s">
        <v>7561</v>
      </c>
      <c r="C1894" s="24" t="s">
        <v>7562</v>
      </c>
      <c r="D1894" s="24" t="s">
        <v>124</v>
      </c>
      <c r="E1894" s="24" t="s">
        <v>7563</v>
      </c>
      <c r="F1894" s="24" t="s">
        <v>59</v>
      </c>
    </row>
    <row r="1895">
      <c r="A1895" s="24" t="s">
        <v>7564</v>
      </c>
      <c r="B1895" s="24" t="s">
        <v>7565</v>
      </c>
      <c r="C1895" s="24" t="s">
        <v>7566</v>
      </c>
      <c r="D1895" s="24" t="s">
        <v>124</v>
      </c>
      <c r="E1895" s="24" t="s">
        <v>7567</v>
      </c>
      <c r="F1895" s="24" t="s">
        <v>59</v>
      </c>
    </row>
    <row r="1896">
      <c r="A1896" s="24" t="s">
        <v>7568</v>
      </c>
      <c r="B1896" s="24" t="s">
        <v>7569</v>
      </c>
      <c r="C1896" s="24" t="s">
        <v>7570</v>
      </c>
      <c r="D1896" s="24" t="s">
        <v>124</v>
      </c>
      <c r="E1896" s="24" t="s">
        <v>7571</v>
      </c>
      <c r="F1896" s="24" t="s">
        <v>59</v>
      </c>
    </row>
    <row r="1897">
      <c r="A1897" s="24" t="s">
        <v>7572</v>
      </c>
      <c r="B1897" s="24" t="s">
        <v>7573</v>
      </c>
      <c r="C1897" s="24" t="s">
        <v>7574</v>
      </c>
      <c r="D1897" s="24" t="s">
        <v>124</v>
      </c>
      <c r="E1897" s="24" t="s">
        <v>7575</v>
      </c>
      <c r="F1897" s="24" t="s">
        <v>59</v>
      </c>
    </row>
    <row r="1898">
      <c r="A1898" s="24" t="s">
        <v>7576</v>
      </c>
      <c r="B1898" s="24" t="s">
        <v>7577</v>
      </c>
      <c r="C1898" s="24" t="s">
        <v>7578</v>
      </c>
      <c r="D1898" s="24" t="s">
        <v>124</v>
      </c>
      <c r="E1898" s="24" t="s">
        <v>7579</v>
      </c>
      <c r="F1898" s="24" t="s">
        <v>59</v>
      </c>
    </row>
    <row r="1899">
      <c r="A1899" s="24" t="s">
        <v>7580</v>
      </c>
      <c r="B1899" s="24" t="s">
        <v>7581</v>
      </c>
      <c r="C1899" s="24" t="s">
        <v>7582</v>
      </c>
      <c r="D1899" s="24" t="s">
        <v>124</v>
      </c>
      <c r="E1899" s="24" t="s">
        <v>7583</v>
      </c>
      <c r="F1899" s="24" t="s">
        <v>59</v>
      </c>
    </row>
    <row r="1900">
      <c r="A1900" s="24" t="s">
        <v>7584</v>
      </c>
      <c r="B1900" s="24" t="s">
        <v>7585</v>
      </c>
      <c r="C1900" s="24" t="s">
        <v>7586</v>
      </c>
      <c r="D1900" s="24" t="s">
        <v>124</v>
      </c>
      <c r="E1900" s="24" t="s">
        <v>7587</v>
      </c>
      <c r="F1900" s="24" t="s">
        <v>59</v>
      </c>
    </row>
    <row r="1901">
      <c r="A1901" s="24" t="s">
        <v>7588</v>
      </c>
      <c r="B1901" s="24" t="s">
        <v>7589</v>
      </c>
      <c r="C1901" s="24" t="s">
        <v>7590</v>
      </c>
      <c r="D1901" s="24" t="s">
        <v>124</v>
      </c>
      <c r="E1901" s="24" t="s">
        <v>7591</v>
      </c>
      <c r="F1901" s="24" t="s">
        <v>59</v>
      </c>
    </row>
    <row r="1902">
      <c r="A1902" s="24" t="s">
        <v>7592</v>
      </c>
      <c r="B1902" s="24" t="s">
        <v>7593</v>
      </c>
      <c r="C1902" s="24" t="s">
        <v>7594</v>
      </c>
      <c r="D1902" s="24" t="s">
        <v>124</v>
      </c>
      <c r="E1902" s="24" t="s">
        <v>7595</v>
      </c>
      <c r="F1902" s="24" t="s">
        <v>59</v>
      </c>
    </row>
    <row r="1903">
      <c r="A1903" s="24" t="s">
        <v>7596</v>
      </c>
      <c r="B1903" s="24" t="s">
        <v>7597</v>
      </c>
      <c r="C1903" s="24" t="s">
        <v>7598</v>
      </c>
      <c r="D1903" s="24" t="s">
        <v>124</v>
      </c>
      <c r="E1903" s="24" t="s">
        <v>7599</v>
      </c>
      <c r="F1903" s="24" t="s">
        <v>59</v>
      </c>
    </row>
    <row r="1904">
      <c r="A1904" s="24" t="s">
        <v>7600</v>
      </c>
      <c r="B1904" s="24" t="s">
        <v>7601</v>
      </c>
      <c r="C1904" s="24" t="s">
        <v>7602</v>
      </c>
      <c r="D1904" s="24" t="s">
        <v>124</v>
      </c>
      <c r="E1904" s="24" t="s">
        <v>7603</v>
      </c>
      <c r="F1904" s="24" t="s">
        <v>59</v>
      </c>
    </row>
    <row r="1905">
      <c r="A1905" s="24" t="s">
        <v>7604</v>
      </c>
      <c r="B1905" s="24" t="s">
        <v>7605</v>
      </c>
      <c r="C1905" s="24" t="s">
        <v>7606</v>
      </c>
      <c r="D1905" s="24" t="s">
        <v>124</v>
      </c>
      <c r="E1905" s="24" t="s">
        <v>7607</v>
      </c>
      <c r="F1905" s="24" t="s">
        <v>59</v>
      </c>
    </row>
    <row r="1906">
      <c r="A1906" s="24" t="s">
        <v>7608</v>
      </c>
      <c r="B1906" s="24" t="s">
        <v>7609</v>
      </c>
      <c r="C1906" s="24" t="s">
        <v>7610</v>
      </c>
      <c r="D1906" s="24" t="s">
        <v>124</v>
      </c>
      <c r="E1906" s="24" t="s">
        <v>7611</v>
      </c>
      <c r="F1906" s="24" t="s">
        <v>59</v>
      </c>
    </row>
    <row r="1907">
      <c r="A1907" s="24" t="s">
        <v>7612</v>
      </c>
      <c r="B1907" s="24" t="s">
        <v>7613</v>
      </c>
      <c r="C1907" s="24" t="s">
        <v>7614</v>
      </c>
      <c r="D1907" s="24" t="s">
        <v>124</v>
      </c>
      <c r="E1907" s="24" t="s">
        <v>7615</v>
      </c>
      <c r="F1907" s="24" t="s">
        <v>59</v>
      </c>
    </row>
    <row r="1908">
      <c r="A1908" s="24" t="s">
        <v>7616</v>
      </c>
      <c r="B1908" s="24" t="s">
        <v>7617</v>
      </c>
      <c r="C1908" s="24" t="s">
        <v>7618</v>
      </c>
      <c r="D1908" s="24" t="s">
        <v>124</v>
      </c>
      <c r="E1908" s="24" t="s">
        <v>7619</v>
      </c>
      <c r="F1908" s="24" t="s">
        <v>59</v>
      </c>
    </row>
    <row r="1909">
      <c r="A1909" s="24" t="s">
        <v>7620</v>
      </c>
      <c r="B1909" s="24" t="s">
        <v>7621</v>
      </c>
      <c r="C1909" s="24" t="s">
        <v>7622</v>
      </c>
      <c r="D1909" s="24" t="s">
        <v>124</v>
      </c>
      <c r="E1909" s="24" t="s">
        <v>7623</v>
      </c>
      <c r="F1909" s="24" t="s">
        <v>59</v>
      </c>
    </row>
    <row r="1910">
      <c r="A1910" s="24" t="s">
        <v>7624</v>
      </c>
      <c r="B1910" s="24" t="s">
        <v>7625</v>
      </c>
      <c r="C1910" s="24" t="s">
        <v>7626</v>
      </c>
      <c r="D1910" s="24" t="s">
        <v>124</v>
      </c>
      <c r="E1910" s="24" t="s">
        <v>7627</v>
      </c>
      <c r="F1910" s="24" t="s">
        <v>59</v>
      </c>
    </row>
    <row r="1911">
      <c r="A1911" s="24" t="s">
        <v>7628</v>
      </c>
      <c r="B1911" s="24" t="s">
        <v>7629</v>
      </c>
      <c r="C1911" s="24" t="s">
        <v>7630</v>
      </c>
      <c r="D1911" s="24" t="s">
        <v>124</v>
      </c>
      <c r="E1911" s="24" t="s">
        <v>7631</v>
      </c>
      <c r="F1911" s="24" t="s">
        <v>59</v>
      </c>
    </row>
    <row r="1912">
      <c r="A1912" s="24" t="s">
        <v>7632</v>
      </c>
      <c r="B1912" s="24" t="s">
        <v>7633</v>
      </c>
      <c r="C1912" s="24" t="s">
        <v>7634</v>
      </c>
      <c r="D1912" s="24" t="s">
        <v>124</v>
      </c>
      <c r="E1912" s="24" t="s">
        <v>7635</v>
      </c>
      <c r="F1912" s="24" t="s">
        <v>59</v>
      </c>
    </row>
    <row r="1913">
      <c r="A1913" s="24" t="s">
        <v>7636</v>
      </c>
      <c r="B1913" s="24" t="s">
        <v>7637</v>
      </c>
      <c r="C1913" s="24" t="s">
        <v>7638</v>
      </c>
      <c r="D1913" s="24" t="s">
        <v>124</v>
      </c>
      <c r="E1913" s="24" t="s">
        <v>7639</v>
      </c>
      <c r="F1913" s="24" t="s">
        <v>59</v>
      </c>
    </row>
    <row r="1914">
      <c r="A1914" s="24" t="s">
        <v>7640</v>
      </c>
      <c r="B1914" s="24" t="s">
        <v>7641</v>
      </c>
      <c r="C1914" s="24" t="s">
        <v>7642</v>
      </c>
      <c r="D1914" s="24" t="s">
        <v>124</v>
      </c>
      <c r="E1914" s="24" t="s">
        <v>7643</v>
      </c>
      <c r="F1914" s="24" t="s">
        <v>59</v>
      </c>
    </row>
    <row r="1915">
      <c r="A1915" s="24" t="s">
        <v>7644</v>
      </c>
      <c r="B1915" s="24" t="s">
        <v>7645</v>
      </c>
      <c r="C1915" s="24" t="s">
        <v>7646</v>
      </c>
      <c r="D1915" s="24" t="s">
        <v>124</v>
      </c>
      <c r="E1915" s="24" t="s">
        <v>7647</v>
      </c>
      <c r="F1915" s="24" t="s">
        <v>59</v>
      </c>
    </row>
    <row r="1916">
      <c r="A1916" s="24" t="s">
        <v>7648</v>
      </c>
      <c r="B1916" s="24" t="s">
        <v>7649</v>
      </c>
      <c r="C1916" s="24" t="s">
        <v>7650</v>
      </c>
      <c r="D1916" s="24" t="s">
        <v>124</v>
      </c>
      <c r="E1916" s="24" t="s">
        <v>7651</v>
      </c>
      <c r="F1916" s="24" t="s">
        <v>59</v>
      </c>
    </row>
    <row r="1917">
      <c r="A1917" s="24" t="s">
        <v>7652</v>
      </c>
      <c r="B1917" s="24" t="s">
        <v>7653</v>
      </c>
      <c r="C1917" s="24" t="s">
        <v>7654</v>
      </c>
      <c r="D1917" s="24" t="s">
        <v>124</v>
      </c>
      <c r="E1917" s="24" t="s">
        <v>7655</v>
      </c>
      <c r="F1917" s="24" t="s">
        <v>59</v>
      </c>
    </row>
    <row r="1918">
      <c r="A1918" s="24" t="s">
        <v>7656</v>
      </c>
      <c r="B1918" s="24" t="s">
        <v>7657</v>
      </c>
      <c r="C1918" s="24" t="s">
        <v>7658</v>
      </c>
      <c r="D1918" s="24" t="s">
        <v>124</v>
      </c>
      <c r="E1918" s="24" t="s">
        <v>7659</v>
      </c>
      <c r="F1918" s="24" t="s">
        <v>59</v>
      </c>
    </row>
    <row r="1919">
      <c r="A1919" s="24" t="s">
        <v>7660</v>
      </c>
      <c r="B1919" s="24" t="s">
        <v>7661</v>
      </c>
      <c r="C1919" s="24" t="s">
        <v>7662</v>
      </c>
      <c r="D1919" s="24" t="s">
        <v>124</v>
      </c>
      <c r="E1919" s="24" t="s">
        <v>7663</v>
      </c>
      <c r="F1919" s="24" t="s">
        <v>59</v>
      </c>
    </row>
    <row r="1920">
      <c r="A1920" s="24" t="s">
        <v>7664</v>
      </c>
      <c r="B1920" s="24" t="s">
        <v>7665</v>
      </c>
      <c r="C1920" s="24" t="s">
        <v>7666</v>
      </c>
      <c r="D1920" s="24" t="s">
        <v>124</v>
      </c>
      <c r="E1920" s="24" t="s">
        <v>7667</v>
      </c>
      <c r="F1920" s="24" t="s">
        <v>59</v>
      </c>
    </row>
    <row r="1921">
      <c r="A1921" s="24" t="s">
        <v>7668</v>
      </c>
      <c r="B1921" s="24" t="s">
        <v>7669</v>
      </c>
      <c r="C1921" s="24" t="s">
        <v>7670</v>
      </c>
      <c r="D1921" s="24" t="s">
        <v>124</v>
      </c>
      <c r="E1921" s="24" t="s">
        <v>7671</v>
      </c>
      <c r="F1921" s="24" t="s">
        <v>59</v>
      </c>
    </row>
    <row r="1922">
      <c r="A1922" s="24" t="s">
        <v>7672</v>
      </c>
      <c r="B1922" s="24" t="s">
        <v>7673</v>
      </c>
      <c r="C1922" s="24" t="s">
        <v>7674</v>
      </c>
      <c r="D1922" s="24" t="s">
        <v>124</v>
      </c>
      <c r="E1922" s="24" t="s">
        <v>7675</v>
      </c>
      <c r="F1922" s="24" t="s">
        <v>59</v>
      </c>
    </row>
    <row r="1923">
      <c r="A1923" s="24" t="s">
        <v>7676</v>
      </c>
      <c r="B1923" s="24" t="s">
        <v>7677</v>
      </c>
      <c r="C1923" s="24" t="s">
        <v>7678</v>
      </c>
      <c r="D1923" s="24" t="s">
        <v>124</v>
      </c>
      <c r="E1923" s="24" t="s">
        <v>7679</v>
      </c>
      <c r="F1923" s="24" t="s">
        <v>59</v>
      </c>
    </row>
    <row r="1924">
      <c r="A1924" s="24" t="s">
        <v>7680</v>
      </c>
      <c r="B1924" s="24" t="s">
        <v>7681</v>
      </c>
      <c r="C1924" s="24" t="s">
        <v>7682</v>
      </c>
      <c r="D1924" s="24" t="s">
        <v>124</v>
      </c>
      <c r="E1924" s="24" t="s">
        <v>7683</v>
      </c>
      <c r="F1924" s="24" t="s">
        <v>59</v>
      </c>
    </row>
    <row r="1925">
      <c r="A1925" s="24" t="s">
        <v>7684</v>
      </c>
      <c r="B1925" s="24" t="s">
        <v>7685</v>
      </c>
      <c r="C1925" s="24" t="s">
        <v>7686</v>
      </c>
      <c r="D1925" s="24" t="s">
        <v>124</v>
      </c>
      <c r="E1925" s="24" t="s">
        <v>7687</v>
      </c>
      <c r="F1925" s="24" t="s">
        <v>59</v>
      </c>
    </row>
    <row r="1926">
      <c r="A1926" s="24" t="s">
        <v>7688</v>
      </c>
      <c r="B1926" s="24" t="s">
        <v>7689</v>
      </c>
      <c r="C1926" s="24" t="s">
        <v>7690</v>
      </c>
      <c r="D1926" s="24" t="s">
        <v>124</v>
      </c>
      <c r="E1926" s="24" t="s">
        <v>7691</v>
      </c>
      <c r="F1926" s="24" t="s">
        <v>59</v>
      </c>
    </row>
    <row r="1927">
      <c r="A1927" s="24" t="s">
        <v>7692</v>
      </c>
      <c r="B1927" s="24" t="s">
        <v>7693</v>
      </c>
      <c r="C1927" s="24" t="s">
        <v>7694</v>
      </c>
      <c r="D1927" s="24" t="s">
        <v>124</v>
      </c>
      <c r="E1927" s="24" t="s">
        <v>7695</v>
      </c>
      <c r="F1927" s="24" t="s">
        <v>59</v>
      </c>
    </row>
    <row r="1928">
      <c r="A1928" s="24" t="s">
        <v>7696</v>
      </c>
      <c r="B1928" s="24" t="s">
        <v>7697</v>
      </c>
      <c r="C1928" s="24" t="s">
        <v>7698</v>
      </c>
      <c r="D1928" s="24" t="s">
        <v>124</v>
      </c>
      <c r="E1928" s="24" t="s">
        <v>7699</v>
      </c>
      <c r="F1928" s="24" t="s">
        <v>59</v>
      </c>
    </row>
    <row r="1929">
      <c r="A1929" s="24" t="s">
        <v>7700</v>
      </c>
      <c r="B1929" s="24" t="s">
        <v>7701</v>
      </c>
      <c r="C1929" s="24" t="s">
        <v>7702</v>
      </c>
      <c r="D1929" s="24" t="s">
        <v>124</v>
      </c>
      <c r="E1929" s="24" t="s">
        <v>7703</v>
      </c>
      <c r="F1929" s="24" t="s">
        <v>59</v>
      </c>
    </row>
    <row r="1930">
      <c r="A1930" s="24" t="s">
        <v>7704</v>
      </c>
      <c r="B1930" s="24" t="s">
        <v>7705</v>
      </c>
      <c r="C1930" s="24" t="s">
        <v>7706</v>
      </c>
      <c r="D1930" s="24" t="s">
        <v>124</v>
      </c>
      <c r="E1930" s="24" t="s">
        <v>7707</v>
      </c>
      <c r="F1930" s="24" t="s">
        <v>59</v>
      </c>
    </row>
    <row r="1931">
      <c r="A1931" s="24" t="s">
        <v>7708</v>
      </c>
      <c r="B1931" s="24" t="s">
        <v>7709</v>
      </c>
      <c r="C1931" s="24" t="s">
        <v>7710</v>
      </c>
      <c r="D1931" s="24" t="s">
        <v>124</v>
      </c>
      <c r="E1931" s="24" t="s">
        <v>7711</v>
      </c>
      <c r="F1931" s="24" t="s">
        <v>59</v>
      </c>
    </row>
    <row r="1932">
      <c r="A1932" s="24" t="s">
        <v>7712</v>
      </c>
      <c r="B1932" s="24" t="s">
        <v>7713</v>
      </c>
      <c r="C1932" s="24" t="s">
        <v>7714</v>
      </c>
      <c r="D1932" s="24" t="s">
        <v>124</v>
      </c>
      <c r="E1932" s="24" t="s">
        <v>7715</v>
      </c>
      <c r="F1932" s="24" t="s">
        <v>59</v>
      </c>
    </row>
    <row r="1933">
      <c r="A1933" s="24" t="s">
        <v>7716</v>
      </c>
      <c r="B1933" s="24" t="s">
        <v>7717</v>
      </c>
      <c r="C1933" s="24" t="s">
        <v>7718</v>
      </c>
      <c r="D1933" s="24" t="s">
        <v>124</v>
      </c>
      <c r="E1933" s="24" t="s">
        <v>7719</v>
      </c>
      <c r="F1933" s="24" t="s">
        <v>59</v>
      </c>
    </row>
    <row r="1934">
      <c r="A1934" s="24" t="s">
        <v>7720</v>
      </c>
      <c r="B1934" s="24" t="s">
        <v>7721</v>
      </c>
      <c r="C1934" s="24" t="s">
        <v>7722</v>
      </c>
      <c r="D1934" s="24" t="s">
        <v>124</v>
      </c>
      <c r="E1934" s="24" t="s">
        <v>7723</v>
      </c>
      <c r="F1934" s="24" t="s">
        <v>59</v>
      </c>
    </row>
    <row r="1935">
      <c r="A1935" s="24" t="s">
        <v>7724</v>
      </c>
      <c r="B1935" s="24" t="s">
        <v>7725</v>
      </c>
      <c r="C1935" s="24" t="s">
        <v>7726</v>
      </c>
      <c r="D1935" s="24" t="s">
        <v>124</v>
      </c>
      <c r="E1935" s="24" t="s">
        <v>7727</v>
      </c>
      <c r="F1935" s="24" t="s">
        <v>59</v>
      </c>
    </row>
    <row r="1936">
      <c r="A1936" s="24" t="s">
        <v>7728</v>
      </c>
      <c r="B1936" s="24" t="s">
        <v>7729</v>
      </c>
      <c r="C1936" s="24" t="s">
        <v>7730</v>
      </c>
      <c r="D1936" s="24" t="s">
        <v>124</v>
      </c>
      <c r="E1936" s="24" t="s">
        <v>7731</v>
      </c>
      <c r="F1936" s="24" t="s">
        <v>59</v>
      </c>
    </row>
    <row r="1937">
      <c r="A1937" s="24" t="s">
        <v>7732</v>
      </c>
      <c r="B1937" s="24" t="s">
        <v>7733</v>
      </c>
      <c r="C1937" s="24" t="s">
        <v>7734</v>
      </c>
      <c r="D1937" s="24" t="s">
        <v>124</v>
      </c>
      <c r="E1937" s="24" t="s">
        <v>7735</v>
      </c>
      <c r="F1937" s="24" t="s">
        <v>59</v>
      </c>
    </row>
    <row r="1938">
      <c r="A1938" s="24" t="s">
        <v>7736</v>
      </c>
      <c r="B1938" s="24" t="s">
        <v>7737</v>
      </c>
      <c r="C1938" s="24" t="s">
        <v>7738</v>
      </c>
      <c r="D1938" s="24" t="s">
        <v>124</v>
      </c>
      <c r="E1938" s="24" t="s">
        <v>7739</v>
      </c>
      <c r="F1938" s="24" t="s">
        <v>59</v>
      </c>
    </row>
    <row r="1939">
      <c r="A1939" s="24" t="s">
        <v>7740</v>
      </c>
      <c r="B1939" s="24" t="s">
        <v>7741</v>
      </c>
      <c r="C1939" s="24" t="s">
        <v>7742</v>
      </c>
      <c r="D1939" s="24" t="s">
        <v>124</v>
      </c>
      <c r="E1939" s="24" t="s">
        <v>7743</v>
      </c>
      <c r="F1939" s="24" t="s">
        <v>59</v>
      </c>
    </row>
    <row r="1940">
      <c r="A1940" s="24" t="s">
        <v>7744</v>
      </c>
      <c r="B1940" s="24" t="s">
        <v>7745</v>
      </c>
      <c r="C1940" s="24" t="s">
        <v>7746</v>
      </c>
      <c r="D1940" s="24" t="s">
        <v>124</v>
      </c>
      <c r="E1940" s="24" t="s">
        <v>7747</v>
      </c>
      <c r="F1940" s="24" t="s">
        <v>59</v>
      </c>
    </row>
    <row r="1941">
      <c r="A1941" s="24" t="s">
        <v>7748</v>
      </c>
      <c r="B1941" s="24" t="s">
        <v>7749</v>
      </c>
      <c r="C1941" s="24" t="s">
        <v>7750</v>
      </c>
      <c r="D1941" s="24" t="s">
        <v>124</v>
      </c>
      <c r="E1941" s="24" t="s">
        <v>7751</v>
      </c>
      <c r="F1941" s="24" t="s">
        <v>59</v>
      </c>
    </row>
    <row r="1942">
      <c r="A1942" s="24" t="s">
        <v>7752</v>
      </c>
      <c r="B1942" s="24" t="s">
        <v>7753</v>
      </c>
      <c r="C1942" s="24" t="s">
        <v>7754</v>
      </c>
      <c r="D1942" s="24" t="s">
        <v>124</v>
      </c>
      <c r="E1942" s="24" t="s">
        <v>7755</v>
      </c>
      <c r="F1942" s="24" t="s">
        <v>59</v>
      </c>
    </row>
    <row r="1943">
      <c r="A1943" s="24" t="s">
        <v>7756</v>
      </c>
      <c r="B1943" s="24" t="s">
        <v>7757</v>
      </c>
      <c r="C1943" s="24" t="s">
        <v>7758</v>
      </c>
      <c r="D1943" s="24" t="s">
        <v>124</v>
      </c>
      <c r="E1943" s="24" t="s">
        <v>7759</v>
      </c>
      <c r="F1943" s="24" t="s">
        <v>59</v>
      </c>
    </row>
    <row r="1944">
      <c r="A1944" s="24" t="s">
        <v>7760</v>
      </c>
      <c r="B1944" s="24" t="s">
        <v>7761</v>
      </c>
      <c r="C1944" s="24" t="s">
        <v>7762</v>
      </c>
      <c r="D1944" s="24" t="s">
        <v>124</v>
      </c>
      <c r="E1944" s="24" t="s">
        <v>7763</v>
      </c>
      <c r="F1944" s="24" t="s">
        <v>59</v>
      </c>
    </row>
    <row r="1945">
      <c r="A1945" s="24" t="s">
        <v>7764</v>
      </c>
      <c r="B1945" s="24" t="s">
        <v>7765</v>
      </c>
      <c r="C1945" s="24" t="s">
        <v>7766</v>
      </c>
      <c r="D1945" s="24" t="s">
        <v>124</v>
      </c>
      <c r="E1945" s="24" t="s">
        <v>7767</v>
      </c>
      <c r="F1945" s="24" t="s">
        <v>59</v>
      </c>
    </row>
    <row r="1946">
      <c r="A1946" s="24" t="s">
        <v>7768</v>
      </c>
      <c r="B1946" s="24" t="s">
        <v>7769</v>
      </c>
      <c r="C1946" s="24" t="s">
        <v>7770</v>
      </c>
      <c r="D1946" s="24" t="s">
        <v>124</v>
      </c>
      <c r="E1946" s="24" t="s">
        <v>7771</v>
      </c>
      <c r="F1946" s="24" t="s">
        <v>59</v>
      </c>
    </row>
    <row r="1947">
      <c r="A1947" s="24" t="s">
        <v>7772</v>
      </c>
      <c r="B1947" s="24" t="s">
        <v>7773</v>
      </c>
      <c r="C1947" s="24" t="s">
        <v>7774</v>
      </c>
      <c r="D1947" s="24" t="s">
        <v>124</v>
      </c>
      <c r="E1947" s="24" t="s">
        <v>7775</v>
      </c>
      <c r="F1947" s="24" t="s">
        <v>59</v>
      </c>
    </row>
    <row r="1948">
      <c r="A1948" s="24" t="s">
        <v>7776</v>
      </c>
      <c r="B1948" s="24" t="s">
        <v>7777</v>
      </c>
      <c r="C1948" s="24" t="s">
        <v>7778</v>
      </c>
      <c r="D1948" s="24" t="s">
        <v>124</v>
      </c>
      <c r="E1948" s="24" t="s">
        <v>7779</v>
      </c>
      <c r="F1948" s="24" t="s">
        <v>59</v>
      </c>
    </row>
    <row r="1949">
      <c r="A1949" s="24" t="s">
        <v>7780</v>
      </c>
      <c r="B1949" s="24" t="s">
        <v>7781</v>
      </c>
      <c r="C1949" s="24" t="s">
        <v>7782</v>
      </c>
      <c r="D1949" s="24" t="s">
        <v>124</v>
      </c>
      <c r="E1949" s="24" t="s">
        <v>7783</v>
      </c>
      <c r="F1949" s="24" t="s">
        <v>59</v>
      </c>
    </row>
    <row r="1950">
      <c r="A1950" s="24" t="s">
        <v>7784</v>
      </c>
      <c r="B1950" s="24" t="s">
        <v>7785</v>
      </c>
      <c r="C1950" s="24" t="s">
        <v>7786</v>
      </c>
      <c r="D1950" s="24" t="s">
        <v>124</v>
      </c>
      <c r="E1950" s="24" t="s">
        <v>7787</v>
      </c>
      <c r="F1950" s="24" t="s">
        <v>59</v>
      </c>
    </row>
    <row r="1951">
      <c r="A1951" s="24" t="s">
        <v>7788</v>
      </c>
      <c r="B1951" s="24" t="s">
        <v>7789</v>
      </c>
      <c r="C1951" s="24" t="s">
        <v>7790</v>
      </c>
      <c r="D1951" s="24" t="s">
        <v>124</v>
      </c>
      <c r="E1951" s="24" t="s">
        <v>7791</v>
      </c>
      <c r="F1951" s="24" t="s">
        <v>59</v>
      </c>
    </row>
    <row r="1952">
      <c r="A1952" s="24" t="s">
        <v>7792</v>
      </c>
      <c r="B1952" s="24" t="s">
        <v>7793</v>
      </c>
      <c r="C1952" s="24" t="s">
        <v>7794</v>
      </c>
      <c r="D1952" s="24" t="s">
        <v>124</v>
      </c>
      <c r="E1952" s="24" t="s">
        <v>7795</v>
      </c>
      <c r="F1952" s="24" t="s">
        <v>59</v>
      </c>
    </row>
    <row r="1953">
      <c r="A1953" s="24" t="s">
        <v>7796</v>
      </c>
      <c r="B1953" s="24" t="s">
        <v>7797</v>
      </c>
      <c r="C1953" s="24" t="s">
        <v>7798</v>
      </c>
      <c r="D1953" s="24" t="s">
        <v>124</v>
      </c>
      <c r="E1953" s="24" t="s">
        <v>7799</v>
      </c>
      <c r="F1953" s="24" t="s">
        <v>59</v>
      </c>
    </row>
    <row r="1954">
      <c r="A1954" s="24" t="s">
        <v>7800</v>
      </c>
      <c r="B1954" s="24" t="s">
        <v>7801</v>
      </c>
      <c r="C1954" s="24" t="s">
        <v>7802</v>
      </c>
      <c r="D1954" s="24" t="s">
        <v>124</v>
      </c>
      <c r="E1954" s="24" t="s">
        <v>7803</v>
      </c>
      <c r="F1954" s="24" t="s">
        <v>59</v>
      </c>
    </row>
    <row r="1955">
      <c r="A1955" s="24" t="s">
        <v>7804</v>
      </c>
      <c r="B1955" s="24" t="s">
        <v>7805</v>
      </c>
      <c r="C1955" s="24" t="s">
        <v>7806</v>
      </c>
      <c r="D1955" s="24" t="s">
        <v>124</v>
      </c>
      <c r="E1955" s="24" t="s">
        <v>7807</v>
      </c>
      <c r="F1955" s="24" t="s">
        <v>59</v>
      </c>
    </row>
    <row r="1956">
      <c r="A1956" s="24" t="s">
        <v>7808</v>
      </c>
      <c r="B1956" s="24" t="s">
        <v>7809</v>
      </c>
      <c r="C1956" s="24" t="s">
        <v>7810</v>
      </c>
      <c r="D1956" s="24" t="s">
        <v>124</v>
      </c>
      <c r="E1956" s="24" t="s">
        <v>7811</v>
      </c>
      <c r="F1956" s="24" t="s">
        <v>59</v>
      </c>
    </row>
    <row r="1957">
      <c r="A1957" s="24" t="s">
        <v>7812</v>
      </c>
      <c r="B1957" s="24" t="s">
        <v>7813</v>
      </c>
      <c r="C1957" s="24" t="s">
        <v>7814</v>
      </c>
      <c r="D1957" s="24" t="s">
        <v>124</v>
      </c>
      <c r="E1957" s="24" t="s">
        <v>7815</v>
      </c>
      <c r="F1957" s="24" t="s">
        <v>59</v>
      </c>
    </row>
    <row r="1958">
      <c r="A1958" s="24" t="s">
        <v>7816</v>
      </c>
      <c r="B1958" s="24" t="s">
        <v>7817</v>
      </c>
      <c r="C1958" s="24" t="s">
        <v>7818</v>
      </c>
      <c r="D1958" s="24" t="s">
        <v>124</v>
      </c>
      <c r="E1958" s="24" t="s">
        <v>7819</v>
      </c>
      <c r="F1958" s="24" t="s">
        <v>59</v>
      </c>
    </row>
    <row r="1959">
      <c r="A1959" s="24" t="s">
        <v>7820</v>
      </c>
      <c r="B1959" s="24" t="s">
        <v>7821</v>
      </c>
      <c r="C1959" s="24" t="s">
        <v>7822</v>
      </c>
      <c r="D1959" s="24" t="s">
        <v>124</v>
      </c>
      <c r="E1959" s="24" t="s">
        <v>7823</v>
      </c>
      <c r="F1959" s="24" t="s">
        <v>59</v>
      </c>
    </row>
    <row r="1960">
      <c r="A1960" s="24" t="s">
        <v>7824</v>
      </c>
      <c r="B1960" s="24" t="s">
        <v>7825</v>
      </c>
      <c r="C1960" s="24" t="s">
        <v>7826</v>
      </c>
      <c r="D1960" s="24" t="s">
        <v>124</v>
      </c>
      <c r="E1960" s="24" t="s">
        <v>7827</v>
      </c>
      <c r="F1960" s="24" t="s">
        <v>59</v>
      </c>
    </row>
    <row r="1961">
      <c r="A1961" s="24" t="s">
        <v>7828</v>
      </c>
      <c r="B1961" s="24" t="s">
        <v>7829</v>
      </c>
      <c r="C1961" s="24" t="s">
        <v>7830</v>
      </c>
      <c r="D1961" s="24" t="s">
        <v>124</v>
      </c>
      <c r="E1961" s="24" t="s">
        <v>7831</v>
      </c>
      <c r="F1961" s="24" t="s">
        <v>59</v>
      </c>
    </row>
    <row r="1962">
      <c r="A1962" s="24" t="s">
        <v>7832</v>
      </c>
      <c r="B1962" s="24" t="s">
        <v>7833</v>
      </c>
      <c r="C1962" s="24" t="s">
        <v>7834</v>
      </c>
      <c r="D1962" s="24" t="s">
        <v>124</v>
      </c>
      <c r="E1962" s="24" t="s">
        <v>7835</v>
      </c>
      <c r="F1962" s="24" t="s">
        <v>59</v>
      </c>
    </row>
    <row r="1963">
      <c r="A1963" s="24" t="s">
        <v>7836</v>
      </c>
      <c r="B1963" s="24" t="s">
        <v>7837</v>
      </c>
      <c r="C1963" s="24" t="s">
        <v>7838</v>
      </c>
      <c r="D1963" s="24" t="s">
        <v>124</v>
      </c>
      <c r="E1963" s="24" t="s">
        <v>7839</v>
      </c>
      <c r="F1963" s="24" t="s">
        <v>59</v>
      </c>
    </row>
    <row r="1964">
      <c r="A1964" s="24" t="s">
        <v>7840</v>
      </c>
      <c r="B1964" s="24" t="s">
        <v>7841</v>
      </c>
      <c r="C1964" s="24" t="s">
        <v>7842</v>
      </c>
      <c r="D1964" s="24" t="s">
        <v>124</v>
      </c>
      <c r="E1964" s="24" t="s">
        <v>7843</v>
      </c>
      <c r="F1964" s="24" t="s">
        <v>59</v>
      </c>
    </row>
    <row r="1965">
      <c r="A1965" s="24" t="s">
        <v>7844</v>
      </c>
      <c r="B1965" s="24" t="s">
        <v>7845</v>
      </c>
      <c r="C1965" s="24" t="s">
        <v>7846</v>
      </c>
      <c r="D1965" s="24" t="s">
        <v>124</v>
      </c>
      <c r="E1965" s="24" t="s">
        <v>7847</v>
      </c>
      <c r="F1965" s="24" t="s">
        <v>59</v>
      </c>
    </row>
    <row r="1966">
      <c r="A1966" s="24" t="s">
        <v>7848</v>
      </c>
      <c r="B1966" s="24" t="s">
        <v>7849</v>
      </c>
      <c r="C1966" s="24" t="s">
        <v>7850</v>
      </c>
      <c r="D1966" s="24" t="s">
        <v>124</v>
      </c>
      <c r="E1966" s="24" t="s">
        <v>7851</v>
      </c>
      <c r="F1966" s="24" t="s">
        <v>59</v>
      </c>
    </row>
    <row r="1967">
      <c r="A1967" s="24" t="s">
        <v>7852</v>
      </c>
      <c r="B1967" s="24" t="s">
        <v>7853</v>
      </c>
      <c r="C1967" s="24" t="s">
        <v>7854</v>
      </c>
      <c r="D1967" s="24" t="s">
        <v>124</v>
      </c>
      <c r="E1967" s="24" t="s">
        <v>7855</v>
      </c>
      <c r="F1967" s="24" t="s">
        <v>59</v>
      </c>
    </row>
    <row r="1968">
      <c r="A1968" s="24" t="s">
        <v>7856</v>
      </c>
      <c r="B1968" s="24" t="s">
        <v>7857</v>
      </c>
      <c r="C1968" s="24" t="s">
        <v>7858</v>
      </c>
      <c r="D1968" s="24" t="s">
        <v>124</v>
      </c>
      <c r="E1968" s="24" t="s">
        <v>7859</v>
      </c>
      <c r="F1968" s="24" t="s">
        <v>59</v>
      </c>
    </row>
    <row r="1969">
      <c r="A1969" s="24" t="s">
        <v>7860</v>
      </c>
      <c r="B1969" s="24" t="s">
        <v>7861</v>
      </c>
      <c r="C1969" s="24" t="s">
        <v>7862</v>
      </c>
      <c r="D1969" s="24" t="s">
        <v>124</v>
      </c>
      <c r="E1969" s="24" t="s">
        <v>7863</v>
      </c>
      <c r="F1969" s="24" t="s">
        <v>59</v>
      </c>
    </row>
    <row r="1970">
      <c r="A1970" s="24" t="s">
        <v>7864</v>
      </c>
      <c r="B1970" s="24" t="s">
        <v>7865</v>
      </c>
      <c r="C1970" s="24" t="s">
        <v>7866</v>
      </c>
      <c r="D1970" s="24" t="s">
        <v>124</v>
      </c>
      <c r="E1970" s="24" t="s">
        <v>7867</v>
      </c>
      <c r="F1970" s="24" t="s">
        <v>59</v>
      </c>
    </row>
    <row r="1971">
      <c r="A1971" s="24" t="s">
        <v>7868</v>
      </c>
      <c r="B1971" s="24" t="s">
        <v>7869</v>
      </c>
      <c r="C1971" s="24" t="s">
        <v>7870</v>
      </c>
      <c r="D1971" s="24" t="s">
        <v>124</v>
      </c>
      <c r="E1971" s="24" t="s">
        <v>7871</v>
      </c>
      <c r="F1971" s="24" t="s">
        <v>59</v>
      </c>
    </row>
    <row r="1972">
      <c r="A1972" s="24" t="s">
        <v>7872</v>
      </c>
      <c r="B1972" s="24" t="s">
        <v>7873</v>
      </c>
      <c r="C1972" s="24" t="s">
        <v>7874</v>
      </c>
      <c r="D1972" s="24" t="s">
        <v>124</v>
      </c>
      <c r="E1972" s="24" t="s">
        <v>7875</v>
      </c>
      <c r="F1972" s="24" t="s">
        <v>59</v>
      </c>
    </row>
    <row r="1973">
      <c r="A1973" s="24" t="s">
        <v>7876</v>
      </c>
      <c r="B1973" s="24" t="s">
        <v>7877</v>
      </c>
      <c r="C1973" s="24" t="s">
        <v>7878</v>
      </c>
      <c r="D1973" s="24" t="s">
        <v>124</v>
      </c>
      <c r="E1973" s="24" t="s">
        <v>7879</v>
      </c>
      <c r="F1973" s="24" t="s">
        <v>59</v>
      </c>
    </row>
    <row r="1974">
      <c r="A1974" s="24" t="s">
        <v>7880</v>
      </c>
      <c r="B1974" s="24" t="s">
        <v>7881</v>
      </c>
      <c r="C1974" s="24" t="s">
        <v>7882</v>
      </c>
      <c r="D1974" s="24" t="s">
        <v>124</v>
      </c>
      <c r="E1974" s="24" t="s">
        <v>7883</v>
      </c>
      <c r="F1974" s="24" t="s">
        <v>59</v>
      </c>
    </row>
    <row r="1975">
      <c r="A1975" s="24" t="s">
        <v>7884</v>
      </c>
      <c r="B1975" s="24" t="s">
        <v>7885</v>
      </c>
      <c r="C1975" s="24" t="s">
        <v>7886</v>
      </c>
      <c r="D1975" s="24" t="s">
        <v>124</v>
      </c>
      <c r="E1975" s="24" t="s">
        <v>7887</v>
      </c>
      <c r="F1975" s="24" t="s">
        <v>59</v>
      </c>
    </row>
    <row r="1976">
      <c r="A1976" s="24" t="s">
        <v>7888</v>
      </c>
      <c r="B1976" s="24" t="s">
        <v>7889</v>
      </c>
      <c r="C1976" s="24" t="s">
        <v>7890</v>
      </c>
      <c r="D1976" s="24" t="s">
        <v>124</v>
      </c>
      <c r="E1976" s="24" t="s">
        <v>7891</v>
      </c>
      <c r="F1976" s="24" t="s">
        <v>59</v>
      </c>
    </row>
    <row r="1977">
      <c r="A1977" s="24" t="s">
        <v>7892</v>
      </c>
      <c r="B1977" s="24" t="s">
        <v>7893</v>
      </c>
      <c r="C1977" s="24" t="s">
        <v>7894</v>
      </c>
      <c r="D1977" s="24" t="s">
        <v>124</v>
      </c>
      <c r="E1977" s="24" t="s">
        <v>7895</v>
      </c>
      <c r="F1977" s="24" t="s">
        <v>59</v>
      </c>
    </row>
    <row r="1978">
      <c r="A1978" s="24" t="s">
        <v>7896</v>
      </c>
      <c r="B1978" s="24" t="s">
        <v>7897</v>
      </c>
      <c r="C1978" s="24" t="s">
        <v>7898</v>
      </c>
      <c r="D1978" s="24" t="s">
        <v>124</v>
      </c>
      <c r="E1978" s="24" t="s">
        <v>7899</v>
      </c>
      <c r="F1978" s="24" t="s">
        <v>59</v>
      </c>
    </row>
    <row r="1979">
      <c r="A1979" s="24" t="s">
        <v>7900</v>
      </c>
      <c r="B1979" s="24" t="s">
        <v>7901</v>
      </c>
      <c r="C1979" s="24" t="s">
        <v>7902</v>
      </c>
      <c r="D1979" s="24" t="s">
        <v>124</v>
      </c>
      <c r="E1979" s="24" t="s">
        <v>7903</v>
      </c>
      <c r="F1979" s="24" t="s">
        <v>59</v>
      </c>
    </row>
    <row r="1980">
      <c r="A1980" s="24" t="s">
        <v>7904</v>
      </c>
      <c r="B1980" s="24" t="s">
        <v>7905</v>
      </c>
      <c r="C1980" s="24" t="s">
        <v>7906</v>
      </c>
      <c r="D1980" s="24" t="s">
        <v>124</v>
      </c>
      <c r="E1980" s="24" t="s">
        <v>7907</v>
      </c>
      <c r="F1980" s="24" t="s">
        <v>59</v>
      </c>
    </row>
    <row r="1981">
      <c r="A1981" s="24" t="s">
        <v>7908</v>
      </c>
      <c r="B1981" s="24" t="s">
        <v>7909</v>
      </c>
      <c r="C1981" s="24" t="s">
        <v>7910</v>
      </c>
      <c r="D1981" s="24" t="s">
        <v>124</v>
      </c>
      <c r="E1981" s="24" t="s">
        <v>7911</v>
      </c>
      <c r="F1981" s="24" t="s">
        <v>59</v>
      </c>
    </row>
    <row r="1982">
      <c r="A1982" s="24" t="s">
        <v>7912</v>
      </c>
      <c r="B1982" s="24" t="s">
        <v>7913</v>
      </c>
      <c r="C1982" s="24" t="s">
        <v>7914</v>
      </c>
      <c r="D1982" s="24" t="s">
        <v>124</v>
      </c>
      <c r="E1982" s="24" t="s">
        <v>7915</v>
      </c>
      <c r="F1982" s="24" t="s">
        <v>59</v>
      </c>
    </row>
    <row r="1983">
      <c r="A1983" s="24" t="s">
        <v>7916</v>
      </c>
      <c r="B1983" s="24" t="s">
        <v>7917</v>
      </c>
      <c r="C1983" s="24" t="s">
        <v>7918</v>
      </c>
      <c r="D1983" s="24" t="s">
        <v>124</v>
      </c>
      <c r="E1983" s="24" t="s">
        <v>7919</v>
      </c>
      <c r="F1983" s="24" t="s">
        <v>59</v>
      </c>
    </row>
    <row r="1984">
      <c r="A1984" s="24" t="s">
        <v>7920</v>
      </c>
      <c r="B1984" s="24" t="s">
        <v>7921</v>
      </c>
      <c r="C1984" s="24" t="s">
        <v>7922</v>
      </c>
      <c r="D1984" s="24" t="s">
        <v>124</v>
      </c>
      <c r="E1984" s="24" t="s">
        <v>7923</v>
      </c>
      <c r="F1984" s="24" t="s">
        <v>59</v>
      </c>
    </row>
    <row r="1985">
      <c r="A1985" s="24" t="s">
        <v>7924</v>
      </c>
      <c r="B1985" s="24" t="s">
        <v>7925</v>
      </c>
      <c r="C1985" s="24" t="s">
        <v>7926</v>
      </c>
      <c r="D1985" s="24" t="s">
        <v>124</v>
      </c>
      <c r="E1985" s="24" t="s">
        <v>7927</v>
      </c>
      <c r="F1985" s="24" t="s">
        <v>59</v>
      </c>
    </row>
    <row r="1986">
      <c r="A1986" s="24" t="s">
        <v>7928</v>
      </c>
      <c r="B1986" s="24" t="s">
        <v>7929</v>
      </c>
      <c r="C1986" s="24" t="s">
        <v>7930</v>
      </c>
      <c r="D1986" s="24" t="s">
        <v>124</v>
      </c>
      <c r="E1986" s="24" t="s">
        <v>7931</v>
      </c>
      <c r="F1986" s="24" t="s">
        <v>59</v>
      </c>
    </row>
    <row r="1987">
      <c r="A1987" s="24" t="s">
        <v>7932</v>
      </c>
      <c r="B1987" s="24" t="s">
        <v>7933</v>
      </c>
      <c r="C1987" s="24" t="s">
        <v>7934</v>
      </c>
      <c r="D1987" s="24" t="s">
        <v>124</v>
      </c>
      <c r="E1987" s="24" t="s">
        <v>7935</v>
      </c>
      <c r="F1987" s="24" t="s">
        <v>59</v>
      </c>
    </row>
    <row r="1988">
      <c r="A1988" s="24" t="s">
        <v>7936</v>
      </c>
      <c r="B1988" s="24" t="s">
        <v>7937</v>
      </c>
      <c r="C1988" s="24" t="s">
        <v>7938</v>
      </c>
      <c r="D1988" s="24" t="s">
        <v>124</v>
      </c>
      <c r="E1988" s="24" t="s">
        <v>7939</v>
      </c>
      <c r="F1988" s="24" t="s">
        <v>59</v>
      </c>
    </row>
    <row r="1989">
      <c r="A1989" s="24" t="s">
        <v>7940</v>
      </c>
      <c r="B1989" s="24" t="s">
        <v>7941</v>
      </c>
      <c r="C1989" s="24" t="s">
        <v>7942</v>
      </c>
      <c r="D1989" s="24" t="s">
        <v>124</v>
      </c>
      <c r="E1989" s="24" t="s">
        <v>7943</v>
      </c>
      <c r="F1989" s="24" t="s">
        <v>59</v>
      </c>
    </row>
    <row r="1990">
      <c r="A1990" s="24" t="s">
        <v>7944</v>
      </c>
      <c r="B1990" s="24" t="s">
        <v>7945</v>
      </c>
      <c r="C1990" s="24" t="s">
        <v>7946</v>
      </c>
      <c r="D1990" s="24" t="s">
        <v>124</v>
      </c>
      <c r="E1990" s="24" t="s">
        <v>7947</v>
      </c>
      <c r="F1990" s="24" t="s">
        <v>59</v>
      </c>
    </row>
    <row r="1991">
      <c r="A1991" s="24" t="s">
        <v>7948</v>
      </c>
      <c r="B1991" s="24" t="s">
        <v>7949</v>
      </c>
      <c r="C1991" s="24" t="s">
        <v>7950</v>
      </c>
      <c r="D1991" s="24" t="s">
        <v>124</v>
      </c>
      <c r="E1991" s="24" t="s">
        <v>7951</v>
      </c>
      <c r="F1991" s="24" t="s">
        <v>59</v>
      </c>
    </row>
    <row r="1992">
      <c r="A1992" s="24" t="s">
        <v>7952</v>
      </c>
      <c r="B1992" s="24" t="s">
        <v>7953</v>
      </c>
      <c r="C1992" s="24" t="s">
        <v>7954</v>
      </c>
      <c r="D1992" s="24" t="s">
        <v>124</v>
      </c>
      <c r="E1992" s="24" t="s">
        <v>7955</v>
      </c>
      <c r="F1992" s="24" t="s">
        <v>59</v>
      </c>
    </row>
    <row r="1993">
      <c r="A1993" s="24" t="s">
        <v>7956</v>
      </c>
      <c r="B1993" s="24" t="s">
        <v>7957</v>
      </c>
      <c r="C1993" s="24" t="s">
        <v>7958</v>
      </c>
      <c r="D1993" s="24" t="s">
        <v>124</v>
      </c>
      <c r="E1993" s="24" t="s">
        <v>7959</v>
      </c>
      <c r="F1993" s="24" t="s">
        <v>59</v>
      </c>
    </row>
    <row r="1994">
      <c r="A1994" s="24" t="s">
        <v>7960</v>
      </c>
      <c r="B1994" s="24" t="s">
        <v>7961</v>
      </c>
      <c r="C1994" s="24" t="s">
        <v>7962</v>
      </c>
      <c r="D1994" s="24" t="s">
        <v>124</v>
      </c>
      <c r="E1994" s="24" t="s">
        <v>7963</v>
      </c>
      <c r="F1994" s="24" t="s">
        <v>59</v>
      </c>
    </row>
    <row r="1995">
      <c r="A1995" s="24" t="s">
        <v>7964</v>
      </c>
      <c r="B1995" s="24" t="s">
        <v>7965</v>
      </c>
      <c r="C1995" s="24" t="s">
        <v>7966</v>
      </c>
      <c r="D1995" s="24" t="s">
        <v>124</v>
      </c>
      <c r="E1995" s="24" t="s">
        <v>7967</v>
      </c>
      <c r="F1995" s="24" t="s">
        <v>59</v>
      </c>
    </row>
    <row r="1996">
      <c r="A1996" s="24" t="s">
        <v>7968</v>
      </c>
      <c r="B1996" s="24" t="s">
        <v>7969</v>
      </c>
      <c r="C1996" s="24" t="s">
        <v>7970</v>
      </c>
      <c r="D1996" s="24" t="s">
        <v>124</v>
      </c>
      <c r="E1996" s="24" t="s">
        <v>7971</v>
      </c>
      <c r="F1996" s="24" t="s">
        <v>59</v>
      </c>
    </row>
    <row r="1997">
      <c r="A1997" s="24" t="s">
        <v>7972</v>
      </c>
      <c r="B1997" s="24" t="s">
        <v>7973</v>
      </c>
      <c r="C1997" s="24" t="s">
        <v>7974</v>
      </c>
      <c r="D1997" s="24" t="s">
        <v>124</v>
      </c>
      <c r="E1997" s="24" t="s">
        <v>7975</v>
      </c>
      <c r="F1997" s="24" t="s">
        <v>59</v>
      </c>
    </row>
    <row r="1998">
      <c r="A1998" s="24" t="s">
        <v>7976</v>
      </c>
      <c r="B1998" s="24" t="s">
        <v>7977</v>
      </c>
      <c r="C1998" s="24" t="s">
        <v>7978</v>
      </c>
      <c r="D1998" s="24" t="s">
        <v>124</v>
      </c>
      <c r="E1998" s="24" t="s">
        <v>7979</v>
      </c>
      <c r="F1998" s="24" t="s">
        <v>59</v>
      </c>
    </row>
    <row r="1999">
      <c r="A1999" s="24" t="s">
        <v>7980</v>
      </c>
      <c r="B1999" s="24" t="s">
        <v>7981</v>
      </c>
      <c r="C1999" s="24" t="s">
        <v>7982</v>
      </c>
      <c r="D1999" s="24" t="s">
        <v>124</v>
      </c>
      <c r="E1999" s="24" t="s">
        <v>7983</v>
      </c>
      <c r="F1999" s="24" t="s">
        <v>59</v>
      </c>
    </row>
    <row r="2000">
      <c r="A2000" s="24" t="s">
        <v>7984</v>
      </c>
      <c r="B2000" s="24" t="s">
        <v>7985</v>
      </c>
      <c r="C2000" s="24" t="s">
        <v>7986</v>
      </c>
      <c r="D2000" s="24" t="s">
        <v>124</v>
      </c>
      <c r="E2000" s="24" t="s">
        <v>7987</v>
      </c>
      <c r="F2000" s="24" t="s">
        <v>59</v>
      </c>
    </row>
    <row r="2001">
      <c r="A2001" s="24" t="s">
        <v>7988</v>
      </c>
      <c r="B2001" s="24" t="s">
        <v>7989</v>
      </c>
      <c r="C2001" s="24" t="s">
        <v>7990</v>
      </c>
      <c r="D2001" s="24" t="s">
        <v>124</v>
      </c>
      <c r="E2001" s="24" t="s">
        <v>7991</v>
      </c>
      <c r="F2001" s="24" t="s">
        <v>59</v>
      </c>
    </row>
    <row r="2002">
      <c r="A2002" s="24" t="s">
        <v>7992</v>
      </c>
      <c r="B2002" s="24" t="s">
        <v>7993</v>
      </c>
      <c r="C2002" s="24" t="s">
        <v>7994</v>
      </c>
      <c r="D2002" s="24" t="s">
        <v>124</v>
      </c>
      <c r="E2002" s="24" t="s">
        <v>7995</v>
      </c>
      <c r="F2002" s="24" t="s">
        <v>59</v>
      </c>
    </row>
    <row r="2003">
      <c r="A2003" s="24" t="s">
        <v>7996</v>
      </c>
      <c r="B2003" s="24" t="s">
        <v>7997</v>
      </c>
      <c r="C2003" s="24" t="s">
        <v>7998</v>
      </c>
      <c r="D2003" s="24" t="s">
        <v>124</v>
      </c>
      <c r="E2003" s="24" t="s">
        <v>7999</v>
      </c>
      <c r="F2003" s="24" t="s">
        <v>59</v>
      </c>
    </row>
    <row r="2004">
      <c r="A2004" s="24" t="s">
        <v>8000</v>
      </c>
      <c r="B2004" s="24" t="s">
        <v>8001</v>
      </c>
      <c r="C2004" s="24" t="s">
        <v>8002</v>
      </c>
      <c r="D2004" s="24" t="s">
        <v>124</v>
      </c>
      <c r="E2004" s="24" t="s">
        <v>8003</v>
      </c>
      <c r="F2004" s="24" t="s">
        <v>59</v>
      </c>
    </row>
    <row r="2005">
      <c r="A2005" s="24" t="s">
        <v>8004</v>
      </c>
      <c r="B2005" s="24" t="s">
        <v>8005</v>
      </c>
      <c r="C2005" s="24" t="s">
        <v>8006</v>
      </c>
      <c r="D2005" s="24" t="s">
        <v>124</v>
      </c>
      <c r="E2005" s="24" t="s">
        <v>8007</v>
      </c>
      <c r="F2005" s="24" t="s">
        <v>59</v>
      </c>
    </row>
    <row r="2006">
      <c r="A2006" s="24" t="s">
        <v>8008</v>
      </c>
      <c r="B2006" s="24" t="s">
        <v>8009</v>
      </c>
      <c r="C2006" s="24" t="s">
        <v>8010</v>
      </c>
      <c r="D2006" s="24" t="s">
        <v>124</v>
      </c>
      <c r="E2006" s="24" t="s">
        <v>8011</v>
      </c>
      <c r="F2006" s="24" t="s">
        <v>59</v>
      </c>
    </row>
    <row r="2007">
      <c r="A2007" s="24" t="s">
        <v>8012</v>
      </c>
      <c r="B2007" s="24" t="s">
        <v>8013</v>
      </c>
      <c r="C2007" s="24" t="s">
        <v>8014</v>
      </c>
      <c r="D2007" s="24" t="s">
        <v>124</v>
      </c>
      <c r="E2007" s="24" t="s">
        <v>8015</v>
      </c>
      <c r="F2007" s="24" t="s">
        <v>59</v>
      </c>
    </row>
    <row r="2008">
      <c r="A2008" s="24" t="s">
        <v>8016</v>
      </c>
      <c r="B2008" s="24" t="s">
        <v>8017</v>
      </c>
      <c r="C2008" s="24" t="s">
        <v>8018</v>
      </c>
      <c r="D2008" s="24" t="s">
        <v>124</v>
      </c>
      <c r="E2008" s="24" t="s">
        <v>8019</v>
      </c>
      <c r="F2008" s="24" t="s">
        <v>59</v>
      </c>
    </row>
    <row r="2009">
      <c r="A2009" s="24" t="s">
        <v>8020</v>
      </c>
      <c r="B2009" s="24" t="s">
        <v>8021</v>
      </c>
      <c r="C2009" s="24" t="s">
        <v>8022</v>
      </c>
      <c r="D2009" s="24" t="s">
        <v>124</v>
      </c>
      <c r="E2009" s="24" t="s">
        <v>8023</v>
      </c>
      <c r="F2009" s="24" t="s">
        <v>59</v>
      </c>
    </row>
    <row r="2010">
      <c r="A2010" s="24" t="s">
        <v>8024</v>
      </c>
      <c r="B2010" s="24" t="s">
        <v>8025</v>
      </c>
      <c r="C2010" s="24" t="s">
        <v>8026</v>
      </c>
      <c r="D2010" s="24" t="s">
        <v>124</v>
      </c>
      <c r="E2010" s="24" t="s">
        <v>8027</v>
      </c>
      <c r="F2010" s="24" t="s">
        <v>59</v>
      </c>
    </row>
    <row r="2011">
      <c r="A2011" s="24" t="s">
        <v>8028</v>
      </c>
      <c r="B2011" s="24" t="s">
        <v>8029</v>
      </c>
      <c r="C2011" s="24" t="s">
        <v>8030</v>
      </c>
      <c r="D2011" s="24" t="s">
        <v>124</v>
      </c>
      <c r="E2011" s="24" t="s">
        <v>8031</v>
      </c>
      <c r="F2011" s="24" t="s">
        <v>59</v>
      </c>
    </row>
    <row r="2012">
      <c r="A2012" s="24" t="s">
        <v>8032</v>
      </c>
      <c r="B2012" s="24" t="s">
        <v>8033</v>
      </c>
      <c r="C2012" s="24" t="s">
        <v>8034</v>
      </c>
      <c r="D2012" s="24" t="s">
        <v>124</v>
      </c>
      <c r="E2012" s="24" t="s">
        <v>8035</v>
      </c>
      <c r="F2012" s="24" t="s">
        <v>59</v>
      </c>
    </row>
    <row r="2013">
      <c r="A2013" s="24" t="s">
        <v>8036</v>
      </c>
      <c r="B2013" s="24" t="s">
        <v>8037</v>
      </c>
      <c r="C2013" s="24" t="s">
        <v>8038</v>
      </c>
      <c r="D2013" s="24" t="s">
        <v>124</v>
      </c>
      <c r="E2013" s="24" t="s">
        <v>8039</v>
      </c>
      <c r="F2013" s="24" t="s">
        <v>59</v>
      </c>
    </row>
    <row r="2014">
      <c r="A2014" s="24" t="s">
        <v>8040</v>
      </c>
      <c r="B2014" s="24" t="s">
        <v>8041</v>
      </c>
      <c r="C2014" s="24" t="s">
        <v>8042</v>
      </c>
      <c r="D2014" s="24" t="s">
        <v>124</v>
      </c>
      <c r="E2014" s="24" t="s">
        <v>8043</v>
      </c>
      <c r="F2014" s="24" t="s">
        <v>59</v>
      </c>
    </row>
    <row r="2015">
      <c r="A2015" s="24" t="s">
        <v>8044</v>
      </c>
      <c r="B2015" s="24" t="s">
        <v>8045</v>
      </c>
      <c r="C2015" s="24" t="s">
        <v>8046</v>
      </c>
      <c r="D2015" s="24" t="s">
        <v>124</v>
      </c>
      <c r="E2015" s="24" t="s">
        <v>8047</v>
      </c>
      <c r="F2015" s="24" t="s">
        <v>59</v>
      </c>
    </row>
    <row r="2016">
      <c r="A2016" s="24" t="s">
        <v>8048</v>
      </c>
      <c r="B2016" s="24" t="s">
        <v>8049</v>
      </c>
      <c r="C2016" s="24" t="s">
        <v>8050</v>
      </c>
      <c r="D2016" s="24" t="s">
        <v>124</v>
      </c>
      <c r="E2016" s="24" t="s">
        <v>8051</v>
      </c>
      <c r="F2016" s="24" t="s">
        <v>59</v>
      </c>
    </row>
    <row r="2017">
      <c r="A2017" s="24" t="s">
        <v>8052</v>
      </c>
      <c r="B2017" s="24" t="s">
        <v>8053</v>
      </c>
      <c r="C2017" s="24" t="s">
        <v>8054</v>
      </c>
      <c r="D2017" s="24" t="s">
        <v>124</v>
      </c>
      <c r="E2017" s="24" t="s">
        <v>8055</v>
      </c>
      <c r="F2017" s="24" t="s">
        <v>59</v>
      </c>
    </row>
    <row r="2018">
      <c r="A2018" s="24" t="s">
        <v>8056</v>
      </c>
      <c r="B2018" s="24" t="s">
        <v>8057</v>
      </c>
      <c r="C2018" s="24" t="s">
        <v>8058</v>
      </c>
      <c r="D2018" s="24" t="s">
        <v>124</v>
      </c>
      <c r="E2018" s="24" t="s">
        <v>8059</v>
      </c>
      <c r="F2018" s="24" t="s">
        <v>59</v>
      </c>
    </row>
    <row r="2019">
      <c r="A2019" s="24" t="s">
        <v>8060</v>
      </c>
      <c r="B2019" s="24" t="s">
        <v>8061</v>
      </c>
      <c r="C2019" s="24" t="s">
        <v>8062</v>
      </c>
      <c r="D2019" s="24" t="s">
        <v>124</v>
      </c>
      <c r="E2019" s="24" t="s">
        <v>8063</v>
      </c>
      <c r="F2019" s="24" t="s">
        <v>59</v>
      </c>
    </row>
    <row r="2020">
      <c r="A2020" s="24" t="s">
        <v>8064</v>
      </c>
      <c r="B2020" s="24" t="s">
        <v>8065</v>
      </c>
      <c r="C2020" s="24" t="s">
        <v>8066</v>
      </c>
      <c r="D2020" s="24" t="s">
        <v>124</v>
      </c>
      <c r="E2020" s="24" t="s">
        <v>8067</v>
      </c>
      <c r="F2020" s="24" t="s">
        <v>59</v>
      </c>
    </row>
    <row r="2021">
      <c r="A2021" s="24" t="s">
        <v>8068</v>
      </c>
      <c r="B2021" s="24" t="s">
        <v>8069</v>
      </c>
      <c r="C2021" s="24" t="s">
        <v>8070</v>
      </c>
      <c r="D2021" s="24" t="s">
        <v>124</v>
      </c>
      <c r="E2021" s="24" t="s">
        <v>8071</v>
      </c>
      <c r="F2021" s="24" t="s">
        <v>59</v>
      </c>
    </row>
    <row r="2022">
      <c r="A2022" s="24" t="s">
        <v>8072</v>
      </c>
      <c r="B2022" s="24" t="s">
        <v>8073</v>
      </c>
      <c r="C2022" s="24" t="s">
        <v>8074</v>
      </c>
      <c r="D2022" s="24" t="s">
        <v>124</v>
      </c>
      <c r="E2022" s="24" t="s">
        <v>8075</v>
      </c>
      <c r="F2022" s="24" t="s">
        <v>59</v>
      </c>
    </row>
    <row r="2023">
      <c r="A2023" s="24" t="s">
        <v>8076</v>
      </c>
      <c r="B2023" s="24" t="s">
        <v>8077</v>
      </c>
      <c r="C2023" s="24" t="s">
        <v>8078</v>
      </c>
      <c r="D2023" s="24" t="s">
        <v>124</v>
      </c>
      <c r="E2023" s="24" t="s">
        <v>8079</v>
      </c>
      <c r="F2023" s="24" t="s">
        <v>59</v>
      </c>
    </row>
    <row r="2024">
      <c r="A2024" s="24" t="s">
        <v>8080</v>
      </c>
      <c r="B2024" s="24" t="s">
        <v>8081</v>
      </c>
      <c r="C2024" s="24" t="s">
        <v>8082</v>
      </c>
      <c r="D2024" s="24" t="s">
        <v>124</v>
      </c>
      <c r="E2024" s="24" t="s">
        <v>8083</v>
      </c>
      <c r="F2024" s="24" t="s">
        <v>59</v>
      </c>
    </row>
    <row r="2025">
      <c r="A2025" s="24" t="s">
        <v>8084</v>
      </c>
      <c r="B2025" s="24" t="s">
        <v>8085</v>
      </c>
      <c r="C2025" s="24" t="s">
        <v>8086</v>
      </c>
      <c r="D2025" s="24" t="s">
        <v>124</v>
      </c>
      <c r="E2025" s="24" t="s">
        <v>8087</v>
      </c>
      <c r="F2025" s="24" t="s">
        <v>59</v>
      </c>
    </row>
    <row r="2026">
      <c r="A2026" s="24" t="s">
        <v>8088</v>
      </c>
      <c r="B2026" s="24" t="s">
        <v>8089</v>
      </c>
      <c r="C2026" s="24" t="s">
        <v>8090</v>
      </c>
      <c r="D2026" s="24" t="s">
        <v>124</v>
      </c>
      <c r="E2026" s="24" t="s">
        <v>8091</v>
      </c>
      <c r="F2026" s="24" t="s">
        <v>59</v>
      </c>
    </row>
    <row r="2027">
      <c r="A2027" s="24" t="s">
        <v>8092</v>
      </c>
      <c r="B2027" s="24" t="s">
        <v>8093</v>
      </c>
      <c r="C2027" s="24" t="s">
        <v>8094</v>
      </c>
      <c r="D2027" s="24" t="s">
        <v>124</v>
      </c>
      <c r="E2027" s="24" t="s">
        <v>8095</v>
      </c>
      <c r="F2027" s="24" t="s">
        <v>59</v>
      </c>
    </row>
    <row r="2028">
      <c r="A2028" s="24" t="s">
        <v>8096</v>
      </c>
      <c r="B2028" s="24" t="s">
        <v>8097</v>
      </c>
      <c r="C2028" s="24" t="s">
        <v>8098</v>
      </c>
      <c r="D2028" s="24" t="s">
        <v>124</v>
      </c>
      <c r="E2028" s="24" t="s">
        <v>8099</v>
      </c>
      <c r="F2028" s="24" t="s">
        <v>59</v>
      </c>
    </row>
    <row r="2029">
      <c r="A2029" s="24" t="s">
        <v>8100</v>
      </c>
      <c r="B2029" s="24" t="s">
        <v>8101</v>
      </c>
      <c r="C2029" s="24" t="s">
        <v>8102</v>
      </c>
      <c r="D2029" s="24" t="s">
        <v>124</v>
      </c>
      <c r="E2029" s="24" t="s">
        <v>8103</v>
      </c>
      <c r="F2029" s="24" t="s">
        <v>59</v>
      </c>
    </row>
    <row r="2030">
      <c r="A2030" s="24" t="s">
        <v>8104</v>
      </c>
      <c r="B2030" s="24" t="s">
        <v>8105</v>
      </c>
      <c r="C2030" s="24" t="s">
        <v>8106</v>
      </c>
      <c r="D2030" s="24" t="s">
        <v>124</v>
      </c>
      <c r="E2030" s="24" t="s">
        <v>8107</v>
      </c>
      <c r="F2030" s="24" t="s">
        <v>59</v>
      </c>
    </row>
    <row r="2031">
      <c r="A2031" s="24" t="s">
        <v>8108</v>
      </c>
      <c r="B2031" s="24" t="s">
        <v>8109</v>
      </c>
      <c r="C2031" s="24" t="s">
        <v>8110</v>
      </c>
      <c r="D2031" s="24" t="s">
        <v>124</v>
      </c>
      <c r="E2031" s="24" t="s">
        <v>8111</v>
      </c>
      <c r="F2031" s="24" t="s">
        <v>59</v>
      </c>
    </row>
    <row r="2032">
      <c r="A2032" s="24" t="s">
        <v>8112</v>
      </c>
      <c r="B2032" s="24" t="s">
        <v>8113</v>
      </c>
      <c r="C2032" s="24" t="s">
        <v>8114</v>
      </c>
      <c r="D2032" s="24" t="s">
        <v>124</v>
      </c>
      <c r="E2032" s="24" t="s">
        <v>8115</v>
      </c>
      <c r="F2032" s="24" t="s">
        <v>59</v>
      </c>
    </row>
    <row r="2033">
      <c r="A2033" s="24" t="s">
        <v>8116</v>
      </c>
      <c r="B2033" s="24" t="s">
        <v>8117</v>
      </c>
      <c r="C2033" s="24" t="s">
        <v>8118</v>
      </c>
      <c r="D2033" s="24" t="s">
        <v>124</v>
      </c>
      <c r="E2033" s="24" t="s">
        <v>8119</v>
      </c>
      <c r="F2033" s="24" t="s">
        <v>59</v>
      </c>
    </row>
    <row r="2034">
      <c r="A2034" s="24" t="s">
        <v>8120</v>
      </c>
      <c r="B2034" s="24" t="s">
        <v>8121</v>
      </c>
      <c r="C2034" s="24" t="s">
        <v>8122</v>
      </c>
      <c r="D2034" s="24" t="s">
        <v>124</v>
      </c>
      <c r="E2034" s="24" t="s">
        <v>8123</v>
      </c>
      <c r="F2034" s="24" t="s">
        <v>59</v>
      </c>
    </row>
    <row r="2035">
      <c r="A2035" s="24" t="s">
        <v>8124</v>
      </c>
      <c r="B2035" s="24" t="s">
        <v>8125</v>
      </c>
      <c r="C2035" s="24" t="s">
        <v>8126</v>
      </c>
      <c r="D2035" s="24" t="s">
        <v>124</v>
      </c>
      <c r="E2035" s="24" t="s">
        <v>8127</v>
      </c>
      <c r="F2035" s="24" t="s">
        <v>59</v>
      </c>
    </row>
    <row r="2036">
      <c r="A2036" s="24" t="s">
        <v>8128</v>
      </c>
      <c r="B2036" s="24" t="s">
        <v>8129</v>
      </c>
      <c r="C2036" s="24" t="s">
        <v>8130</v>
      </c>
      <c r="D2036" s="24" t="s">
        <v>124</v>
      </c>
      <c r="E2036" s="24" t="s">
        <v>8131</v>
      </c>
      <c r="F2036" s="24" t="s">
        <v>59</v>
      </c>
    </row>
    <row r="2037">
      <c r="A2037" s="24" t="s">
        <v>8132</v>
      </c>
      <c r="B2037" s="24" t="s">
        <v>8133</v>
      </c>
      <c r="C2037" s="24" t="s">
        <v>8134</v>
      </c>
      <c r="D2037" s="24" t="s">
        <v>124</v>
      </c>
      <c r="E2037" s="24" t="s">
        <v>8135</v>
      </c>
      <c r="F2037" s="24" t="s">
        <v>59</v>
      </c>
    </row>
    <row r="2038">
      <c r="A2038" s="24" t="s">
        <v>8136</v>
      </c>
      <c r="B2038" s="24" t="s">
        <v>8137</v>
      </c>
      <c r="C2038" s="24" t="s">
        <v>8138</v>
      </c>
      <c r="D2038" s="24" t="s">
        <v>124</v>
      </c>
      <c r="E2038" s="24" t="s">
        <v>8139</v>
      </c>
      <c r="F2038" s="24" t="s">
        <v>59</v>
      </c>
    </row>
    <row r="2039">
      <c r="A2039" s="24" t="s">
        <v>8140</v>
      </c>
      <c r="B2039" s="24" t="s">
        <v>8141</v>
      </c>
      <c r="C2039" s="24" t="s">
        <v>8142</v>
      </c>
      <c r="D2039" s="24" t="s">
        <v>124</v>
      </c>
      <c r="E2039" s="24" t="s">
        <v>8143</v>
      </c>
      <c r="F2039" s="24" t="s">
        <v>59</v>
      </c>
    </row>
    <row r="2040">
      <c r="A2040" s="24" t="s">
        <v>8144</v>
      </c>
      <c r="B2040" s="24" t="s">
        <v>8145</v>
      </c>
      <c r="C2040" s="24" t="s">
        <v>8146</v>
      </c>
      <c r="D2040" s="24" t="s">
        <v>124</v>
      </c>
      <c r="E2040" s="24" t="s">
        <v>8147</v>
      </c>
      <c r="F2040" s="24" t="s">
        <v>59</v>
      </c>
    </row>
    <row r="2041">
      <c r="A2041" s="24" t="s">
        <v>8148</v>
      </c>
      <c r="B2041" s="24" t="s">
        <v>8149</v>
      </c>
      <c r="C2041" s="24" t="s">
        <v>8150</v>
      </c>
      <c r="D2041" s="24" t="s">
        <v>124</v>
      </c>
      <c r="E2041" s="24" t="s">
        <v>8151</v>
      </c>
      <c r="F2041" s="24" t="s">
        <v>59</v>
      </c>
    </row>
    <row r="2042">
      <c r="A2042" s="24" t="s">
        <v>8152</v>
      </c>
      <c r="B2042" s="24" t="s">
        <v>8153</v>
      </c>
      <c r="C2042" s="24" t="s">
        <v>8154</v>
      </c>
      <c r="D2042" s="24" t="s">
        <v>124</v>
      </c>
      <c r="E2042" s="24" t="s">
        <v>8155</v>
      </c>
      <c r="F2042" s="24" t="s">
        <v>59</v>
      </c>
    </row>
    <row r="2043">
      <c r="A2043" s="24" t="s">
        <v>8156</v>
      </c>
      <c r="B2043" s="24" t="s">
        <v>8157</v>
      </c>
      <c r="C2043" s="24" t="s">
        <v>8158</v>
      </c>
      <c r="D2043" s="24" t="s">
        <v>124</v>
      </c>
      <c r="E2043" s="24" t="s">
        <v>8159</v>
      </c>
      <c r="F2043" s="24" t="s">
        <v>59</v>
      </c>
    </row>
    <row r="2044">
      <c r="A2044" s="24" t="s">
        <v>8160</v>
      </c>
      <c r="B2044" s="24" t="s">
        <v>8161</v>
      </c>
      <c r="C2044" s="24" t="s">
        <v>8162</v>
      </c>
      <c r="D2044" s="24" t="s">
        <v>124</v>
      </c>
      <c r="E2044" s="24" t="s">
        <v>8163</v>
      </c>
      <c r="F2044" s="24" t="s">
        <v>59</v>
      </c>
    </row>
    <row r="2045">
      <c r="A2045" s="24" t="s">
        <v>8164</v>
      </c>
      <c r="B2045" s="24" t="s">
        <v>8165</v>
      </c>
      <c r="C2045" s="24" t="s">
        <v>8166</v>
      </c>
      <c r="D2045" s="24" t="s">
        <v>124</v>
      </c>
      <c r="E2045" s="24" t="s">
        <v>8167</v>
      </c>
      <c r="F2045" s="24" t="s">
        <v>59</v>
      </c>
    </row>
    <row r="2046">
      <c r="A2046" s="24" t="s">
        <v>8168</v>
      </c>
      <c r="B2046" s="24" t="s">
        <v>8169</v>
      </c>
      <c r="C2046" s="24" t="s">
        <v>8170</v>
      </c>
      <c r="D2046" s="24" t="s">
        <v>124</v>
      </c>
      <c r="E2046" s="24" t="s">
        <v>8171</v>
      </c>
      <c r="F2046" s="24" t="s">
        <v>59</v>
      </c>
    </row>
    <row r="2047">
      <c r="A2047" s="24" t="s">
        <v>8172</v>
      </c>
      <c r="B2047" s="24" t="s">
        <v>8173</v>
      </c>
      <c r="C2047" s="24" t="s">
        <v>8174</v>
      </c>
      <c r="D2047" s="24" t="s">
        <v>124</v>
      </c>
      <c r="E2047" s="24" t="s">
        <v>8175</v>
      </c>
      <c r="F2047" s="24" t="s">
        <v>59</v>
      </c>
    </row>
    <row r="2048">
      <c r="A2048" s="24" t="s">
        <v>8176</v>
      </c>
      <c r="B2048" s="24" t="s">
        <v>8177</v>
      </c>
      <c r="C2048" s="24" t="s">
        <v>8178</v>
      </c>
      <c r="D2048" s="24" t="s">
        <v>124</v>
      </c>
      <c r="E2048" s="24" t="s">
        <v>8179</v>
      </c>
      <c r="F2048" s="24" t="s">
        <v>59</v>
      </c>
    </row>
    <row r="2049">
      <c r="A2049" s="24" t="s">
        <v>8180</v>
      </c>
      <c r="B2049" s="24" t="s">
        <v>8181</v>
      </c>
      <c r="C2049" s="24" t="s">
        <v>8182</v>
      </c>
      <c r="D2049" s="24" t="s">
        <v>124</v>
      </c>
      <c r="E2049" s="24" t="s">
        <v>8183</v>
      </c>
      <c r="F2049" s="24" t="s">
        <v>59</v>
      </c>
    </row>
    <row r="2050">
      <c r="A2050" s="24" t="s">
        <v>8184</v>
      </c>
      <c r="B2050" s="24" t="s">
        <v>8185</v>
      </c>
      <c r="C2050" s="24" t="s">
        <v>8186</v>
      </c>
      <c r="D2050" s="24" t="s">
        <v>124</v>
      </c>
      <c r="E2050" s="24" t="s">
        <v>8187</v>
      </c>
      <c r="F2050" s="24" t="s">
        <v>59</v>
      </c>
    </row>
    <row r="2051">
      <c r="A2051" s="24" t="s">
        <v>8188</v>
      </c>
      <c r="B2051" s="24" t="s">
        <v>8189</v>
      </c>
      <c r="C2051" s="24" t="s">
        <v>8190</v>
      </c>
      <c r="D2051" s="24" t="s">
        <v>124</v>
      </c>
      <c r="E2051" s="24" t="s">
        <v>8191</v>
      </c>
      <c r="F2051" s="24" t="s">
        <v>59</v>
      </c>
    </row>
    <row r="2052">
      <c r="A2052" s="24" t="s">
        <v>8192</v>
      </c>
      <c r="B2052" s="24" t="s">
        <v>8193</v>
      </c>
      <c r="C2052" s="24" t="s">
        <v>8194</v>
      </c>
      <c r="D2052" s="24" t="s">
        <v>124</v>
      </c>
      <c r="E2052" s="24" t="s">
        <v>8195</v>
      </c>
      <c r="F2052" s="24" t="s">
        <v>59</v>
      </c>
    </row>
    <row r="2053">
      <c r="A2053" s="24" t="s">
        <v>8196</v>
      </c>
      <c r="B2053" s="24" t="s">
        <v>8197</v>
      </c>
      <c r="C2053" s="24" t="s">
        <v>8198</v>
      </c>
      <c r="D2053" s="24" t="s">
        <v>124</v>
      </c>
      <c r="E2053" s="24" t="s">
        <v>8199</v>
      </c>
      <c r="F2053" s="24" t="s">
        <v>59</v>
      </c>
    </row>
    <row r="2054">
      <c r="A2054" s="24" t="s">
        <v>8200</v>
      </c>
      <c r="B2054" s="24" t="s">
        <v>8201</v>
      </c>
      <c r="C2054" s="24" t="s">
        <v>8202</v>
      </c>
      <c r="D2054" s="24" t="s">
        <v>124</v>
      </c>
      <c r="E2054" s="24" t="s">
        <v>8203</v>
      </c>
      <c r="F2054" s="24" t="s">
        <v>59</v>
      </c>
    </row>
    <row r="2055">
      <c r="A2055" s="24" t="s">
        <v>8204</v>
      </c>
      <c r="B2055" s="24" t="s">
        <v>8205</v>
      </c>
      <c r="C2055" s="24" t="s">
        <v>8206</v>
      </c>
      <c r="D2055" s="24" t="s">
        <v>124</v>
      </c>
      <c r="E2055" s="24" t="s">
        <v>8207</v>
      </c>
      <c r="F2055" s="24" t="s">
        <v>59</v>
      </c>
    </row>
    <row r="2056">
      <c r="A2056" s="24" t="s">
        <v>8208</v>
      </c>
      <c r="B2056" s="24" t="s">
        <v>8209</v>
      </c>
      <c r="C2056" s="24" t="s">
        <v>8210</v>
      </c>
      <c r="D2056" s="24" t="s">
        <v>124</v>
      </c>
      <c r="E2056" s="24" t="s">
        <v>8211</v>
      </c>
      <c r="F2056" s="24" t="s">
        <v>59</v>
      </c>
    </row>
    <row r="2057">
      <c r="A2057" s="24" t="s">
        <v>8212</v>
      </c>
      <c r="B2057" s="24" t="s">
        <v>8213</v>
      </c>
      <c r="C2057" s="24" t="s">
        <v>8214</v>
      </c>
      <c r="D2057" s="24" t="s">
        <v>124</v>
      </c>
      <c r="E2057" s="24" t="s">
        <v>8215</v>
      </c>
      <c r="F2057" s="24" t="s">
        <v>59</v>
      </c>
    </row>
    <row r="2058">
      <c r="A2058" s="24" t="s">
        <v>8216</v>
      </c>
      <c r="B2058" s="24" t="s">
        <v>8217</v>
      </c>
      <c r="C2058" s="24" t="s">
        <v>8218</v>
      </c>
      <c r="D2058" s="24" t="s">
        <v>124</v>
      </c>
      <c r="E2058" s="24" t="s">
        <v>8219</v>
      </c>
      <c r="F2058" s="24" t="s">
        <v>59</v>
      </c>
    </row>
    <row r="2059">
      <c r="A2059" s="24" t="s">
        <v>8220</v>
      </c>
      <c r="B2059" s="24" t="s">
        <v>8221</v>
      </c>
      <c r="C2059" s="24" t="s">
        <v>8222</v>
      </c>
      <c r="D2059" s="24" t="s">
        <v>124</v>
      </c>
      <c r="E2059" s="24" t="s">
        <v>8223</v>
      </c>
      <c r="F2059" s="24" t="s">
        <v>59</v>
      </c>
    </row>
    <row r="2060">
      <c r="A2060" s="24" t="s">
        <v>8224</v>
      </c>
      <c r="B2060" s="24" t="s">
        <v>8225</v>
      </c>
      <c r="C2060" s="24" t="s">
        <v>8226</v>
      </c>
      <c r="D2060" s="24" t="s">
        <v>124</v>
      </c>
      <c r="E2060" s="24" t="s">
        <v>8227</v>
      </c>
      <c r="F2060" s="24" t="s">
        <v>59</v>
      </c>
    </row>
    <row r="2061">
      <c r="A2061" s="24" t="s">
        <v>8228</v>
      </c>
      <c r="B2061" s="24" t="s">
        <v>8229</v>
      </c>
      <c r="C2061" s="24" t="s">
        <v>8230</v>
      </c>
      <c r="D2061" s="24" t="s">
        <v>124</v>
      </c>
      <c r="E2061" s="24" t="s">
        <v>8231</v>
      </c>
      <c r="F2061" s="24" t="s">
        <v>59</v>
      </c>
    </row>
    <row r="2062">
      <c r="A2062" s="24" t="s">
        <v>8232</v>
      </c>
      <c r="B2062" s="24" t="s">
        <v>8233</v>
      </c>
      <c r="C2062" s="24" t="s">
        <v>8234</v>
      </c>
      <c r="D2062" s="24" t="s">
        <v>124</v>
      </c>
      <c r="E2062" s="24" t="s">
        <v>8235</v>
      </c>
      <c r="F2062" s="24" t="s">
        <v>59</v>
      </c>
    </row>
    <row r="2063">
      <c r="A2063" s="24" t="s">
        <v>8236</v>
      </c>
      <c r="B2063" s="24" t="s">
        <v>8237</v>
      </c>
      <c r="C2063" s="24" t="s">
        <v>8238</v>
      </c>
      <c r="D2063" s="24" t="s">
        <v>124</v>
      </c>
      <c r="E2063" s="24" t="s">
        <v>8239</v>
      </c>
      <c r="F2063" s="24" t="s">
        <v>59</v>
      </c>
    </row>
    <row r="2064">
      <c r="A2064" s="24" t="s">
        <v>8240</v>
      </c>
      <c r="B2064" s="24" t="s">
        <v>8241</v>
      </c>
      <c r="C2064" s="24" t="s">
        <v>8242</v>
      </c>
      <c r="D2064" s="24" t="s">
        <v>124</v>
      </c>
      <c r="E2064" s="24" t="s">
        <v>8243</v>
      </c>
      <c r="F2064" s="24" t="s">
        <v>59</v>
      </c>
    </row>
    <row r="2065">
      <c r="A2065" s="24" t="s">
        <v>8244</v>
      </c>
      <c r="B2065" s="24" t="s">
        <v>8245</v>
      </c>
      <c r="C2065" s="24" t="s">
        <v>8246</v>
      </c>
      <c r="D2065" s="24" t="s">
        <v>124</v>
      </c>
      <c r="E2065" s="24" t="s">
        <v>8247</v>
      </c>
      <c r="F2065" s="24" t="s">
        <v>59</v>
      </c>
    </row>
    <row r="2066">
      <c r="A2066" s="24" t="s">
        <v>8248</v>
      </c>
      <c r="B2066" s="24" t="s">
        <v>8249</v>
      </c>
      <c r="C2066" s="24" t="s">
        <v>8250</v>
      </c>
      <c r="D2066" s="24" t="s">
        <v>124</v>
      </c>
      <c r="E2066" s="24" t="s">
        <v>8251</v>
      </c>
      <c r="F2066" s="24" t="s">
        <v>59</v>
      </c>
    </row>
    <row r="2067">
      <c r="A2067" s="24" t="s">
        <v>8252</v>
      </c>
      <c r="B2067" s="24" t="s">
        <v>8253</v>
      </c>
      <c r="C2067" s="24" t="s">
        <v>8254</v>
      </c>
      <c r="D2067" s="24" t="s">
        <v>124</v>
      </c>
      <c r="E2067" s="24" t="s">
        <v>8255</v>
      </c>
      <c r="F2067" s="24" t="s">
        <v>59</v>
      </c>
    </row>
    <row r="2068">
      <c r="A2068" s="24" t="s">
        <v>8256</v>
      </c>
      <c r="B2068" s="24" t="s">
        <v>8257</v>
      </c>
      <c r="C2068" s="24" t="s">
        <v>8258</v>
      </c>
      <c r="D2068" s="24" t="s">
        <v>124</v>
      </c>
      <c r="E2068" s="24" t="s">
        <v>8259</v>
      </c>
      <c r="F2068" s="24" t="s">
        <v>59</v>
      </c>
    </row>
    <row r="2069">
      <c r="A2069" s="24" t="s">
        <v>8260</v>
      </c>
      <c r="B2069" s="24" t="s">
        <v>8261</v>
      </c>
      <c r="C2069" s="24" t="s">
        <v>8262</v>
      </c>
      <c r="D2069" s="24" t="s">
        <v>124</v>
      </c>
      <c r="E2069" s="24" t="s">
        <v>8263</v>
      </c>
      <c r="F2069" s="24" t="s">
        <v>59</v>
      </c>
    </row>
    <row r="2070">
      <c r="A2070" s="24" t="s">
        <v>8264</v>
      </c>
      <c r="B2070" s="24" t="s">
        <v>8265</v>
      </c>
      <c r="C2070" s="24" t="s">
        <v>8266</v>
      </c>
      <c r="D2070" s="24" t="s">
        <v>124</v>
      </c>
      <c r="E2070" s="24" t="s">
        <v>8267</v>
      </c>
      <c r="F2070" s="24" t="s">
        <v>59</v>
      </c>
    </row>
    <row r="2071">
      <c r="A2071" s="24" t="s">
        <v>8268</v>
      </c>
      <c r="B2071" s="24" t="s">
        <v>8269</v>
      </c>
      <c r="C2071" s="24" t="s">
        <v>8270</v>
      </c>
      <c r="D2071" s="24" t="s">
        <v>124</v>
      </c>
      <c r="E2071" s="24" t="s">
        <v>8271</v>
      </c>
      <c r="F2071" s="24" t="s">
        <v>59</v>
      </c>
    </row>
    <row r="2072">
      <c r="A2072" s="24" t="s">
        <v>8272</v>
      </c>
      <c r="B2072" s="24" t="s">
        <v>8273</v>
      </c>
      <c r="C2072" s="24" t="s">
        <v>8274</v>
      </c>
      <c r="D2072" s="24" t="s">
        <v>124</v>
      </c>
      <c r="E2072" s="24" t="s">
        <v>8275</v>
      </c>
      <c r="F2072" s="24" t="s">
        <v>59</v>
      </c>
    </row>
    <row r="2073">
      <c r="A2073" s="24" t="s">
        <v>8276</v>
      </c>
      <c r="B2073" s="24" t="s">
        <v>8277</v>
      </c>
      <c r="C2073" s="24" t="s">
        <v>8278</v>
      </c>
      <c r="D2073" s="24" t="s">
        <v>124</v>
      </c>
      <c r="E2073" s="24" t="s">
        <v>8279</v>
      </c>
      <c r="F2073" s="24" t="s">
        <v>59</v>
      </c>
    </row>
    <row r="2074">
      <c r="A2074" s="24" t="s">
        <v>8280</v>
      </c>
      <c r="B2074" s="24" t="s">
        <v>8281</v>
      </c>
      <c r="C2074" s="24" t="s">
        <v>8282</v>
      </c>
      <c r="D2074" s="24" t="s">
        <v>124</v>
      </c>
      <c r="E2074" s="24" t="s">
        <v>8283</v>
      </c>
      <c r="F2074" s="24" t="s">
        <v>59</v>
      </c>
    </row>
    <row r="2075">
      <c r="A2075" s="24" t="s">
        <v>8284</v>
      </c>
      <c r="B2075" s="24" t="s">
        <v>8285</v>
      </c>
      <c r="C2075" s="24" t="s">
        <v>8286</v>
      </c>
      <c r="D2075" s="24" t="s">
        <v>124</v>
      </c>
      <c r="E2075" s="24" t="s">
        <v>8287</v>
      </c>
      <c r="F2075" s="24" t="s">
        <v>59</v>
      </c>
    </row>
    <row r="2076">
      <c r="A2076" s="24" t="s">
        <v>8288</v>
      </c>
      <c r="B2076" s="24" t="s">
        <v>8289</v>
      </c>
      <c r="C2076" s="24" t="s">
        <v>8290</v>
      </c>
      <c r="D2076" s="24" t="s">
        <v>124</v>
      </c>
      <c r="E2076" s="24" t="s">
        <v>8291</v>
      </c>
      <c r="F2076" s="24" t="s">
        <v>59</v>
      </c>
    </row>
    <row r="2077">
      <c r="A2077" s="24" t="s">
        <v>8292</v>
      </c>
      <c r="B2077" s="24" t="s">
        <v>8293</v>
      </c>
      <c r="C2077" s="24" t="s">
        <v>8294</v>
      </c>
      <c r="D2077" s="24" t="s">
        <v>124</v>
      </c>
      <c r="E2077" s="24" t="s">
        <v>8295</v>
      </c>
      <c r="F2077" s="24" t="s">
        <v>59</v>
      </c>
    </row>
    <row r="2078">
      <c r="A2078" s="24" t="s">
        <v>8296</v>
      </c>
      <c r="B2078" s="24" t="s">
        <v>8297</v>
      </c>
      <c r="C2078" s="24" t="s">
        <v>8298</v>
      </c>
      <c r="D2078" s="24" t="s">
        <v>124</v>
      </c>
      <c r="E2078" s="24" t="s">
        <v>8299</v>
      </c>
      <c r="F2078" s="24" t="s">
        <v>59</v>
      </c>
    </row>
    <row r="2079">
      <c r="A2079" s="24" t="s">
        <v>8300</v>
      </c>
      <c r="B2079" s="24" t="s">
        <v>8301</v>
      </c>
      <c r="C2079" s="24" t="s">
        <v>8302</v>
      </c>
      <c r="D2079" s="24" t="s">
        <v>124</v>
      </c>
      <c r="E2079" s="24" t="s">
        <v>8303</v>
      </c>
      <c r="F2079" s="24" t="s">
        <v>59</v>
      </c>
    </row>
    <row r="2080">
      <c r="A2080" s="24" t="s">
        <v>8304</v>
      </c>
      <c r="B2080" s="24" t="s">
        <v>8305</v>
      </c>
      <c r="C2080" s="24" t="s">
        <v>8306</v>
      </c>
      <c r="D2080" s="24" t="s">
        <v>124</v>
      </c>
      <c r="E2080" s="24" t="s">
        <v>8307</v>
      </c>
      <c r="F2080" s="24" t="s">
        <v>59</v>
      </c>
    </row>
    <row r="2081">
      <c r="A2081" s="24" t="s">
        <v>8308</v>
      </c>
      <c r="B2081" s="24" t="s">
        <v>8309</v>
      </c>
      <c r="C2081" s="24" t="s">
        <v>8310</v>
      </c>
      <c r="D2081" s="24" t="s">
        <v>124</v>
      </c>
      <c r="E2081" s="24" t="s">
        <v>8311</v>
      </c>
      <c r="F2081" s="24" t="s">
        <v>59</v>
      </c>
    </row>
    <row r="2082">
      <c r="A2082" s="24" t="s">
        <v>8312</v>
      </c>
      <c r="B2082" s="24" t="s">
        <v>8313</v>
      </c>
      <c r="C2082" s="24" t="s">
        <v>8314</v>
      </c>
      <c r="D2082" s="24" t="s">
        <v>124</v>
      </c>
      <c r="E2082" s="24" t="s">
        <v>8315</v>
      </c>
      <c r="F2082" s="24" t="s">
        <v>59</v>
      </c>
    </row>
    <row r="2083">
      <c r="A2083" s="24" t="s">
        <v>8316</v>
      </c>
      <c r="B2083" s="24" t="s">
        <v>8317</v>
      </c>
      <c r="C2083" s="24" t="s">
        <v>8318</v>
      </c>
      <c r="D2083" s="24" t="s">
        <v>124</v>
      </c>
      <c r="E2083" s="24" t="s">
        <v>8319</v>
      </c>
      <c r="F2083" s="24" t="s">
        <v>59</v>
      </c>
    </row>
    <row r="2084">
      <c r="A2084" s="24" t="s">
        <v>8320</v>
      </c>
      <c r="B2084" s="24" t="s">
        <v>8321</v>
      </c>
      <c r="C2084" s="24" t="s">
        <v>8322</v>
      </c>
      <c r="D2084" s="24" t="s">
        <v>124</v>
      </c>
      <c r="E2084" s="24" t="s">
        <v>8323</v>
      </c>
      <c r="F2084" s="24" t="s">
        <v>59</v>
      </c>
    </row>
    <row r="2085">
      <c r="A2085" s="24" t="s">
        <v>8324</v>
      </c>
      <c r="B2085" s="24" t="s">
        <v>8325</v>
      </c>
      <c r="C2085" s="24" t="s">
        <v>8326</v>
      </c>
      <c r="D2085" s="24" t="s">
        <v>124</v>
      </c>
      <c r="E2085" s="24" t="s">
        <v>8327</v>
      </c>
      <c r="F2085" s="24" t="s">
        <v>59</v>
      </c>
    </row>
    <row r="2086">
      <c r="A2086" s="24" t="s">
        <v>8328</v>
      </c>
      <c r="B2086" s="24" t="s">
        <v>8329</v>
      </c>
      <c r="C2086" s="24" t="s">
        <v>8330</v>
      </c>
      <c r="D2086" s="24" t="s">
        <v>124</v>
      </c>
      <c r="E2086" s="24" t="s">
        <v>8331</v>
      </c>
      <c r="F2086" s="24" t="s">
        <v>59</v>
      </c>
    </row>
    <row r="2087">
      <c r="A2087" s="24" t="s">
        <v>8332</v>
      </c>
      <c r="B2087" s="24" t="s">
        <v>8333</v>
      </c>
      <c r="C2087" s="24" t="s">
        <v>8334</v>
      </c>
      <c r="D2087" s="24" t="s">
        <v>124</v>
      </c>
      <c r="E2087" s="24" t="s">
        <v>8335</v>
      </c>
      <c r="F2087" s="24" t="s">
        <v>59</v>
      </c>
    </row>
    <row r="2088">
      <c r="A2088" s="24" t="s">
        <v>8336</v>
      </c>
      <c r="B2088" s="24" t="s">
        <v>8337</v>
      </c>
      <c r="C2088" s="24" t="s">
        <v>8338</v>
      </c>
      <c r="D2088" s="24" t="s">
        <v>124</v>
      </c>
      <c r="E2088" s="24" t="s">
        <v>8339</v>
      </c>
      <c r="F2088" s="24" t="s">
        <v>59</v>
      </c>
    </row>
    <row r="2089">
      <c r="A2089" s="24" t="s">
        <v>8340</v>
      </c>
      <c r="B2089" s="24" t="s">
        <v>8341</v>
      </c>
      <c r="C2089" s="24" t="s">
        <v>8342</v>
      </c>
      <c r="D2089" s="24" t="s">
        <v>124</v>
      </c>
      <c r="E2089" s="24" t="s">
        <v>8343</v>
      </c>
      <c r="F2089" s="24" t="s">
        <v>59</v>
      </c>
    </row>
    <row r="2090">
      <c r="A2090" s="24" t="s">
        <v>8344</v>
      </c>
      <c r="B2090" s="24" t="s">
        <v>8345</v>
      </c>
      <c r="C2090" s="24" t="s">
        <v>8346</v>
      </c>
      <c r="D2090" s="24" t="s">
        <v>124</v>
      </c>
      <c r="E2090" s="24" t="s">
        <v>8347</v>
      </c>
      <c r="F2090" s="24" t="s">
        <v>59</v>
      </c>
    </row>
    <row r="2091">
      <c r="A2091" s="24" t="s">
        <v>8348</v>
      </c>
      <c r="B2091" s="24" t="s">
        <v>8349</v>
      </c>
      <c r="C2091" s="24" t="s">
        <v>8350</v>
      </c>
      <c r="D2091" s="24" t="s">
        <v>124</v>
      </c>
      <c r="E2091" s="24" t="s">
        <v>8351</v>
      </c>
      <c r="F2091" s="24" t="s">
        <v>59</v>
      </c>
    </row>
    <row r="2092">
      <c r="A2092" s="24" t="s">
        <v>8352</v>
      </c>
      <c r="B2092" s="24" t="s">
        <v>8353</v>
      </c>
      <c r="C2092" s="24" t="s">
        <v>8354</v>
      </c>
      <c r="D2092" s="24" t="s">
        <v>124</v>
      </c>
      <c r="E2092" s="24" t="s">
        <v>8355</v>
      </c>
      <c r="F2092" s="24" t="s">
        <v>59</v>
      </c>
    </row>
    <row r="2093">
      <c r="A2093" s="24" t="s">
        <v>8356</v>
      </c>
      <c r="B2093" s="24" t="s">
        <v>8357</v>
      </c>
      <c r="C2093" s="24" t="s">
        <v>8358</v>
      </c>
      <c r="D2093" s="24" t="s">
        <v>124</v>
      </c>
      <c r="E2093" s="24" t="s">
        <v>8359</v>
      </c>
      <c r="F2093" s="24" t="s">
        <v>59</v>
      </c>
    </row>
    <row r="2094">
      <c r="A2094" s="24" t="s">
        <v>8360</v>
      </c>
      <c r="B2094" s="24" t="s">
        <v>8361</v>
      </c>
      <c r="C2094" s="24" t="s">
        <v>8362</v>
      </c>
      <c r="D2094" s="24" t="s">
        <v>124</v>
      </c>
      <c r="E2094" s="24" t="s">
        <v>8363</v>
      </c>
      <c r="F2094" s="24" t="s">
        <v>59</v>
      </c>
    </row>
    <row r="2095">
      <c r="A2095" s="24" t="s">
        <v>8364</v>
      </c>
      <c r="B2095" s="24" t="s">
        <v>8365</v>
      </c>
      <c r="C2095" s="24" t="s">
        <v>8366</v>
      </c>
      <c r="D2095" s="24" t="s">
        <v>124</v>
      </c>
      <c r="E2095" s="24" t="s">
        <v>8367</v>
      </c>
      <c r="F2095" s="24" t="s">
        <v>59</v>
      </c>
    </row>
    <row r="2096">
      <c r="A2096" s="24" t="s">
        <v>8368</v>
      </c>
      <c r="B2096" s="24" t="s">
        <v>8369</v>
      </c>
      <c r="C2096" s="24" t="s">
        <v>8370</v>
      </c>
      <c r="D2096" s="24" t="s">
        <v>124</v>
      </c>
      <c r="E2096" s="24" t="s">
        <v>8371</v>
      </c>
      <c r="F2096" s="24" t="s">
        <v>59</v>
      </c>
    </row>
    <row r="2097">
      <c r="A2097" s="24" t="s">
        <v>8372</v>
      </c>
      <c r="B2097" s="24" t="s">
        <v>8373</v>
      </c>
      <c r="C2097" s="24" t="s">
        <v>8374</v>
      </c>
      <c r="D2097" s="24" t="s">
        <v>124</v>
      </c>
      <c r="E2097" s="24" t="s">
        <v>8375</v>
      </c>
      <c r="F2097" s="24" t="s">
        <v>59</v>
      </c>
    </row>
    <row r="2098">
      <c r="A2098" s="24" t="s">
        <v>8376</v>
      </c>
      <c r="B2098" s="24" t="s">
        <v>8377</v>
      </c>
      <c r="C2098" s="24" t="s">
        <v>8378</v>
      </c>
      <c r="D2098" s="24" t="s">
        <v>124</v>
      </c>
      <c r="E2098" s="24" t="s">
        <v>8379</v>
      </c>
      <c r="F2098" s="24" t="s">
        <v>59</v>
      </c>
    </row>
    <row r="2099">
      <c r="A2099" s="24" t="s">
        <v>8380</v>
      </c>
      <c r="B2099" s="24" t="s">
        <v>8381</v>
      </c>
      <c r="C2099" s="24" t="s">
        <v>8382</v>
      </c>
      <c r="D2099" s="24" t="s">
        <v>124</v>
      </c>
      <c r="E2099" s="24" t="s">
        <v>8383</v>
      </c>
      <c r="F2099" s="24" t="s">
        <v>59</v>
      </c>
    </row>
    <row r="2100">
      <c r="A2100" s="24" t="s">
        <v>8384</v>
      </c>
      <c r="B2100" s="24" t="s">
        <v>8385</v>
      </c>
      <c r="C2100" s="24" t="s">
        <v>8386</v>
      </c>
      <c r="D2100" s="24" t="s">
        <v>124</v>
      </c>
      <c r="E2100" s="24" t="s">
        <v>8387</v>
      </c>
      <c r="F2100" s="24" t="s">
        <v>59</v>
      </c>
    </row>
    <row r="2101">
      <c r="A2101" s="24" t="s">
        <v>8388</v>
      </c>
      <c r="B2101" s="24" t="s">
        <v>8389</v>
      </c>
      <c r="C2101" s="24" t="s">
        <v>8390</v>
      </c>
      <c r="D2101" s="24" t="s">
        <v>124</v>
      </c>
      <c r="E2101" s="24" t="s">
        <v>8391</v>
      </c>
      <c r="F2101" s="24" t="s">
        <v>59</v>
      </c>
    </row>
    <row r="2102">
      <c r="A2102" s="24" t="s">
        <v>8392</v>
      </c>
      <c r="B2102" s="24" t="s">
        <v>8393</v>
      </c>
      <c r="C2102" s="24" t="s">
        <v>8394</v>
      </c>
      <c r="D2102" s="24" t="s">
        <v>124</v>
      </c>
      <c r="E2102" s="24" t="s">
        <v>8395</v>
      </c>
      <c r="F2102" s="24" t="s">
        <v>59</v>
      </c>
    </row>
    <row r="2103">
      <c r="A2103" s="24" t="s">
        <v>8396</v>
      </c>
      <c r="B2103" s="24" t="s">
        <v>8397</v>
      </c>
      <c r="C2103" s="24" t="s">
        <v>8398</v>
      </c>
      <c r="D2103" s="24" t="s">
        <v>124</v>
      </c>
      <c r="E2103" s="24" t="s">
        <v>8399</v>
      </c>
      <c r="F2103" s="24" t="s">
        <v>59</v>
      </c>
    </row>
    <row r="2104">
      <c r="A2104" s="24" t="s">
        <v>8400</v>
      </c>
      <c r="B2104" s="24" t="s">
        <v>8401</v>
      </c>
      <c r="C2104" s="24" t="s">
        <v>8402</v>
      </c>
      <c r="D2104" s="24" t="s">
        <v>124</v>
      </c>
      <c r="E2104" s="24" t="s">
        <v>8403</v>
      </c>
      <c r="F2104" s="24" t="s">
        <v>59</v>
      </c>
    </row>
    <row r="2105">
      <c r="A2105" s="24" t="s">
        <v>8404</v>
      </c>
      <c r="B2105" s="24" t="s">
        <v>8405</v>
      </c>
      <c r="C2105" s="24" t="s">
        <v>8406</v>
      </c>
      <c r="D2105" s="24" t="s">
        <v>124</v>
      </c>
      <c r="E2105" s="24" t="s">
        <v>8407</v>
      </c>
      <c r="F2105" s="24" t="s">
        <v>59</v>
      </c>
    </row>
    <row r="2106">
      <c r="A2106" s="24" t="s">
        <v>8408</v>
      </c>
      <c r="B2106" s="24" t="s">
        <v>8409</v>
      </c>
      <c r="C2106" s="24" t="s">
        <v>8410</v>
      </c>
      <c r="D2106" s="24" t="s">
        <v>124</v>
      </c>
      <c r="E2106" s="24" t="s">
        <v>8411</v>
      </c>
      <c r="F2106" s="24" t="s">
        <v>59</v>
      </c>
    </row>
    <row r="2107">
      <c r="A2107" s="24" t="s">
        <v>8412</v>
      </c>
      <c r="B2107" s="24" t="s">
        <v>8413</v>
      </c>
      <c r="C2107" s="24" t="s">
        <v>8414</v>
      </c>
      <c r="D2107" s="24" t="s">
        <v>124</v>
      </c>
      <c r="E2107" s="24" t="s">
        <v>8415</v>
      </c>
      <c r="F2107" s="24" t="s">
        <v>59</v>
      </c>
    </row>
    <row r="2108">
      <c r="A2108" s="24" t="s">
        <v>8416</v>
      </c>
      <c r="B2108" s="24" t="s">
        <v>8417</v>
      </c>
      <c r="C2108" s="24" t="s">
        <v>8418</v>
      </c>
      <c r="D2108" s="24" t="s">
        <v>124</v>
      </c>
      <c r="E2108" s="24" t="s">
        <v>8419</v>
      </c>
      <c r="F2108" s="24" t="s">
        <v>59</v>
      </c>
    </row>
    <row r="2109">
      <c r="A2109" s="24" t="s">
        <v>8420</v>
      </c>
      <c r="B2109" s="24" t="s">
        <v>8421</v>
      </c>
      <c r="C2109" s="24" t="s">
        <v>8422</v>
      </c>
      <c r="D2109" s="24" t="s">
        <v>124</v>
      </c>
      <c r="E2109" s="24" t="s">
        <v>8423</v>
      </c>
      <c r="F2109" s="24" t="s">
        <v>59</v>
      </c>
    </row>
    <row r="2110">
      <c r="A2110" s="24" t="s">
        <v>8424</v>
      </c>
      <c r="B2110" s="24" t="s">
        <v>8425</v>
      </c>
      <c r="C2110" s="24" t="s">
        <v>8426</v>
      </c>
      <c r="D2110" s="24" t="s">
        <v>124</v>
      </c>
      <c r="E2110" s="24" t="s">
        <v>8427</v>
      </c>
      <c r="F2110" s="24" t="s">
        <v>59</v>
      </c>
    </row>
    <row r="2111">
      <c r="A2111" s="24" t="s">
        <v>8428</v>
      </c>
      <c r="B2111" s="24" t="s">
        <v>8429</v>
      </c>
      <c r="C2111" s="24" t="s">
        <v>8430</v>
      </c>
      <c r="D2111" s="24" t="s">
        <v>124</v>
      </c>
      <c r="E2111" s="24" t="s">
        <v>8431</v>
      </c>
      <c r="F2111" s="24" t="s">
        <v>59</v>
      </c>
    </row>
    <row r="2112">
      <c r="A2112" s="24" t="s">
        <v>8432</v>
      </c>
      <c r="B2112" s="24" t="s">
        <v>8433</v>
      </c>
      <c r="C2112" s="24" t="s">
        <v>8434</v>
      </c>
      <c r="D2112" s="24" t="s">
        <v>124</v>
      </c>
      <c r="E2112" s="24" t="s">
        <v>8435</v>
      </c>
      <c r="F2112" s="24" t="s">
        <v>59</v>
      </c>
    </row>
    <row r="2113">
      <c r="A2113" s="24" t="s">
        <v>8436</v>
      </c>
      <c r="B2113" s="24" t="s">
        <v>8437</v>
      </c>
      <c r="C2113" s="24" t="s">
        <v>8438</v>
      </c>
      <c r="D2113" s="24" t="s">
        <v>124</v>
      </c>
      <c r="E2113" s="24" t="s">
        <v>8439</v>
      </c>
      <c r="F2113" s="24" t="s">
        <v>59</v>
      </c>
    </row>
    <row r="2114">
      <c r="A2114" s="24" t="s">
        <v>8440</v>
      </c>
      <c r="B2114" s="24" t="s">
        <v>8441</v>
      </c>
      <c r="C2114" s="24" t="s">
        <v>8442</v>
      </c>
      <c r="D2114" s="24" t="s">
        <v>124</v>
      </c>
      <c r="E2114" s="24" t="s">
        <v>8443</v>
      </c>
      <c r="F2114" s="24" t="s">
        <v>59</v>
      </c>
    </row>
    <row r="2115">
      <c r="A2115" s="24" t="s">
        <v>8444</v>
      </c>
      <c r="B2115" s="24" t="s">
        <v>8445</v>
      </c>
      <c r="C2115" s="24" t="s">
        <v>8446</v>
      </c>
      <c r="D2115" s="24" t="s">
        <v>124</v>
      </c>
      <c r="E2115" s="24" t="s">
        <v>8447</v>
      </c>
      <c r="F2115" s="24" t="s">
        <v>59</v>
      </c>
    </row>
    <row r="2116">
      <c r="A2116" s="24" t="s">
        <v>8448</v>
      </c>
      <c r="B2116" s="24" t="s">
        <v>8449</v>
      </c>
      <c r="C2116" s="24" t="s">
        <v>8450</v>
      </c>
      <c r="D2116" s="24" t="s">
        <v>124</v>
      </c>
      <c r="E2116" s="24" t="s">
        <v>8451</v>
      </c>
      <c r="F2116" s="24" t="s">
        <v>59</v>
      </c>
    </row>
    <row r="2117">
      <c r="A2117" s="24" t="s">
        <v>8452</v>
      </c>
      <c r="B2117" s="24" t="s">
        <v>8453</v>
      </c>
      <c r="C2117" s="24" t="s">
        <v>8454</v>
      </c>
      <c r="D2117" s="24" t="s">
        <v>124</v>
      </c>
      <c r="E2117" s="24" t="s">
        <v>8455</v>
      </c>
      <c r="F2117" s="24" t="s">
        <v>59</v>
      </c>
    </row>
    <row r="2118">
      <c r="A2118" s="24" t="s">
        <v>8456</v>
      </c>
      <c r="B2118" s="24" t="s">
        <v>8457</v>
      </c>
      <c r="C2118" s="24" t="s">
        <v>8458</v>
      </c>
      <c r="D2118" s="24" t="s">
        <v>124</v>
      </c>
      <c r="E2118" s="24" t="s">
        <v>8459</v>
      </c>
      <c r="F2118" s="24" t="s">
        <v>59</v>
      </c>
    </row>
    <row r="2119">
      <c r="A2119" s="24" t="s">
        <v>8460</v>
      </c>
      <c r="B2119" s="24" t="s">
        <v>8461</v>
      </c>
      <c r="C2119" s="24" t="s">
        <v>8462</v>
      </c>
      <c r="D2119" s="24" t="s">
        <v>124</v>
      </c>
      <c r="E2119" s="24" t="s">
        <v>8463</v>
      </c>
      <c r="F2119" s="24" t="s">
        <v>59</v>
      </c>
    </row>
    <row r="2120">
      <c r="A2120" s="24" t="s">
        <v>8464</v>
      </c>
      <c r="B2120" s="24" t="s">
        <v>8465</v>
      </c>
      <c r="C2120" s="24" t="s">
        <v>8466</v>
      </c>
      <c r="D2120" s="24" t="s">
        <v>124</v>
      </c>
      <c r="E2120" s="24" t="s">
        <v>8467</v>
      </c>
      <c r="F2120" s="24" t="s">
        <v>59</v>
      </c>
    </row>
    <row r="2121">
      <c r="A2121" s="24" t="s">
        <v>8468</v>
      </c>
      <c r="B2121" s="24" t="s">
        <v>8469</v>
      </c>
      <c r="C2121" s="24" t="s">
        <v>8470</v>
      </c>
      <c r="D2121" s="24" t="s">
        <v>124</v>
      </c>
      <c r="E2121" s="24" t="s">
        <v>8471</v>
      </c>
      <c r="F2121" s="24" t="s">
        <v>59</v>
      </c>
    </row>
    <row r="2122">
      <c r="A2122" s="24" t="s">
        <v>8472</v>
      </c>
      <c r="B2122" s="24" t="s">
        <v>8473</v>
      </c>
      <c r="C2122" s="24" t="s">
        <v>8474</v>
      </c>
      <c r="D2122" s="24" t="s">
        <v>124</v>
      </c>
      <c r="E2122" s="24" t="s">
        <v>8475</v>
      </c>
      <c r="F2122" s="24" t="s">
        <v>59</v>
      </c>
    </row>
    <row r="2123">
      <c r="A2123" s="24" t="s">
        <v>8476</v>
      </c>
      <c r="B2123" s="24" t="s">
        <v>8477</v>
      </c>
      <c r="C2123" s="24" t="s">
        <v>8478</v>
      </c>
      <c r="D2123" s="24" t="s">
        <v>124</v>
      </c>
      <c r="E2123" s="24" t="s">
        <v>8479</v>
      </c>
      <c r="F2123" s="24" t="s">
        <v>59</v>
      </c>
    </row>
    <row r="2124">
      <c r="A2124" s="24" t="s">
        <v>8480</v>
      </c>
      <c r="B2124" s="24" t="s">
        <v>8481</v>
      </c>
      <c r="C2124" s="24" t="s">
        <v>8482</v>
      </c>
      <c r="D2124" s="24" t="s">
        <v>124</v>
      </c>
      <c r="E2124" s="24" t="s">
        <v>8483</v>
      </c>
      <c r="F2124" s="24" t="s">
        <v>59</v>
      </c>
    </row>
    <row r="2125">
      <c r="A2125" s="24" t="s">
        <v>8484</v>
      </c>
      <c r="B2125" s="24" t="s">
        <v>8485</v>
      </c>
      <c r="C2125" s="24" t="s">
        <v>8486</v>
      </c>
      <c r="D2125" s="24" t="s">
        <v>124</v>
      </c>
      <c r="E2125" s="24" t="s">
        <v>8487</v>
      </c>
      <c r="F2125" s="24" t="s">
        <v>59</v>
      </c>
    </row>
    <row r="2126">
      <c r="A2126" s="24" t="s">
        <v>8488</v>
      </c>
      <c r="B2126" s="24" t="s">
        <v>8489</v>
      </c>
      <c r="C2126" s="24" t="s">
        <v>8490</v>
      </c>
      <c r="D2126" s="24" t="s">
        <v>124</v>
      </c>
      <c r="E2126" s="24" t="s">
        <v>8491</v>
      </c>
      <c r="F2126" s="24" t="s">
        <v>59</v>
      </c>
    </row>
    <row r="2127">
      <c r="A2127" s="24" t="s">
        <v>8492</v>
      </c>
      <c r="B2127" s="24" t="s">
        <v>8493</v>
      </c>
      <c r="C2127" s="24" t="s">
        <v>8494</v>
      </c>
      <c r="D2127" s="24" t="s">
        <v>124</v>
      </c>
      <c r="E2127" s="24" t="s">
        <v>8495</v>
      </c>
      <c r="F2127" s="24" t="s">
        <v>59</v>
      </c>
    </row>
    <row r="2128">
      <c r="A2128" s="24" t="s">
        <v>8496</v>
      </c>
      <c r="B2128" s="24" t="s">
        <v>8497</v>
      </c>
      <c r="C2128" s="24" t="s">
        <v>8498</v>
      </c>
      <c r="D2128" s="24" t="s">
        <v>124</v>
      </c>
      <c r="E2128" s="24" t="s">
        <v>8499</v>
      </c>
      <c r="F2128" s="24" t="s">
        <v>59</v>
      </c>
    </row>
    <row r="2129">
      <c r="A2129" s="24" t="s">
        <v>8500</v>
      </c>
      <c r="B2129" s="24" t="s">
        <v>8501</v>
      </c>
      <c r="C2129" s="24" t="s">
        <v>8502</v>
      </c>
      <c r="D2129" s="24" t="s">
        <v>124</v>
      </c>
      <c r="E2129" s="24" t="s">
        <v>8503</v>
      </c>
      <c r="F2129" s="24" t="s">
        <v>59</v>
      </c>
    </row>
    <row r="2130">
      <c r="A2130" s="24" t="s">
        <v>8504</v>
      </c>
      <c r="B2130" s="24" t="s">
        <v>8505</v>
      </c>
      <c r="C2130" s="24" t="s">
        <v>8506</v>
      </c>
      <c r="D2130" s="24" t="s">
        <v>124</v>
      </c>
      <c r="E2130" s="24" t="s">
        <v>8507</v>
      </c>
      <c r="F2130" s="24" t="s">
        <v>59</v>
      </c>
    </row>
    <row r="2131">
      <c r="A2131" s="24" t="s">
        <v>8508</v>
      </c>
      <c r="B2131" s="24" t="s">
        <v>8509</v>
      </c>
      <c r="C2131" s="24" t="s">
        <v>8510</v>
      </c>
      <c r="D2131" s="24" t="s">
        <v>124</v>
      </c>
      <c r="E2131" s="24" t="s">
        <v>8511</v>
      </c>
      <c r="F2131" s="24" t="s">
        <v>59</v>
      </c>
    </row>
    <row r="2132">
      <c r="A2132" s="24" t="s">
        <v>8512</v>
      </c>
      <c r="B2132" s="24" t="s">
        <v>8513</v>
      </c>
      <c r="C2132" s="24" t="s">
        <v>8514</v>
      </c>
      <c r="D2132" s="24" t="s">
        <v>124</v>
      </c>
      <c r="E2132" s="24" t="s">
        <v>8515</v>
      </c>
      <c r="F2132" s="24" t="s">
        <v>59</v>
      </c>
    </row>
    <row r="2133">
      <c r="A2133" s="24" t="s">
        <v>8516</v>
      </c>
      <c r="B2133" s="24" t="s">
        <v>8517</v>
      </c>
      <c r="C2133" s="24" t="s">
        <v>8518</v>
      </c>
      <c r="D2133" s="24" t="s">
        <v>124</v>
      </c>
      <c r="E2133" s="24" t="s">
        <v>8519</v>
      </c>
      <c r="F2133" s="24" t="s">
        <v>59</v>
      </c>
    </row>
    <row r="2134">
      <c r="A2134" s="24" t="s">
        <v>8520</v>
      </c>
      <c r="B2134" s="24" t="s">
        <v>8521</v>
      </c>
      <c r="C2134" s="24" t="s">
        <v>8522</v>
      </c>
      <c r="D2134" s="24" t="s">
        <v>124</v>
      </c>
      <c r="E2134" s="24" t="s">
        <v>8523</v>
      </c>
      <c r="F2134" s="24" t="s">
        <v>59</v>
      </c>
    </row>
    <row r="2135">
      <c r="A2135" s="24" t="s">
        <v>8524</v>
      </c>
      <c r="B2135" s="24" t="s">
        <v>8525</v>
      </c>
      <c r="C2135" s="24" t="s">
        <v>8526</v>
      </c>
      <c r="D2135" s="24" t="s">
        <v>124</v>
      </c>
      <c r="E2135" s="24" t="s">
        <v>8527</v>
      </c>
      <c r="F2135" s="24" t="s">
        <v>59</v>
      </c>
    </row>
    <row r="2136">
      <c r="A2136" s="24" t="s">
        <v>8528</v>
      </c>
      <c r="B2136" s="24" t="s">
        <v>8529</v>
      </c>
      <c r="C2136" s="24" t="s">
        <v>8530</v>
      </c>
      <c r="D2136" s="24" t="s">
        <v>124</v>
      </c>
      <c r="E2136" s="24" t="s">
        <v>8531</v>
      </c>
      <c r="F2136" s="24" t="s">
        <v>59</v>
      </c>
    </row>
    <row r="2137">
      <c r="A2137" s="24" t="s">
        <v>8532</v>
      </c>
      <c r="B2137" s="24" t="s">
        <v>8533</v>
      </c>
      <c r="C2137" s="24" t="s">
        <v>8534</v>
      </c>
      <c r="D2137" s="24" t="s">
        <v>124</v>
      </c>
      <c r="E2137" s="24" t="s">
        <v>8535</v>
      </c>
      <c r="F2137" s="24" t="s">
        <v>59</v>
      </c>
    </row>
    <row r="2138">
      <c r="A2138" s="24" t="s">
        <v>8536</v>
      </c>
      <c r="B2138" s="24" t="s">
        <v>8537</v>
      </c>
      <c r="C2138" s="24" t="s">
        <v>8538</v>
      </c>
      <c r="D2138" s="24" t="s">
        <v>124</v>
      </c>
      <c r="E2138" s="24" t="s">
        <v>8539</v>
      </c>
      <c r="F2138" s="24" t="s">
        <v>59</v>
      </c>
    </row>
    <row r="2139">
      <c r="A2139" s="24" t="s">
        <v>8540</v>
      </c>
      <c r="B2139" s="24" t="s">
        <v>8541</v>
      </c>
      <c r="C2139" s="24" t="s">
        <v>8542</v>
      </c>
      <c r="D2139" s="24" t="s">
        <v>124</v>
      </c>
      <c r="E2139" s="24" t="s">
        <v>8543</v>
      </c>
      <c r="F2139" s="24" t="s">
        <v>59</v>
      </c>
    </row>
    <row r="2140">
      <c r="A2140" s="24" t="s">
        <v>8544</v>
      </c>
      <c r="B2140" s="24" t="s">
        <v>8545</v>
      </c>
      <c r="C2140" s="24" t="s">
        <v>8546</v>
      </c>
      <c r="D2140" s="24" t="s">
        <v>124</v>
      </c>
      <c r="E2140" s="24" t="s">
        <v>8547</v>
      </c>
      <c r="F2140" s="24" t="s">
        <v>59</v>
      </c>
    </row>
    <row r="2141">
      <c r="A2141" s="24" t="s">
        <v>8548</v>
      </c>
      <c r="B2141" s="24" t="s">
        <v>8549</v>
      </c>
      <c r="C2141" s="24" t="s">
        <v>8550</v>
      </c>
      <c r="D2141" s="24" t="s">
        <v>124</v>
      </c>
      <c r="E2141" s="24" t="s">
        <v>8551</v>
      </c>
      <c r="F2141" s="24" t="s">
        <v>59</v>
      </c>
    </row>
    <row r="2142">
      <c r="A2142" s="24" t="s">
        <v>8552</v>
      </c>
      <c r="B2142" s="24" t="s">
        <v>8553</v>
      </c>
      <c r="C2142" s="24" t="s">
        <v>8554</v>
      </c>
      <c r="D2142" s="24" t="s">
        <v>124</v>
      </c>
      <c r="E2142" s="24" t="s">
        <v>8555</v>
      </c>
      <c r="F2142" s="24" t="s">
        <v>59</v>
      </c>
    </row>
    <row r="2143">
      <c r="A2143" s="24" t="s">
        <v>8556</v>
      </c>
      <c r="B2143" s="24" t="s">
        <v>8557</v>
      </c>
      <c r="C2143" s="24" t="s">
        <v>8558</v>
      </c>
      <c r="D2143" s="24" t="s">
        <v>124</v>
      </c>
      <c r="E2143" s="24" t="s">
        <v>8559</v>
      </c>
      <c r="F2143" s="24" t="s">
        <v>59</v>
      </c>
    </row>
    <row r="2144">
      <c r="A2144" s="24" t="s">
        <v>8560</v>
      </c>
      <c r="B2144" s="24" t="s">
        <v>8561</v>
      </c>
      <c r="C2144" s="24" t="s">
        <v>8562</v>
      </c>
      <c r="D2144" s="24" t="s">
        <v>124</v>
      </c>
      <c r="E2144" s="24" t="s">
        <v>8563</v>
      </c>
      <c r="F2144" s="24" t="s">
        <v>59</v>
      </c>
    </row>
    <row r="2145">
      <c r="A2145" s="24" t="s">
        <v>8564</v>
      </c>
      <c r="B2145" s="24" t="s">
        <v>8565</v>
      </c>
      <c r="C2145" s="24" t="s">
        <v>8566</v>
      </c>
      <c r="D2145" s="24" t="s">
        <v>124</v>
      </c>
      <c r="E2145" s="24" t="s">
        <v>8567</v>
      </c>
      <c r="F2145" s="24" t="s">
        <v>59</v>
      </c>
    </row>
    <row r="2146">
      <c r="A2146" s="24" t="s">
        <v>8568</v>
      </c>
      <c r="B2146" s="24" t="s">
        <v>8569</v>
      </c>
      <c r="C2146" s="24" t="s">
        <v>8570</v>
      </c>
      <c r="D2146" s="24" t="s">
        <v>124</v>
      </c>
      <c r="E2146" s="24" t="s">
        <v>8571</v>
      </c>
      <c r="F2146" s="24" t="s">
        <v>59</v>
      </c>
    </row>
    <row r="2147">
      <c r="A2147" s="24" t="s">
        <v>8572</v>
      </c>
      <c r="B2147" s="24" t="s">
        <v>8573</v>
      </c>
      <c r="C2147" s="24" t="s">
        <v>8574</v>
      </c>
      <c r="D2147" s="24" t="s">
        <v>124</v>
      </c>
      <c r="E2147" s="24" t="s">
        <v>8575</v>
      </c>
      <c r="F2147" s="24" t="s">
        <v>59</v>
      </c>
    </row>
    <row r="2148">
      <c r="A2148" s="24" t="s">
        <v>8576</v>
      </c>
      <c r="B2148" s="24" t="s">
        <v>8577</v>
      </c>
      <c r="C2148" s="24" t="s">
        <v>8578</v>
      </c>
      <c r="D2148" s="24" t="s">
        <v>124</v>
      </c>
      <c r="E2148" s="24" t="s">
        <v>8579</v>
      </c>
      <c r="F2148" s="24" t="s">
        <v>59</v>
      </c>
    </row>
    <row r="2149">
      <c r="A2149" s="24" t="s">
        <v>8580</v>
      </c>
      <c r="B2149" s="24" t="s">
        <v>8581</v>
      </c>
      <c r="C2149" s="24" t="s">
        <v>8582</v>
      </c>
      <c r="D2149" s="24" t="s">
        <v>124</v>
      </c>
      <c r="E2149" s="24" t="s">
        <v>8583</v>
      </c>
      <c r="F2149" s="24" t="s">
        <v>59</v>
      </c>
    </row>
    <row r="2150">
      <c r="A2150" s="24" t="s">
        <v>8584</v>
      </c>
      <c r="B2150" s="24" t="s">
        <v>8585</v>
      </c>
      <c r="C2150" s="24" t="s">
        <v>8586</v>
      </c>
      <c r="D2150" s="24" t="s">
        <v>124</v>
      </c>
      <c r="E2150" s="24" t="s">
        <v>8587</v>
      </c>
      <c r="F2150" s="24" t="s">
        <v>59</v>
      </c>
    </row>
    <row r="2151">
      <c r="A2151" s="24" t="s">
        <v>8588</v>
      </c>
      <c r="B2151" s="24" t="s">
        <v>8589</v>
      </c>
      <c r="C2151" s="24" t="s">
        <v>8590</v>
      </c>
      <c r="D2151" s="24" t="s">
        <v>124</v>
      </c>
      <c r="E2151" s="24" t="s">
        <v>8591</v>
      </c>
      <c r="F2151" s="24" t="s">
        <v>59</v>
      </c>
    </row>
    <row r="2152">
      <c r="A2152" s="24" t="s">
        <v>8592</v>
      </c>
      <c r="B2152" s="24" t="s">
        <v>8593</v>
      </c>
      <c r="C2152" s="24" t="s">
        <v>8594</v>
      </c>
      <c r="D2152" s="24" t="s">
        <v>124</v>
      </c>
      <c r="E2152" s="24" t="s">
        <v>8595</v>
      </c>
      <c r="F2152" s="24" t="s">
        <v>59</v>
      </c>
    </row>
    <row r="2153">
      <c r="A2153" s="24" t="s">
        <v>8596</v>
      </c>
      <c r="B2153" s="24" t="s">
        <v>8597</v>
      </c>
      <c r="C2153" s="24" t="s">
        <v>8598</v>
      </c>
      <c r="D2153" s="24" t="s">
        <v>124</v>
      </c>
      <c r="E2153" s="24" t="s">
        <v>8599</v>
      </c>
      <c r="F2153" s="24" t="s">
        <v>59</v>
      </c>
    </row>
    <row r="2154">
      <c r="A2154" s="24" t="s">
        <v>8600</v>
      </c>
      <c r="B2154" s="24" t="s">
        <v>8601</v>
      </c>
      <c r="C2154" s="24" t="s">
        <v>8602</v>
      </c>
      <c r="D2154" s="24" t="s">
        <v>124</v>
      </c>
      <c r="E2154" s="24" t="s">
        <v>8603</v>
      </c>
      <c r="F2154" s="24" t="s">
        <v>59</v>
      </c>
    </row>
    <row r="2155">
      <c r="A2155" s="24" t="s">
        <v>8604</v>
      </c>
      <c r="B2155" s="24" t="s">
        <v>8605</v>
      </c>
      <c r="C2155" s="24" t="s">
        <v>8606</v>
      </c>
      <c r="D2155" s="24" t="s">
        <v>124</v>
      </c>
      <c r="E2155" s="24" t="s">
        <v>8607</v>
      </c>
      <c r="F2155" s="24" t="s">
        <v>59</v>
      </c>
    </row>
    <row r="2156">
      <c r="A2156" s="24" t="s">
        <v>8608</v>
      </c>
      <c r="B2156" s="24" t="s">
        <v>8609</v>
      </c>
      <c r="C2156" s="24" t="s">
        <v>8610</v>
      </c>
      <c r="D2156" s="24" t="s">
        <v>124</v>
      </c>
      <c r="E2156" s="24" t="s">
        <v>8611</v>
      </c>
      <c r="F2156" s="24" t="s">
        <v>59</v>
      </c>
    </row>
    <row r="2157">
      <c r="A2157" s="24" t="s">
        <v>8612</v>
      </c>
      <c r="B2157" s="24" t="s">
        <v>8613</v>
      </c>
      <c r="C2157" s="24" t="s">
        <v>8614</v>
      </c>
      <c r="D2157" s="24" t="s">
        <v>124</v>
      </c>
      <c r="E2157" s="24" t="s">
        <v>8615</v>
      </c>
      <c r="F2157" s="24" t="s">
        <v>59</v>
      </c>
    </row>
    <row r="2158">
      <c r="A2158" s="24" t="s">
        <v>8616</v>
      </c>
      <c r="B2158" s="24" t="s">
        <v>8617</v>
      </c>
      <c r="C2158" s="24" t="s">
        <v>8618</v>
      </c>
      <c r="D2158" s="24" t="s">
        <v>124</v>
      </c>
      <c r="E2158" s="24" t="s">
        <v>8619</v>
      </c>
      <c r="F2158" s="24" t="s">
        <v>59</v>
      </c>
    </row>
    <row r="2159">
      <c r="A2159" s="24" t="s">
        <v>8620</v>
      </c>
      <c r="B2159" s="24" t="s">
        <v>8621</v>
      </c>
      <c r="C2159" s="24" t="s">
        <v>8622</v>
      </c>
      <c r="D2159" s="24" t="s">
        <v>124</v>
      </c>
      <c r="E2159" s="24" t="s">
        <v>8623</v>
      </c>
      <c r="F2159" s="24" t="s">
        <v>59</v>
      </c>
    </row>
    <row r="2160">
      <c r="A2160" s="24" t="s">
        <v>8624</v>
      </c>
      <c r="B2160" s="24" t="s">
        <v>8625</v>
      </c>
      <c r="C2160" s="24" t="s">
        <v>8626</v>
      </c>
      <c r="D2160" s="24" t="s">
        <v>124</v>
      </c>
      <c r="E2160" s="24" t="s">
        <v>8627</v>
      </c>
      <c r="F2160" s="24" t="s">
        <v>59</v>
      </c>
    </row>
    <row r="2161">
      <c r="A2161" s="24" t="s">
        <v>8628</v>
      </c>
      <c r="B2161" s="24" t="s">
        <v>8629</v>
      </c>
      <c r="C2161" s="24" t="s">
        <v>8630</v>
      </c>
      <c r="D2161" s="24" t="s">
        <v>124</v>
      </c>
      <c r="E2161" s="24" t="s">
        <v>8631</v>
      </c>
      <c r="F2161" s="24" t="s">
        <v>59</v>
      </c>
    </row>
    <row r="2162">
      <c r="A2162" s="24" t="s">
        <v>8632</v>
      </c>
      <c r="B2162" s="24" t="s">
        <v>8633</v>
      </c>
      <c r="C2162" s="24" t="s">
        <v>8634</v>
      </c>
      <c r="D2162" s="24" t="s">
        <v>124</v>
      </c>
      <c r="E2162" s="24" t="s">
        <v>8635</v>
      </c>
      <c r="F2162" s="24" t="s">
        <v>59</v>
      </c>
    </row>
    <row r="2163">
      <c r="A2163" s="24" t="s">
        <v>8636</v>
      </c>
      <c r="B2163" s="24" t="s">
        <v>8637</v>
      </c>
      <c r="C2163" s="24" t="s">
        <v>8638</v>
      </c>
      <c r="D2163" s="24" t="s">
        <v>124</v>
      </c>
      <c r="E2163" s="24" t="s">
        <v>8639</v>
      </c>
      <c r="F2163" s="24" t="s">
        <v>59</v>
      </c>
    </row>
    <row r="2164">
      <c r="A2164" s="24" t="s">
        <v>8640</v>
      </c>
      <c r="B2164" s="24" t="s">
        <v>8641</v>
      </c>
      <c r="C2164" s="24" t="s">
        <v>8642</v>
      </c>
      <c r="D2164" s="24" t="s">
        <v>124</v>
      </c>
      <c r="E2164" s="24" t="s">
        <v>8643</v>
      </c>
      <c r="F2164" s="24" t="s">
        <v>59</v>
      </c>
    </row>
    <row r="2165">
      <c r="A2165" s="24" t="s">
        <v>8644</v>
      </c>
      <c r="B2165" s="24" t="s">
        <v>8645</v>
      </c>
      <c r="C2165" s="24" t="s">
        <v>8646</v>
      </c>
      <c r="D2165" s="24" t="s">
        <v>124</v>
      </c>
      <c r="E2165" s="24" t="s">
        <v>8647</v>
      </c>
      <c r="F2165" s="24" t="s">
        <v>59</v>
      </c>
    </row>
    <row r="2166">
      <c r="A2166" s="24" t="s">
        <v>8648</v>
      </c>
      <c r="B2166" s="24" t="s">
        <v>8649</v>
      </c>
      <c r="C2166" s="24" t="s">
        <v>8650</v>
      </c>
      <c r="D2166" s="24" t="s">
        <v>124</v>
      </c>
      <c r="E2166" s="24" t="s">
        <v>8651</v>
      </c>
      <c r="F2166" s="24" t="s">
        <v>59</v>
      </c>
    </row>
    <row r="2167">
      <c r="A2167" s="24" t="s">
        <v>8652</v>
      </c>
      <c r="B2167" s="24" t="s">
        <v>8653</v>
      </c>
      <c r="C2167" s="24" t="s">
        <v>8654</v>
      </c>
      <c r="D2167" s="24" t="s">
        <v>124</v>
      </c>
      <c r="E2167" s="24" t="s">
        <v>8655</v>
      </c>
      <c r="F2167" s="24" t="s">
        <v>59</v>
      </c>
    </row>
    <row r="2168">
      <c r="A2168" s="24" t="s">
        <v>8656</v>
      </c>
      <c r="B2168" s="24" t="s">
        <v>8657</v>
      </c>
      <c r="C2168" s="24" t="s">
        <v>8658</v>
      </c>
      <c r="D2168" s="24" t="s">
        <v>124</v>
      </c>
      <c r="E2168" s="24" t="s">
        <v>8659</v>
      </c>
      <c r="F2168" s="24" t="s">
        <v>59</v>
      </c>
    </row>
    <row r="2169">
      <c r="A2169" s="24" t="s">
        <v>8660</v>
      </c>
      <c r="B2169" s="24" t="s">
        <v>8661</v>
      </c>
      <c r="C2169" s="24" t="s">
        <v>8662</v>
      </c>
      <c r="D2169" s="24" t="s">
        <v>124</v>
      </c>
      <c r="E2169" s="24" t="s">
        <v>8663</v>
      </c>
      <c r="F2169" s="24" t="s">
        <v>59</v>
      </c>
    </row>
    <row r="2170">
      <c r="A2170" s="24" t="s">
        <v>8664</v>
      </c>
      <c r="B2170" s="24" t="s">
        <v>8665</v>
      </c>
      <c r="C2170" s="24" t="s">
        <v>8666</v>
      </c>
      <c r="D2170" s="24" t="s">
        <v>124</v>
      </c>
      <c r="E2170" s="24" t="s">
        <v>8667</v>
      </c>
      <c r="F2170" s="24" t="s">
        <v>59</v>
      </c>
    </row>
    <row r="2171">
      <c r="A2171" s="24" t="s">
        <v>8668</v>
      </c>
      <c r="B2171" s="24" t="s">
        <v>8669</v>
      </c>
      <c r="C2171" s="24" t="s">
        <v>8670</v>
      </c>
      <c r="D2171" s="24" t="s">
        <v>124</v>
      </c>
      <c r="E2171" s="24" t="s">
        <v>8671</v>
      </c>
      <c r="F2171" s="24" t="s">
        <v>59</v>
      </c>
    </row>
    <row r="2172">
      <c r="A2172" s="24" t="s">
        <v>8672</v>
      </c>
      <c r="B2172" s="24" t="s">
        <v>8673</v>
      </c>
      <c r="C2172" s="24" t="s">
        <v>8674</v>
      </c>
      <c r="D2172" s="24" t="s">
        <v>124</v>
      </c>
      <c r="E2172" s="24" t="s">
        <v>8675</v>
      </c>
      <c r="F2172" s="24" t="s">
        <v>59</v>
      </c>
    </row>
    <row r="2173">
      <c r="A2173" s="24" t="s">
        <v>8676</v>
      </c>
      <c r="B2173" s="24" t="s">
        <v>8677</v>
      </c>
      <c r="C2173" s="24" t="s">
        <v>8678</v>
      </c>
      <c r="D2173" s="24" t="s">
        <v>124</v>
      </c>
      <c r="E2173" s="24" t="s">
        <v>8679</v>
      </c>
      <c r="F2173" s="24" t="s">
        <v>59</v>
      </c>
    </row>
    <row r="2174">
      <c r="A2174" s="24" t="s">
        <v>8680</v>
      </c>
      <c r="B2174" s="24" t="s">
        <v>8681</v>
      </c>
      <c r="C2174" s="24" t="s">
        <v>8682</v>
      </c>
      <c r="D2174" s="24" t="s">
        <v>124</v>
      </c>
      <c r="E2174" s="24" t="s">
        <v>8683</v>
      </c>
      <c r="F2174" s="24" t="s">
        <v>59</v>
      </c>
    </row>
    <row r="2175">
      <c r="A2175" s="24" t="s">
        <v>8684</v>
      </c>
      <c r="B2175" s="24" t="s">
        <v>8685</v>
      </c>
      <c r="C2175" s="24" t="s">
        <v>8686</v>
      </c>
      <c r="D2175" s="24" t="s">
        <v>124</v>
      </c>
      <c r="E2175" s="24" t="s">
        <v>8687</v>
      </c>
      <c r="F2175" s="24" t="s">
        <v>59</v>
      </c>
    </row>
    <row r="2176">
      <c r="A2176" s="24" t="s">
        <v>8688</v>
      </c>
      <c r="B2176" s="24" t="s">
        <v>8689</v>
      </c>
      <c r="C2176" s="24" t="s">
        <v>8690</v>
      </c>
      <c r="D2176" s="24" t="s">
        <v>124</v>
      </c>
      <c r="E2176" s="24" t="s">
        <v>8691</v>
      </c>
      <c r="F2176" s="24" t="s">
        <v>59</v>
      </c>
    </row>
    <row r="2177">
      <c r="A2177" s="24" t="s">
        <v>8692</v>
      </c>
      <c r="B2177" s="24" t="s">
        <v>8693</v>
      </c>
      <c r="C2177" s="24" t="s">
        <v>8694</v>
      </c>
      <c r="D2177" s="24" t="s">
        <v>124</v>
      </c>
      <c r="E2177" s="24" t="s">
        <v>8695</v>
      </c>
      <c r="F2177" s="24" t="s">
        <v>59</v>
      </c>
    </row>
    <row r="2178">
      <c r="A2178" s="24" t="s">
        <v>8696</v>
      </c>
      <c r="B2178" s="24" t="s">
        <v>8697</v>
      </c>
      <c r="C2178" s="24" t="s">
        <v>8698</v>
      </c>
      <c r="D2178" s="24" t="s">
        <v>124</v>
      </c>
      <c r="E2178" s="24" t="s">
        <v>8699</v>
      </c>
      <c r="F2178" s="24" t="s">
        <v>59</v>
      </c>
    </row>
    <row r="2179">
      <c r="A2179" s="24" t="s">
        <v>8700</v>
      </c>
      <c r="B2179" s="24" t="s">
        <v>8701</v>
      </c>
      <c r="C2179" s="24" t="s">
        <v>8702</v>
      </c>
      <c r="D2179" s="24" t="s">
        <v>124</v>
      </c>
      <c r="E2179" s="24" t="s">
        <v>8703</v>
      </c>
      <c r="F2179" s="24" t="s">
        <v>59</v>
      </c>
    </row>
    <row r="2180">
      <c r="A2180" s="24" t="s">
        <v>8704</v>
      </c>
      <c r="B2180" s="24" t="s">
        <v>8705</v>
      </c>
      <c r="C2180" s="24" t="s">
        <v>8706</v>
      </c>
      <c r="D2180" s="24" t="s">
        <v>124</v>
      </c>
      <c r="E2180" s="24" t="s">
        <v>8707</v>
      </c>
      <c r="F2180" s="24" t="s">
        <v>59</v>
      </c>
    </row>
    <row r="2181">
      <c r="A2181" s="24" t="s">
        <v>8708</v>
      </c>
      <c r="B2181" s="24" t="s">
        <v>8709</v>
      </c>
      <c r="C2181" s="24" t="s">
        <v>8710</v>
      </c>
      <c r="D2181" s="24" t="s">
        <v>124</v>
      </c>
      <c r="E2181" s="24" t="s">
        <v>8711</v>
      </c>
      <c r="F2181" s="24" t="s">
        <v>59</v>
      </c>
    </row>
    <row r="2182">
      <c r="A2182" s="24" t="s">
        <v>8712</v>
      </c>
      <c r="B2182" s="24" t="s">
        <v>8713</v>
      </c>
      <c r="C2182" s="24" t="s">
        <v>8714</v>
      </c>
      <c r="D2182" s="24" t="s">
        <v>124</v>
      </c>
      <c r="E2182" s="24" t="s">
        <v>8715</v>
      </c>
      <c r="F2182" s="24" t="s">
        <v>59</v>
      </c>
    </row>
    <row r="2183">
      <c r="A2183" s="24" t="s">
        <v>8716</v>
      </c>
      <c r="B2183" s="24" t="s">
        <v>8717</v>
      </c>
      <c r="C2183" s="24" t="s">
        <v>8718</v>
      </c>
      <c r="D2183" s="24" t="s">
        <v>124</v>
      </c>
      <c r="E2183" s="24" t="s">
        <v>8719</v>
      </c>
      <c r="F2183" s="24" t="s">
        <v>59</v>
      </c>
    </row>
    <row r="2184">
      <c r="A2184" s="24" t="s">
        <v>8720</v>
      </c>
      <c r="B2184" s="24" t="s">
        <v>8721</v>
      </c>
      <c r="C2184" s="24" t="s">
        <v>8722</v>
      </c>
      <c r="D2184" s="24" t="s">
        <v>124</v>
      </c>
      <c r="E2184" s="24" t="s">
        <v>8723</v>
      </c>
      <c r="F2184" s="24" t="s">
        <v>59</v>
      </c>
    </row>
    <row r="2185">
      <c r="A2185" s="24" t="s">
        <v>8724</v>
      </c>
      <c r="B2185" s="24" t="s">
        <v>8725</v>
      </c>
      <c r="C2185" s="24" t="s">
        <v>8726</v>
      </c>
      <c r="D2185" s="24" t="s">
        <v>124</v>
      </c>
      <c r="E2185" s="24" t="s">
        <v>8727</v>
      </c>
      <c r="F2185" s="24" t="s">
        <v>59</v>
      </c>
    </row>
    <row r="2186">
      <c r="A2186" s="24" t="s">
        <v>8728</v>
      </c>
      <c r="B2186" s="24" t="s">
        <v>8729</v>
      </c>
      <c r="C2186" s="24" t="s">
        <v>8730</v>
      </c>
      <c r="D2186" s="24" t="s">
        <v>124</v>
      </c>
      <c r="E2186" s="24" t="s">
        <v>8731</v>
      </c>
      <c r="F2186" s="24" t="s">
        <v>59</v>
      </c>
    </row>
    <row r="2187">
      <c r="A2187" s="24" t="s">
        <v>8732</v>
      </c>
      <c r="B2187" s="24" t="s">
        <v>8733</v>
      </c>
      <c r="C2187" s="24" t="s">
        <v>8734</v>
      </c>
      <c r="D2187" s="24" t="s">
        <v>124</v>
      </c>
      <c r="E2187" s="24" t="s">
        <v>8735</v>
      </c>
      <c r="F2187" s="24" t="s">
        <v>59</v>
      </c>
    </row>
    <row r="2188">
      <c r="A2188" s="24" t="s">
        <v>8736</v>
      </c>
      <c r="B2188" s="24" t="s">
        <v>8737</v>
      </c>
      <c r="C2188" s="24" t="s">
        <v>8738</v>
      </c>
      <c r="D2188" s="24" t="s">
        <v>124</v>
      </c>
      <c r="E2188" s="24" t="s">
        <v>8739</v>
      </c>
      <c r="F2188" s="24" t="s">
        <v>59</v>
      </c>
    </row>
    <row r="2189">
      <c r="A2189" s="24" t="s">
        <v>8740</v>
      </c>
      <c r="B2189" s="24" t="s">
        <v>8741</v>
      </c>
      <c r="C2189" s="24" t="s">
        <v>8742</v>
      </c>
      <c r="D2189" s="24" t="s">
        <v>124</v>
      </c>
      <c r="E2189" s="24" t="s">
        <v>8743</v>
      </c>
      <c r="F2189" s="24" t="s">
        <v>59</v>
      </c>
    </row>
    <row r="2190">
      <c r="A2190" s="24" t="s">
        <v>8744</v>
      </c>
      <c r="B2190" s="24" t="s">
        <v>8745</v>
      </c>
      <c r="C2190" s="24" t="s">
        <v>8746</v>
      </c>
      <c r="D2190" s="24" t="s">
        <v>124</v>
      </c>
      <c r="E2190" s="24" t="s">
        <v>8747</v>
      </c>
      <c r="F2190" s="24" t="s">
        <v>59</v>
      </c>
    </row>
    <row r="2191">
      <c r="A2191" s="24" t="s">
        <v>8748</v>
      </c>
      <c r="B2191" s="24" t="s">
        <v>8749</v>
      </c>
      <c r="C2191" s="24" t="s">
        <v>8750</v>
      </c>
      <c r="D2191" s="24" t="s">
        <v>124</v>
      </c>
      <c r="E2191" s="24" t="s">
        <v>8751</v>
      </c>
      <c r="F2191" s="24" t="s">
        <v>59</v>
      </c>
    </row>
    <row r="2192">
      <c r="A2192" s="24" t="s">
        <v>8752</v>
      </c>
      <c r="B2192" s="24" t="s">
        <v>8753</v>
      </c>
      <c r="C2192" s="24" t="s">
        <v>8754</v>
      </c>
      <c r="D2192" s="24" t="s">
        <v>124</v>
      </c>
      <c r="E2192" s="24" t="s">
        <v>8755</v>
      </c>
      <c r="F2192" s="24" t="s">
        <v>59</v>
      </c>
    </row>
    <row r="2193">
      <c r="A2193" s="24" t="s">
        <v>8756</v>
      </c>
      <c r="B2193" s="24" t="s">
        <v>8757</v>
      </c>
      <c r="C2193" s="24" t="s">
        <v>8758</v>
      </c>
      <c r="D2193" s="24" t="s">
        <v>124</v>
      </c>
      <c r="E2193" s="24" t="s">
        <v>8759</v>
      </c>
      <c r="F2193" s="24" t="s">
        <v>59</v>
      </c>
    </row>
    <row r="2194">
      <c r="A2194" s="24" t="s">
        <v>8760</v>
      </c>
      <c r="B2194" s="24" t="s">
        <v>8761</v>
      </c>
      <c r="C2194" s="24" t="s">
        <v>8762</v>
      </c>
      <c r="D2194" s="24" t="s">
        <v>124</v>
      </c>
      <c r="E2194" s="24" t="s">
        <v>8763</v>
      </c>
      <c r="F2194" s="24" t="s">
        <v>59</v>
      </c>
    </row>
    <row r="2195">
      <c r="A2195" s="24" t="s">
        <v>8764</v>
      </c>
      <c r="B2195" s="24" t="s">
        <v>8765</v>
      </c>
      <c r="C2195" s="24" t="s">
        <v>8766</v>
      </c>
      <c r="D2195" s="24" t="s">
        <v>124</v>
      </c>
      <c r="E2195" s="24" t="s">
        <v>8767</v>
      </c>
      <c r="F2195" s="24" t="s">
        <v>59</v>
      </c>
    </row>
    <row r="2196">
      <c r="A2196" s="24" t="s">
        <v>8768</v>
      </c>
      <c r="B2196" s="24" t="s">
        <v>8769</v>
      </c>
      <c r="C2196" s="24" t="s">
        <v>8770</v>
      </c>
      <c r="D2196" s="24" t="s">
        <v>124</v>
      </c>
      <c r="E2196" s="24" t="s">
        <v>8771</v>
      </c>
      <c r="F2196" s="24" t="s">
        <v>59</v>
      </c>
    </row>
    <row r="2197">
      <c r="A2197" s="24" t="s">
        <v>8772</v>
      </c>
      <c r="B2197" s="24" t="s">
        <v>8773</v>
      </c>
      <c r="C2197" s="24" t="s">
        <v>8774</v>
      </c>
      <c r="D2197" s="24" t="s">
        <v>124</v>
      </c>
      <c r="E2197" s="24" t="s">
        <v>8775</v>
      </c>
      <c r="F2197" s="24" t="s">
        <v>59</v>
      </c>
    </row>
    <row r="2198">
      <c r="A2198" s="24" t="s">
        <v>8776</v>
      </c>
      <c r="B2198" s="24" t="s">
        <v>8777</v>
      </c>
      <c r="C2198" s="24" t="s">
        <v>8778</v>
      </c>
      <c r="D2198" s="24" t="s">
        <v>124</v>
      </c>
      <c r="E2198" s="24" t="s">
        <v>8779</v>
      </c>
      <c r="F2198" s="24" t="s">
        <v>59</v>
      </c>
    </row>
    <row r="2199">
      <c r="A2199" s="24" t="s">
        <v>8780</v>
      </c>
      <c r="B2199" s="24" t="s">
        <v>8781</v>
      </c>
      <c r="C2199" s="24" t="s">
        <v>8782</v>
      </c>
      <c r="D2199" s="24" t="s">
        <v>124</v>
      </c>
      <c r="E2199" s="24" t="s">
        <v>8783</v>
      </c>
      <c r="F2199" s="24" t="s">
        <v>59</v>
      </c>
    </row>
    <row r="2200">
      <c r="A2200" s="24" t="s">
        <v>8784</v>
      </c>
      <c r="B2200" s="24" t="s">
        <v>8785</v>
      </c>
      <c r="C2200" s="24" t="s">
        <v>8786</v>
      </c>
      <c r="D2200" s="24" t="s">
        <v>124</v>
      </c>
      <c r="E2200" s="24" t="s">
        <v>8787</v>
      </c>
      <c r="F2200" s="24" t="s">
        <v>59</v>
      </c>
    </row>
    <row r="2201">
      <c r="A2201" s="24" t="s">
        <v>8788</v>
      </c>
      <c r="B2201" s="24" t="s">
        <v>8789</v>
      </c>
      <c r="C2201" s="24" t="s">
        <v>8790</v>
      </c>
      <c r="D2201" s="24" t="s">
        <v>124</v>
      </c>
      <c r="E2201" s="24" t="s">
        <v>8791</v>
      </c>
      <c r="F2201" s="24" t="s">
        <v>59</v>
      </c>
    </row>
    <row r="2202">
      <c r="A2202" s="24" t="s">
        <v>8792</v>
      </c>
      <c r="B2202" s="24" t="s">
        <v>8793</v>
      </c>
      <c r="C2202" s="24" t="s">
        <v>8794</v>
      </c>
      <c r="D2202" s="24" t="s">
        <v>124</v>
      </c>
      <c r="E2202" s="24" t="s">
        <v>8795</v>
      </c>
      <c r="F2202" s="24" t="s">
        <v>59</v>
      </c>
    </row>
    <row r="2203">
      <c r="A2203" s="24" t="s">
        <v>8796</v>
      </c>
      <c r="B2203" s="24" t="s">
        <v>8797</v>
      </c>
      <c r="C2203" s="24" t="s">
        <v>8798</v>
      </c>
      <c r="D2203" s="24" t="s">
        <v>124</v>
      </c>
      <c r="E2203" s="24" t="s">
        <v>8799</v>
      </c>
      <c r="F2203" s="24" t="s">
        <v>59</v>
      </c>
    </row>
    <row r="2204">
      <c r="A2204" s="24" t="s">
        <v>8800</v>
      </c>
      <c r="B2204" s="24" t="s">
        <v>8801</v>
      </c>
      <c r="C2204" s="24" t="s">
        <v>8802</v>
      </c>
      <c r="D2204" s="24" t="s">
        <v>124</v>
      </c>
      <c r="E2204" s="24" t="s">
        <v>8803</v>
      </c>
      <c r="F2204" s="24" t="s">
        <v>59</v>
      </c>
    </row>
    <row r="2205">
      <c r="A2205" s="24" t="s">
        <v>8804</v>
      </c>
      <c r="B2205" s="24" t="s">
        <v>8805</v>
      </c>
      <c r="C2205" s="24" t="s">
        <v>8806</v>
      </c>
      <c r="D2205" s="24" t="s">
        <v>124</v>
      </c>
      <c r="E2205" s="24" t="s">
        <v>8807</v>
      </c>
      <c r="F2205" s="24" t="s">
        <v>59</v>
      </c>
    </row>
    <row r="2206">
      <c r="A2206" s="24" t="s">
        <v>8808</v>
      </c>
      <c r="B2206" s="24" t="s">
        <v>8809</v>
      </c>
      <c r="C2206" s="24" t="s">
        <v>8810</v>
      </c>
      <c r="D2206" s="24" t="s">
        <v>124</v>
      </c>
      <c r="E2206" s="24" t="s">
        <v>8811</v>
      </c>
      <c r="F2206" s="24" t="s">
        <v>59</v>
      </c>
    </row>
    <row r="2207">
      <c r="A2207" s="24" t="s">
        <v>8812</v>
      </c>
      <c r="B2207" s="24" t="s">
        <v>8813</v>
      </c>
      <c r="C2207" s="24" t="s">
        <v>8814</v>
      </c>
      <c r="D2207" s="24" t="s">
        <v>124</v>
      </c>
      <c r="E2207" s="24" t="s">
        <v>8815</v>
      </c>
      <c r="F2207" s="24" t="s">
        <v>59</v>
      </c>
    </row>
    <row r="2208">
      <c r="A2208" s="24" t="s">
        <v>8816</v>
      </c>
      <c r="B2208" s="24" t="s">
        <v>8817</v>
      </c>
      <c r="C2208" s="24" t="s">
        <v>8818</v>
      </c>
      <c r="D2208" s="24" t="s">
        <v>124</v>
      </c>
      <c r="E2208" s="24" t="s">
        <v>8819</v>
      </c>
      <c r="F2208" s="24" t="s">
        <v>59</v>
      </c>
    </row>
    <row r="2209">
      <c r="A2209" s="24" t="s">
        <v>8820</v>
      </c>
      <c r="B2209" s="24" t="s">
        <v>8821</v>
      </c>
      <c r="C2209" s="24" t="s">
        <v>8822</v>
      </c>
      <c r="D2209" s="24" t="s">
        <v>124</v>
      </c>
      <c r="E2209" s="24" t="s">
        <v>8823</v>
      </c>
      <c r="F2209" s="24" t="s">
        <v>59</v>
      </c>
    </row>
    <row r="2210">
      <c r="A2210" s="24" t="s">
        <v>8824</v>
      </c>
      <c r="B2210" s="24" t="s">
        <v>8825</v>
      </c>
      <c r="C2210" s="24" t="s">
        <v>8826</v>
      </c>
      <c r="D2210" s="24" t="s">
        <v>124</v>
      </c>
      <c r="E2210" s="24" t="s">
        <v>8827</v>
      </c>
      <c r="F2210" s="24" t="s">
        <v>59</v>
      </c>
    </row>
    <row r="2211">
      <c r="A2211" s="24" t="s">
        <v>8828</v>
      </c>
      <c r="B2211" s="24" t="s">
        <v>8829</v>
      </c>
      <c r="C2211" s="24" t="s">
        <v>8830</v>
      </c>
      <c r="D2211" s="24" t="s">
        <v>124</v>
      </c>
      <c r="E2211" s="24" t="s">
        <v>8831</v>
      </c>
      <c r="F2211" s="24" t="s">
        <v>59</v>
      </c>
    </row>
    <row r="2212">
      <c r="A2212" s="24" t="s">
        <v>8832</v>
      </c>
      <c r="B2212" s="24" t="s">
        <v>8833</v>
      </c>
      <c r="C2212" s="24" t="s">
        <v>8834</v>
      </c>
      <c r="D2212" s="24" t="s">
        <v>124</v>
      </c>
      <c r="E2212" s="24" t="s">
        <v>8835</v>
      </c>
      <c r="F2212" s="24" t="s">
        <v>59</v>
      </c>
    </row>
    <row r="2213">
      <c r="A2213" s="24" t="s">
        <v>8836</v>
      </c>
      <c r="B2213" s="24" t="s">
        <v>8837</v>
      </c>
      <c r="C2213" s="24" t="s">
        <v>8838</v>
      </c>
      <c r="D2213" s="24" t="s">
        <v>124</v>
      </c>
      <c r="E2213" s="24" t="s">
        <v>8839</v>
      </c>
      <c r="F2213" s="24" t="s">
        <v>59</v>
      </c>
    </row>
    <row r="2214">
      <c r="A2214" s="24" t="s">
        <v>8840</v>
      </c>
      <c r="B2214" s="24" t="s">
        <v>8841</v>
      </c>
      <c r="C2214" s="24" t="s">
        <v>8842</v>
      </c>
      <c r="D2214" s="24" t="s">
        <v>124</v>
      </c>
      <c r="E2214" s="24" t="s">
        <v>8843</v>
      </c>
      <c r="F2214" s="24" t="s">
        <v>59</v>
      </c>
    </row>
    <row r="2215">
      <c r="A2215" s="24" t="s">
        <v>8844</v>
      </c>
      <c r="B2215" s="24" t="s">
        <v>8845</v>
      </c>
      <c r="C2215" s="24" t="s">
        <v>8846</v>
      </c>
      <c r="D2215" s="24" t="s">
        <v>124</v>
      </c>
      <c r="E2215" s="24" t="s">
        <v>8847</v>
      </c>
      <c r="F2215" s="24" t="s">
        <v>59</v>
      </c>
    </row>
    <row r="2216">
      <c r="A2216" s="24" t="s">
        <v>8848</v>
      </c>
      <c r="B2216" s="24" t="s">
        <v>8849</v>
      </c>
      <c r="C2216" s="24" t="s">
        <v>8850</v>
      </c>
      <c r="D2216" s="24" t="s">
        <v>124</v>
      </c>
      <c r="E2216" s="24" t="s">
        <v>8851</v>
      </c>
      <c r="F2216" s="24" t="s">
        <v>59</v>
      </c>
    </row>
    <row r="2217">
      <c r="A2217" s="24" t="s">
        <v>8852</v>
      </c>
      <c r="B2217" s="24" t="s">
        <v>8853</v>
      </c>
      <c r="C2217" s="24" t="s">
        <v>8854</v>
      </c>
      <c r="D2217" s="24" t="s">
        <v>124</v>
      </c>
      <c r="E2217" s="24" t="s">
        <v>8855</v>
      </c>
      <c r="F2217" s="24" t="s">
        <v>59</v>
      </c>
    </row>
    <row r="2218">
      <c r="A2218" s="24" t="s">
        <v>8856</v>
      </c>
      <c r="B2218" s="24" t="s">
        <v>8857</v>
      </c>
      <c r="C2218" s="24" t="s">
        <v>8858</v>
      </c>
      <c r="D2218" s="24" t="s">
        <v>124</v>
      </c>
      <c r="E2218" s="24" t="s">
        <v>8859</v>
      </c>
      <c r="F2218" s="24" t="s">
        <v>59</v>
      </c>
    </row>
    <row r="2219">
      <c r="A2219" s="24" t="s">
        <v>8860</v>
      </c>
      <c r="B2219" s="24" t="s">
        <v>8861</v>
      </c>
      <c r="C2219" s="24" t="s">
        <v>8862</v>
      </c>
      <c r="D2219" s="24" t="s">
        <v>124</v>
      </c>
      <c r="E2219" s="24" t="s">
        <v>8863</v>
      </c>
      <c r="F2219" s="24" t="s">
        <v>59</v>
      </c>
    </row>
    <row r="2220">
      <c r="A2220" s="24" t="s">
        <v>8864</v>
      </c>
      <c r="B2220" s="24" t="s">
        <v>8865</v>
      </c>
      <c r="C2220" s="24" t="s">
        <v>8866</v>
      </c>
      <c r="D2220" s="24" t="s">
        <v>124</v>
      </c>
      <c r="E2220" s="24" t="s">
        <v>8867</v>
      </c>
      <c r="F2220" s="24" t="s">
        <v>59</v>
      </c>
    </row>
    <row r="2221">
      <c r="A2221" s="24" t="s">
        <v>8868</v>
      </c>
      <c r="B2221" s="24" t="s">
        <v>8869</v>
      </c>
      <c r="C2221" s="24" t="s">
        <v>8870</v>
      </c>
      <c r="D2221" s="24" t="s">
        <v>124</v>
      </c>
      <c r="E2221" s="24" t="s">
        <v>8871</v>
      </c>
      <c r="F2221" s="24" t="s">
        <v>59</v>
      </c>
    </row>
    <row r="2222">
      <c r="A2222" s="24" t="s">
        <v>8872</v>
      </c>
      <c r="B2222" s="24" t="s">
        <v>8873</v>
      </c>
      <c r="C2222" s="24" t="s">
        <v>8874</v>
      </c>
      <c r="D2222" s="24" t="s">
        <v>124</v>
      </c>
      <c r="E2222" s="24" t="s">
        <v>8875</v>
      </c>
      <c r="F2222" s="24" t="s">
        <v>59</v>
      </c>
    </row>
    <row r="2223">
      <c r="A2223" s="24" t="s">
        <v>8876</v>
      </c>
      <c r="B2223" s="24" t="s">
        <v>8877</v>
      </c>
      <c r="C2223" s="24" t="s">
        <v>8878</v>
      </c>
      <c r="D2223" s="24" t="s">
        <v>124</v>
      </c>
      <c r="E2223" s="24" t="s">
        <v>8879</v>
      </c>
      <c r="F2223" s="24" t="s">
        <v>59</v>
      </c>
    </row>
    <row r="2224">
      <c r="A2224" s="24" t="s">
        <v>8880</v>
      </c>
      <c r="B2224" s="24" t="s">
        <v>8881</v>
      </c>
      <c r="C2224" s="24" t="s">
        <v>8882</v>
      </c>
      <c r="D2224" s="24" t="s">
        <v>124</v>
      </c>
      <c r="E2224" s="24" t="s">
        <v>8883</v>
      </c>
      <c r="F2224" s="24" t="s">
        <v>59</v>
      </c>
    </row>
    <row r="2225">
      <c r="A2225" s="24" t="s">
        <v>8884</v>
      </c>
      <c r="B2225" s="24" t="s">
        <v>8885</v>
      </c>
      <c r="C2225" s="24" t="s">
        <v>8886</v>
      </c>
      <c r="D2225" s="24" t="s">
        <v>124</v>
      </c>
      <c r="E2225" s="24" t="s">
        <v>8887</v>
      </c>
      <c r="F2225" s="24" t="s">
        <v>59</v>
      </c>
    </row>
    <row r="2226">
      <c r="A2226" s="24" t="s">
        <v>8888</v>
      </c>
      <c r="B2226" s="24" t="s">
        <v>8889</v>
      </c>
      <c r="C2226" s="24" t="s">
        <v>8890</v>
      </c>
      <c r="D2226" s="24" t="s">
        <v>124</v>
      </c>
      <c r="E2226" s="24" t="s">
        <v>8891</v>
      </c>
      <c r="F2226" s="24" t="s">
        <v>59</v>
      </c>
    </row>
    <row r="2227">
      <c r="A2227" s="24" t="s">
        <v>8892</v>
      </c>
      <c r="B2227" s="24" t="s">
        <v>8893</v>
      </c>
      <c r="C2227" s="24" t="s">
        <v>8894</v>
      </c>
      <c r="D2227" s="24" t="s">
        <v>124</v>
      </c>
      <c r="E2227" s="24" t="s">
        <v>8895</v>
      </c>
      <c r="F2227" s="24" t="s">
        <v>59</v>
      </c>
    </row>
    <row r="2228">
      <c r="A2228" s="24" t="s">
        <v>8896</v>
      </c>
      <c r="B2228" s="24" t="s">
        <v>8897</v>
      </c>
      <c r="C2228" s="24" t="s">
        <v>8898</v>
      </c>
      <c r="D2228" s="24" t="s">
        <v>124</v>
      </c>
      <c r="E2228" s="24" t="s">
        <v>8899</v>
      </c>
      <c r="F2228" s="24" t="s">
        <v>59</v>
      </c>
    </row>
    <row r="2229">
      <c r="A2229" s="24" t="s">
        <v>8900</v>
      </c>
      <c r="B2229" s="24" t="s">
        <v>8901</v>
      </c>
      <c r="C2229" s="24" t="s">
        <v>8902</v>
      </c>
      <c r="D2229" s="24" t="s">
        <v>124</v>
      </c>
      <c r="E2229" s="24" t="s">
        <v>8903</v>
      </c>
      <c r="F2229" s="24" t="s">
        <v>59</v>
      </c>
    </row>
    <row r="2230">
      <c r="A2230" s="24" t="s">
        <v>8904</v>
      </c>
      <c r="B2230" s="24" t="s">
        <v>8905</v>
      </c>
      <c r="C2230" s="24" t="s">
        <v>8906</v>
      </c>
      <c r="D2230" s="24" t="s">
        <v>124</v>
      </c>
      <c r="E2230" s="24" t="s">
        <v>8907</v>
      </c>
      <c r="F2230" s="24" t="s">
        <v>59</v>
      </c>
    </row>
    <row r="2231">
      <c r="A2231" s="24" t="s">
        <v>8908</v>
      </c>
      <c r="B2231" s="24" t="s">
        <v>8909</v>
      </c>
      <c r="C2231" s="24" t="s">
        <v>8910</v>
      </c>
      <c r="D2231" s="24" t="s">
        <v>124</v>
      </c>
      <c r="E2231" s="24" t="s">
        <v>8911</v>
      </c>
      <c r="F2231" s="24" t="s">
        <v>59</v>
      </c>
    </row>
    <row r="2232">
      <c r="A2232" s="24" t="s">
        <v>8912</v>
      </c>
      <c r="B2232" s="24" t="s">
        <v>8913</v>
      </c>
      <c r="C2232" s="24" t="s">
        <v>8914</v>
      </c>
      <c r="D2232" s="24" t="s">
        <v>124</v>
      </c>
      <c r="E2232" s="24" t="s">
        <v>8915</v>
      </c>
      <c r="F2232" s="24" t="s">
        <v>59</v>
      </c>
    </row>
    <row r="2233">
      <c r="A2233" s="24" t="s">
        <v>8916</v>
      </c>
      <c r="B2233" s="24" t="s">
        <v>8917</v>
      </c>
      <c r="C2233" s="24" t="s">
        <v>8918</v>
      </c>
      <c r="D2233" s="24" t="s">
        <v>124</v>
      </c>
      <c r="E2233" s="24" t="s">
        <v>8919</v>
      </c>
      <c r="F2233" s="24" t="s">
        <v>59</v>
      </c>
    </row>
    <row r="2234">
      <c r="A2234" s="24" t="s">
        <v>8920</v>
      </c>
      <c r="B2234" s="24" t="s">
        <v>8921</v>
      </c>
      <c r="C2234" s="24" t="s">
        <v>8922</v>
      </c>
      <c r="D2234" s="24" t="s">
        <v>124</v>
      </c>
      <c r="E2234" s="24" t="s">
        <v>8923</v>
      </c>
      <c r="F2234" s="24" t="s">
        <v>59</v>
      </c>
    </row>
    <row r="2235">
      <c r="A2235" s="24" t="s">
        <v>8924</v>
      </c>
      <c r="B2235" s="24" t="s">
        <v>8925</v>
      </c>
      <c r="C2235" s="24" t="s">
        <v>8926</v>
      </c>
      <c r="D2235" s="24" t="s">
        <v>124</v>
      </c>
      <c r="E2235" s="24" t="s">
        <v>8927</v>
      </c>
      <c r="F2235" s="24" t="s">
        <v>59</v>
      </c>
    </row>
    <row r="2236">
      <c r="A2236" s="24" t="s">
        <v>8928</v>
      </c>
      <c r="B2236" s="24" t="s">
        <v>8929</v>
      </c>
      <c r="C2236" s="24" t="s">
        <v>8930</v>
      </c>
      <c r="D2236" s="24" t="s">
        <v>124</v>
      </c>
      <c r="E2236" s="24" t="s">
        <v>8931</v>
      </c>
      <c r="F2236" s="24" t="s">
        <v>59</v>
      </c>
    </row>
    <row r="2237">
      <c r="A2237" s="24" t="s">
        <v>8932</v>
      </c>
      <c r="B2237" s="24" t="s">
        <v>8933</v>
      </c>
      <c r="C2237" s="24" t="s">
        <v>8934</v>
      </c>
      <c r="D2237" s="24" t="s">
        <v>124</v>
      </c>
      <c r="E2237" s="24" t="s">
        <v>8935</v>
      </c>
      <c r="F2237" s="24" t="s">
        <v>59</v>
      </c>
    </row>
    <row r="2238">
      <c r="A2238" s="24" t="s">
        <v>8936</v>
      </c>
      <c r="B2238" s="24" t="s">
        <v>8937</v>
      </c>
      <c r="C2238" s="24" t="s">
        <v>8938</v>
      </c>
      <c r="D2238" s="24" t="s">
        <v>124</v>
      </c>
      <c r="E2238" s="24" t="s">
        <v>8939</v>
      </c>
      <c r="F2238" s="24" t="s">
        <v>59</v>
      </c>
    </row>
    <row r="2239">
      <c r="A2239" s="24" t="s">
        <v>8940</v>
      </c>
      <c r="B2239" s="24" t="s">
        <v>8941</v>
      </c>
      <c r="C2239" s="24" t="s">
        <v>8942</v>
      </c>
      <c r="D2239" s="24" t="s">
        <v>124</v>
      </c>
      <c r="E2239" s="24" t="s">
        <v>8943</v>
      </c>
      <c r="F2239" s="24" t="s">
        <v>59</v>
      </c>
    </row>
    <row r="2240">
      <c r="A2240" s="24" t="s">
        <v>8944</v>
      </c>
      <c r="B2240" s="24" t="s">
        <v>8945</v>
      </c>
      <c r="C2240" s="24" t="s">
        <v>8946</v>
      </c>
      <c r="D2240" s="24" t="s">
        <v>124</v>
      </c>
      <c r="E2240" s="24" t="s">
        <v>8947</v>
      </c>
      <c r="F2240" s="24" t="s">
        <v>59</v>
      </c>
    </row>
    <row r="2241">
      <c r="A2241" s="24" t="s">
        <v>8948</v>
      </c>
      <c r="B2241" s="24" t="s">
        <v>8949</v>
      </c>
      <c r="C2241" s="24" t="s">
        <v>8950</v>
      </c>
      <c r="D2241" s="24" t="s">
        <v>124</v>
      </c>
      <c r="E2241" s="24" t="s">
        <v>8951</v>
      </c>
      <c r="F2241" s="24" t="s">
        <v>59</v>
      </c>
    </row>
    <row r="2242">
      <c r="A2242" s="24" t="s">
        <v>8952</v>
      </c>
      <c r="B2242" s="24" t="s">
        <v>8953</v>
      </c>
      <c r="C2242" s="24" t="s">
        <v>8954</v>
      </c>
      <c r="D2242" s="24" t="s">
        <v>124</v>
      </c>
      <c r="E2242" s="24" t="s">
        <v>8955</v>
      </c>
      <c r="F2242" s="24" t="s">
        <v>59</v>
      </c>
    </row>
    <row r="2243">
      <c r="A2243" s="24" t="s">
        <v>8956</v>
      </c>
      <c r="B2243" s="24" t="s">
        <v>8957</v>
      </c>
      <c r="C2243" s="24" t="s">
        <v>8958</v>
      </c>
      <c r="D2243" s="24" t="s">
        <v>124</v>
      </c>
      <c r="E2243" s="24" t="s">
        <v>8959</v>
      </c>
      <c r="F2243" s="24" t="s">
        <v>59</v>
      </c>
    </row>
    <row r="2244">
      <c r="A2244" s="24" t="s">
        <v>8960</v>
      </c>
      <c r="B2244" s="24" t="s">
        <v>8961</v>
      </c>
      <c r="C2244" s="24" t="s">
        <v>8962</v>
      </c>
      <c r="D2244" s="24" t="s">
        <v>124</v>
      </c>
      <c r="E2244" s="24" t="s">
        <v>8963</v>
      </c>
      <c r="F2244" s="24" t="s">
        <v>59</v>
      </c>
    </row>
    <row r="2245">
      <c r="A2245" s="24" t="s">
        <v>8964</v>
      </c>
      <c r="B2245" s="24" t="s">
        <v>8965</v>
      </c>
      <c r="C2245" s="24" t="s">
        <v>8966</v>
      </c>
      <c r="D2245" s="24" t="s">
        <v>124</v>
      </c>
      <c r="E2245" s="24" t="s">
        <v>8967</v>
      </c>
      <c r="F2245" s="24" t="s">
        <v>59</v>
      </c>
    </row>
    <row r="2246">
      <c r="A2246" s="24" t="s">
        <v>8968</v>
      </c>
      <c r="B2246" s="24" t="s">
        <v>8969</v>
      </c>
      <c r="C2246" s="24" t="s">
        <v>8970</v>
      </c>
      <c r="D2246" s="24" t="s">
        <v>124</v>
      </c>
      <c r="E2246" s="24" t="s">
        <v>8971</v>
      </c>
      <c r="F2246" s="24" t="s">
        <v>59</v>
      </c>
    </row>
    <row r="2247">
      <c r="A2247" s="24" t="s">
        <v>8972</v>
      </c>
      <c r="B2247" s="24" t="s">
        <v>8973</v>
      </c>
      <c r="C2247" s="24" t="s">
        <v>8974</v>
      </c>
      <c r="D2247" s="24" t="s">
        <v>124</v>
      </c>
      <c r="E2247" s="24" t="s">
        <v>8975</v>
      </c>
      <c r="F2247" s="24" t="s">
        <v>59</v>
      </c>
    </row>
    <row r="2248">
      <c r="A2248" s="24" t="s">
        <v>8976</v>
      </c>
      <c r="B2248" s="24" t="s">
        <v>8977</v>
      </c>
      <c r="C2248" s="24" t="s">
        <v>8978</v>
      </c>
      <c r="D2248" s="24" t="s">
        <v>124</v>
      </c>
      <c r="E2248" s="24" t="s">
        <v>8979</v>
      </c>
      <c r="F2248" s="24" t="s">
        <v>59</v>
      </c>
    </row>
    <row r="2249">
      <c r="A2249" s="24" t="s">
        <v>8980</v>
      </c>
      <c r="B2249" s="24" t="s">
        <v>8981</v>
      </c>
      <c r="C2249" s="24" t="s">
        <v>8982</v>
      </c>
      <c r="D2249" s="24" t="s">
        <v>124</v>
      </c>
      <c r="E2249" s="24" t="s">
        <v>8983</v>
      </c>
      <c r="F2249" s="24" t="s">
        <v>59</v>
      </c>
    </row>
    <row r="2250">
      <c r="A2250" s="24" t="s">
        <v>8984</v>
      </c>
      <c r="B2250" s="24" t="s">
        <v>8985</v>
      </c>
      <c r="C2250" s="24" t="s">
        <v>8986</v>
      </c>
      <c r="D2250" s="24" t="s">
        <v>124</v>
      </c>
      <c r="E2250" s="24" t="s">
        <v>8987</v>
      </c>
      <c r="F2250" s="24" t="s">
        <v>59</v>
      </c>
    </row>
    <row r="2251">
      <c r="A2251" s="24" t="s">
        <v>8988</v>
      </c>
      <c r="B2251" s="24" t="s">
        <v>8989</v>
      </c>
      <c r="C2251" s="24" t="s">
        <v>8990</v>
      </c>
      <c r="D2251" s="24" t="s">
        <v>124</v>
      </c>
      <c r="E2251" s="24" t="s">
        <v>8991</v>
      </c>
      <c r="F2251" s="24" t="s">
        <v>59</v>
      </c>
    </row>
    <row r="2252">
      <c r="A2252" s="24" t="s">
        <v>8992</v>
      </c>
      <c r="B2252" s="24" t="s">
        <v>8993</v>
      </c>
      <c r="C2252" s="24" t="s">
        <v>8994</v>
      </c>
      <c r="D2252" s="24" t="s">
        <v>124</v>
      </c>
      <c r="E2252" s="24" t="s">
        <v>8995</v>
      </c>
      <c r="F2252" s="24" t="s">
        <v>59</v>
      </c>
    </row>
    <row r="2253">
      <c r="A2253" s="24" t="s">
        <v>8996</v>
      </c>
      <c r="B2253" s="24" t="s">
        <v>8997</v>
      </c>
      <c r="C2253" s="24" t="s">
        <v>8998</v>
      </c>
      <c r="D2253" s="24" t="s">
        <v>124</v>
      </c>
      <c r="E2253" s="24" t="s">
        <v>8999</v>
      </c>
      <c r="F2253" s="24" t="s">
        <v>59</v>
      </c>
    </row>
    <row r="2254">
      <c r="A2254" s="24" t="s">
        <v>9000</v>
      </c>
      <c r="B2254" s="24" t="s">
        <v>9001</v>
      </c>
      <c r="C2254" s="24" t="s">
        <v>9002</v>
      </c>
      <c r="D2254" s="24" t="s">
        <v>124</v>
      </c>
      <c r="E2254" s="24" t="s">
        <v>9003</v>
      </c>
      <c r="F2254" s="24" t="s">
        <v>59</v>
      </c>
    </row>
    <row r="2255">
      <c r="A2255" s="24" t="s">
        <v>9004</v>
      </c>
      <c r="B2255" s="24" t="s">
        <v>9005</v>
      </c>
      <c r="C2255" s="24" t="s">
        <v>9006</v>
      </c>
      <c r="D2255" s="24" t="s">
        <v>124</v>
      </c>
      <c r="E2255" s="24" t="s">
        <v>9007</v>
      </c>
      <c r="F2255" s="24" t="s">
        <v>59</v>
      </c>
    </row>
    <row r="2256">
      <c r="A2256" s="24" t="s">
        <v>9008</v>
      </c>
      <c r="B2256" s="24" t="s">
        <v>9009</v>
      </c>
      <c r="C2256" s="24" t="s">
        <v>9010</v>
      </c>
      <c r="D2256" s="24" t="s">
        <v>124</v>
      </c>
      <c r="E2256" s="24" t="s">
        <v>9011</v>
      </c>
      <c r="F2256" s="24" t="s">
        <v>59</v>
      </c>
    </row>
    <row r="2257">
      <c r="A2257" s="24" t="s">
        <v>9012</v>
      </c>
      <c r="B2257" s="24" t="s">
        <v>9013</v>
      </c>
      <c r="C2257" s="24" t="s">
        <v>9014</v>
      </c>
      <c r="D2257" s="24" t="s">
        <v>124</v>
      </c>
      <c r="E2257" s="24" t="s">
        <v>9015</v>
      </c>
      <c r="F2257" s="24" t="s">
        <v>59</v>
      </c>
    </row>
    <row r="2258">
      <c r="A2258" s="24" t="s">
        <v>9016</v>
      </c>
      <c r="B2258" s="24" t="s">
        <v>9017</v>
      </c>
      <c r="C2258" s="24" t="s">
        <v>9018</v>
      </c>
      <c r="D2258" s="24" t="s">
        <v>124</v>
      </c>
      <c r="E2258" s="24" t="s">
        <v>9019</v>
      </c>
      <c r="F2258" s="24" t="s">
        <v>59</v>
      </c>
    </row>
    <row r="2259">
      <c r="A2259" s="24" t="s">
        <v>9020</v>
      </c>
      <c r="B2259" s="24" t="s">
        <v>9021</v>
      </c>
      <c r="C2259" s="24" t="s">
        <v>9022</v>
      </c>
      <c r="D2259" s="24" t="s">
        <v>124</v>
      </c>
      <c r="E2259" s="24" t="s">
        <v>9023</v>
      </c>
      <c r="F2259" s="24" t="s">
        <v>59</v>
      </c>
    </row>
    <row r="2260">
      <c r="A2260" s="24" t="s">
        <v>9024</v>
      </c>
      <c r="B2260" s="24" t="s">
        <v>9025</v>
      </c>
      <c r="C2260" s="24" t="s">
        <v>9026</v>
      </c>
      <c r="D2260" s="24" t="s">
        <v>124</v>
      </c>
      <c r="E2260" s="24" t="s">
        <v>9027</v>
      </c>
      <c r="F2260" s="24" t="s">
        <v>59</v>
      </c>
    </row>
    <row r="2261">
      <c r="A2261" s="24" t="s">
        <v>9028</v>
      </c>
      <c r="B2261" s="24" t="s">
        <v>9029</v>
      </c>
      <c r="C2261" s="24" t="s">
        <v>9030</v>
      </c>
      <c r="D2261" s="24" t="s">
        <v>124</v>
      </c>
      <c r="E2261" s="24" t="s">
        <v>9031</v>
      </c>
      <c r="F2261" s="24" t="s">
        <v>59</v>
      </c>
    </row>
    <row r="2262">
      <c r="A2262" s="24" t="s">
        <v>9032</v>
      </c>
      <c r="B2262" s="24" t="s">
        <v>9033</v>
      </c>
      <c r="C2262" s="24" t="s">
        <v>9034</v>
      </c>
      <c r="D2262" s="24" t="s">
        <v>124</v>
      </c>
      <c r="E2262" s="24" t="s">
        <v>9035</v>
      </c>
      <c r="F2262" s="24" t="s">
        <v>59</v>
      </c>
    </row>
    <row r="2263">
      <c r="A2263" s="24" t="s">
        <v>9036</v>
      </c>
      <c r="B2263" s="24" t="s">
        <v>9037</v>
      </c>
      <c r="C2263" s="24" t="s">
        <v>9038</v>
      </c>
      <c r="D2263" s="24" t="s">
        <v>124</v>
      </c>
      <c r="E2263" s="24" t="s">
        <v>9039</v>
      </c>
      <c r="F2263" s="24" t="s">
        <v>59</v>
      </c>
    </row>
    <row r="2264">
      <c r="A2264" s="24" t="s">
        <v>9040</v>
      </c>
      <c r="B2264" s="24" t="s">
        <v>9041</v>
      </c>
      <c r="C2264" s="24" t="s">
        <v>9042</v>
      </c>
      <c r="D2264" s="24" t="s">
        <v>124</v>
      </c>
      <c r="E2264" s="24" t="s">
        <v>9043</v>
      </c>
      <c r="F2264" s="24" t="s">
        <v>59</v>
      </c>
    </row>
    <row r="2265">
      <c r="A2265" s="24" t="s">
        <v>9044</v>
      </c>
      <c r="B2265" s="24" t="s">
        <v>9045</v>
      </c>
      <c r="C2265" s="24" t="s">
        <v>9046</v>
      </c>
      <c r="D2265" s="24" t="s">
        <v>124</v>
      </c>
      <c r="E2265" s="24" t="s">
        <v>9047</v>
      </c>
      <c r="F2265" s="24" t="s">
        <v>59</v>
      </c>
    </row>
    <row r="2266">
      <c r="A2266" s="24" t="s">
        <v>9048</v>
      </c>
      <c r="B2266" s="24" t="s">
        <v>9049</v>
      </c>
      <c r="C2266" s="24" t="s">
        <v>9050</v>
      </c>
      <c r="D2266" s="24" t="s">
        <v>124</v>
      </c>
      <c r="E2266" s="24" t="s">
        <v>9051</v>
      </c>
      <c r="F2266" s="24" t="s">
        <v>59</v>
      </c>
    </row>
    <row r="2267">
      <c r="A2267" s="24" t="s">
        <v>9052</v>
      </c>
      <c r="B2267" s="24" t="s">
        <v>9053</v>
      </c>
      <c r="C2267" s="24" t="s">
        <v>9054</v>
      </c>
      <c r="D2267" s="24" t="s">
        <v>124</v>
      </c>
      <c r="E2267" s="24" t="s">
        <v>9055</v>
      </c>
      <c r="F2267" s="24" t="s">
        <v>59</v>
      </c>
    </row>
    <row r="2268">
      <c r="A2268" s="24" t="s">
        <v>9056</v>
      </c>
      <c r="B2268" s="24" t="s">
        <v>9057</v>
      </c>
      <c r="C2268" s="24" t="s">
        <v>9058</v>
      </c>
      <c r="D2268" s="24" t="s">
        <v>124</v>
      </c>
      <c r="E2268" s="24" t="s">
        <v>9059</v>
      </c>
      <c r="F2268" s="24" t="s">
        <v>59</v>
      </c>
    </row>
    <row r="2269">
      <c r="A2269" s="24" t="s">
        <v>9060</v>
      </c>
      <c r="B2269" s="24" t="s">
        <v>9061</v>
      </c>
      <c r="C2269" s="24" t="s">
        <v>9062</v>
      </c>
      <c r="D2269" s="24" t="s">
        <v>124</v>
      </c>
      <c r="E2269" s="24" t="s">
        <v>9063</v>
      </c>
      <c r="F2269" s="24" t="s">
        <v>59</v>
      </c>
    </row>
    <row r="2270">
      <c r="A2270" s="24" t="s">
        <v>9064</v>
      </c>
      <c r="B2270" s="24" t="s">
        <v>9065</v>
      </c>
      <c r="C2270" s="24" t="s">
        <v>9066</v>
      </c>
      <c r="D2270" s="24" t="s">
        <v>124</v>
      </c>
      <c r="E2270" s="24" t="s">
        <v>9067</v>
      </c>
      <c r="F2270" s="24" t="s">
        <v>59</v>
      </c>
    </row>
    <row r="2271">
      <c r="A2271" s="24" t="s">
        <v>9068</v>
      </c>
      <c r="B2271" s="24" t="s">
        <v>9069</v>
      </c>
      <c r="C2271" s="24" t="s">
        <v>9070</v>
      </c>
      <c r="D2271" s="24" t="s">
        <v>124</v>
      </c>
      <c r="E2271" s="24" t="s">
        <v>9071</v>
      </c>
      <c r="F2271" s="24" t="s">
        <v>59</v>
      </c>
    </row>
    <row r="2272">
      <c r="A2272" s="24" t="s">
        <v>9072</v>
      </c>
      <c r="B2272" s="24" t="s">
        <v>9073</v>
      </c>
      <c r="C2272" s="24" t="s">
        <v>9074</v>
      </c>
      <c r="D2272" s="24" t="s">
        <v>124</v>
      </c>
      <c r="E2272" s="24" t="s">
        <v>9075</v>
      </c>
      <c r="F2272" s="24" t="s">
        <v>59</v>
      </c>
    </row>
    <row r="2273">
      <c r="A2273" s="24" t="s">
        <v>9076</v>
      </c>
      <c r="B2273" s="24" t="s">
        <v>9077</v>
      </c>
      <c r="C2273" s="24" t="s">
        <v>9078</v>
      </c>
      <c r="D2273" s="24" t="s">
        <v>124</v>
      </c>
      <c r="E2273" s="24" t="s">
        <v>9079</v>
      </c>
      <c r="F2273" s="24" t="s">
        <v>59</v>
      </c>
    </row>
    <row r="2274">
      <c r="A2274" s="24" t="s">
        <v>9080</v>
      </c>
      <c r="B2274" s="24" t="s">
        <v>9081</v>
      </c>
      <c r="C2274" s="24" t="s">
        <v>9082</v>
      </c>
      <c r="D2274" s="24" t="s">
        <v>124</v>
      </c>
      <c r="E2274" s="24" t="s">
        <v>9083</v>
      </c>
      <c r="F2274" s="24" t="s">
        <v>59</v>
      </c>
    </row>
    <row r="2275">
      <c r="A2275" s="24" t="s">
        <v>9084</v>
      </c>
      <c r="B2275" s="24" t="s">
        <v>9085</v>
      </c>
      <c r="C2275" s="24" t="s">
        <v>9086</v>
      </c>
      <c r="D2275" s="24" t="s">
        <v>124</v>
      </c>
      <c r="E2275" s="24" t="s">
        <v>9087</v>
      </c>
      <c r="F2275" s="24" t="s">
        <v>59</v>
      </c>
    </row>
    <row r="2276">
      <c r="A2276" s="24" t="s">
        <v>9088</v>
      </c>
      <c r="B2276" s="24" t="s">
        <v>9089</v>
      </c>
      <c r="C2276" s="24" t="s">
        <v>9090</v>
      </c>
      <c r="D2276" s="24" t="s">
        <v>124</v>
      </c>
      <c r="E2276" s="24" t="s">
        <v>9091</v>
      </c>
      <c r="F2276" s="24" t="s">
        <v>59</v>
      </c>
    </row>
    <row r="2277">
      <c r="A2277" s="24" t="s">
        <v>9092</v>
      </c>
      <c r="B2277" s="24" t="s">
        <v>9093</v>
      </c>
      <c r="C2277" s="24" t="s">
        <v>9094</v>
      </c>
      <c r="D2277" s="24" t="s">
        <v>124</v>
      </c>
      <c r="E2277" s="24" t="s">
        <v>9095</v>
      </c>
      <c r="F2277" s="24" t="s">
        <v>59</v>
      </c>
    </row>
    <row r="2278">
      <c r="A2278" s="24" t="s">
        <v>9096</v>
      </c>
      <c r="B2278" s="24" t="s">
        <v>9097</v>
      </c>
      <c r="C2278" s="24" t="s">
        <v>9098</v>
      </c>
      <c r="D2278" s="24" t="s">
        <v>124</v>
      </c>
      <c r="E2278" s="24" t="s">
        <v>9099</v>
      </c>
      <c r="F2278" s="24" t="s">
        <v>59</v>
      </c>
    </row>
    <row r="2279">
      <c r="A2279" s="24" t="s">
        <v>9100</v>
      </c>
      <c r="B2279" s="24" t="s">
        <v>9101</v>
      </c>
      <c r="C2279" s="24" t="s">
        <v>9102</v>
      </c>
      <c r="D2279" s="24" t="s">
        <v>124</v>
      </c>
      <c r="E2279" s="24" t="s">
        <v>9103</v>
      </c>
      <c r="F2279" s="24" t="s">
        <v>59</v>
      </c>
    </row>
    <row r="2280">
      <c r="A2280" s="24" t="s">
        <v>9104</v>
      </c>
      <c r="B2280" s="24" t="s">
        <v>9105</v>
      </c>
      <c r="C2280" s="24" t="s">
        <v>9106</v>
      </c>
      <c r="D2280" s="24" t="s">
        <v>124</v>
      </c>
      <c r="E2280" s="24" t="s">
        <v>9107</v>
      </c>
      <c r="F2280" s="24" t="s">
        <v>59</v>
      </c>
    </row>
    <row r="2281">
      <c r="A2281" s="24" t="s">
        <v>9108</v>
      </c>
      <c r="B2281" s="24" t="s">
        <v>9109</v>
      </c>
      <c r="C2281" s="24" t="s">
        <v>9110</v>
      </c>
      <c r="D2281" s="24" t="s">
        <v>124</v>
      </c>
      <c r="E2281" s="24" t="s">
        <v>9111</v>
      </c>
      <c r="F2281" s="24" t="s">
        <v>59</v>
      </c>
    </row>
    <row r="2282">
      <c r="A2282" s="24" t="s">
        <v>9112</v>
      </c>
      <c r="B2282" s="24" t="s">
        <v>9113</v>
      </c>
      <c r="C2282" s="24" t="s">
        <v>9114</v>
      </c>
      <c r="D2282" s="24" t="s">
        <v>124</v>
      </c>
      <c r="E2282" s="24" t="s">
        <v>9115</v>
      </c>
      <c r="F2282" s="24" t="s">
        <v>59</v>
      </c>
    </row>
    <row r="2283">
      <c r="A2283" s="24" t="s">
        <v>9116</v>
      </c>
      <c r="B2283" s="24" t="s">
        <v>9117</v>
      </c>
      <c r="C2283" s="24" t="s">
        <v>9118</v>
      </c>
      <c r="D2283" s="24" t="s">
        <v>124</v>
      </c>
      <c r="E2283" s="24" t="s">
        <v>9119</v>
      </c>
      <c r="F2283" s="24" t="s">
        <v>59</v>
      </c>
    </row>
    <row r="2284">
      <c r="A2284" s="24" t="s">
        <v>9120</v>
      </c>
      <c r="B2284" s="24" t="s">
        <v>9121</v>
      </c>
      <c r="C2284" s="24" t="s">
        <v>9122</v>
      </c>
      <c r="D2284" s="24" t="s">
        <v>124</v>
      </c>
      <c r="E2284" s="24" t="s">
        <v>9123</v>
      </c>
      <c r="F2284" s="24" t="s">
        <v>59</v>
      </c>
    </row>
    <row r="2285">
      <c r="A2285" s="24" t="s">
        <v>9124</v>
      </c>
      <c r="B2285" s="24" t="s">
        <v>9125</v>
      </c>
      <c r="C2285" s="24" t="s">
        <v>9126</v>
      </c>
      <c r="D2285" s="24" t="s">
        <v>124</v>
      </c>
      <c r="E2285" s="24" t="s">
        <v>9127</v>
      </c>
      <c r="F2285" s="24" t="s">
        <v>59</v>
      </c>
    </row>
    <row r="2286">
      <c r="A2286" s="24" t="s">
        <v>9128</v>
      </c>
      <c r="B2286" s="24" t="s">
        <v>9129</v>
      </c>
      <c r="C2286" s="24" t="s">
        <v>9130</v>
      </c>
      <c r="D2286" s="24" t="s">
        <v>124</v>
      </c>
      <c r="E2286" s="24" t="s">
        <v>9131</v>
      </c>
      <c r="F2286" s="24" t="s">
        <v>59</v>
      </c>
    </row>
    <row r="2287">
      <c r="A2287" s="24" t="s">
        <v>9132</v>
      </c>
      <c r="B2287" s="24" t="s">
        <v>9133</v>
      </c>
      <c r="C2287" s="24" t="s">
        <v>9134</v>
      </c>
      <c r="D2287" s="24" t="s">
        <v>124</v>
      </c>
      <c r="E2287" s="24" t="s">
        <v>9135</v>
      </c>
      <c r="F2287" s="24" t="s">
        <v>59</v>
      </c>
    </row>
    <row r="2288">
      <c r="A2288" s="24" t="s">
        <v>9136</v>
      </c>
      <c r="B2288" s="24" t="s">
        <v>9137</v>
      </c>
      <c r="C2288" s="24" t="s">
        <v>9138</v>
      </c>
      <c r="D2288" s="24" t="s">
        <v>124</v>
      </c>
      <c r="E2288" s="24" t="s">
        <v>9139</v>
      </c>
      <c r="F2288" s="24" t="s">
        <v>59</v>
      </c>
    </row>
    <row r="2289">
      <c r="A2289" s="24" t="s">
        <v>9140</v>
      </c>
      <c r="B2289" s="24" t="s">
        <v>9141</v>
      </c>
      <c r="C2289" s="24" t="s">
        <v>9142</v>
      </c>
      <c r="D2289" s="24" t="s">
        <v>124</v>
      </c>
      <c r="E2289" s="24" t="s">
        <v>9143</v>
      </c>
      <c r="F2289" s="24" t="s">
        <v>59</v>
      </c>
    </row>
    <row r="2290">
      <c r="A2290" s="24" t="s">
        <v>9144</v>
      </c>
      <c r="B2290" s="24" t="s">
        <v>9145</v>
      </c>
      <c r="C2290" s="24" t="s">
        <v>9146</v>
      </c>
      <c r="D2290" s="24" t="s">
        <v>124</v>
      </c>
      <c r="E2290" s="24" t="s">
        <v>9147</v>
      </c>
      <c r="F2290" s="24" t="s">
        <v>59</v>
      </c>
    </row>
    <row r="2291">
      <c r="A2291" s="24" t="s">
        <v>9148</v>
      </c>
      <c r="B2291" s="24" t="s">
        <v>9149</v>
      </c>
      <c r="C2291" s="24" t="s">
        <v>9150</v>
      </c>
      <c r="D2291" s="24" t="s">
        <v>124</v>
      </c>
      <c r="E2291" s="24" t="s">
        <v>9151</v>
      </c>
      <c r="F2291" s="24" t="s">
        <v>59</v>
      </c>
    </row>
    <row r="2292">
      <c r="A2292" s="24" t="s">
        <v>9152</v>
      </c>
      <c r="B2292" s="24" t="s">
        <v>9153</v>
      </c>
      <c r="C2292" s="24" t="s">
        <v>9154</v>
      </c>
      <c r="D2292" s="24" t="s">
        <v>124</v>
      </c>
      <c r="E2292" s="24" t="s">
        <v>9155</v>
      </c>
      <c r="F2292" s="24" t="s">
        <v>59</v>
      </c>
    </row>
    <row r="2293">
      <c r="A2293" s="24" t="s">
        <v>9156</v>
      </c>
      <c r="B2293" s="24" t="s">
        <v>9157</v>
      </c>
      <c r="C2293" s="24" t="s">
        <v>9158</v>
      </c>
      <c r="D2293" s="24" t="s">
        <v>124</v>
      </c>
      <c r="E2293" s="24" t="s">
        <v>9159</v>
      </c>
      <c r="F2293" s="24" t="s">
        <v>59</v>
      </c>
    </row>
    <row r="2294">
      <c r="A2294" s="24" t="s">
        <v>9160</v>
      </c>
      <c r="B2294" s="24" t="s">
        <v>9161</v>
      </c>
      <c r="C2294" s="24" t="s">
        <v>9162</v>
      </c>
      <c r="D2294" s="24" t="s">
        <v>124</v>
      </c>
      <c r="E2294" s="24" t="s">
        <v>9163</v>
      </c>
      <c r="F2294" s="24" t="s">
        <v>59</v>
      </c>
    </row>
    <row r="2295">
      <c r="A2295" s="24" t="s">
        <v>9164</v>
      </c>
      <c r="B2295" s="24" t="s">
        <v>9165</v>
      </c>
      <c r="C2295" s="24" t="s">
        <v>9166</v>
      </c>
      <c r="D2295" s="24" t="s">
        <v>124</v>
      </c>
      <c r="E2295" s="24" t="s">
        <v>9167</v>
      </c>
      <c r="F2295" s="24" t="s">
        <v>59</v>
      </c>
    </row>
    <row r="2296">
      <c r="A2296" s="24" t="s">
        <v>9168</v>
      </c>
      <c r="B2296" s="24" t="s">
        <v>9169</v>
      </c>
      <c r="C2296" s="24" t="s">
        <v>9170</v>
      </c>
      <c r="D2296" s="24" t="s">
        <v>124</v>
      </c>
      <c r="E2296" s="24" t="s">
        <v>9171</v>
      </c>
      <c r="F2296" s="24" t="s">
        <v>59</v>
      </c>
    </row>
    <row r="2297">
      <c r="A2297" s="24" t="s">
        <v>9172</v>
      </c>
      <c r="B2297" s="24" t="s">
        <v>9173</v>
      </c>
      <c r="C2297" s="24" t="s">
        <v>9174</v>
      </c>
      <c r="D2297" s="24" t="s">
        <v>124</v>
      </c>
      <c r="E2297" s="24" t="s">
        <v>9175</v>
      </c>
      <c r="F2297" s="24" t="s">
        <v>59</v>
      </c>
    </row>
    <row r="2298">
      <c r="A2298" s="24" t="s">
        <v>9176</v>
      </c>
      <c r="B2298" s="24" t="s">
        <v>9177</v>
      </c>
      <c r="C2298" s="24" t="s">
        <v>9178</v>
      </c>
      <c r="D2298" s="24" t="s">
        <v>124</v>
      </c>
      <c r="E2298" s="24" t="s">
        <v>9179</v>
      </c>
      <c r="F2298" s="24" t="s">
        <v>59</v>
      </c>
    </row>
    <row r="2299">
      <c r="A2299" s="24" t="s">
        <v>9180</v>
      </c>
      <c r="B2299" s="24" t="s">
        <v>9181</v>
      </c>
      <c r="C2299" s="24" t="s">
        <v>9182</v>
      </c>
      <c r="D2299" s="24" t="s">
        <v>124</v>
      </c>
      <c r="E2299" s="24" t="s">
        <v>9183</v>
      </c>
      <c r="F2299" s="24" t="s">
        <v>59</v>
      </c>
    </row>
    <row r="2300">
      <c r="A2300" s="24" t="s">
        <v>9184</v>
      </c>
      <c r="B2300" s="24" t="s">
        <v>9185</v>
      </c>
      <c r="C2300" s="24" t="s">
        <v>9186</v>
      </c>
      <c r="D2300" s="24" t="s">
        <v>124</v>
      </c>
      <c r="E2300" s="24" t="s">
        <v>9187</v>
      </c>
      <c r="F2300" s="24" t="s">
        <v>59</v>
      </c>
    </row>
    <row r="2301">
      <c r="A2301" s="24" t="s">
        <v>9188</v>
      </c>
      <c r="B2301" s="24" t="s">
        <v>9189</v>
      </c>
      <c r="C2301" s="24" t="s">
        <v>9190</v>
      </c>
      <c r="D2301" s="24" t="s">
        <v>124</v>
      </c>
      <c r="E2301" s="24" t="s">
        <v>9191</v>
      </c>
      <c r="F2301" s="24" t="s">
        <v>59</v>
      </c>
    </row>
    <row r="2302">
      <c r="A2302" s="24" t="s">
        <v>9192</v>
      </c>
      <c r="B2302" s="24" t="s">
        <v>9193</v>
      </c>
      <c r="C2302" s="24" t="s">
        <v>9194</v>
      </c>
      <c r="D2302" s="24" t="s">
        <v>124</v>
      </c>
      <c r="E2302" s="24" t="s">
        <v>9195</v>
      </c>
      <c r="F2302" s="24" t="s">
        <v>59</v>
      </c>
    </row>
    <row r="2303">
      <c r="A2303" s="24" t="s">
        <v>9196</v>
      </c>
      <c r="B2303" s="24" t="s">
        <v>9197</v>
      </c>
      <c r="C2303" s="24" t="s">
        <v>9198</v>
      </c>
      <c r="D2303" s="24" t="s">
        <v>124</v>
      </c>
      <c r="E2303" s="24" t="s">
        <v>9199</v>
      </c>
      <c r="F2303" s="24" t="s">
        <v>59</v>
      </c>
    </row>
    <row r="2304">
      <c r="A2304" s="24" t="s">
        <v>9200</v>
      </c>
      <c r="B2304" s="24" t="s">
        <v>9201</v>
      </c>
      <c r="C2304" s="24" t="s">
        <v>9202</v>
      </c>
      <c r="D2304" s="24" t="s">
        <v>124</v>
      </c>
      <c r="E2304" s="24" t="s">
        <v>9203</v>
      </c>
      <c r="F2304" s="24" t="s">
        <v>59</v>
      </c>
    </row>
    <row r="2305">
      <c r="A2305" s="24" t="s">
        <v>9204</v>
      </c>
      <c r="B2305" s="24" t="s">
        <v>9205</v>
      </c>
      <c r="C2305" s="24" t="s">
        <v>9206</v>
      </c>
      <c r="D2305" s="24" t="s">
        <v>124</v>
      </c>
      <c r="E2305" s="24" t="s">
        <v>9207</v>
      </c>
      <c r="F2305" s="24" t="s">
        <v>59</v>
      </c>
    </row>
    <row r="2306">
      <c r="A2306" s="24" t="s">
        <v>9208</v>
      </c>
      <c r="B2306" s="24" t="s">
        <v>9209</v>
      </c>
      <c r="C2306" s="24" t="s">
        <v>9210</v>
      </c>
      <c r="D2306" s="24" t="s">
        <v>124</v>
      </c>
      <c r="E2306" s="24" t="s">
        <v>9211</v>
      </c>
      <c r="F2306" s="24" t="s">
        <v>59</v>
      </c>
    </row>
    <row r="2307">
      <c r="A2307" s="24" t="s">
        <v>9212</v>
      </c>
      <c r="B2307" s="24" t="s">
        <v>9213</v>
      </c>
      <c r="C2307" s="24" t="s">
        <v>9214</v>
      </c>
      <c r="D2307" s="24" t="s">
        <v>124</v>
      </c>
      <c r="E2307" s="24" t="s">
        <v>9215</v>
      </c>
      <c r="F2307" s="24" t="s">
        <v>59</v>
      </c>
    </row>
    <row r="2308">
      <c r="A2308" s="24" t="s">
        <v>9216</v>
      </c>
      <c r="B2308" s="24" t="s">
        <v>9217</v>
      </c>
      <c r="C2308" s="24" t="s">
        <v>9218</v>
      </c>
      <c r="D2308" s="24" t="s">
        <v>124</v>
      </c>
      <c r="E2308" s="24" t="s">
        <v>9219</v>
      </c>
      <c r="F2308" s="24" t="s">
        <v>59</v>
      </c>
    </row>
    <row r="2309">
      <c r="A2309" s="24" t="s">
        <v>9220</v>
      </c>
      <c r="B2309" s="24" t="s">
        <v>9221</v>
      </c>
      <c r="C2309" s="24" t="s">
        <v>9222</v>
      </c>
      <c r="D2309" s="24" t="s">
        <v>124</v>
      </c>
      <c r="E2309" s="24" t="s">
        <v>9223</v>
      </c>
      <c r="F2309" s="24" t="s">
        <v>59</v>
      </c>
    </row>
    <row r="2310">
      <c r="A2310" s="24" t="s">
        <v>9224</v>
      </c>
      <c r="B2310" s="24" t="s">
        <v>9225</v>
      </c>
      <c r="C2310" s="24" t="s">
        <v>9226</v>
      </c>
      <c r="D2310" s="24" t="s">
        <v>124</v>
      </c>
      <c r="E2310" s="24" t="s">
        <v>9227</v>
      </c>
      <c r="F2310" s="24" t="s">
        <v>59</v>
      </c>
    </row>
    <row r="2311">
      <c r="A2311" s="24" t="s">
        <v>9228</v>
      </c>
      <c r="B2311" s="24" t="s">
        <v>9229</v>
      </c>
      <c r="C2311" s="24" t="s">
        <v>9230</v>
      </c>
      <c r="D2311" s="24" t="s">
        <v>124</v>
      </c>
      <c r="E2311" s="24" t="s">
        <v>9231</v>
      </c>
      <c r="F2311" s="24" t="s">
        <v>59</v>
      </c>
    </row>
    <row r="2312">
      <c r="A2312" s="24" t="s">
        <v>9232</v>
      </c>
      <c r="B2312" s="24" t="s">
        <v>9233</v>
      </c>
      <c r="C2312" s="24" t="s">
        <v>9234</v>
      </c>
      <c r="D2312" s="24" t="s">
        <v>124</v>
      </c>
      <c r="E2312" s="24" t="s">
        <v>9235</v>
      </c>
      <c r="F2312" s="24" t="s">
        <v>59</v>
      </c>
    </row>
    <row r="2313">
      <c r="A2313" s="24" t="s">
        <v>9236</v>
      </c>
      <c r="B2313" s="24" t="s">
        <v>9237</v>
      </c>
      <c r="C2313" s="24" t="s">
        <v>9238</v>
      </c>
      <c r="D2313" s="24" t="s">
        <v>124</v>
      </c>
      <c r="E2313" s="24" t="s">
        <v>9239</v>
      </c>
      <c r="F2313" s="24" t="s">
        <v>59</v>
      </c>
    </row>
    <row r="2314">
      <c r="A2314" s="24" t="s">
        <v>9240</v>
      </c>
      <c r="B2314" s="24" t="s">
        <v>9241</v>
      </c>
      <c r="C2314" s="24" t="s">
        <v>9242</v>
      </c>
      <c r="D2314" s="24" t="s">
        <v>124</v>
      </c>
      <c r="E2314" s="24" t="s">
        <v>9243</v>
      </c>
      <c r="F2314" s="24" t="s">
        <v>59</v>
      </c>
    </row>
    <row r="2315">
      <c r="A2315" s="24" t="s">
        <v>9244</v>
      </c>
      <c r="B2315" s="24" t="s">
        <v>9245</v>
      </c>
      <c r="C2315" s="24" t="s">
        <v>9246</v>
      </c>
      <c r="D2315" s="24" t="s">
        <v>124</v>
      </c>
      <c r="E2315" s="24" t="s">
        <v>9247</v>
      </c>
      <c r="F2315" s="24" t="s">
        <v>59</v>
      </c>
    </row>
    <row r="2316">
      <c r="A2316" s="24" t="s">
        <v>9248</v>
      </c>
      <c r="B2316" s="24" t="s">
        <v>9249</v>
      </c>
      <c r="C2316" s="24" t="s">
        <v>9250</v>
      </c>
      <c r="D2316" s="24" t="s">
        <v>124</v>
      </c>
      <c r="E2316" s="24" t="s">
        <v>9251</v>
      </c>
      <c r="F2316" s="24" t="s">
        <v>59</v>
      </c>
    </row>
    <row r="2317">
      <c r="A2317" s="24" t="s">
        <v>9252</v>
      </c>
      <c r="B2317" s="24" t="s">
        <v>9253</v>
      </c>
      <c r="C2317" s="24" t="s">
        <v>9254</v>
      </c>
      <c r="D2317" s="24" t="s">
        <v>124</v>
      </c>
      <c r="E2317" s="24" t="s">
        <v>9255</v>
      </c>
      <c r="F2317" s="24" t="s">
        <v>59</v>
      </c>
    </row>
    <row r="2318">
      <c r="A2318" s="24" t="s">
        <v>9256</v>
      </c>
      <c r="B2318" s="24" t="s">
        <v>9257</v>
      </c>
      <c r="C2318" s="24" t="s">
        <v>9258</v>
      </c>
      <c r="D2318" s="24" t="s">
        <v>124</v>
      </c>
      <c r="E2318" s="24" t="s">
        <v>9259</v>
      </c>
      <c r="F2318" s="24" t="s">
        <v>59</v>
      </c>
    </row>
    <row r="2319">
      <c r="A2319" s="24" t="s">
        <v>9260</v>
      </c>
      <c r="B2319" s="24" t="s">
        <v>9261</v>
      </c>
      <c r="C2319" s="24" t="s">
        <v>9262</v>
      </c>
      <c r="D2319" s="24" t="s">
        <v>124</v>
      </c>
      <c r="E2319" s="24" t="s">
        <v>9263</v>
      </c>
      <c r="F2319" s="24" t="s">
        <v>59</v>
      </c>
    </row>
    <row r="2320">
      <c r="A2320" s="24" t="s">
        <v>9264</v>
      </c>
      <c r="B2320" s="24" t="s">
        <v>9265</v>
      </c>
      <c r="C2320" s="24" t="s">
        <v>9266</v>
      </c>
      <c r="D2320" s="24" t="s">
        <v>124</v>
      </c>
      <c r="E2320" s="24" t="s">
        <v>9267</v>
      </c>
      <c r="F2320" s="24" t="s">
        <v>59</v>
      </c>
    </row>
    <row r="2321">
      <c r="A2321" s="24" t="s">
        <v>9268</v>
      </c>
      <c r="B2321" s="24" t="s">
        <v>9269</v>
      </c>
      <c r="C2321" s="24" t="s">
        <v>9270</v>
      </c>
      <c r="D2321" s="24" t="s">
        <v>124</v>
      </c>
      <c r="E2321" s="24" t="s">
        <v>9271</v>
      </c>
      <c r="F2321" s="24" t="s">
        <v>59</v>
      </c>
    </row>
    <row r="2322">
      <c r="A2322" s="24" t="s">
        <v>9272</v>
      </c>
      <c r="B2322" s="24" t="s">
        <v>9273</v>
      </c>
      <c r="C2322" s="24" t="s">
        <v>9274</v>
      </c>
      <c r="D2322" s="24" t="s">
        <v>124</v>
      </c>
      <c r="E2322" s="24" t="s">
        <v>9275</v>
      </c>
      <c r="F2322" s="24" t="s">
        <v>59</v>
      </c>
    </row>
    <row r="2323">
      <c r="A2323" s="24" t="s">
        <v>9276</v>
      </c>
      <c r="B2323" s="24" t="s">
        <v>9277</v>
      </c>
      <c r="C2323" s="24" t="s">
        <v>9278</v>
      </c>
      <c r="D2323" s="24" t="s">
        <v>124</v>
      </c>
      <c r="E2323" s="24" t="s">
        <v>9279</v>
      </c>
      <c r="F2323" s="24" t="s">
        <v>59</v>
      </c>
    </row>
    <row r="2324">
      <c r="A2324" s="24" t="s">
        <v>9280</v>
      </c>
      <c r="B2324" s="24" t="s">
        <v>9281</v>
      </c>
      <c r="C2324" s="24" t="s">
        <v>9282</v>
      </c>
      <c r="D2324" s="24" t="s">
        <v>124</v>
      </c>
      <c r="E2324" s="24" t="s">
        <v>9283</v>
      </c>
      <c r="F2324" s="24" t="s">
        <v>59</v>
      </c>
    </row>
    <row r="2325">
      <c r="A2325" s="24" t="s">
        <v>9284</v>
      </c>
      <c r="B2325" s="24" t="s">
        <v>9285</v>
      </c>
      <c r="C2325" s="24" t="s">
        <v>9286</v>
      </c>
      <c r="D2325" s="24" t="s">
        <v>124</v>
      </c>
      <c r="E2325" s="24" t="s">
        <v>9287</v>
      </c>
      <c r="F2325" s="24" t="s">
        <v>59</v>
      </c>
    </row>
    <row r="2326">
      <c r="A2326" s="24" t="s">
        <v>9288</v>
      </c>
      <c r="B2326" s="24" t="s">
        <v>9289</v>
      </c>
      <c r="C2326" s="24" t="s">
        <v>9290</v>
      </c>
      <c r="D2326" s="24" t="s">
        <v>124</v>
      </c>
      <c r="E2326" s="24" t="s">
        <v>9291</v>
      </c>
      <c r="F2326" s="24" t="s">
        <v>59</v>
      </c>
    </row>
    <row r="2327">
      <c r="A2327" s="24" t="s">
        <v>9292</v>
      </c>
      <c r="B2327" s="24" t="s">
        <v>9293</v>
      </c>
      <c r="C2327" s="24" t="s">
        <v>9294</v>
      </c>
      <c r="D2327" s="24" t="s">
        <v>124</v>
      </c>
      <c r="E2327" s="24" t="s">
        <v>9295</v>
      </c>
      <c r="F2327" s="24" t="s">
        <v>59</v>
      </c>
      <c r="I2327" s="25"/>
    </row>
    <row r="2328">
      <c r="A2328" s="24" t="s">
        <v>9296</v>
      </c>
      <c r="B2328" s="24" t="s">
        <v>9297</v>
      </c>
      <c r="C2328" s="24" t="s">
        <v>9298</v>
      </c>
      <c r="D2328" s="24" t="s">
        <v>124</v>
      </c>
      <c r="E2328" s="24" t="s">
        <v>9299</v>
      </c>
      <c r="F2328" s="24" t="s">
        <v>59</v>
      </c>
      <c r="I2328" s="25"/>
    </row>
    <row r="2329">
      <c r="A2329" s="24" t="s">
        <v>9300</v>
      </c>
      <c r="B2329" s="24" t="s">
        <v>9301</v>
      </c>
      <c r="C2329" s="24" t="s">
        <v>9302</v>
      </c>
      <c r="D2329" s="24" t="s">
        <v>124</v>
      </c>
      <c r="E2329" s="24" t="s">
        <v>9303</v>
      </c>
      <c r="F2329" s="24" t="s">
        <v>59</v>
      </c>
      <c r="I2329" s="25"/>
    </row>
    <row r="2330">
      <c r="A2330" s="24" t="s">
        <v>9304</v>
      </c>
      <c r="B2330" s="24" t="s">
        <v>9305</v>
      </c>
      <c r="C2330" s="24" t="s">
        <v>9306</v>
      </c>
      <c r="D2330" s="24" t="s">
        <v>124</v>
      </c>
      <c r="E2330" s="24" t="s">
        <v>9307</v>
      </c>
      <c r="F2330" s="24" t="s">
        <v>59</v>
      </c>
      <c r="I2330" s="25"/>
    </row>
    <row r="2331">
      <c r="A2331" s="24" t="s">
        <v>9308</v>
      </c>
      <c r="B2331" s="24" t="s">
        <v>9309</v>
      </c>
      <c r="C2331" s="24" t="s">
        <v>9310</v>
      </c>
      <c r="D2331" s="24" t="s">
        <v>124</v>
      </c>
      <c r="E2331" s="24" t="s">
        <v>9311</v>
      </c>
      <c r="F2331" s="24" t="s">
        <v>59</v>
      </c>
      <c r="I2331" s="25"/>
    </row>
    <row r="2332">
      <c r="A2332" s="24" t="s">
        <v>9312</v>
      </c>
      <c r="B2332" s="24" t="s">
        <v>9313</v>
      </c>
      <c r="C2332" s="24" t="s">
        <v>9314</v>
      </c>
      <c r="D2332" s="24" t="s">
        <v>124</v>
      </c>
      <c r="E2332" s="24" t="s">
        <v>9315</v>
      </c>
      <c r="F2332" s="24" t="s">
        <v>59</v>
      </c>
      <c r="I2332" s="25"/>
    </row>
    <row r="2333">
      <c r="A2333" s="24" t="s">
        <v>9316</v>
      </c>
      <c r="B2333" s="24" t="s">
        <v>9317</v>
      </c>
      <c r="C2333" s="24" t="s">
        <v>9318</v>
      </c>
      <c r="D2333" s="24" t="s">
        <v>124</v>
      </c>
      <c r="E2333" s="24" t="s">
        <v>9319</v>
      </c>
      <c r="F2333" s="24" t="s">
        <v>59</v>
      </c>
      <c r="I2333" s="25"/>
    </row>
    <row r="2334">
      <c r="A2334" s="24" t="s">
        <v>9320</v>
      </c>
      <c r="B2334" s="24" t="s">
        <v>9321</v>
      </c>
      <c r="C2334" s="24" t="s">
        <v>9322</v>
      </c>
      <c r="D2334" s="24" t="s">
        <v>124</v>
      </c>
      <c r="E2334" s="24" t="s">
        <v>9323</v>
      </c>
      <c r="F2334" s="24" t="s">
        <v>59</v>
      </c>
      <c r="I2334" s="25"/>
    </row>
    <row r="2335">
      <c r="A2335" s="24" t="s">
        <v>9324</v>
      </c>
      <c r="B2335" s="24" t="s">
        <v>9325</v>
      </c>
      <c r="C2335" s="24" t="s">
        <v>9326</v>
      </c>
      <c r="D2335" s="24" t="s">
        <v>124</v>
      </c>
      <c r="E2335" s="24" t="s">
        <v>9327</v>
      </c>
      <c r="F2335" s="24" t="s">
        <v>59</v>
      </c>
      <c r="I2335" s="25"/>
    </row>
    <row r="2336">
      <c r="A2336" s="24" t="s">
        <v>9328</v>
      </c>
      <c r="B2336" s="24" t="s">
        <v>9329</v>
      </c>
      <c r="C2336" s="24" t="s">
        <v>9330</v>
      </c>
      <c r="D2336" s="24" t="s">
        <v>124</v>
      </c>
      <c r="E2336" s="24" t="s">
        <v>9331</v>
      </c>
      <c r="F2336" s="24" t="s">
        <v>59</v>
      </c>
      <c r="I2336" s="25"/>
    </row>
    <row r="2337">
      <c r="A2337" s="24" t="s">
        <v>9332</v>
      </c>
      <c r="B2337" s="24" t="s">
        <v>9333</v>
      </c>
      <c r="C2337" s="24" t="s">
        <v>9334</v>
      </c>
      <c r="D2337" s="24" t="s">
        <v>124</v>
      </c>
      <c r="E2337" s="24" t="s">
        <v>9335</v>
      </c>
      <c r="F2337" s="24" t="s">
        <v>59</v>
      </c>
      <c r="I2337" s="25"/>
    </row>
    <row r="2338">
      <c r="A2338" s="24" t="s">
        <v>9336</v>
      </c>
      <c r="B2338" s="24" t="s">
        <v>9337</v>
      </c>
      <c r="C2338" s="24" t="s">
        <v>9338</v>
      </c>
      <c r="D2338" s="24" t="s">
        <v>124</v>
      </c>
      <c r="E2338" s="24" t="s">
        <v>9339</v>
      </c>
      <c r="F2338" s="24" t="s">
        <v>59</v>
      </c>
      <c r="I2338" s="25"/>
    </row>
    <row r="2339">
      <c r="A2339" s="24" t="s">
        <v>9340</v>
      </c>
      <c r="B2339" s="24" t="s">
        <v>9341</v>
      </c>
      <c r="C2339" s="24" t="s">
        <v>9342</v>
      </c>
      <c r="D2339" s="24" t="s">
        <v>124</v>
      </c>
      <c r="E2339" s="24" t="s">
        <v>9343</v>
      </c>
      <c r="F2339" s="24" t="s">
        <v>59</v>
      </c>
      <c r="I2339" s="25"/>
    </row>
    <row r="2340">
      <c r="A2340" s="24" t="s">
        <v>9344</v>
      </c>
      <c r="B2340" s="24" t="s">
        <v>9345</v>
      </c>
      <c r="C2340" s="24" t="s">
        <v>9346</v>
      </c>
      <c r="D2340" s="24" t="s">
        <v>124</v>
      </c>
      <c r="E2340" s="24" t="s">
        <v>9347</v>
      </c>
      <c r="F2340" s="24" t="s">
        <v>59</v>
      </c>
      <c r="I2340" s="25"/>
    </row>
    <row r="2341">
      <c r="A2341" s="24" t="s">
        <v>9348</v>
      </c>
      <c r="B2341" s="24" t="s">
        <v>9349</v>
      </c>
      <c r="C2341" s="24" t="s">
        <v>9350</v>
      </c>
      <c r="D2341" s="24" t="s">
        <v>124</v>
      </c>
      <c r="E2341" s="24" t="s">
        <v>9351</v>
      </c>
      <c r="F2341" s="24" t="s">
        <v>59</v>
      </c>
      <c r="I2341" s="25"/>
    </row>
    <row r="2342">
      <c r="A2342" s="24" t="s">
        <v>9352</v>
      </c>
      <c r="B2342" s="24" t="s">
        <v>9353</v>
      </c>
      <c r="C2342" s="24" t="s">
        <v>9354</v>
      </c>
      <c r="D2342" s="24" t="s">
        <v>124</v>
      </c>
      <c r="E2342" s="24" t="s">
        <v>9355</v>
      </c>
      <c r="F2342" s="24" t="s">
        <v>59</v>
      </c>
      <c r="I2342" s="25"/>
    </row>
    <row r="2343">
      <c r="A2343" s="24" t="s">
        <v>9356</v>
      </c>
      <c r="B2343" s="24" t="s">
        <v>9357</v>
      </c>
      <c r="C2343" s="24" t="s">
        <v>9358</v>
      </c>
      <c r="D2343" s="24" t="s">
        <v>124</v>
      </c>
      <c r="E2343" s="24" t="s">
        <v>9359</v>
      </c>
      <c r="F2343" s="24" t="s">
        <v>59</v>
      </c>
      <c r="I2343" s="25"/>
    </row>
    <row r="2344">
      <c r="A2344" s="24" t="s">
        <v>9360</v>
      </c>
      <c r="B2344" s="24" t="s">
        <v>9361</v>
      </c>
      <c r="C2344" s="24" t="s">
        <v>9362</v>
      </c>
      <c r="D2344" s="24" t="s">
        <v>124</v>
      </c>
      <c r="E2344" s="24" t="s">
        <v>9363</v>
      </c>
      <c r="F2344" s="24" t="s">
        <v>59</v>
      </c>
      <c r="I2344" s="25"/>
    </row>
    <row r="2345">
      <c r="A2345" s="24" t="s">
        <v>9364</v>
      </c>
      <c r="B2345" s="24" t="s">
        <v>9365</v>
      </c>
      <c r="C2345" s="24" t="s">
        <v>9366</v>
      </c>
      <c r="D2345" s="24" t="s">
        <v>124</v>
      </c>
      <c r="E2345" s="24" t="s">
        <v>9367</v>
      </c>
      <c r="F2345" s="24" t="s">
        <v>59</v>
      </c>
      <c r="I2345" s="25"/>
    </row>
    <row r="2346">
      <c r="A2346" s="24" t="s">
        <v>9368</v>
      </c>
      <c r="B2346" s="24" t="s">
        <v>9369</v>
      </c>
      <c r="C2346" s="24" t="s">
        <v>9370</v>
      </c>
      <c r="D2346" s="24" t="s">
        <v>124</v>
      </c>
      <c r="E2346" s="24" t="s">
        <v>9371</v>
      </c>
      <c r="F2346" s="24" t="s">
        <v>59</v>
      </c>
      <c r="I2346" s="25"/>
    </row>
    <row r="2347">
      <c r="A2347" s="24" t="s">
        <v>9372</v>
      </c>
      <c r="B2347" s="24" t="s">
        <v>9373</v>
      </c>
      <c r="C2347" s="24" t="s">
        <v>9374</v>
      </c>
      <c r="D2347" s="24" t="s">
        <v>124</v>
      </c>
      <c r="E2347" s="24" t="s">
        <v>9375</v>
      </c>
      <c r="F2347" s="24" t="s">
        <v>59</v>
      </c>
      <c r="I2347" s="25"/>
    </row>
    <row r="2348">
      <c r="A2348" s="24" t="s">
        <v>9376</v>
      </c>
      <c r="B2348" s="24" t="s">
        <v>9377</v>
      </c>
      <c r="C2348" s="24" t="s">
        <v>9378</v>
      </c>
      <c r="D2348" s="24" t="s">
        <v>124</v>
      </c>
      <c r="E2348" s="24" t="s">
        <v>9379</v>
      </c>
      <c r="F2348" s="24" t="s">
        <v>59</v>
      </c>
      <c r="I2348" s="25"/>
    </row>
    <row r="2349">
      <c r="A2349" s="24" t="s">
        <v>9380</v>
      </c>
      <c r="B2349" s="24" t="s">
        <v>9381</v>
      </c>
      <c r="C2349" s="24" t="s">
        <v>9382</v>
      </c>
      <c r="D2349" s="24" t="s">
        <v>124</v>
      </c>
      <c r="E2349" s="24" t="s">
        <v>9383</v>
      </c>
      <c r="F2349" s="24" t="s">
        <v>59</v>
      </c>
      <c r="I2349" s="25"/>
    </row>
    <row r="2350">
      <c r="A2350" s="24" t="s">
        <v>9384</v>
      </c>
      <c r="B2350" s="24" t="s">
        <v>9385</v>
      </c>
      <c r="C2350" s="24" t="s">
        <v>9386</v>
      </c>
      <c r="D2350" s="24" t="s">
        <v>124</v>
      </c>
      <c r="E2350" s="24" t="s">
        <v>9387</v>
      </c>
      <c r="F2350" s="24" t="s">
        <v>59</v>
      </c>
      <c r="I2350" s="25"/>
    </row>
    <row r="2351">
      <c r="A2351" s="24" t="s">
        <v>9388</v>
      </c>
      <c r="B2351" s="24" t="s">
        <v>9389</v>
      </c>
      <c r="C2351" s="24" t="s">
        <v>9390</v>
      </c>
      <c r="D2351" s="24" t="s">
        <v>124</v>
      </c>
      <c r="E2351" s="24" t="s">
        <v>9391</v>
      </c>
      <c r="F2351" s="24" t="s">
        <v>59</v>
      </c>
      <c r="I2351" s="25"/>
    </row>
    <row r="2352">
      <c r="A2352" s="24" t="s">
        <v>9392</v>
      </c>
      <c r="B2352" s="24" t="s">
        <v>9393</v>
      </c>
      <c r="C2352" s="24" t="s">
        <v>9394</v>
      </c>
      <c r="D2352" s="24" t="s">
        <v>124</v>
      </c>
      <c r="E2352" s="24" t="s">
        <v>9395</v>
      </c>
      <c r="F2352" s="24" t="s">
        <v>59</v>
      </c>
      <c r="I2352" s="25"/>
    </row>
    <row r="2353">
      <c r="A2353" s="24" t="s">
        <v>9396</v>
      </c>
      <c r="B2353" s="24" t="s">
        <v>9397</v>
      </c>
      <c r="C2353" s="24" t="s">
        <v>9398</v>
      </c>
      <c r="D2353" s="24" t="s">
        <v>124</v>
      </c>
      <c r="E2353" s="24" t="s">
        <v>9399</v>
      </c>
      <c r="F2353" s="24" t="s">
        <v>59</v>
      </c>
      <c r="I2353" s="25"/>
    </row>
    <row r="2354">
      <c r="A2354" s="24" t="s">
        <v>9400</v>
      </c>
      <c r="B2354" s="24" t="s">
        <v>9401</v>
      </c>
      <c r="C2354" s="24" t="s">
        <v>9402</v>
      </c>
      <c r="D2354" s="24" t="s">
        <v>124</v>
      </c>
      <c r="E2354" s="24" t="s">
        <v>9403</v>
      </c>
      <c r="F2354" s="24" t="s">
        <v>59</v>
      </c>
      <c r="I2354" s="25"/>
    </row>
    <row r="2355">
      <c r="A2355" s="24" t="s">
        <v>9404</v>
      </c>
      <c r="B2355" s="24" t="s">
        <v>9405</v>
      </c>
      <c r="C2355" s="24" t="s">
        <v>9406</v>
      </c>
      <c r="D2355" s="24" t="s">
        <v>124</v>
      </c>
      <c r="E2355" s="24" t="s">
        <v>9407</v>
      </c>
      <c r="F2355" s="24" t="s">
        <v>59</v>
      </c>
      <c r="I2355" s="25"/>
    </row>
    <row r="2356">
      <c r="A2356" s="24" t="s">
        <v>9408</v>
      </c>
      <c r="B2356" s="24" t="s">
        <v>9409</v>
      </c>
      <c r="C2356" s="24" t="s">
        <v>9410</v>
      </c>
      <c r="D2356" s="24" t="s">
        <v>124</v>
      </c>
      <c r="E2356" s="24" t="s">
        <v>9411</v>
      </c>
      <c r="F2356" s="24" t="s">
        <v>59</v>
      </c>
      <c r="I2356" s="25"/>
    </row>
    <row r="2357">
      <c r="A2357" s="24" t="s">
        <v>9412</v>
      </c>
      <c r="B2357" s="24" t="s">
        <v>9413</v>
      </c>
      <c r="C2357" s="24" t="s">
        <v>9414</v>
      </c>
      <c r="D2357" s="24" t="s">
        <v>124</v>
      </c>
      <c r="E2357" s="24" t="s">
        <v>9415</v>
      </c>
      <c r="F2357" s="24" t="s">
        <v>59</v>
      </c>
      <c r="I2357" s="25"/>
    </row>
    <row r="2358">
      <c r="A2358" s="24" t="s">
        <v>9416</v>
      </c>
      <c r="B2358" s="24" t="s">
        <v>9417</v>
      </c>
      <c r="C2358" s="24" t="s">
        <v>9418</v>
      </c>
      <c r="D2358" s="24" t="s">
        <v>124</v>
      </c>
      <c r="E2358" s="24" t="s">
        <v>9419</v>
      </c>
      <c r="F2358" s="24" t="s">
        <v>59</v>
      </c>
      <c r="I2358" s="25"/>
    </row>
    <row r="2359">
      <c r="A2359" s="24" t="s">
        <v>9420</v>
      </c>
      <c r="B2359" s="24" t="s">
        <v>9421</v>
      </c>
      <c r="C2359" s="24" t="s">
        <v>9422</v>
      </c>
      <c r="D2359" s="24" t="s">
        <v>124</v>
      </c>
      <c r="E2359" s="24" t="s">
        <v>9423</v>
      </c>
      <c r="F2359" s="24" t="s">
        <v>59</v>
      </c>
      <c r="I2359" s="25"/>
    </row>
    <row r="2360">
      <c r="A2360" s="24" t="s">
        <v>9424</v>
      </c>
      <c r="B2360" s="24" t="s">
        <v>9425</v>
      </c>
      <c r="C2360" s="24" t="s">
        <v>9426</v>
      </c>
      <c r="D2360" s="24" t="s">
        <v>124</v>
      </c>
      <c r="E2360" s="24" t="s">
        <v>9427</v>
      </c>
      <c r="F2360" s="24" t="s">
        <v>59</v>
      </c>
      <c r="I2360" s="25"/>
    </row>
    <row r="2361">
      <c r="A2361" s="24" t="s">
        <v>9428</v>
      </c>
      <c r="B2361" s="24" t="s">
        <v>9429</v>
      </c>
      <c r="C2361" s="24" t="s">
        <v>9430</v>
      </c>
      <c r="D2361" s="24" t="s">
        <v>124</v>
      </c>
      <c r="E2361" s="24" t="s">
        <v>9431</v>
      </c>
      <c r="F2361" s="24" t="s">
        <v>59</v>
      </c>
      <c r="I2361" s="25"/>
    </row>
    <row r="2362">
      <c r="A2362" s="24" t="s">
        <v>9432</v>
      </c>
      <c r="B2362" s="24" t="s">
        <v>9433</v>
      </c>
      <c r="C2362" s="24" t="s">
        <v>9434</v>
      </c>
      <c r="D2362" s="24" t="s">
        <v>124</v>
      </c>
      <c r="E2362" s="24" t="s">
        <v>9435</v>
      </c>
      <c r="F2362" s="24" t="s">
        <v>59</v>
      </c>
      <c r="I2362" s="25"/>
    </row>
    <row r="2363">
      <c r="A2363" s="24" t="s">
        <v>9436</v>
      </c>
      <c r="B2363" s="24" t="s">
        <v>9437</v>
      </c>
      <c r="C2363" s="24" t="s">
        <v>9438</v>
      </c>
      <c r="D2363" s="24" t="s">
        <v>124</v>
      </c>
      <c r="E2363" s="24" t="s">
        <v>9439</v>
      </c>
      <c r="F2363" s="24" t="s">
        <v>59</v>
      </c>
      <c r="I2363" s="25"/>
    </row>
    <row r="2364">
      <c r="A2364" s="24" t="s">
        <v>9440</v>
      </c>
      <c r="B2364" s="24" t="s">
        <v>9441</v>
      </c>
      <c r="C2364" s="24" t="s">
        <v>9442</v>
      </c>
      <c r="D2364" s="24" t="s">
        <v>124</v>
      </c>
      <c r="E2364" s="24" t="s">
        <v>9443</v>
      </c>
      <c r="F2364" s="24" t="s">
        <v>59</v>
      </c>
      <c r="I2364" s="25"/>
    </row>
    <row r="2365">
      <c r="A2365" s="24" t="s">
        <v>9444</v>
      </c>
      <c r="B2365" s="24" t="s">
        <v>9445</v>
      </c>
      <c r="C2365" s="24" t="s">
        <v>9446</v>
      </c>
      <c r="D2365" s="24" t="s">
        <v>124</v>
      </c>
      <c r="E2365" s="24" t="s">
        <v>9447</v>
      </c>
      <c r="F2365" s="24" t="s">
        <v>59</v>
      </c>
      <c r="I2365" s="25"/>
    </row>
    <row r="2366">
      <c r="A2366" s="24" t="s">
        <v>9448</v>
      </c>
      <c r="B2366" s="24" t="s">
        <v>9449</v>
      </c>
      <c r="C2366" s="24" t="s">
        <v>9450</v>
      </c>
      <c r="D2366" s="24" t="s">
        <v>124</v>
      </c>
      <c r="E2366" s="24" t="s">
        <v>9451</v>
      </c>
      <c r="F2366" s="24" t="s">
        <v>59</v>
      </c>
      <c r="I2366" s="25"/>
    </row>
    <row r="2367">
      <c r="A2367" s="24" t="s">
        <v>9452</v>
      </c>
      <c r="B2367" s="24" t="s">
        <v>9453</v>
      </c>
      <c r="C2367" s="24" t="s">
        <v>9454</v>
      </c>
      <c r="D2367" s="24" t="s">
        <v>124</v>
      </c>
      <c r="E2367" s="24" t="s">
        <v>9455</v>
      </c>
      <c r="F2367" s="24" t="s">
        <v>59</v>
      </c>
      <c r="I2367" s="25"/>
    </row>
    <row r="2368">
      <c r="A2368" s="24" t="s">
        <v>9456</v>
      </c>
      <c r="B2368" s="24" t="s">
        <v>9457</v>
      </c>
      <c r="C2368" s="24" t="s">
        <v>9458</v>
      </c>
      <c r="D2368" s="24" t="s">
        <v>124</v>
      </c>
      <c r="E2368" s="24" t="s">
        <v>9459</v>
      </c>
      <c r="F2368" s="24" t="s">
        <v>59</v>
      </c>
      <c r="I2368" s="25"/>
    </row>
    <row r="2369">
      <c r="A2369" s="24" t="s">
        <v>9460</v>
      </c>
      <c r="B2369" s="24" t="s">
        <v>9461</v>
      </c>
      <c r="C2369" s="24" t="s">
        <v>9462</v>
      </c>
      <c r="D2369" s="24" t="s">
        <v>124</v>
      </c>
      <c r="E2369" s="24" t="s">
        <v>9463</v>
      </c>
      <c r="F2369" s="24" t="s">
        <v>59</v>
      </c>
      <c r="I2369" s="25"/>
    </row>
    <row r="2370">
      <c r="A2370" s="24" t="s">
        <v>9464</v>
      </c>
      <c r="B2370" s="24" t="s">
        <v>9465</v>
      </c>
      <c r="C2370" s="24" t="s">
        <v>9466</v>
      </c>
      <c r="D2370" s="24" t="s">
        <v>124</v>
      </c>
      <c r="E2370" s="24" t="s">
        <v>9467</v>
      </c>
      <c r="F2370" s="24" t="s">
        <v>59</v>
      </c>
      <c r="I2370" s="25"/>
    </row>
    <row r="2371">
      <c r="A2371" s="24" t="s">
        <v>9468</v>
      </c>
      <c r="B2371" s="24" t="s">
        <v>9469</v>
      </c>
      <c r="C2371" s="24" t="s">
        <v>9470</v>
      </c>
      <c r="D2371" s="24" t="s">
        <v>124</v>
      </c>
      <c r="E2371" s="24" t="s">
        <v>9471</v>
      </c>
      <c r="F2371" s="24" t="s">
        <v>59</v>
      </c>
      <c r="I2371" s="25"/>
    </row>
    <row r="2372">
      <c r="A2372" s="24" t="s">
        <v>9472</v>
      </c>
      <c r="B2372" s="24" t="s">
        <v>9473</v>
      </c>
      <c r="C2372" s="24" t="s">
        <v>9474</v>
      </c>
      <c r="D2372" s="24" t="s">
        <v>124</v>
      </c>
      <c r="E2372" s="24" t="s">
        <v>9475</v>
      </c>
      <c r="F2372" s="24" t="s">
        <v>59</v>
      </c>
      <c r="I2372" s="25"/>
    </row>
    <row r="2373">
      <c r="A2373" s="24" t="s">
        <v>9476</v>
      </c>
      <c r="B2373" s="24" t="s">
        <v>9477</v>
      </c>
      <c r="C2373" s="24" t="s">
        <v>9478</v>
      </c>
      <c r="D2373" s="24" t="s">
        <v>124</v>
      </c>
      <c r="E2373" s="24" t="s">
        <v>9479</v>
      </c>
      <c r="F2373" s="24" t="s">
        <v>59</v>
      </c>
      <c r="I2373" s="25"/>
    </row>
    <row r="2374">
      <c r="A2374" s="24" t="s">
        <v>9480</v>
      </c>
      <c r="B2374" s="24" t="s">
        <v>9481</v>
      </c>
      <c r="C2374" s="24" t="s">
        <v>9482</v>
      </c>
      <c r="D2374" s="24" t="s">
        <v>124</v>
      </c>
      <c r="E2374" s="24" t="s">
        <v>9483</v>
      </c>
      <c r="F2374" s="24" t="s">
        <v>59</v>
      </c>
      <c r="I2374" s="25"/>
    </row>
    <row r="2375">
      <c r="A2375" s="24" t="s">
        <v>9484</v>
      </c>
      <c r="B2375" s="24" t="s">
        <v>9485</v>
      </c>
      <c r="C2375" s="24" t="s">
        <v>9486</v>
      </c>
      <c r="D2375" s="24" t="s">
        <v>124</v>
      </c>
      <c r="E2375" s="24" t="s">
        <v>9487</v>
      </c>
      <c r="F2375" s="24" t="s">
        <v>59</v>
      </c>
      <c r="I2375" s="25"/>
    </row>
    <row r="2376">
      <c r="A2376" s="24" t="s">
        <v>9488</v>
      </c>
      <c r="B2376" s="24" t="s">
        <v>9489</v>
      </c>
      <c r="C2376" s="24" t="s">
        <v>9490</v>
      </c>
      <c r="D2376" s="24" t="s">
        <v>124</v>
      </c>
      <c r="E2376" s="24" t="s">
        <v>9491</v>
      </c>
      <c r="F2376" s="24" t="s">
        <v>59</v>
      </c>
      <c r="I2376" s="25"/>
    </row>
    <row r="2377">
      <c r="A2377" s="24" t="s">
        <v>9492</v>
      </c>
      <c r="B2377" s="24" t="s">
        <v>9493</v>
      </c>
      <c r="C2377" s="24" t="s">
        <v>9494</v>
      </c>
      <c r="D2377" s="24" t="s">
        <v>124</v>
      </c>
      <c r="E2377" s="24" t="s">
        <v>9495</v>
      </c>
      <c r="F2377" s="24" t="s">
        <v>59</v>
      </c>
      <c r="I2377" s="25"/>
    </row>
    <row r="2378">
      <c r="A2378" s="24" t="s">
        <v>9496</v>
      </c>
      <c r="B2378" s="24" t="s">
        <v>9497</v>
      </c>
      <c r="C2378" s="24" t="s">
        <v>9498</v>
      </c>
      <c r="D2378" s="24" t="s">
        <v>124</v>
      </c>
      <c r="E2378" s="24" t="s">
        <v>9499</v>
      </c>
      <c r="F2378" s="24" t="s">
        <v>59</v>
      </c>
      <c r="I2378" s="25"/>
    </row>
    <row r="2379">
      <c r="A2379" s="24" t="s">
        <v>9500</v>
      </c>
      <c r="B2379" s="24" t="s">
        <v>9501</v>
      </c>
      <c r="C2379" s="24" t="s">
        <v>9502</v>
      </c>
      <c r="D2379" s="24" t="s">
        <v>124</v>
      </c>
      <c r="E2379" s="24" t="s">
        <v>9503</v>
      </c>
      <c r="F2379" s="24" t="s">
        <v>59</v>
      </c>
      <c r="I2379" s="25"/>
    </row>
    <row r="2380">
      <c r="A2380" s="24" t="s">
        <v>9504</v>
      </c>
      <c r="B2380" s="24" t="s">
        <v>9505</v>
      </c>
      <c r="C2380" s="24" t="s">
        <v>9506</v>
      </c>
      <c r="D2380" s="24" t="s">
        <v>124</v>
      </c>
      <c r="E2380" s="24" t="s">
        <v>9507</v>
      </c>
      <c r="F2380" s="24" t="s">
        <v>59</v>
      </c>
      <c r="I2380" s="25"/>
    </row>
    <row r="2381">
      <c r="A2381" s="24" t="s">
        <v>9508</v>
      </c>
      <c r="B2381" s="24" t="s">
        <v>9509</v>
      </c>
      <c r="C2381" s="24" t="s">
        <v>9510</v>
      </c>
      <c r="D2381" s="24" t="s">
        <v>124</v>
      </c>
      <c r="E2381" s="24" t="s">
        <v>9511</v>
      </c>
      <c r="F2381" s="24" t="s">
        <v>59</v>
      </c>
      <c r="I2381" s="25"/>
    </row>
    <row r="2382">
      <c r="A2382" s="24" t="s">
        <v>9512</v>
      </c>
      <c r="B2382" s="24" t="s">
        <v>9513</v>
      </c>
      <c r="C2382" s="24" t="s">
        <v>9514</v>
      </c>
      <c r="D2382" s="24" t="s">
        <v>124</v>
      </c>
      <c r="E2382" s="24" t="s">
        <v>9515</v>
      </c>
      <c r="F2382" s="24" t="s">
        <v>59</v>
      </c>
      <c r="I2382" s="25"/>
    </row>
    <row r="2383">
      <c r="A2383" s="24" t="s">
        <v>9516</v>
      </c>
      <c r="B2383" s="24" t="s">
        <v>9517</v>
      </c>
      <c r="C2383" s="24" t="s">
        <v>9518</v>
      </c>
      <c r="D2383" s="24" t="s">
        <v>124</v>
      </c>
      <c r="E2383" s="24" t="s">
        <v>9519</v>
      </c>
      <c r="F2383" s="24" t="s">
        <v>59</v>
      </c>
      <c r="I2383" s="25"/>
    </row>
    <row r="2384">
      <c r="A2384" s="24" t="s">
        <v>9520</v>
      </c>
      <c r="B2384" s="24" t="s">
        <v>9521</v>
      </c>
      <c r="C2384" s="24" t="s">
        <v>9522</v>
      </c>
      <c r="D2384" s="24" t="s">
        <v>124</v>
      </c>
      <c r="E2384" s="24" t="s">
        <v>9523</v>
      </c>
      <c r="F2384" s="24" t="s">
        <v>59</v>
      </c>
      <c r="I2384" s="25"/>
    </row>
    <row r="2385">
      <c r="A2385" s="24" t="s">
        <v>9524</v>
      </c>
      <c r="B2385" s="24" t="s">
        <v>9525</v>
      </c>
      <c r="C2385" s="24" t="s">
        <v>9526</v>
      </c>
      <c r="D2385" s="24" t="s">
        <v>124</v>
      </c>
      <c r="E2385" s="24" t="s">
        <v>9527</v>
      </c>
      <c r="F2385" s="24" t="s">
        <v>59</v>
      </c>
      <c r="I2385" s="25"/>
    </row>
    <row r="2386">
      <c r="A2386" s="24" t="s">
        <v>9528</v>
      </c>
      <c r="B2386" s="24" t="s">
        <v>9529</v>
      </c>
      <c r="C2386" s="24" t="s">
        <v>9530</v>
      </c>
      <c r="D2386" s="24" t="s">
        <v>124</v>
      </c>
      <c r="E2386" s="24" t="s">
        <v>9531</v>
      </c>
      <c r="F2386" s="24" t="s">
        <v>59</v>
      </c>
      <c r="I2386" s="25"/>
    </row>
    <row r="2387">
      <c r="A2387" s="24" t="s">
        <v>9532</v>
      </c>
      <c r="B2387" s="24" t="s">
        <v>9533</v>
      </c>
      <c r="C2387" s="24" t="s">
        <v>9534</v>
      </c>
      <c r="D2387" s="24" t="s">
        <v>124</v>
      </c>
      <c r="E2387" s="24" t="s">
        <v>9535</v>
      </c>
      <c r="F2387" s="24" t="s">
        <v>59</v>
      </c>
      <c r="I2387" s="25"/>
    </row>
    <row r="2388">
      <c r="A2388" s="24" t="s">
        <v>9536</v>
      </c>
      <c r="B2388" s="24" t="s">
        <v>9537</v>
      </c>
      <c r="C2388" s="24" t="s">
        <v>9538</v>
      </c>
      <c r="D2388" s="24" t="s">
        <v>124</v>
      </c>
      <c r="E2388" s="24" t="s">
        <v>9539</v>
      </c>
      <c r="F2388" s="24" t="s">
        <v>59</v>
      </c>
      <c r="I2388" s="25"/>
    </row>
    <row r="2389">
      <c r="A2389" s="24" t="s">
        <v>9540</v>
      </c>
      <c r="B2389" s="24" t="s">
        <v>9541</v>
      </c>
      <c r="C2389" s="24" t="s">
        <v>9542</v>
      </c>
      <c r="D2389" s="24" t="s">
        <v>124</v>
      </c>
      <c r="E2389" s="24" t="s">
        <v>9543</v>
      </c>
      <c r="F2389" s="24" t="s">
        <v>59</v>
      </c>
      <c r="I2389" s="25"/>
    </row>
    <row r="2390">
      <c r="A2390" s="24" t="s">
        <v>9544</v>
      </c>
      <c r="B2390" s="24" t="s">
        <v>9545</v>
      </c>
      <c r="C2390" s="24" t="s">
        <v>9546</v>
      </c>
      <c r="D2390" s="24" t="s">
        <v>124</v>
      </c>
      <c r="E2390" s="24" t="s">
        <v>9547</v>
      </c>
      <c r="F2390" s="24" t="s">
        <v>59</v>
      </c>
      <c r="I2390" s="25"/>
    </row>
    <row r="2391">
      <c r="A2391" s="24" t="s">
        <v>9548</v>
      </c>
      <c r="B2391" s="24" t="s">
        <v>9549</v>
      </c>
      <c r="C2391" s="24" t="s">
        <v>9550</v>
      </c>
      <c r="D2391" s="24" t="s">
        <v>124</v>
      </c>
      <c r="E2391" s="24" t="s">
        <v>9551</v>
      </c>
      <c r="F2391" s="24" t="s">
        <v>59</v>
      </c>
      <c r="I2391" s="25"/>
    </row>
    <row r="2392">
      <c r="A2392" s="24" t="s">
        <v>9552</v>
      </c>
      <c r="B2392" s="24" t="s">
        <v>9553</v>
      </c>
      <c r="C2392" s="24" t="s">
        <v>9554</v>
      </c>
      <c r="D2392" s="24" t="s">
        <v>124</v>
      </c>
      <c r="E2392" s="24" t="s">
        <v>9555</v>
      </c>
      <c r="F2392" s="24" t="s">
        <v>59</v>
      </c>
      <c r="I2392" s="25"/>
    </row>
    <row r="2393">
      <c r="A2393" s="24" t="s">
        <v>9556</v>
      </c>
      <c r="B2393" s="24" t="s">
        <v>9557</v>
      </c>
      <c r="C2393" s="24" t="s">
        <v>9558</v>
      </c>
      <c r="D2393" s="24" t="s">
        <v>124</v>
      </c>
      <c r="E2393" s="24" t="s">
        <v>9559</v>
      </c>
      <c r="F2393" s="24" t="s">
        <v>59</v>
      </c>
      <c r="I2393" s="25"/>
    </row>
    <row r="2394">
      <c r="A2394" s="24" t="s">
        <v>9560</v>
      </c>
      <c r="B2394" s="24" t="s">
        <v>9561</v>
      </c>
      <c r="C2394" s="24" t="s">
        <v>9562</v>
      </c>
      <c r="D2394" s="24" t="s">
        <v>124</v>
      </c>
      <c r="E2394" s="24" t="s">
        <v>9563</v>
      </c>
      <c r="F2394" s="24" t="s">
        <v>59</v>
      </c>
      <c r="I2394" s="25"/>
    </row>
    <row r="2395">
      <c r="A2395" s="24" t="s">
        <v>9564</v>
      </c>
      <c r="B2395" s="24" t="s">
        <v>9565</v>
      </c>
      <c r="C2395" s="24" t="s">
        <v>9566</v>
      </c>
      <c r="D2395" s="24" t="s">
        <v>124</v>
      </c>
      <c r="E2395" s="24" t="s">
        <v>9567</v>
      </c>
      <c r="F2395" s="24" t="s">
        <v>59</v>
      </c>
      <c r="I2395" s="25"/>
    </row>
    <row r="2396">
      <c r="A2396" s="24" t="s">
        <v>9568</v>
      </c>
      <c r="B2396" s="24" t="s">
        <v>9569</v>
      </c>
      <c r="C2396" s="24" t="s">
        <v>9570</v>
      </c>
      <c r="D2396" s="24" t="s">
        <v>124</v>
      </c>
      <c r="E2396" s="24" t="s">
        <v>9571</v>
      </c>
      <c r="F2396" s="24" t="s">
        <v>59</v>
      </c>
      <c r="I2396" s="25"/>
    </row>
    <row r="2397">
      <c r="A2397" s="24" t="s">
        <v>9572</v>
      </c>
      <c r="B2397" s="24" t="s">
        <v>9573</v>
      </c>
      <c r="C2397" s="24" t="s">
        <v>9574</v>
      </c>
      <c r="D2397" s="24" t="s">
        <v>124</v>
      </c>
      <c r="E2397" s="24" t="s">
        <v>9575</v>
      </c>
      <c r="F2397" s="24" t="s">
        <v>59</v>
      </c>
      <c r="I2397" s="25"/>
    </row>
    <row r="2398">
      <c r="A2398" s="24" t="s">
        <v>9576</v>
      </c>
      <c r="B2398" s="24" t="s">
        <v>9577</v>
      </c>
      <c r="C2398" s="24" t="s">
        <v>9578</v>
      </c>
      <c r="D2398" s="24" t="s">
        <v>124</v>
      </c>
      <c r="E2398" s="24" t="s">
        <v>9579</v>
      </c>
      <c r="F2398" s="24" t="s">
        <v>59</v>
      </c>
      <c r="I2398" s="25"/>
    </row>
    <row r="2399">
      <c r="A2399" s="24" t="s">
        <v>9580</v>
      </c>
      <c r="B2399" s="24" t="s">
        <v>9581</v>
      </c>
      <c r="C2399" s="24" t="s">
        <v>9582</v>
      </c>
      <c r="D2399" s="24" t="s">
        <v>124</v>
      </c>
      <c r="E2399" s="24" t="s">
        <v>9583</v>
      </c>
      <c r="F2399" s="24" t="s">
        <v>59</v>
      </c>
      <c r="I2399" s="25"/>
    </row>
    <row r="2400">
      <c r="A2400" s="24" t="s">
        <v>9584</v>
      </c>
      <c r="B2400" s="24" t="s">
        <v>9585</v>
      </c>
      <c r="C2400" s="24" t="s">
        <v>9586</v>
      </c>
      <c r="D2400" s="24" t="s">
        <v>124</v>
      </c>
      <c r="E2400" s="24" t="s">
        <v>9587</v>
      </c>
      <c r="F2400" s="24" t="s">
        <v>59</v>
      </c>
      <c r="I2400" s="25"/>
    </row>
    <row r="2401">
      <c r="A2401" s="24" t="s">
        <v>9588</v>
      </c>
      <c r="B2401" s="24" t="s">
        <v>9589</v>
      </c>
      <c r="C2401" s="24" t="s">
        <v>9590</v>
      </c>
      <c r="D2401" s="24" t="s">
        <v>124</v>
      </c>
      <c r="E2401" s="24" t="s">
        <v>9591</v>
      </c>
      <c r="F2401" s="24" t="s">
        <v>59</v>
      </c>
      <c r="I2401" s="25"/>
    </row>
    <row r="2402">
      <c r="A2402" s="24" t="s">
        <v>9592</v>
      </c>
      <c r="B2402" s="24" t="s">
        <v>9593</v>
      </c>
      <c r="C2402" s="24" t="s">
        <v>9594</v>
      </c>
      <c r="D2402" s="24" t="s">
        <v>124</v>
      </c>
      <c r="E2402" s="24" t="s">
        <v>9595</v>
      </c>
      <c r="F2402" s="24" t="s">
        <v>59</v>
      </c>
      <c r="I2402" s="25"/>
    </row>
    <row r="2403">
      <c r="A2403" s="24" t="s">
        <v>9596</v>
      </c>
      <c r="B2403" s="24" t="s">
        <v>9597</v>
      </c>
      <c r="C2403" s="24" t="s">
        <v>9598</v>
      </c>
      <c r="D2403" s="24" t="s">
        <v>124</v>
      </c>
      <c r="E2403" s="24" t="s">
        <v>9599</v>
      </c>
      <c r="F2403" s="24" t="s">
        <v>59</v>
      </c>
      <c r="I2403" s="25"/>
    </row>
    <row r="2404">
      <c r="A2404" s="24" t="s">
        <v>9600</v>
      </c>
      <c r="B2404" s="24" t="s">
        <v>9601</v>
      </c>
      <c r="C2404" s="24" t="s">
        <v>9602</v>
      </c>
      <c r="D2404" s="24" t="s">
        <v>124</v>
      </c>
      <c r="E2404" s="24" t="s">
        <v>9603</v>
      </c>
      <c r="F2404" s="24" t="s">
        <v>59</v>
      </c>
      <c r="I2404" s="25"/>
    </row>
    <row r="2405">
      <c r="A2405" s="24" t="s">
        <v>9604</v>
      </c>
      <c r="B2405" s="24" t="s">
        <v>9605</v>
      </c>
      <c r="C2405" s="24" t="s">
        <v>9606</v>
      </c>
      <c r="D2405" s="24" t="s">
        <v>124</v>
      </c>
      <c r="E2405" s="24" t="s">
        <v>9607</v>
      </c>
      <c r="F2405" s="24" t="s">
        <v>59</v>
      </c>
      <c r="I2405" s="25"/>
    </row>
    <row r="2406">
      <c r="A2406" s="24" t="s">
        <v>9608</v>
      </c>
      <c r="B2406" s="24" t="s">
        <v>9609</v>
      </c>
      <c r="C2406" s="24" t="s">
        <v>9610</v>
      </c>
      <c r="D2406" s="24" t="s">
        <v>124</v>
      </c>
      <c r="E2406" s="24" t="s">
        <v>9611</v>
      </c>
      <c r="F2406" s="24" t="s">
        <v>59</v>
      </c>
      <c r="I2406" s="25"/>
    </row>
    <row r="2407">
      <c r="A2407" s="24" t="s">
        <v>9612</v>
      </c>
      <c r="B2407" s="24" t="s">
        <v>9613</v>
      </c>
      <c r="C2407" s="24" t="s">
        <v>9614</v>
      </c>
      <c r="D2407" s="24" t="s">
        <v>134</v>
      </c>
      <c r="E2407" s="24" t="s">
        <v>9615</v>
      </c>
      <c r="F2407" s="24" t="s">
        <v>59</v>
      </c>
      <c r="I2407" s="25"/>
    </row>
    <row r="2408">
      <c r="A2408" s="24" t="s">
        <v>9616</v>
      </c>
      <c r="B2408" s="24" t="s">
        <v>9617</v>
      </c>
      <c r="C2408" s="24" t="s">
        <v>9618</v>
      </c>
      <c r="D2408" s="24" t="s">
        <v>129</v>
      </c>
      <c r="E2408" s="24" t="s">
        <v>9619</v>
      </c>
      <c r="F2408" s="24" t="s">
        <v>59</v>
      </c>
      <c r="I2408" s="25"/>
    </row>
    <row r="2409">
      <c r="A2409" s="24" t="s">
        <v>9620</v>
      </c>
      <c r="B2409" s="24" t="s">
        <v>9621</v>
      </c>
      <c r="C2409" s="24" t="s">
        <v>9622</v>
      </c>
      <c r="D2409" s="24" t="s">
        <v>129</v>
      </c>
      <c r="E2409" s="24" t="s">
        <v>9623</v>
      </c>
      <c r="F2409" s="24" t="s">
        <v>59</v>
      </c>
      <c r="I2409" s="25"/>
    </row>
    <row r="2410">
      <c r="A2410" s="24" t="s">
        <v>9624</v>
      </c>
      <c r="B2410" s="24" t="s">
        <v>9625</v>
      </c>
      <c r="C2410" s="24" t="s">
        <v>9626</v>
      </c>
      <c r="D2410" s="24" t="s">
        <v>124</v>
      </c>
      <c r="E2410" s="24" t="s">
        <v>9627</v>
      </c>
      <c r="F2410" s="24" t="s">
        <v>59</v>
      </c>
      <c r="I2410" s="25"/>
    </row>
    <row r="2411">
      <c r="A2411" s="24" t="s">
        <v>9628</v>
      </c>
      <c r="B2411" s="24" t="s">
        <v>9629</v>
      </c>
      <c r="C2411" s="24" t="s">
        <v>9630</v>
      </c>
      <c r="D2411" s="24" t="s">
        <v>124</v>
      </c>
      <c r="E2411" s="24" t="s">
        <v>9631</v>
      </c>
      <c r="F2411" s="24" t="s">
        <v>59</v>
      </c>
      <c r="I2411" s="25"/>
    </row>
    <row r="2412">
      <c r="A2412" s="24" t="s">
        <v>9632</v>
      </c>
      <c r="B2412" s="24" t="s">
        <v>9633</v>
      </c>
      <c r="C2412" s="24" t="s">
        <v>9634</v>
      </c>
      <c r="D2412" s="24" t="s">
        <v>129</v>
      </c>
      <c r="E2412" s="24" t="s">
        <v>9635</v>
      </c>
      <c r="F2412" s="24" t="s">
        <v>59</v>
      </c>
      <c r="I2412" s="25"/>
    </row>
    <row r="2413">
      <c r="A2413" s="24" t="s">
        <v>9636</v>
      </c>
      <c r="B2413" s="24" t="s">
        <v>9637</v>
      </c>
      <c r="C2413" s="24" t="s">
        <v>9638</v>
      </c>
      <c r="D2413" s="24" t="s">
        <v>124</v>
      </c>
      <c r="E2413" s="24" t="s">
        <v>9639</v>
      </c>
      <c r="F2413" s="24" t="s">
        <v>59</v>
      </c>
      <c r="I2413" s="25"/>
    </row>
    <row r="2414">
      <c r="A2414" s="24" t="s">
        <v>9640</v>
      </c>
      <c r="B2414" s="24" t="s">
        <v>9641</v>
      </c>
      <c r="C2414" s="24" t="s">
        <v>9642</v>
      </c>
      <c r="D2414" s="24" t="s">
        <v>124</v>
      </c>
      <c r="E2414" s="24" t="s">
        <v>9643</v>
      </c>
      <c r="F2414" s="24" t="s">
        <v>59</v>
      </c>
      <c r="I2414" s="25"/>
    </row>
    <row r="2415">
      <c r="A2415" s="24" t="s">
        <v>9644</v>
      </c>
      <c r="B2415" s="24" t="s">
        <v>9645</v>
      </c>
      <c r="C2415" s="24" t="s">
        <v>9646</v>
      </c>
      <c r="D2415" s="24" t="s">
        <v>264</v>
      </c>
      <c r="E2415" s="24" t="s">
        <v>9647</v>
      </c>
      <c r="F2415" s="24" t="s">
        <v>59</v>
      </c>
      <c r="I2415" s="25"/>
    </row>
    <row r="2416">
      <c r="A2416" s="24" t="s">
        <v>9648</v>
      </c>
      <c r="B2416" s="24" t="s">
        <v>9649</v>
      </c>
      <c r="C2416" s="24" t="s">
        <v>9650</v>
      </c>
      <c r="D2416" s="24" t="s">
        <v>134</v>
      </c>
      <c r="E2416" s="24" t="s">
        <v>9651</v>
      </c>
      <c r="F2416" s="24" t="s">
        <v>59</v>
      </c>
      <c r="I2416" s="25"/>
    </row>
    <row r="2417">
      <c r="A2417" s="24" t="s">
        <v>9652</v>
      </c>
      <c r="B2417" s="24" t="s">
        <v>9653</v>
      </c>
      <c r="C2417" s="24" t="s">
        <v>9654</v>
      </c>
      <c r="D2417" s="24" t="s">
        <v>124</v>
      </c>
      <c r="E2417" s="24" t="s">
        <v>9655</v>
      </c>
      <c r="F2417" s="24" t="s">
        <v>59</v>
      </c>
      <c r="I2417" s="25"/>
    </row>
    <row r="2418">
      <c r="A2418" s="24" t="s">
        <v>9656</v>
      </c>
      <c r="B2418" s="24" t="s">
        <v>9657</v>
      </c>
      <c r="C2418" s="24" t="s">
        <v>9658</v>
      </c>
      <c r="D2418" s="24" t="s">
        <v>129</v>
      </c>
      <c r="E2418" s="24" t="s">
        <v>9659</v>
      </c>
      <c r="F2418" s="24" t="s">
        <v>59</v>
      </c>
      <c r="I2418" s="25"/>
    </row>
    <row r="2419">
      <c r="A2419" s="24" t="s">
        <v>9660</v>
      </c>
      <c r="B2419" s="24" t="s">
        <v>9661</v>
      </c>
      <c r="C2419" s="24" t="s">
        <v>9662</v>
      </c>
      <c r="D2419" s="24" t="s">
        <v>129</v>
      </c>
      <c r="E2419" s="24" t="s">
        <v>9663</v>
      </c>
      <c r="F2419" s="24" t="s">
        <v>59</v>
      </c>
      <c r="I2419" s="25"/>
    </row>
    <row r="2420">
      <c r="I2420" s="25"/>
    </row>
    <row r="2421">
      <c r="I2421" s="25"/>
    </row>
    <row r="2422">
      <c r="I2422" s="25"/>
    </row>
    <row r="2423">
      <c r="I2423" s="25"/>
    </row>
    <row r="2424">
      <c r="I2424" s="25"/>
    </row>
    <row r="2425">
      <c r="I2425" s="25"/>
    </row>
    <row r="2426">
      <c r="I2426" s="25"/>
    </row>
    <row r="2427">
      <c r="I2427" s="25"/>
    </row>
    <row r="2428">
      <c r="I2428" s="25"/>
    </row>
    <row r="2429">
      <c r="I2429" s="25"/>
    </row>
    <row r="2430">
      <c r="I2430" s="25"/>
    </row>
    <row r="2431">
      <c r="I2431" s="25"/>
    </row>
    <row r="2432">
      <c r="I2432" s="25"/>
    </row>
    <row r="2433">
      <c r="I2433" s="25"/>
    </row>
    <row r="2434">
      <c r="I2434" s="25"/>
    </row>
    <row r="2435">
      <c r="I2435" s="25"/>
    </row>
    <row r="2436">
      <c r="I2436" s="25"/>
    </row>
    <row r="2437">
      <c r="I2437" s="25"/>
    </row>
    <row r="2438">
      <c r="I2438" s="25"/>
    </row>
    <row r="2439">
      <c r="I2439" s="25"/>
    </row>
    <row r="2440">
      <c r="I2440" s="25"/>
    </row>
    <row r="2441">
      <c r="I2441" s="25"/>
    </row>
    <row r="2442">
      <c r="I2442" s="25"/>
    </row>
    <row r="2443">
      <c r="I2443" s="25"/>
    </row>
    <row r="2444">
      <c r="I2444" s="25"/>
    </row>
    <row r="2445">
      <c r="I2445" s="25"/>
    </row>
    <row r="2446">
      <c r="I2446" s="25"/>
    </row>
    <row r="2447">
      <c r="I2447" s="25"/>
    </row>
    <row r="2448">
      <c r="I2448" s="25"/>
    </row>
    <row r="2449">
      <c r="I2449" s="25"/>
    </row>
    <row r="2450">
      <c r="I2450" s="25"/>
    </row>
    <row r="2451">
      <c r="I2451" s="25"/>
    </row>
    <row r="2452">
      <c r="I2452" s="25"/>
    </row>
  </sheetData>
  <autoFilter ref="$A$1:$F$2419">
    <sortState ref="A1:F2419">
      <sortCondition ref="E1:E2419"/>
      <sortCondition ref="B1:B2419"/>
    </sortState>
  </autoFilter>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tr">
        <f>IFERROR(__xludf.DUMMYFUNCTION("IMPORTRANGE(""https://docs.google.com/spreadsheets/d/1i7gJWq-Vkok4uc2shCm_g5mgXDarHCEMAwV5eTwavro/edit?gid=370827714#gid=370827714"", ""Serving - Screening!A:F"")"),"Article Title")</f>
        <v>Article Title</v>
      </c>
      <c r="B1" s="24" t="str">
        <f>IFERROR(__xludf.DUMMYFUNCTION("""COMPUTED_VALUE"""),"Abstract")</f>
        <v>Abstract</v>
      </c>
      <c r="C1" s="24" t="str">
        <f>IFERROR(__xludf.DUMMYFUNCTION("""COMPUTED_VALUE"""),"DOI")</f>
        <v>DOI</v>
      </c>
      <c r="D1" s="24" t="str">
        <f>IFERROR(__xludf.DUMMYFUNCTION("""COMPUTED_VALUE"""),"source")</f>
        <v>source</v>
      </c>
      <c r="E1" s="24" t="str">
        <f>IFERROR(__xludf.DUMMYFUNCTION("""COMPUTED_VALUE"""),"UT (Unique WOS ID)")</f>
        <v>UT (Unique WOS ID)</v>
      </c>
      <c r="F1" s="24" t="str">
        <f>IFERROR(__xludf.DUMMYFUNCTION("""COMPUTED_VALUE"""),"eligibility")</f>
        <v>eligibility</v>
      </c>
    </row>
    <row r="2">
      <c r="A2" s="24" t="str">
        <f>IFERROR(__xludf.DUMMYFUNCTION("""COMPUTED_VALUE"""),"Random and systematic land-cover transitions in northern Ghana")</f>
        <v>Random and systematic land-cover transitions in northern Ghana</v>
      </c>
      <c r="B2" s="24" t="str">
        <f>IFERROR(__xludf.DUMMYFUNCTION("""COMPUTED_VALUE"""),"The objective of this paper is to detect the dominant landscape changes in a 5400 km(2) area in northern Ghana. An in-depth analysis of the conventional transition matrix was used to separate landscape transformations to random and systematic transitions."&amp;" A landscape transition is random if a land-cover category gains from other categories in proportion to the availability of those other losing categories, or if a category loses to other categories in proportion to the size of those other gaining categori"&amp;"es. Any large deviation from those proportions is refer-red to as systematic transition. The highest systematic transition involved the conversion of about 12% of landscape from grassland to cropland. Other systematic landscape transitions included degrad"&amp;"ation of closed woodland to open woodland (11% of landscape), gain in biomass from open woodland to closed woodland (8% of landscape), and the degradation of open woodland to grassland (6% of landscape). The vulnerability of grassland to transition to cro"&amp;"pland probably reflects the ease of clearing grassland compared to other natural vegetation. Cropland systematically avoided gaining from woodland and woodland systematically avoided losing to cropland, suggesting that woodcutting for charcoal and firewoo"&amp;"d collection is the major proximate cause of decline in woodland. Most of the random landscape transitions occurred in areas affected by spontaneous occupation by migrants, peri-urban cropland expansion as a result of displacement of farmers, and the rese"&amp;"ttlement of households along the White Volta River after the eradication of water-borne diseases. It is essential to combine systematic and random landscape change analyses for improved understanding of the processes of land use change. This will help in "&amp;"linking patterns to processes and in designing policy interventions aimed at reducing the unfavorable effects of dramatic land change. (c) 2005 Elsevier B.V. All rights reserved.")</f>
        <v>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v>
      </c>
      <c r="C2" s="24" t="str">
        <f>IFERROR(__xludf.DUMMYFUNCTION("""COMPUTED_VALUE"""),"10.1016/j.agee.2005.10.019")</f>
        <v>10.1016/j.agee.2005.10.019</v>
      </c>
      <c r="D2" s="24" t="str">
        <f>IFERROR(__xludf.DUMMYFUNCTION("""COMPUTED_VALUE"""),"Jaureguiberry et al")</f>
        <v>Jaureguiberry et al</v>
      </c>
      <c r="E2" s="24" t="str">
        <f>IFERROR(__xludf.DUMMYFUNCTION("""COMPUTED_VALUE"""),"WOS:000235765100023")</f>
        <v>WOS:000235765100023</v>
      </c>
      <c r="F2" s="24" t="str">
        <f>IFERROR(__xludf.DUMMYFUNCTION("""COMPUTED_VALUE"""),"[""ELIGIBLE""]")</f>
        <v>["ELIGIBLE"]</v>
      </c>
    </row>
    <row r="3">
      <c r="A3" s="24" t="str">
        <f>IFERROR(__xludf.DUMMYFUNCTION("""COMPUTED_VALUE"""),"Drivers of Wetland Conversion: a Global Meta-Analysis")</f>
        <v>Drivers of Wetland Conversion: a Global Meta-Analysis</v>
      </c>
      <c r="B3" s="24" t="str">
        <f>IFERROR(__xludf.DUMMYFUNCTION("""COMPUTED_VALUE"""),"Meta-analysis of case studies has become an important tool for synthesizing case study findings in land change. Meta-analyses of deforestation, urbanization, desertification and change in shifting cultivation systems have been published. This present stud"&amp;"y adds to this literature, with an analysis of the proximate causes and underlying forces of wetland conversion at a global scale using two complementary approaches of systematic review. Firstly, a meta-analysis of 105 case-study papers describing wetland"&amp;" conversion was performed, showing that different combinations of multiple-factor proximate causes, and underlying forces, drive wetland conversion. Agricultural development has been the main proximate cause of wetland conversion, and economic growth and "&amp;"population density are the most frequently identified underlying forces. Secondly, to add a more quantitative component to the study, a logistic meta-regression analysis was performed to estimate the likelihood of wetland conversion worldwide, using globa"&amp;"lly-consistent biophysical and socioeconomic location factor maps. Significant factors explaining wetland conversion, in order of importance, are market influence, total wetland area (lower conversion probability), mean annual temperature and cropland or "&amp;"built-up area. The regression analyses results support the outcomes of the meta-analysis of the processes of conversion mentioned in the individual case studies. In other meta-analyses of land change, similar factors (e. g., agricultural development, popu"&amp;"lation growth, market/economic factors) are also identified as important causes of various types of land change (e. g., deforestation, desertification). Meta-analysis helps to identify commonalities across the various local case studies and identify which"&amp;" variables may lead to individual cases to behave differently. The meta-regression provides maps indicating the likelihood of wetland conversion worldwide based on the location factors that have determined historic conversions.")</f>
        <v>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v>
      </c>
      <c r="C3" s="24" t="str">
        <f>IFERROR(__xludf.DUMMYFUNCTION("""COMPUTED_VALUE"""),"10.1371/journal.pone.0081292")</f>
        <v>10.1371/journal.pone.0081292</v>
      </c>
      <c r="D3" s="24" t="str">
        <f>IFERROR(__xludf.DUMMYFUNCTION("""COMPUTED_VALUE"""),"Jaureguiberry et al")</f>
        <v>Jaureguiberry et al</v>
      </c>
      <c r="E3" s="24" t="str">
        <f>IFERROR(__xludf.DUMMYFUNCTION("""COMPUTED_VALUE"""),"WOS:000327543500082")</f>
        <v>WOS:000327543500082</v>
      </c>
      <c r="F3" s="24" t="str">
        <f>IFERROR(__xludf.DUMMYFUNCTION("""COMPUTED_VALUE"""),"[""ELIGIBLE""]")</f>
        <v>["ELIGIBLE"]</v>
      </c>
    </row>
    <row r="4">
      <c r="A4" s="24" t="str">
        <f>IFERROR(__xludf.DUMMYFUNCTION("""COMPUTED_VALUE"""),"Cumulative effects of roads and logging on landscape structure in the San Juan Mountains, Colorado (USA)")</f>
        <v>Cumulative effects of roads and logging on landscape structure in the San Juan Mountains, Colorado (USA)</v>
      </c>
      <c r="B4" s="24" t="str">
        <f>IFERROR(__xludf.DUMMYFUNCTION("""COMPUTED_VALUE"""),"In the southern Rocky Mountains of temperate North America, the effects of Euro-American activities on disturbance regimes and landscape patterns have been less ubiquitous and less straightforward in high-elevation landscapes than in low-elevation landsca"&amp;"pes. Despite apparently little change in the natural disturbance regime, there is increasing concern that forest management activities related mainly to timber harvest and to the extensive network of roads constructed to support timber harvest, fire contr"&amp;"ol, and recreation since the late 1800s have altered disturbance regimes and landscape structure. We investigated the magnitude of change in landscape structure resulting from roads and logging since the onset of timber harvest activities in 1950. We foun"&amp;"d limited evidence for significant impacts in our study area when all lands within the landscape were considered. The relatively minor changes we observed reflected the vast buffering capacity of the large proportion of lands managed for purposes other th"&amp;"an timber (e.g., wilderness). Significant changes in landscape structure and fragmentation of mature forest were, however, evident on lands designated as suitable timberlands. Roughly half of the mature coniferous forest was converted to young stands; mea"&amp;"n patch size and core area declined by 40% and 25%, respectively, and contrast-weighted edge density increased 2- to 3-fold. Overall, roads had a greater impact on landscape structure than logging in our study area. Indeed, the 3-fold increase in road den"&amp;"sity between 1950-1993 accounted for most of the changes in landscape configuration associated with mean patch size, edge density, and core area. The extent of area evaluated and the period over which change was evaluated had a large impact on the magnitu"&amp;"de of change detected and our conclusions regarding the ecological significance of those changes. Specifically, the cumulative impact on landscape structure was negligible over a 10-year period, but was notable over a 40-year period. In addition, the magn"&amp;"itude of change in landscape structure between 1950-1993 varied as a function of landscape extent. At the scale of the 228 000 ha landscape, change in landscape structure was trivial, suggesting that the landscape was capable of fully incorporating the di"&amp;"sturbances with minimal impact. However, at intermediate scales of 1000-10 000 ha landscapes, change in landscape structure was quite evident, suggesting that there may be an optimal range of scales for detecting changes in landscape structure within the "&amp;"study area.")</f>
        <v>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v>
      </c>
      <c r="C4" s="24" t="str">
        <f>IFERROR(__xludf.DUMMYFUNCTION("""COMPUTED_VALUE"""),"10.1023/A:1011185409347")</f>
        <v>10.1023/A:1011185409347</v>
      </c>
      <c r="D4" s="24" t="str">
        <f>IFERROR(__xludf.DUMMYFUNCTION("""COMPUTED_VALUE"""),"Jaureguiberry et al")</f>
        <v>Jaureguiberry et al</v>
      </c>
      <c r="E4" s="24" t="str">
        <f>IFERROR(__xludf.DUMMYFUNCTION("""COMPUTED_VALUE"""),"WOS:000169516300004")</f>
        <v>WOS:000169516300004</v>
      </c>
      <c r="F4" s="24" t="str">
        <f>IFERROR(__xludf.DUMMYFUNCTION("""COMPUTED_VALUE"""),"[""ELIGIBLE""]")</f>
        <v>["ELIGIBLE"]</v>
      </c>
    </row>
    <row r="5">
      <c r="A5" s="24" t="str">
        <f>IFERROR(__xludf.DUMMYFUNCTION("""COMPUTED_VALUE"""),"Hotspots of human-induced biomass productivity decline and their social-ecological types toward supporting national policy and local studies on combating land degradation")</f>
        <v>Hotspots of human-induced biomass productivity decline and their social-ecological types toward supporting national policy and local studies on combating land degradation</v>
      </c>
      <c r="B5" s="24" t="str">
        <f>IFERROR(__xludf.DUMMYFUNCTION("""COMPUTED_VALUE"""),"Identification and social-ecological characterization of areas that experience high levels of persistent productivity decline are essential for planning appropriate management measures. Although land degradation is mainly induced by human actions, the phe"&amp;"nomenon is concurrently influenced by global climate changes that need to be taken into account in land degradation assessments. This study aims to delineate the geographic hotspots of human-induced land degradation in the country and classify the social-"&amp;"ecological characterizations of each specific degradation hotspot type. The research entailed a long-term time-series (1982-2006) of Normalized Difference Vegetation Index to specify the extents of areas with significant biomass decline or increase in Vie"&amp;"tnam. Annual rainfall and temperature time-series were then used to separate areas of human-induced biomass productivity decline from those driven by climate dynamics. Next, spatial cluster analyses identified social-ecological types of degradation for gu"&amp;"iding further investigations at regional and local scales. The results show that about 19% of the national land mass experienced persistent declines in biomass productivity over the last 25 years. Most of the degraded areas are found in the Southeast and "&amp;"Mekong River Delta (17,984 km(2)), Northwest Mountains (14,336 km(2)), and Central Highlands (13,504 km(2)). We identified six and five social-ecological types of degradation hotspots in agricultural and forested zones, respectively. Constraints in soil n"&amp;"utrient availability and nutrient retention capability are widely spreading in all degradation hotspot types. These hotspot types are different from each other in social and ecological conditions, suggesting that region-specific strategies are needed for "&amp;"the formulation of land degradation combating policy. (C) 2014 Elsevier B.V. All rights reserved.")</f>
        <v>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v>
      </c>
      <c r="C5" s="24" t="str">
        <f>IFERROR(__xludf.DUMMYFUNCTION("""COMPUTED_VALUE"""),"10.1016/j.gloplacha.2014.07.007")</f>
        <v>10.1016/j.gloplacha.2014.07.007</v>
      </c>
      <c r="D5" s="24" t="str">
        <f>IFERROR(__xludf.DUMMYFUNCTION("""COMPUTED_VALUE"""),"Jaureguiberry et al")</f>
        <v>Jaureguiberry et al</v>
      </c>
      <c r="E5" s="24" t="str">
        <f>IFERROR(__xludf.DUMMYFUNCTION("""COMPUTED_VALUE"""),"WOS:000341558700007")</f>
        <v>WOS:000341558700007</v>
      </c>
      <c r="F5" s="24" t="str">
        <f>IFERROR(__xludf.DUMMYFUNCTION("""COMPUTED_VALUE"""),"[""ELIGIBLE""]")</f>
        <v>["ELIGIBLE"]</v>
      </c>
    </row>
    <row r="6">
      <c r="A6" s="24" t="str">
        <f>IFERROR(__xludf.DUMMYFUNCTION("""COMPUTED_VALUE"""),"Roles of climate changes and human interventions in land degradation: a case study by net primary productivity analysis in China's Shiyanghe Basin")</f>
        <v>Roles of climate changes and human interventions in land degradation: a case study by net primary productivity analysis in China's Shiyanghe Basin</v>
      </c>
      <c r="B6" s="24" t="str">
        <f>IFERROR(__xludf.DUMMYFUNCTION("""COMPUTED_VALUE"""),"The Thornthwaite Memorial, Synthetic, and Carnegie Ames Stanford Approach (CASA) models, with inputs from SPOT-VGT-S10 NDVI data, meteorological data (precipitation, temperature, solar radiation), and land use data were used to estimate the values of net "&amp;"primary productivity (NPP) from 1999 to 2007 in China's Shiyanghe Basin. The human appropriation of NPP, which represents the difference between potential NPP predicted using the climatic models and actual NPP calculated using the CASA model, served as th"&amp;"e indicator of human intervention in the evolution of productivity of the land. Analysis showed that 78.9% (similar to 9,172 km(2)) of the degradation occurring in the Shiyanghe Basin was caused by human activities versus 15.0% (similar to 1,752 km(2)) th"&amp;"at was caused by climatic factors, whereas 16.9% (similar to 6,404.5 km(2)) of the vegetation restoration resulted from human activities versus 49.7% (similar to 18,881 km(2)) that resulted from climate changes. Human activity played a key role in vegetat"&amp;"ion restoration in the central areas of the basin and in determining land degradation in the southwestern and northeastern areas. In addition, climate significantly controlled the vegetation restoration in the southwestern and northeastern areas and contr"&amp;"olled land degradation in the central area.")</f>
        <v>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v>
      </c>
      <c r="C6" s="24" t="str">
        <f>IFERROR(__xludf.DUMMYFUNCTION("""COMPUTED_VALUE"""),"10.1007/s12665-011-1046-4")</f>
        <v>10.1007/s12665-011-1046-4</v>
      </c>
      <c r="D6" s="24" t="str">
        <f>IFERROR(__xludf.DUMMYFUNCTION("""COMPUTED_VALUE"""),"Jaureguiberry et al")</f>
        <v>Jaureguiberry et al</v>
      </c>
      <c r="E6" s="24" t="str">
        <f>IFERROR(__xludf.DUMMYFUNCTION("""COMPUTED_VALUE"""),"WOS:000297165900017")</f>
        <v>WOS:000297165900017</v>
      </c>
      <c r="F6" s="24" t="str">
        <f>IFERROR(__xludf.DUMMYFUNCTION("""COMPUTED_VALUE"""),"[""ELIGIBLE""]")</f>
        <v>["ELIGIBLE"]</v>
      </c>
    </row>
    <row r="7">
      <c r="A7" s="24" t="str">
        <f>IFERROR(__xludf.DUMMYFUNCTION("""COMPUTED_VALUE"""),"Effects of ecological restoration-induced land-use change and improved management on grassland net primary productivity in the Shiyanghe River Basin, north-west China")</f>
        <v>Effects of ecological restoration-induced land-use change and improved management on grassland net primary productivity in the Shiyanghe River Basin, north-west China</v>
      </c>
      <c r="B7" s="24" t="str">
        <f>IFERROR(__xludf.DUMMYFUNCTION("""COMPUTED_VALUE"""),"To address severe grassland degradation, the Chinese government implemented national restoration programmes, which in turn drove a research focus towards assessment of the environmental effectiveness of such initiatives. In this study, net primary product"&amp;"ivity (NPP) was used as an indicator for assessing the impacts of land use and cover change (LUCC), improved land-use management and climate change on the grassland ecosystem of the Shiyanghe River Basin. NPP was calculated on the basis of the Carnegie-Am"&amp;"es-Stanford Approach model, which is driven by a Moderate Resolution Imaging Spectroradiometer (MODIS) normalized difference vegetation index and meteorological data. The LUCC data for 2001 and 2009 were derived from MODIS land-cover data. During the stud"&amp;"y period, the net increase in grassland development was 51055km(2), with 804% of the newly developed grasslands attributed to desert-to-grassland conversion. The total NPP of grasslands in 2009 increased by 65962Gg C compared with that in 2001. The contri"&amp;"butions of human activity and climate change to total NPP increase were 133 and -33% respectively. Land conversion and improved management measures directly increased grassland NPP. These factors are dominant positive driving forces, whereas warm and dry "&amp;"climates impose adverse effects on grassland restoration in the study site.")</f>
        <v>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v>
      </c>
      <c r="C7" s="24" t="str">
        <f>IFERROR(__xludf.DUMMYFUNCTION("""COMPUTED_VALUE"""),"10.1111/gfs.12073")</f>
        <v>10.1111/gfs.12073</v>
      </c>
      <c r="D7" s="24" t="str">
        <f>IFERROR(__xludf.DUMMYFUNCTION("""COMPUTED_VALUE"""),"Jaureguiberry et al")</f>
        <v>Jaureguiberry et al</v>
      </c>
      <c r="E7" s="24" t="str">
        <f>IFERROR(__xludf.DUMMYFUNCTION("""COMPUTED_VALUE"""),"WOS:000343754300004")</f>
        <v>WOS:000343754300004</v>
      </c>
      <c r="F7" s="24" t="str">
        <f>IFERROR(__xludf.DUMMYFUNCTION("""COMPUTED_VALUE"""),"[""ELIGIBLE""]")</f>
        <v>["ELIGIBLE"]</v>
      </c>
    </row>
    <row r="8">
      <c r="A8" s="24" t="str">
        <f>IFERROR(__xludf.DUMMYFUNCTION("""COMPUTED_VALUE"""),"Estimating California ecosystem carbon change using process model and land cover disturbance data: 1951-2000")</f>
        <v>Estimating California ecosystem carbon change using process model and land cover disturbance data: 1951-2000</v>
      </c>
      <c r="B8" s="24" t="str">
        <f>IFERROR(__xludf.DUMMYFUNCTION("""COMPUTED_VALUE"""),"Land use change, natural disturbance, and climate change directly alter ecosystem productivity and carbon stock level. The estimation of ecosystem carbon dynamics depends on the quality of land cover change data and the effectiveness of the ecosystem mode"&amp;"ls that represent the vegetation growth processes and disturbance effects. We used the Integrated Biosphere Simulator (IBIS) and a set of 30- to 60-m resolution fire and land cover change data to examine the carbon changes of California's forests, shrubla"&amp;"nds, and grasslands. Simulation results indicate that during 1951-2000, the net primary productivity (NPP) increased by 7%, from 72.2 to 77.1 Tg C yr(-1) (1 teragram = 10(12) g), mainly due to CO2 fertilization, since the climate hardly changed during thi"&amp;"s period. Similarly, heterotrophic respiration increased by 5%, from 69.4 to 73.1 Tg Cyr(-1), mainly due to increased forest soil carbon and temperature. Net ecosystem production (NEP) was highly variable in the 50-year period but on average equalled 3.0 "&amp;"Tg C yr(-1) (total of 149 Tg C). As with NEP, the net biome production (NBP) was also highly variable but averaged -0.55 Tg C yr(-1) (total of -27.3 Tg C) because NBP in the 1980s was very low (-5.34 Tg C yr(-1)). During the study period, a total of 126 T"&amp;"g carbon were removed by logging and land use change, and 50 Tg carbon were directly removed by wildland fires. For carbon pools, the estimated total living upper canopy (tree) biomass decreased from 928 to 834 Tg C, and the understory (including shrub an"&amp;"d grass) biomass increased from 59 to 63 Tg C. Soil carbon and dead biomass carbon increased from 1136 to 1197 Tg C. Our analyses suggest that both natural and human processes have significant influence on the carbon change in California. During 1951-2000"&amp;", climate interannual variability was the key driving force for the large interannual changes of ecosystem carbon source and sink at the state level, while logging and fire were the dominant driving forces for carbon balances in several specific ecoregion"&amp;"s. From a long-term perspective. CO2 fertilization plays a key role in maintaining higher NPP. However, our study shows that the increase in C sequestration by CO2 fertilization is largely offset by logging/land use change and wildland fires. (C) 2011 Els"&amp;"evier B.V. All rights reserved.")</f>
        <v>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v>
      </c>
      <c r="C8" s="24" t="str">
        <f>IFERROR(__xludf.DUMMYFUNCTION("""COMPUTED_VALUE"""),"10.1016/j.ecolmodel.2011.03.042")</f>
        <v>10.1016/j.ecolmodel.2011.03.042</v>
      </c>
      <c r="D8" s="24" t="str">
        <f>IFERROR(__xludf.DUMMYFUNCTION("""COMPUTED_VALUE"""),"Jaureguiberry et al")</f>
        <v>Jaureguiberry et al</v>
      </c>
      <c r="E8" s="24" t="str">
        <f>IFERROR(__xludf.DUMMYFUNCTION("""COMPUTED_VALUE"""),"WOS:000293038700014")</f>
        <v>WOS:000293038700014</v>
      </c>
      <c r="F8" s="24" t="str">
        <f>IFERROR(__xludf.DUMMYFUNCTION("""COMPUTED_VALUE"""),"[""ELIGIBLE""]")</f>
        <v>["ELIGIBLE"]</v>
      </c>
    </row>
    <row r="9">
      <c r="A9" s="24" t="str">
        <f>IFERROR(__xludf.DUMMYFUNCTION("""COMPUTED_VALUE"""),"Assessing the impact of restoration-induced land conversion and management alternatives on net primary productivity in Inner Mongolian grassland, China")</f>
        <v>Assessing the impact of restoration-induced land conversion and management alternatives on net primary productivity in Inner Mongolian grassland, China</v>
      </c>
      <c r="B9" s="24" t="str">
        <f>IFERROR(__xludf.DUMMYFUNCTION("""COMPUTED_VALUE"""),"To address severe grassland degradation problems, China has been implementing a number of national restoration programs, whose significant environmental effect has attracted the attention of many researchers. In this paper, land use and cover change (LUCC"&amp;") in the Inner Mongolia grassland and the consequent change in net primary productivity (NPP) were studied by combining the land use data of the study area for 2001 and 2009 derived from the MODIS global land cover product and the CASA (Carnegie-Ames-Stan"&amp;"ford Approach) model driven with MODIS-NDVI data. The results indicate that the area of Inner Mongolia grassland had a net increase of 77,993 km(2) during the study period, which was mainly attributed to the conversion from desert and cropland. The total "&amp;"NPP of Inner Mongolia grassland increased by 29,432.71 Gg C yr(-1) during 2001-2009, of which the human activities and climate change were responsible for 80.23% and 19.77%, respectively. Land conversion and improved management increased grassland NPP dir"&amp;"ectly, and the ecological restoration conducted by large-scale conservation programs could be the intrinsic driving force for this change. (C) 2013 Elsevier B.V. All rights reserved.")</f>
        <v>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v>
      </c>
      <c r="C9" s="24" t="str">
        <f>IFERROR(__xludf.DUMMYFUNCTION("""COMPUTED_VALUE"""),"10.1016/j.gloplacha.2013.06.007")</f>
        <v>10.1016/j.gloplacha.2013.06.007</v>
      </c>
      <c r="D9" s="24" t="str">
        <f>IFERROR(__xludf.DUMMYFUNCTION("""COMPUTED_VALUE"""),"Jaureguiberry et al")</f>
        <v>Jaureguiberry et al</v>
      </c>
      <c r="E9" s="24" t="str">
        <f>IFERROR(__xludf.DUMMYFUNCTION("""COMPUTED_VALUE"""),"WOS:000323470800003")</f>
        <v>WOS:000323470800003</v>
      </c>
      <c r="F9" s="24" t="str">
        <f>IFERROR(__xludf.DUMMYFUNCTION("""COMPUTED_VALUE"""),"[""ELIGIBLE""]")</f>
        <v>["ELIGIBLE"]</v>
      </c>
    </row>
    <row r="10">
      <c r="A10" s="24" t="str">
        <f>IFERROR(__xludf.DUMMYFUNCTION("""COMPUTED_VALUE"""),"Desertification dynamic and the relative roles of climate change and human activities in desertification in the Heihe River Basin based on NPP")</f>
        <v>Desertification dynamic and the relative roles of climate change and human activities in desertification in the Heihe River Basin based on NPP</v>
      </c>
      <c r="B10" s="24" t="str">
        <f>IFERROR(__xludf.DUMMYFUNCTION("""COMPUTED_VALUE"""),"Relative roles of climate change and human activities in desertification are the hotspot of research on desertification dynamic and its driving mechanism. To overcome the shortcomings of existing studies, this paper selected net primary productivity (NPP)"&amp;" as an indicator to analyze desertification dynamic and its impact factors. In addition, the change trends of actual NPP, potential NPP and HNPP (human appropriation of NPP, the difference between potential NPP and actual NPP) were used to analyze the des"&amp;"ertification dynamic and calculate the relative roles of climate change, human activities and a combination of the two factors in desertification. In this study, the Moderate Resolution Imaging Spectroradiometer (MODIS)-Normalised Difference Vegetation In"&amp;"dex (NDVI) and meteorological data were utilized to drive the Carnegie-Ames-Stanford Approach (CASA) model to calculate the actual NPP from 2001 to 2010 in the Heihe River Basin. Potential NPP was estimated using the Thornthwaite Memorial model. Results s"&amp;"howed that 61% of the whole basin area underwent land degradation, of which 90.5% was caused by human activities, 8.6% by climate change, and 0.9% by a combination of the two factors. On the contrary, 1.5% of desertification reversion area was caused by h"&amp;"uman activities and 90.7% by climate change, the rest 7.8% by a combination of the two factors. Moreover, it was demonstrated that 95.9% of the total actual NPP decrease was induced by human activities, while 69.3% of the total actual NPP increase was cau"&amp;"sed by climate change. The results revealed that climate change dominated desertification reversion, while human activities dominated desertification expansion. Moreover, the relative roles of both climate change and human activities in desertification po"&amp;"ssessed great spatial heterogeneity. Additionally, ecological protection policies should be enhanced in the Heihe River Basin to prevent desertification expansion under the condition of climate change.")</f>
        <v>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v>
      </c>
      <c r="C10" s="24" t="str">
        <f>IFERROR(__xludf.DUMMYFUNCTION("""COMPUTED_VALUE"""),"10.1007/s40333-013-0181-z")</f>
        <v>10.1007/s40333-013-0181-z</v>
      </c>
      <c r="D10" s="24" t="str">
        <f>IFERROR(__xludf.DUMMYFUNCTION("""COMPUTED_VALUE"""),"Jaureguiberry et al")</f>
        <v>Jaureguiberry et al</v>
      </c>
      <c r="E10" s="24" t="str">
        <f>IFERROR(__xludf.DUMMYFUNCTION("""COMPUTED_VALUE"""),"WOS:000321558700006")</f>
        <v>WOS:000321558700006</v>
      </c>
      <c r="F10" s="24" t="str">
        <f>IFERROR(__xludf.DUMMYFUNCTION("""COMPUTED_VALUE"""),"[""ELIGIBLE""]")</f>
        <v>["ELIGIBLE"]</v>
      </c>
    </row>
    <row r="11">
      <c r="A11" s="24" t="str">
        <f>IFERROR(__xludf.DUMMYFUNCTION("""COMPUTED_VALUE"""),"Habitat change mediates the response of coral reef fish populations to terrestrial run-off")</f>
        <v>Habitat change mediates the response of coral reef fish populations to terrestrial run-off</v>
      </c>
      <c r="B11" s="24" t="str">
        <f>IFERROR(__xludf.DUMMYFUNCTION("""COMPUTED_VALUE"""),"Coastal fish populations are typically threatened by multiple human activities, including fishing pressure and run-off of terrestrial pollution. Linking multiple threats to their impacts on fish populations is challenging because the threats may influence"&amp;" a species directly, or indirectly, via its habitats and its interactions with other species. Here we examine spatial variation in abundance of coral reef fish across gradients of fishing pressure and turbidity in Fiji. We explicitly account for multiple "&amp;"pathways of influence to test the alternative hypotheses that (1) habitat moderates predation by providing shelter, so habitat loss only affects prey fish populations if there are abundant predators, (2) habitat change co-drives biomass of both prey and p"&amp;"redator functional groups. We examined responses of 7 fish functional groups and found that habitat change co-drives both predator and prey responses to turbidity. Abundances of all functional groups were associated with changes in habitat cover; however,"&amp;" the responses of their habitats to turbidity were mixed. Planktivore and piscivore abundance were lower in areas of high turbidity, because cover of their preferred habitats was lower. Invertivore, browser and grazer abundance did not change strongly ove"&amp;"r the turbidity gradient, because different components of their habitats exhibited both increases and decreases with turbidity. The effects of turbidity on fish populations were minor in areas where fish populations were already depleted by fishing. These"&amp;" findings suggest that terrestrial run-off modifies the composition of reef fish communities indirectly by affecting the benthic habitats that reef fish use.")</f>
        <v>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v>
      </c>
      <c r="C11" s="24" t="str">
        <f>IFERROR(__xludf.DUMMYFUNCTION("""COMPUTED_VALUE"""),"10.3354/meps12221")</f>
        <v>10.3354/meps12221</v>
      </c>
      <c r="D11" s="24" t="str">
        <f>IFERROR(__xludf.DUMMYFUNCTION("""COMPUTED_VALUE"""),"Jaureguiberry et al")</f>
        <v>Jaureguiberry et al</v>
      </c>
      <c r="E11" s="24" t="str">
        <f>IFERROR(__xludf.DUMMYFUNCTION("""COMPUTED_VALUE"""),"WOS:000407443900005")</f>
        <v>WOS:000407443900005</v>
      </c>
      <c r="F11" s="24" t="str">
        <f>IFERROR(__xludf.DUMMYFUNCTION("""COMPUTED_VALUE"""),"[""ELIGIBLE""]")</f>
        <v>["ELIGIBLE"]</v>
      </c>
    </row>
    <row r="12">
      <c r="A12" s="24" t="str">
        <f>IFERROR(__xludf.DUMMYFUNCTION("""COMPUTED_VALUE"""),"The impact of climate change and anthropogenic activities on alpine grassland over the Qinghai-Tibet Plateau")</f>
        <v>The impact of climate change and anthropogenic activities on alpine grassland over the Qinghai-Tibet Plateau</v>
      </c>
      <c r="B12" s="24" t="str">
        <f>IFERROR(__xludf.DUMMYFUNCTION("""COMPUTED_VALUE"""),"Climate change and anthropogenic activities are two factors that have important effects on the carbon cycle of terrestrial ecosystems, but it is almost impossible to fully separate them at present. This study used process-based terrestrial ecosystem model"&amp;" to stimulate the potential climate-driven alpine grassland net primary production (NPP), and Carnegie-Ames-Stanford Approach based on remote sensing to stimulate actual alpine grassland NPP influenced by both of climate change and anthropogenic activitie"&amp;"s over the Qinghai-Tibet plateau (QTP) from 1982 to 2011. After the models were systematically calibrated, the simulations were validated with continuous 3-year paired field sample data, which were separately collected in fenced and open grasslands. We th"&amp;"en simulated the human-induced NPP, calculated as the difference between potential and actual NPP, to determine the effect of anthropogenic activities on the alpine grassland ecosystem. The simulation results showed that the climate change and anthropogen"&amp;"ic activities mainly drove the actual grassland NPP increasing in the first 20-year and the last 10-year respectively, the area percentage of actual grassland NPP change caused by climate change declined from 79.62% in the period of 1982-2001 to 56.59% ov"&amp;"er the last 10 years; but the percentage change resulting from human activities doubled from 20.16% to 42.98% in the same periods over the QTP. The effect of human activities on the alpine grassland ecosystem obviously intensified in the latter period com"&amp;"pared with the former 20 years, so the negative effect caused by climate change to ecosystem could have been relatively mitigated or offset over the QTP in the last ten years. (C) 2014 Elsevier B.V. All rights reserved.")</f>
        <v>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v>
      </c>
      <c r="C12" s="24" t="str">
        <f>IFERROR(__xludf.DUMMYFUNCTION("""COMPUTED_VALUE"""),"10.1016/j.agrformet.2014.01.002")</f>
        <v>10.1016/j.agrformet.2014.01.002</v>
      </c>
      <c r="D12" s="24" t="str">
        <f>IFERROR(__xludf.DUMMYFUNCTION("""COMPUTED_VALUE"""),"Jaureguiberry et al")</f>
        <v>Jaureguiberry et al</v>
      </c>
      <c r="E12" s="24" t="str">
        <f>IFERROR(__xludf.DUMMYFUNCTION("""COMPUTED_VALUE"""),"WOS:000333852900003")</f>
        <v>WOS:000333852900003</v>
      </c>
      <c r="F12" s="24" t="str">
        <f>IFERROR(__xludf.DUMMYFUNCTION("""COMPUTED_VALUE"""),"[""ELIGIBLE""]")</f>
        <v>["ELIGIBLE"]</v>
      </c>
    </row>
    <row r="13">
      <c r="A13" s="24" t="str">
        <f>IFERROR(__xludf.DUMMYFUNCTION("""COMPUTED_VALUE"""),"Decline in top predator body size and changing climate alter trophic structure in an oceanic ecosystem")</f>
        <v>Decline in top predator body size and changing climate alter trophic structure in an oceanic ecosystem</v>
      </c>
      <c r="B13" s="24" t="str">
        <f>IFERROR(__xludf.DUMMYFUNCTION("""COMPUTED_VALUE"""),"Globally, overfishing large-bodied groundfish populations has resulted in substantial increases in their prey populations. Where it has been examined, the effects of overfishing have cascaded down the food chain. In an intensively fished area on the weste"&amp;"rn Scotian Shelf, Northwest Atlantic, the biomass of prey species increased exponentially (doubling time of 11 years) even though the aggregate biomass of their predators remained stable over 38 years. Concomitant reductions in herbivorous zooplankton and"&amp;" increases in phytoplankton were also evident. This anomalous trophic pattern led us to examine how declines in predator body size (approx. 60% in body mass since the early 1970s) and climatic regime influenced lower trophic levels. The increase in prey b"&amp;"iomass was associated primarily with declines in predator body size and secondarily to an increase in stratification. Sea surface temperature and predator biomass had no influence. A regression model explained 65 per cent of prey biomass variability. Trai"&amp;"t-mediated effects, namely a reduction in predator size, resulted in a weakening of top predation pressure. Increased stratification may have enhanced growing conditions for prey fish. Size-selective harvesting under changing climatic conditions initiated"&amp;" a trophic restructuring of the food chain, the effects of which may have influenced three trophic levels.")</f>
        <v>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v>
      </c>
      <c r="C13" s="24" t="str">
        <f>IFERROR(__xludf.DUMMYFUNCTION("""COMPUTED_VALUE"""),"10.1098/rspb.2009.1020")</f>
        <v>10.1098/rspb.2009.1020</v>
      </c>
      <c r="D13" s="24" t="str">
        <f>IFERROR(__xludf.DUMMYFUNCTION("""COMPUTED_VALUE"""),"Jaureguiberry et al")</f>
        <v>Jaureguiberry et al</v>
      </c>
      <c r="E13" s="24" t="str">
        <f>IFERROR(__xludf.DUMMYFUNCTION("""COMPUTED_VALUE"""),"WOS:000276003400008")</f>
        <v>WOS:000276003400008</v>
      </c>
      <c r="F13" s="24" t="str">
        <f>IFERROR(__xludf.DUMMYFUNCTION("""COMPUTED_VALUE"""),"[""ELIGIBLE""]")</f>
        <v>["ELIGIBLE"]</v>
      </c>
    </row>
    <row r="14">
      <c r="A14" s="24" t="str">
        <f>IFERROR(__xludf.DUMMYFUNCTION("""COMPUTED_VALUE"""),"Dynamic of grassland vegetation degradation and its quantitative assessment in the northwest China")</f>
        <v>Dynamic of grassland vegetation degradation and its quantitative assessment in the northwest China</v>
      </c>
      <c r="B14" s="24" t="str">
        <f>IFERROR(__xludf.DUMMYFUNCTION("""COMPUTED_VALUE"""),"Grasslands, one of the most widespread land cover types in China, are of great importance to natural environmental protection and socioeconomic development. An accurate quantitative assessment of the effects of inter-annual climate change and human activi"&amp;"ties on grassland productivity has great theoretical significance to understanding the driving mechanisms of grassland degradation. Net primary productivity (NPP) was selected as an indicator for analyzing grassland vegetation dynamics from 2001 to 2010. "&amp;"Potential NPP and the difference between potential NPP and actual NPP were used to represent the effects of climate and human factors, respectively, on grassland degradation. The results showed that 61.49% of grassland areas underwent degradation, whereas"&amp;" only 38.51% exhibited restoration. In addition, 65.75% of grassland degradation was caused by human activities whereas 19.94% was caused by inter-annual climate change. By contrast, 32.32% of grassland restoration was caused by human activities, whereas "&amp;"56.56% was caused by climatic factors. Therefore, inter-annual climate change is the primary cause of grassland restoration, whereas human activities are the primary cause of grassland degradation. Grassland dynamics and the relative roles of climate and "&amp;"human factors in grassland degradation and restoration varied greatly across the five provinces studied. The contribution of human activities to grassland degradation was greater than that of climate change in all five provinces. Three outcomes were obser"&amp;"ved in grassland restoration: First, the contribution of climate to grassland restoration was greater than that of human activities, particularly in Qinghai, Inner Mongolia, and Xinjiang. Second, the contribution of human activities to grassland restorati"&amp;"on was greater than that of climate in Gansu. Third, the two factors almost equally contributed to grassland restoration in Tibet. Therefore, the effectiveness of ecological restoration programs should be enhanced whenever climate change promotes grasslan"&amp;"d restoration. (C) 2014 Elsevier Masson SAS. All rights reserved.")</f>
        <v>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v>
      </c>
      <c r="C14" s="24" t="str">
        <f>IFERROR(__xludf.DUMMYFUNCTION("""COMPUTED_VALUE"""),"10.1016/j.actao.2013.12.006")</f>
        <v>10.1016/j.actao.2013.12.006</v>
      </c>
      <c r="D14" s="24" t="str">
        <f>IFERROR(__xludf.DUMMYFUNCTION("""COMPUTED_VALUE"""),"Jaureguiberry et al")</f>
        <v>Jaureguiberry et al</v>
      </c>
      <c r="E14" s="24" t="str">
        <f>IFERROR(__xludf.DUMMYFUNCTION("""COMPUTED_VALUE"""),"WOS:000331773100012")</f>
        <v>WOS:000331773100012</v>
      </c>
      <c r="F14" s="24" t="str">
        <f>IFERROR(__xludf.DUMMYFUNCTION("""COMPUTED_VALUE"""),"[""ELIGIBLE""]")</f>
        <v>["ELIGIBLE"]</v>
      </c>
    </row>
    <row r="15">
      <c r="A15" s="24" t="str">
        <f>IFERROR(__xludf.DUMMYFUNCTION("""COMPUTED_VALUE"""),"Satellite Monitoring the Spatial-Temporal Dynamics of Desertification in Response to Climate Change and Human Activities across the Ordos Plateau, China")</f>
        <v>Satellite Monitoring the Spatial-Temporal Dynamics of Desertification in Response to Climate Change and Human Activities across the Ordos Plateau, China</v>
      </c>
      <c r="B15" s="24" t="str">
        <f>IFERROR(__xludf.DUMMYFUNCTION("""COMPUTED_VALUE"""),"The Ordos Plateau, a typical semi-arid area in northern China, has experienced severe wind erosion events that have stripped the agriculturally important finer fraction of the topsoil and caused dust events that often impact the air quality in northern Ch"&amp;"ina and the surrounding regions. Both climate change and human activities have been considered key factors in the desertification process. This study used multi-spectral Landsat Thematic Mapper (TM), Enhanced Thematic Mapper Plus (ETM+) and Operational La"&amp;"nd Imager (OLI) remote sensing data collected in 2000, 2006, 2010 and 2015 to generate a temporal series of the modified soil-adjusted vegetation index (MSAVI), bare soil index (BSI) and albedo products in the Ordos Plateau. Based on these satellite produ"&amp;"cts and the decision tree method, we quantitatively assessed the desertification status over the past 15 years since 2000. Furthermore, a quantitative method was used to assess the roles of driving forces in desertification dynamics using net primary prod"&amp;"uctivity (NPP) as a commensurable indicator. The results showed that the area of non-desertification land increased from 6647 km(2) in 2000 to 15,961 km(2) in 2015, while the area of severe desertification land decreased from 16,161 km(2) in 2000 to 8,331"&amp;" km(2) in 2015. During the period 2006-2015, the effect of human activities, especially the ecological recovery projects implemented in northern China, was the main cause of desertification reversion in this region. Therefore, ecological recovery projects"&amp;" are still required to promote harmonious development between nature and human society in ecologically fragile regions like the Ordos Plateau.")</f>
        <v>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v>
      </c>
      <c r="C15" s="24" t="str">
        <f>IFERROR(__xludf.DUMMYFUNCTION("""COMPUTED_VALUE"""),"10.3390/rs9060525")</f>
        <v>10.3390/rs9060525</v>
      </c>
      <c r="D15" s="24" t="str">
        <f>IFERROR(__xludf.DUMMYFUNCTION("""COMPUTED_VALUE"""),"Jaureguiberry et al")</f>
        <v>Jaureguiberry et al</v>
      </c>
      <c r="E15" s="24" t="str">
        <f>IFERROR(__xludf.DUMMYFUNCTION("""COMPUTED_VALUE"""),"WOS:000404623900016")</f>
        <v>WOS:000404623900016</v>
      </c>
      <c r="F15" s="24" t="str">
        <f>IFERROR(__xludf.DUMMYFUNCTION("""COMPUTED_VALUE"""),"[""ELIGIBLE""]")</f>
        <v>["ELIGIBLE"]</v>
      </c>
    </row>
    <row r="16">
      <c r="A16" s="24" t="str">
        <f>IFERROR(__xludf.DUMMYFUNCTION("""COMPUTED_VALUE"""),"Consequences of size-selective harvesting and changing climate on the pikeperch Sander lucioperca in two large shallow north temperate lakes")</f>
        <v>Consequences of size-selective harvesting and changing climate on the pikeperch Sander lucioperca in two large shallow north temperate lakes</v>
      </c>
      <c r="B16" s="24" t="str">
        <f>IFERROR(__xludf.DUMMYFUNCTION("""COMPUTED_VALUE"""),"Under the prevailing warming and eutrophic conditions, the yields of the pikeperch Sander lucioperca have increased in Lake Peipsi and Lake Vortsjarv in Estonia. Yet, some decrease in the catches has been observed in recent years. We explored whether long"&amp;"-lasting size-selective harvesting of pikeperch together with changing climate factors might have triggered a truncation of the size-structure of the pikeperch population and resulted in the weakening of the population. Thus, we analysed long-term commerc"&amp;"ial fishery statistics (since 1931) and trawl sample data (since 1990) from the Peipsi and Vortsjarv lakes in terms of climate change and fishing pressure. Our study suggests that fisheries had direct negative effects on the size composition of the pikepe"&amp;"rch population due to the nearly complete removal of the larger specimens. The truncation of the size-structure of the pikeperch population refers that cascading effect through the food web may occur as the abundance of inferior small fish has increased a"&amp;"ccordingly. Moreover, we found that climate changes influenced the pikeperch population in the same direction; large cohorts have become more frequent in the Peipsi and Vortsjarv lakes, and 0+ pikeperch are able to survive milder winters even without unde"&amp;"rgoing ontogenetic diet shifts. Consequently, overdensity of small fish have occurred, these effects might have serious implications for the economies of the poor rural communities that surround the lakes. The present fishing regulations seem to be inappr"&amp;"opriate and this may lead to further population weakening and thus should be revised to provide effective protection for large. specimens. However, continued use of active (towed) gear (e.g., Danish seines) and the difficulties in enforcing fishery regula"&amp;"tions under transboundary conditions complicate the implementation of policies that might result in more stable pikeperch populations in large Estonian lakes. (C) 2015 Elsevier B.V. All rights reserved.")</f>
        <v>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v>
      </c>
      <c r="C16" s="24" t="str">
        <f>IFERROR(__xludf.DUMMYFUNCTION("""COMPUTED_VALUE"""),"10.1016/j.fishres.2014.12.016")</f>
        <v>10.1016/j.fishres.2014.12.016</v>
      </c>
      <c r="D16" s="24" t="str">
        <f>IFERROR(__xludf.DUMMYFUNCTION("""COMPUTED_VALUE"""),"Jaureguiberry et al")</f>
        <v>Jaureguiberry et al</v>
      </c>
      <c r="E16" s="24" t="str">
        <f>IFERROR(__xludf.DUMMYFUNCTION("""COMPUTED_VALUE"""),"WOS:000352748800007")</f>
        <v>WOS:000352748800007</v>
      </c>
      <c r="F16" s="24" t="str">
        <f>IFERROR(__xludf.DUMMYFUNCTION("""COMPUTED_VALUE"""),"[""ELIGIBLE""]")</f>
        <v>["ELIGIBLE"]</v>
      </c>
    </row>
    <row r="17">
      <c r="A17" s="24" t="str">
        <f>IFERROR(__xludf.DUMMYFUNCTION("""COMPUTED_VALUE"""),"The effects of grazing and watering on ecosystem CO2 fluxes vary by community phenology")</f>
        <v>The effects of grazing and watering on ecosystem CO2 fluxes vary by community phenology</v>
      </c>
      <c r="B17" s="24" t="str">
        <f>IFERROR(__xludf.DUMMYFUNCTION("""COMPUTED_VALUE"""),"Grazing profoundly influences vegetation and the subsequent carbon fluxes in various ecosystems. However, little effort has been made to explore the underlying mechanisms for phenological changes and their consequences on carbon fluxes at ecosystem level,"&amp;" especially under the coupled influences of human disturbances and climate change. Here, a manipulative experiment (2012-2013) was conducted to examine both the independent and interactive effects of grazing and watering on carbon fluxes across phenologic"&amp;"al phases in a desert steppe. Grazing advanced or delayed phenological timing, leading to a shortened green-up phase (GrP: 23.60 days) in 2013 and browning phase (BrP: 12.48 days) in 2012 from high grazing, and insignificant effects on the reproductive ph"&amp;"ase (Rep) in either year. High grazing significantly enhance carbon uptake, while light grazing reduce carbon uptake in ReP. Watering only delayed the browning time by 5.01 days in 2013, producing no significant effects on any phenophase. Watering promote"&amp;"d the net ecosystem exchange (NEE), ecosystem respiration (ER), and gross ecosystem productivity (GEP) only in the GrP. When calculating the yearly differences in phenophases and the corresponding carbon fluxes, we found that an extended GrP greatly enhan"&amp;"ced NEE, but a prolonged ReP distinctly reduced it. The extended GrP also significantly promote GEP. Increases in growing season length appeared promoting ER, regardless of any phenophase. Additionally, the shifts in NEE appeared dependent of the variatio"&amp;"ns in leaf area index (LAI). (C) 2015 Elsevier Inc. All rights reserved.")</f>
        <v>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v>
      </c>
      <c r="C17" s="24" t="str">
        <f>IFERROR(__xludf.DUMMYFUNCTION("""COMPUTED_VALUE"""),"10.1016/j.envres.2015.09.002")</f>
        <v>10.1016/j.envres.2015.09.002</v>
      </c>
      <c r="D17" s="24" t="str">
        <f>IFERROR(__xludf.DUMMYFUNCTION("""COMPUTED_VALUE"""),"Jaureguiberry et al")</f>
        <v>Jaureguiberry et al</v>
      </c>
      <c r="E17" s="24" t="str">
        <f>IFERROR(__xludf.DUMMYFUNCTION("""COMPUTED_VALUE"""),"WOS:000366443200007")</f>
        <v>WOS:000366443200007</v>
      </c>
      <c r="F17" s="24" t="str">
        <f>IFERROR(__xludf.DUMMYFUNCTION("""COMPUTED_VALUE"""),"[""ELIGIBLE""]")</f>
        <v>["ELIGIBLE"]</v>
      </c>
    </row>
    <row r="18">
      <c r="A18" s="24" t="str">
        <f>IFERROR(__xludf.DUMMYFUNCTION("""COMPUTED_VALUE"""),"Large-scale human effects on an arid African raptor community")</f>
        <v>Large-scale human effects on an arid African raptor community</v>
      </c>
      <c r="B18" s="24" t="str">
        <f>IFERROR(__xludf.DUMMYFUNCTION("""COMPUTED_VALUE"""),"In the current scenario of biodiversity crisis there is a growing need for identifying causes of changes in biodiversity at large scales. Here we assess factors driving raptor community structure in the Sahel, a region suffering a wide range of environmen"&amp;"tal degradation and a vital area for European migrant birds. Using road surveys, we estimated the effects of population size, human settlement patterns (e.g. urban vs. nomadic) and land use on the raptor community, taking into account the major natural ro"&amp;"le played by productivity. Total raptor richness values were similar to those described for other steppe regions of the world, with one super-abundant migrant species, the black kite Milvus migrans; however, richness of resident raptors was strikingly low"&amp;"er than expected, with most large body-size African species (both eagles and vultures) absent. Raptor richness was strongly correlated with human activities in a scale-dependent fashion. At a 25 km resolution, raptor richness was driven by habitat and pro"&amp;"ductivity, with a positive response to crops. At a smaller scale, human population was positively related with wintering species richness but negatively with richness of resident ones, perhaps as a consequence of non-agricultural activities such as direct"&amp;" harvesting and different forms of habitat degradation (e.g. overgrazing or firewood collection). Subsistence economies in systems with low natural environmental heterogeneity and with a human population over carrying capacity, such as the Sahel, may lead"&amp;" to exhausted biological systems even in the absence of intensive agricultural or urban land-use changes, as shown by the deeply impoverished sedentary raptor community. Our results suggest that, because habitat and productivity seem to play a relevant ro"&amp;"le in driving species richness, climate change may have a major effect on the raptor community of the Sahel.")</f>
        <v>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v>
      </c>
      <c r="C18" s="24" t="str">
        <f>IFERROR(__xludf.DUMMYFUNCTION("""COMPUTED_VALUE"""),"10.1111/j.1469-1795.2010.00369.x")</f>
        <v>10.1111/j.1469-1795.2010.00369.x</v>
      </c>
      <c r="D18" s="24" t="str">
        <f>IFERROR(__xludf.DUMMYFUNCTION("""COMPUTED_VALUE"""),"Jaureguiberry et al")</f>
        <v>Jaureguiberry et al</v>
      </c>
      <c r="E18" s="24" t="str">
        <f>IFERROR(__xludf.DUMMYFUNCTION("""COMPUTED_VALUE"""),"WOS:000282370500011")</f>
        <v>WOS:000282370500011</v>
      </c>
      <c r="F18" s="24" t="str">
        <f>IFERROR(__xludf.DUMMYFUNCTION("""COMPUTED_VALUE"""),"[""ELIGIBLE""]")</f>
        <v>["ELIGIBLE"]</v>
      </c>
    </row>
    <row r="19">
      <c r="A19" s="24" t="str">
        <f>IFERROR(__xludf.DUMMYFUNCTION("""COMPUTED_VALUE"""),"The role of environmental driving factors in historical and projected carbon dynamics of wetland ecosystems in Alaska")</f>
        <v>The role of environmental driving factors in historical and projected carbon dynamics of wetland ecosystems in Alaska</v>
      </c>
      <c r="B19" s="24" t="str">
        <f>IFERROR(__xludf.DUMMYFUNCTION("""COMPUTED_VALUE"""),"Wetlands are critical terrestrial ecosystems in Alaska, covering similar to 177,000 km(2), an area greater than all the wetlands in the remainder of the United States. To assess the relative influence of changing climate, atmospheric carbon dioxide (CO2) "&amp;"concentration, and fire regime on carbon balance in wetland ecosystems of Alaska, a modeling framework that incorporates a fire disturbance model and two biogeochemical models was used. Spatially explicit simulations were conducted at 1-km resolution for "&amp;"the historical period (1950-2009) and future projection period (2010-2099). Simulations estimated that wetland ecosystems of Alaska lost 175 Tg carbon (C) in the historical period. Ecosystem C storage in 2009 was 5,556 Tg, with 89% of the C stored in soil"&amp;"s. The estimated loss of C as CO2 and biogenic methane (CH4) emissions resulted in wetlands of Alaska increasing the greenhouse gas forcing of climate warming. Simulations for the projection period were conducted for six climate change scenarios construct"&amp;"ed from two climate models forced under three CO2 emission scenarios. Ecosystem C storage averaged among climate scenarios increased 3.94Tg C/yr by 2099, with variability among the simulations ranging from 2.02 to 4.42Tg C/yr. These increases were driven "&amp;"primarily by increases in net primary production (NPP) that were greater than losses from increased decomposition and fire. The NPP increase was driven by CO2 fertilization (similar to 5% per 100 parts per million by volume increase) and by increases in a"&amp;"ir temperature (similar to 1% per degrees C increase). Increases in air temperature were estimated to be the primary cause for a projected 47.7% mean increase in biogenic CH4 emissions among the simulations (similar to 15% per degrees C increase). Ecosyst"&amp;"em CO2 sequestration offset the increase in CH4 emissions during the 21st century to decrease the greenhouse gas forcing of climate warming. However, beyond 2100, we expect that this forcing will ultimately increase as wetland ecosystems transition from b"&amp;"eing a sink to a source of atmospheric CO2 because of (1) decreasing sensitivity of NPP to increasing atmospheric CO2, (2) increasing availability of soil C for decomposition as permafrost thaws, and (3) continued positive sensitivity of biogenic CH4 emis"&amp;"sions to increases in soil temperature.")</f>
        <v>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v>
      </c>
      <c r="C19" s="24" t="str">
        <f>IFERROR(__xludf.DUMMYFUNCTION("""COMPUTED_VALUE"""),"10.1002/eap.1755")</f>
        <v>10.1002/eap.1755</v>
      </c>
      <c r="D19" s="24" t="str">
        <f>IFERROR(__xludf.DUMMYFUNCTION("""COMPUTED_VALUE"""),"Jaureguiberry et al")</f>
        <v>Jaureguiberry et al</v>
      </c>
      <c r="E19" s="24" t="str">
        <f>IFERROR(__xludf.DUMMYFUNCTION("""COMPUTED_VALUE"""),"WOS:000443555100001")</f>
        <v>WOS:000443555100001</v>
      </c>
      <c r="F19" s="24" t="str">
        <f>IFERROR(__xludf.DUMMYFUNCTION("""COMPUTED_VALUE"""),"[""ELIGIBLE""]")</f>
        <v>["ELIGIBLE"]</v>
      </c>
    </row>
    <row r="20">
      <c r="A20" s="24" t="str">
        <f>IFERROR(__xludf.DUMMYFUNCTION("""COMPUTED_VALUE"""),"Terrestrial net primary productivity in India during 1901-2010: contributions from multiple environmental changes")</f>
        <v>Terrestrial net primary productivity in India during 1901-2010: contributions from multiple environmental changes</v>
      </c>
      <c r="B20" s="24" t="str">
        <f>IFERROR(__xludf.DUMMYFUNCTION("""COMPUTED_VALUE"""),"India is very important but relatively unexplored region in terms of carbon studies, where significant environmental changes have occurred in the 20th century that can alter terrestrial net primary productivity (NPP). Here, we used a process-based, Dynami"&amp;"c Land Ecosystem Model (DLEM), driven by land cover and land use change (LCLUC), climate change, elevated atmospheric CO2 concentration, atmospheric nitrogen deposition (NDEP), and tropospheric ozone (O-3) pollution to estimate terrestrial NPP in India du"&amp;"ring 1901-2010. Over the country, terrestrial NPP showed significant inter-annual variations ranging 1.2 Pg C year(-1) to 1.7 Pg C year(-1) during the 1901-2010. Overall, multiple environmental changes have increased terrestrial NPP by 0.23 Pg C year(-1)."&amp;" Elevated atmospheric CO2 concentration has increased NPP by 0.29 Pg C; however climate change has offset a portion of terrestrial NPP (0.11 Pg C) during this study period. On an average, terrestrial NPP reduced by 0.12 Pg C year(-1) in drought years; whe"&amp;"n precipitation was 100 mm year(-1) lower than long term average, suggesting that terrestrial carbon cycle in India is strongly linked to climate change. LCLUC, including land conversions and cropland management practices, increased terrestrial NPP by 0.0"&amp;"43 Pg C year(-1) over the country. Tropospheric O-3 pollution reduced terrestrial NPP by 0.06 Pg C year(-1) and the decrease was comparatively higher in croplands than other biomes after the 1980s. Our results have shown that climate change and tropospher"&amp;"ic O-3 pollution may partially offset terrestrial NPP increase caused by elevated CO2 concentration, LCLUC, and NDEP over India.")</f>
        <v>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v>
      </c>
      <c r="C20" s="24" t="str">
        <f>IFERROR(__xludf.DUMMYFUNCTION("""COMPUTED_VALUE"""),"10.1007/s10584-015-1448-5")</f>
        <v>10.1007/s10584-015-1448-5</v>
      </c>
      <c r="D20" s="24" t="str">
        <f>IFERROR(__xludf.DUMMYFUNCTION("""COMPUTED_VALUE"""),"Jaureguiberry et al")</f>
        <v>Jaureguiberry et al</v>
      </c>
      <c r="E20" s="24" t="str">
        <f>IFERROR(__xludf.DUMMYFUNCTION("""COMPUTED_VALUE"""),"WOS:000361799100009")</f>
        <v>WOS:000361799100009</v>
      </c>
      <c r="F20" s="24" t="str">
        <f>IFERROR(__xludf.DUMMYFUNCTION("""COMPUTED_VALUE"""),"[""ELIGIBLE""]")</f>
        <v>["ELIGIBLE"]</v>
      </c>
    </row>
    <row r="21">
      <c r="A21" s="24" t="str">
        <f>IFERROR(__xludf.DUMMYFUNCTION("""COMPUTED_VALUE"""),"What is the main cause of grassland degradation? A case study of grassland ecosystem service in the middle-south Inner Mongolia")</f>
        <v>What is the main cause of grassland degradation? A case study of grassland ecosystem service in the middle-south Inner Mongolia</v>
      </c>
      <c r="B21" s="24" t="str">
        <f>IFERROR(__xludf.DUMMYFUNCTION("""COMPUTED_VALUE"""),"In this study, we analyze the changes of indicators of ecosystem services and functions, in order to understand the main cause of grassland degradation due to climatic variation or land use changes in the middle -south Inner Mongolia. The soil nutrient an"&amp;"d the water supply of supporting service got recovery during 1988-2008. The loss of net primary production declined, and the quality of the retained unconverted grassland (RUG) even increasingly degraded from 2000 to 2008. Analytical results show that env"&amp;"ironmental degradation on the land use -changed -area is lower than that on the RUG from 2000 to 2008. It illustrates that climatic variation has more negative impacts on grassland ecosystem service, and which is significantly higher than the so-called ov"&amp;"ergrazing induced grassland degradation. Moreover, it cannot be excluded that those species died out on the RUG due to natural selection or competitive evolution in an evolutionary process under the deteriorative weather condition rather than overgrazing."&amp;" The positive impacts of human activities such as conservation programs and wildlife protection laws also benefit to regional grassland ecosystem obviously in the study area, so that can delay the environmental degradation even if each planet has its life"&amp;" cycle. It indicates that an integrated regional planning involving the considerations of climatic conditions, geographical characteristics, socioeconomic factors, and ecological functions and biodiversity can benefit to regional grassland conservation ba"&amp;"sed on monitoring and management via scientific methods. (C) 2016 Elsevier B.V. All rights reserved.")</f>
        <v>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v>
      </c>
      <c r="C21" s="24" t="str">
        <f>IFERROR(__xludf.DUMMYFUNCTION("""COMPUTED_VALUE"""),"10.1016/j.catena.2016.11.014")</f>
        <v>10.1016/j.catena.2016.11.014</v>
      </c>
      <c r="D21" s="24" t="str">
        <f>IFERROR(__xludf.DUMMYFUNCTION("""COMPUTED_VALUE"""),"Jaureguiberry et al")</f>
        <v>Jaureguiberry et al</v>
      </c>
      <c r="E21" s="24" t="str">
        <f>IFERROR(__xludf.DUMMYFUNCTION("""COMPUTED_VALUE"""),"WOS:000392686000012")</f>
        <v>WOS:000392686000012</v>
      </c>
      <c r="F21" s="24" t="str">
        <f>IFERROR(__xludf.DUMMYFUNCTION("""COMPUTED_VALUE"""),"[""ELIGIBLE""]")</f>
        <v>["ELIGIBLE"]</v>
      </c>
    </row>
    <row r="22">
      <c r="A22" s="24" t="str">
        <f>IFERROR(__xludf.DUMMYFUNCTION("""COMPUTED_VALUE"""),"China's terrestrial carbon balance: Contributions from multiple global change factors")</f>
        <v>China's terrestrial carbon balance: Contributions from multiple global change factors</v>
      </c>
      <c r="B22" s="24" t="str">
        <f>IFERROR(__xludf.DUMMYFUNCTION("""COMPUTED_VALUE"""),"The magnitude, spatial, and temporal patterns of the terrestrial carbon sink and the underlying mechanisms remain uncertain and need to be investigated. China is important in determining the global carbon balance in terms of both carbon emission and carbo"&amp;"n uptake. Of particular importance to climate-change policy and carbon management is the ability to evaluate the relative contributions of multiple environmental factors to net carbon source and sink in China's terrestrial ecosystems. Here the effects of "&amp;"multiple environmental factors (climate, atmospheric CO2, ozone pollution, nitrogen deposition, nitrogen fertilizer application, and land cover/land use change) on net carbon balance in terrestrial ecosystems of China for the period 1961-2005 were modeled"&amp;" with newly developed, detailed historical information of these changes. For this period, results from two models indicated a mean land sink of 0.21 Pg C per year, with a multimodel range from 0.18 to 0.24 Pg C per year. The models' results are consistent"&amp;" with field observations and national inventory data and provide insights into the biogeochemical mechanisms responsible for the carbon sink in China's land ecosystems. In the simulations, nitrogen deposition and fertilizer applications together accounted"&amp;" for 61 percent of the net carbon storage in China's land ecosystems in recent decades, with atmospheric CO2 increases and land use also functioning to stimulate carbon storage. The size of the modeled carbon sink over the period 1961-2005 was reduced by "&amp;"both ozone pollution and climate change. The modeled carbon sink in response to per unit nitrogen deposition shows a leveling off or a decline in some areas in recent years, although the nitrogen input levels have continued to increase.")</f>
        <v>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v>
      </c>
      <c r="C22" s="24" t="str">
        <f>IFERROR(__xludf.DUMMYFUNCTION("""COMPUTED_VALUE"""),"10.1029/2010GB003838")</f>
        <v>10.1029/2010GB003838</v>
      </c>
      <c r="D22" s="24" t="str">
        <f>IFERROR(__xludf.DUMMYFUNCTION("""COMPUTED_VALUE"""),"Jaureguiberry et al")</f>
        <v>Jaureguiberry et al</v>
      </c>
      <c r="E22" s="24" t="str">
        <f>IFERROR(__xludf.DUMMYFUNCTION("""COMPUTED_VALUE"""),"WOS:000289085400001")</f>
        <v>WOS:000289085400001</v>
      </c>
      <c r="F22" s="24" t="str">
        <f>IFERROR(__xludf.DUMMYFUNCTION("""COMPUTED_VALUE"""),"[""ELIGIBLE""]")</f>
        <v>["ELIGIBLE"]</v>
      </c>
    </row>
    <row r="23">
      <c r="A23" s="24" t="str">
        <f>IFERROR(__xludf.DUMMYFUNCTION("""COMPUTED_VALUE"""),"The spatio-temporal responses of the carbon cycle to climate and land use/land cover changes between 1981-2000 in China")</f>
        <v>The spatio-temporal responses of the carbon cycle to climate and land use/land cover changes between 1981-2000 in China</v>
      </c>
      <c r="B23" s="24" t="str">
        <f>IFERROR(__xludf.DUMMYFUNCTION("""COMPUTED_VALUE"""),"This paper represents the first national effort of its kind to systematically investigate the impact of changes in climate and land use and land cover (LULC) on the carbon cycle with high-resolution dynamic LULC data at the decadal scale (1990s and 2000s)"&amp;". Based on simulations using well calibrated and validated Carbon Exchanges in the Vegetation-Soil-Atmosphere (CEVSA) model, temporal and spatial variations in carbon storage and fluxes in China may be generated empower us to relate these variations to cl"&amp;"imate variability and LULC with respect to net primary productivity (NPP), heterotrophic respiration (HR), net ecosystem productivity (NEP), storage and soil carbon (SOC), and vegetation carbon (VEGC) individually or collectively. Overall, the increases i"&amp;"n NPP were greater than HR in most cases due to the effect of global warming with more precipitation in China from 1981 to 2000. With this trend, the NEP remained positive during that period, resulting in a net increase of total amount of carbon being sto"&amp;"red by about 0.296 PgC within a 20-year time frame. Because the climate effect was much greater than that of changes of LULC, the total carbon storage in China actually increased by about 0.17 PgC within the 20-year time period. Such findings will contrib"&amp;"ute to the generation of carbon emissions control policies under global climate change impacts.")</f>
        <v>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v>
      </c>
      <c r="C23" s="24" t="str">
        <f>IFERROR(__xludf.DUMMYFUNCTION("""COMPUTED_VALUE"""),"10.1007/s11707-012-0335-x")</f>
        <v>10.1007/s11707-012-0335-x</v>
      </c>
      <c r="D23" s="24" t="str">
        <f>IFERROR(__xludf.DUMMYFUNCTION("""COMPUTED_VALUE"""),"Jaureguiberry et al")</f>
        <v>Jaureguiberry et al</v>
      </c>
      <c r="E23" s="24" t="str">
        <f>IFERROR(__xludf.DUMMYFUNCTION("""COMPUTED_VALUE"""),"WOS:000314279400009")</f>
        <v>WOS:000314279400009</v>
      </c>
      <c r="F23" s="24" t="str">
        <f>IFERROR(__xludf.DUMMYFUNCTION("""COMPUTED_VALUE"""),"[""ELIGIBLE""]")</f>
        <v>["ELIGIBLE"]</v>
      </c>
    </row>
    <row r="24">
      <c r="A24" s="24" t="str">
        <f>IFERROR(__xludf.DUMMYFUNCTION("""COMPUTED_VALUE"""),"The temporal dynamics of a regional flora-The effects of global and local impacts")</f>
        <v>The temporal dynamics of a regional flora-The effects of global and local impacts</v>
      </c>
      <c r="B24" s="24" t="str">
        <f>IFERROR(__xludf.DUMMYFUNCTION("""COMPUTED_VALUE"""),"The main trends in changes in the global vascular plant biodiversity are generally considered to be a decrease in rare indigenous species and a spread of invasive plants. In the present paper, the impact of these changes on the flora of the state of Baden"&amp;"-Wurttemberg (Southwest-Germany) is examined. The data come from a regional floristic mapping project, which consists of two consecutive surveys, dating from 1970 to 1998 and from 2005 to present. In contrast to many other studies, not only a part of the "&amp;"flora or of an ecosystem was studied but the entire vascular plant flora of a region. As the recent survey is not yet completed, samples of 46 out of 1100 grid cells are analysed as a preliminary study on the trends in entire Baden-Wurttemberg. In the pre"&amp;"sent paper we address the issues (1) whether changes in biodiversity observed in other studies, e.g. decrease of rare native species and increase of invasives, affect the flora of Baden-Wurttemberg, (2) which abiotic factors, i.e. climatic or soil conditi"&amp;"ons, cause these changes of species diversity. The analysis of the two consecutive surveys revealed a continuing decrease of rare native species and a constant increase of neophytes, thus reflecting the global trends. Many extinction events happened befor"&amp;"e 1970, some already in the 19th century. Changes in land use and urbanisation of former rural regions are two important factors for these changes. A statistic analysis using Ellenberg indicator values revealed the nitrogen input from agriculture and the "&amp;"effects of global warming as further potential causes for these trends. (C) 2015 Elsevier GmbH. All rights reserved.")</f>
        <v>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v>
      </c>
      <c r="C24" s="24" t="str">
        <f>IFERROR(__xludf.DUMMYFUNCTION("""COMPUTED_VALUE"""),"10.1016/j.flora.2015.09.013")</f>
        <v>10.1016/j.flora.2015.09.013</v>
      </c>
      <c r="D24" s="24" t="str">
        <f>IFERROR(__xludf.DUMMYFUNCTION("""COMPUTED_VALUE"""),"Jaureguiberry et al")</f>
        <v>Jaureguiberry et al</v>
      </c>
      <c r="E24" s="24" t="str">
        <f>IFERROR(__xludf.DUMMYFUNCTION("""COMPUTED_VALUE"""),"WOS:000367110300012")</f>
        <v>WOS:000367110300012</v>
      </c>
      <c r="F24" s="24" t="str">
        <f>IFERROR(__xludf.DUMMYFUNCTION("""COMPUTED_VALUE"""),"[""ELIGIBLE""]")</f>
        <v>["ELIGIBLE"]</v>
      </c>
    </row>
    <row r="25">
      <c r="A25" s="24" t="str">
        <f>IFERROR(__xludf.DUMMYFUNCTION("""COMPUTED_VALUE"""),"Long-term carbon sink in Borneo's forests halted by drought and vulnerable to edge effects")</f>
        <v>Long-term carbon sink in Borneo's forests halted by drought and vulnerable to edge effects</v>
      </c>
      <c r="B25" s="24" t="str">
        <f>IFERROR(__xludf.DUMMYFUNCTION("""COMPUTED_VALUE"""),"Less than half of anthropogenic carbon dioxide emissions remain in the atmosphere. While carbon balance models imply large carbon uptake in tropical forests, direct on-the-ground observations are still lacking in Southeast Asia. Here, using long-term plot"&amp;" monitoring records of up to half a century, we find that intact forests in Borneo gained 0.43 Mg C ha(-1) per year (95% CI 0.14-0.72, mean period 1988-2010) above-ground live biomass. These results closely match those from African and Amazonian plot netw"&amp;"orks, suggesting that the world's remaining intact tropical forests are now en masse out-of-equilibrium. Although both pantropical and long-term, the sink in remaining intact forests appears vulnerable to climate and land use changes. Across Borneo the 19"&amp;"97-1998 El Nino drought temporarily halted the carbon sink by increasing tree mortality, while fragmentation persistently offset the sink and turned many edge-affected forests into a carbon source to the atmosphere.")</f>
        <v>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v>
      </c>
      <c r="C25" s="24" t="str">
        <f>IFERROR(__xludf.DUMMYFUNCTION("""COMPUTED_VALUE"""),"10.1038/s41467-017-01997-0")</f>
        <v>10.1038/s41467-017-01997-0</v>
      </c>
      <c r="D25" s="24" t="str">
        <f>IFERROR(__xludf.DUMMYFUNCTION("""COMPUTED_VALUE"""),"Jaureguiberry et al")</f>
        <v>Jaureguiberry et al</v>
      </c>
      <c r="E25" s="24" t="str">
        <f>IFERROR(__xludf.DUMMYFUNCTION("""COMPUTED_VALUE"""),"WOS:000418334200001")</f>
        <v>WOS:000418334200001</v>
      </c>
      <c r="F25" s="24" t="str">
        <f>IFERROR(__xludf.DUMMYFUNCTION("""COMPUTED_VALUE"""),"[""ELIGIBLE""]")</f>
        <v>["ELIGIBLE"]</v>
      </c>
    </row>
    <row r="26">
      <c r="A26" s="24" t="str">
        <f>IFERROR(__xludf.DUMMYFUNCTION("""COMPUTED_VALUE"""),"Global vegetation cover changes from coarse resolution satellite data")</f>
        <v>Global vegetation cover changes from coarse resolution satellite data</v>
      </c>
      <c r="B26" s="24" t="str">
        <f>IFERROR(__xludf.DUMMYFUNCTION("""COMPUTED_VALUE"""),"Land cover plays a key role in various biophysical processes related to global climate and terrestrial biogeochemistry. Although global land cover has dramatically changed over the last few centuries, until now there has been no consistent way of quantify"&amp;"ing the changes globally. In this study we used long-term climate and soils data along with coarse resolution satellite observations to quantify the magnitude and spatial extent of large-scale land cover changes attributable to anthropogenic processes. Di"&amp;"fferences between potential leaf area index (LAI), derived from climate-soil-leaf area equilibrium, and actual leaf area index obtained from satellite data are used to estimate changes in land cover. Further, changes in LAI between potential and actual co"&amp;"nditions are linked to climate by expressing them as possible changes in radiometric surface temperatures (T-r) resulting from changes in surface energy partitioning. As expected, areas with high population densities, such as India, China, and western Eur"&amp;"ope showed large reductions in LAI. Changes in global land cover expressed as summer, midafternoon T-r, ranged from -8 degrees to +16 degrees C. Deforestation resulted in an increase in T while irrigated agriculture reduced the T-r. Many of the current ge"&amp;"neral circulation models (GCMs) use potential vegetation maps to represent global vegetation. Our results indicate that there are widespread changes in global land cover due to deforestation and agriculture below the resolution of many GCMs, and these cha"&amp;"nges could have a significant impact on climate. Potential and actual LAI data sets are available for climate modelers at 0.5 degrees x 0.5 degrees resolution to study the possible impacts of land cover changes on global temperatures and circulation patte"&amp;"rns.")</f>
        <v>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v>
      </c>
      <c r="C26" s="24" t="str">
        <f>IFERROR(__xludf.DUMMYFUNCTION("""COMPUTED_VALUE"""),"10.1029/95JD02138")</f>
        <v>10.1029/95JD02138</v>
      </c>
      <c r="D26" s="24" t="str">
        <f>IFERROR(__xludf.DUMMYFUNCTION("""COMPUTED_VALUE"""),"Jaureguiberry et al")</f>
        <v>Jaureguiberry et al</v>
      </c>
      <c r="E26" s="24" t="str">
        <f>IFERROR(__xludf.DUMMYFUNCTION("""COMPUTED_VALUE"""),"WOS:A1996UB98600039")</f>
        <v>WOS:A1996UB98600039</v>
      </c>
      <c r="F26" s="24" t="str">
        <f>IFERROR(__xludf.DUMMYFUNCTION("""COMPUTED_VALUE"""),"[""ELIGIBLE""]")</f>
        <v>["ELIGIBLE"]</v>
      </c>
    </row>
    <row r="27">
      <c r="A27" s="24" t="str">
        <f>IFERROR(__xludf.DUMMYFUNCTION("""COMPUTED_VALUE"""),"Local and global climatic drivers of Atlantic salmon decline in southern Europe")</f>
        <v>Local and global climatic drivers of Atlantic salmon decline in southern Europe</v>
      </c>
      <c r="B27" s="24" t="str">
        <f>IFERROR(__xludf.DUMMYFUNCTION("""COMPUTED_VALUE"""),"The abundance of Atlantic salmon is declining throughout its geographical area. Fisheries and global warming were assumed as main drivers of the decline, and recent studies suggest that habitat changes in freshwater is a third contributor. Southern popula"&amp;"tions experience the greatest decline, and face the highest risk of extinction as global warming moves its thermal niche northwards. We analysed long-term catch data (1949-2013) from a salmon fishery in northern Spain, and examined its relationship with l"&amp;"ocal and global indicators of temperature and hydrological change. CPUE data, analysed by ARIMA time-series models, exhibited a significant negative trend and a marked decrease since 1973-1974, possibly triggered by overfishing at sea and a sudden outbrea"&amp;"k of disease. Temperature increased in the same period, particularly so since 1986-1988, being negatively correlated with CPUE. A significant change in magnitude and duration of extreme water conditions occurred from 1970s onwards. Indicators of hydrologi"&amp;"cal shift were also significantly correlated with CPUE of returning salmon. The best ARIMAX models indicated however, that the decrease in salmon CPUE was mainly driven by temperature trends. This indicates that both local (temperature and flow in the riv"&amp;"er) and global (ocean temperature) factors have contributed to the decrease in salmon numbers, and that temperature has played the major role. Despite a strong reduction in fishing pressure after the 1970s widespread collapse, our study population did not"&amp;" recover to previous abundance levels. This suggests the operation of additional factors, being climate warming and changes in food webs of the North Atlantic the most likely reasons.")</f>
        <v>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v>
      </c>
      <c r="C27" s="24" t="str">
        <f>IFERROR(__xludf.DUMMYFUNCTION("""COMPUTED_VALUE"""),"10.1016/j.fishres.2017.10.012")</f>
        <v>10.1016/j.fishres.2017.10.012</v>
      </c>
      <c r="D27" s="24" t="str">
        <f>IFERROR(__xludf.DUMMYFUNCTION("""COMPUTED_VALUE"""),"Jaureguiberry et al")</f>
        <v>Jaureguiberry et al</v>
      </c>
      <c r="E27" s="24" t="str">
        <f>IFERROR(__xludf.DUMMYFUNCTION("""COMPUTED_VALUE"""),"WOS:000416194200009")</f>
        <v>WOS:000416194200009</v>
      </c>
      <c r="F27" s="24" t="str">
        <f>IFERROR(__xludf.DUMMYFUNCTION("""COMPUTED_VALUE"""),"[""ELIGIBLE""]")</f>
        <v>["ELIGIBLE"]</v>
      </c>
    </row>
    <row r="28">
      <c r="A28" s="24" t="str">
        <f>IFERROR(__xludf.DUMMYFUNCTION("""COMPUTED_VALUE"""),"The European forest sector: past and future carbon budget and fluxes under different management scenarios")</f>
        <v>The European forest sector: past and future carbon budget and fluxes under different management scenarios</v>
      </c>
      <c r="B28" s="24" t="str">
        <f>IFERROR(__xludf.DUMMYFUNCTION("""COMPUTED_VALUE"""),"The comprehensive analysis of carbon stocks and fluxes of managed European forests is a prerequisite to quantify their role in biomass production and climate change mitigation. We applied the Carbon Budget Model (CBM) to 26 European countries, parameteriz"&amp;"ed with country information on the historical forest age structure, management practices, harvest regimes and the main natural disturbances. We modeled the C stocks for the five forest pools plus harvested wood products (HWPs) and the fluxes among these p"&amp;"ools from 2000 to 2030. The aim is to quantify, using a consistent modeling framework for all 26 countries, the main C fluxes as affected by land-use changes, natural disturbances and forest management and to assess the impact of specific harvest and affo"&amp;"restation scenarios after 2012 on the mitigation potential of the EU forest sector. Substitution effects and the possible impacts of climate are not included in this analysis. Results show that for the historical period from 2000 to 2012 the net primary p"&amp;"roductivity (NPP) of the forest pools at the EU level is on average equal to 639 Tg Cyr(-1). The losses are dominated by heterotrophic respiration (409 Tg Cyr(-1)) and removals (110 Tg Cyr(-1)), with direct fire emissions being only 1 Tg Cyr(-1), leading "&amp;"to a net carbon stock change (i.e., sink) of 110 Tg Cyr(-1). Fellings also transferred 28 Tg Cyr(-1) of harvest residues from biomass to dead organic matter pools. The average annual net sector exchange (NSE) of the forest system, including HWP, equals a "&amp;"sink of 122 Tg C yr(-1) (i.e., about 19% of the NPP) for the historical period, and in 2030 it reaches 126, 101 and 151 TgC yr(-1), assuming constant, increasing (C 20 %) and decreasing (20 %) scenarios, respectively, of both harvest and afforestation rat"&amp;"es compared to the historical period. Under the constant harvest rate scenario, our findings show an incipient aging process of the forests existing in 1990: although NPP increases ( +7 %), heterotrophic respiration increases at a greater rate ( +13 %) an"&amp;"d this leads to a decrease in the sink in the forest pools ( 6 %) in 2030 compared to the historical period. By comparing the evolution of the biomass as a function of the NPP (i.e., the turnover time) for each country, we highlighted at least three group"&amp;"s of countries and turnover times. This means that, contrary to the assumptions proposed by other authors, this relationship cannot be assumed as a constant for all the EU countries, but specific conditions, such as the harvest rate, the current age struc"&amp;"ture and the forest composition, may contribute to the country-specific evolution of biomass stocks. The detailed picture of the C fluxes condensed in this study, and their evolution under different harvest scenarios, may represent both a benchmark for si"&amp;"milar studies and a basis for broader analyses (e.g., including substitution effects of wood) on the mitigation potential of the EU forest sector.")</f>
        <v>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v>
      </c>
      <c r="C28" s="24" t="str">
        <f>IFERROR(__xludf.DUMMYFUNCTION("""COMPUTED_VALUE"""),"10.5194/bg-14-2387-2017")</f>
        <v>10.5194/bg-14-2387-2017</v>
      </c>
      <c r="D28" s="24" t="str">
        <f>IFERROR(__xludf.DUMMYFUNCTION("""COMPUTED_VALUE"""),"Jaureguiberry et al")</f>
        <v>Jaureguiberry et al</v>
      </c>
      <c r="E28" s="24" t="str">
        <f>IFERROR(__xludf.DUMMYFUNCTION("""COMPUTED_VALUE"""),"WOS:000401104900001")</f>
        <v>WOS:000401104900001</v>
      </c>
      <c r="F28" s="24" t="str">
        <f>IFERROR(__xludf.DUMMYFUNCTION("""COMPUTED_VALUE"""),"[""ELIGIBLE""]")</f>
        <v>["ELIGIBLE"]</v>
      </c>
    </row>
    <row r="29">
      <c r="A29" s="24" t="str">
        <f>IFERROR(__xludf.DUMMYFUNCTION("""COMPUTED_VALUE"""),"Key conservation issues for migratory land- and waterbird species on the world's major flyways")</f>
        <v>Key conservation issues for migratory land- and waterbird species on the world's major flyways</v>
      </c>
      <c r="B29" s="24" t="str">
        <f>IFERROR(__xludf.DUMMYFUNCTION("""COMPUTED_VALUE"""),"An estimated 19% of the world's 9,856 extant bird species are migratory, including some 1,600 species of land- and waterbirds. In 2008, 11% of migratory land- and waterbirds were classed by BirdLife International as threatened or near-threatened on the IU"&amp;"CN Red List. Red List indices show that these migrants have become more threatened since 1988, with 33 species deteriorating and just six improving in status. There is also increasing evidence of regional declines. Population trend data show that more Nea"&amp;"rctic-Neotropical migrants have declined than increased in North America since the 1980s, and more Palearctic-Afrotropical migrants breeding in Europe declined than increased during 1970-2000. Reviews of the status of migratory raptors show unfavourable c"&amp;"onservation status for 51% of species in the African-Eurasian region (in 2005), and 33% of species in Central, South and East Asia (in 2007). Land-use change owing to agriculture is the most frequently cited threat affecting nearly 80% of all threatened a"&amp;"nd near-threatened species. However, while agricultural intensification on the breeding grounds is often proposed as the major driver of declines in Palearctic-Afrotropical migrants, some species appear to be limited by the quantity and quality of availab"&amp;"le habitat in non-breeding areas, notably the drylands of tropical Africa. Forest fragmentation in breeding areas has contributed to the declines of Nearctic-Neotropical migrants with deforestation in non-breeding areas another possible factor. Infrastruc"&amp;"ture development including wind turbines, cables, towers and masts can also be a threat. Over-harvesting and persecution remain serious threats, particularly at key migration locations. Climate change is affecting birds already, is expected to exacerbate "&amp;"all these pressures, and may also increase competition between migratory and non-migratory species. The conservation of migratory birds thus requires a multitude of approaches. Many migratory birds require effective management of their critical sites, and"&amp;" Important Bird Areas (IBAs) provide an important foundation for such action; however to function effectively in conserving migratory species, IBAs need to be protected and the coherence of the network requires regular review. Since many migratory species"&amp;" (c. 55%) are widely dispersed across their breeding or non-breeding ranges, it is essential to address the human-induced changes at the wider landscape scale, a very considerable challenge. Efforts to conserve migratory birds in one part of the range are"&amp;" less effective if unaddressed threats are reducing these species' populations and habitats elsewhere. International collaboration and coordinated action along migration flyways as a whole are thus key elements in any strategy for the conservation of migr"&amp;"atory birds.")</f>
        <v>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v>
      </c>
      <c r="C29" s="24" t="str">
        <f>IFERROR(__xludf.DUMMYFUNCTION("""COMPUTED_VALUE"""),"10.1017/S0959270908000439")</f>
        <v>10.1017/S0959270908000439</v>
      </c>
      <c r="D29" s="24" t="str">
        <f>IFERROR(__xludf.DUMMYFUNCTION("""COMPUTED_VALUE"""),"Jaureguiberry et al")</f>
        <v>Jaureguiberry et al</v>
      </c>
      <c r="E29" s="24" t="str">
        <f>IFERROR(__xludf.DUMMYFUNCTION("""COMPUTED_VALUE"""),"WOS:000259453100005")</f>
        <v>WOS:000259453100005</v>
      </c>
      <c r="F29" s="24" t="str">
        <f>IFERROR(__xludf.DUMMYFUNCTION("""COMPUTED_VALUE"""),"[""ELIGIBLE""]")</f>
        <v>["ELIGIBLE"]</v>
      </c>
    </row>
    <row r="30">
      <c r="A30" s="24" t="str">
        <f>IFERROR(__xludf.DUMMYFUNCTION("""COMPUTED_VALUE"""),"Hong Kong's marine environments: History, challenges and opportunities")</f>
        <v>Hong Kong's marine environments: History, challenges and opportunities</v>
      </c>
      <c r="B30" s="24" t="str">
        <f>IFERROR(__xludf.DUMMYFUNCTION("""COMPUTED_VALUE"""),"Located within the tropics, Hong Kong has diverse marine habitats which host a rich marine biodiversity (similar to 6000 known species). Its marine environment is, however, under considerable anthropogenic pressure and continuous deterioration from rapid "&amp;"population growth and constant coastal development. This review summarizes the present status of the marine environment of Hong Kong from the perspectives of habitat loss and fragmentation, pollution, biological invasion, over-exploitation and climate cha"&amp;"nge, which are the major threats identified by the IUCN to marine ecosystems. The Chinese white dolphin population ( Sousa chinensis; one of the two resident marine mammals in Hong Kong) is at a historic low and continues to decline due to habitat loss th"&amp;"rough land reclamation, pollution, and intense marine traffic. Much of Hong Kong's coastal water is degraded by both substantial local and transboundary pollution from the Pearl River Delta, leading to eutrophication and harmful algal blooms. Exposure ris"&amp;"k to introduced exotic species is high, as Hong Kong is both the fourth busiest harbour in the world and release of animals into the marine environment during religious ceremonies is a common practice of local Buddhists and Taoists. The high consumption o"&amp;"f seafood has stressed fishery stocks in Hong Kong and its supplying countries. All these impacts are compounded by the often insidious, but pressing, challenges of climate change, with warming temperatures and increasing acidity of coastal waters. Given "&amp;"these known and emerging threats, Hong Kong serves as a living laboratory to investigate the impacts of both global and local activities and, where possible, develop solutions which could be implemented globally. (C) 2016 Elsevier B.V. All rights reserved"&amp;".")</f>
        <v>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v>
      </c>
      <c r="C30" s="24" t="str">
        <f>IFERROR(__xludf.DUMMYFUNCTION("""COMPUTED_VALUE"""),"10.1016/j.rsma.2016.09.001")</f>
        <v>10.1016/j.rsma.2016.09.001</v>
      </c>
      <c r="D30" s="24" t="str">
        <f>IFERROR(__xludf.DUMMYFUNCTION("""COMPUTED_VALUE"""),"Jaureguiberry et al")</f>
        <v>Jaureguiberry et al</v>
      </c>
      <c r="E30" s="24" t="str">
        <f>IFERROR(__xludf.DUMMYFUNCTION("""COMPUTED_VALUE"""),"WOS:000414771500005")</f>
        <v>WOS:000414771500005</v>
      </c>
      <c r="F30" s="24" t="str">
        <f>IFERROR(__xludf.DUMMYFUNCTION("""COMPUTED_VALUE"""),"[""ELIGIBLE""]")</f>
        <v>["ELIGIBLE"]</v>
      </c>
    </row>
    <row r="31">
      <c r="A31" s="24" t="str">
        <f>IFERROR(__xludf.DUMMYFUNCTION("""COMPUTED_VALUE"""),"Does tree canopy closure moderate the effect of climate warming on plant species composition of temperate Himalayan oak forest?")</f>
        <v>Does tree canopy closure moderate the effect of climate warming on plant species composition of temperate Himalayan oak forest?</v>
      </c>
      <c r="B31" s="24" t="str">
        <f>IFERROR(__xludf.DUMMYFUNCTION("""COMPUTED_VALUE"""),"Question: We ask H there are significant changes in plant species composition after 20 yr of documented temperature increase (similar to 1 degrees C), and if the temporal changes are different in closed temperate oak forest compared to semi-open canopy. A"&amp;"nswers to these questions may indicate if climate warming and/or canopy closure, controlled by land-use regime, is the main driver of any documented compositional changes in the forest between 1993 and 2013. Location: Phulchoki Mountain, centralHimalaya ("&amp;"Nepal). Methods: We resampled 64 plots of 100 m(2) after 20 yr and recorded all terrestrial vascular plants and percentage canopy cover in each sample plot. We analysed the compositional changes in terms of species abundance, frequency and spatial translo"&amp;"cation in relation to atmospheric temperature and canopy cover using univariate and multivariate statistics, Results: We find clear changes in the species composition, with abundance of almost half of the studied species having increased and one-quarter o"&amp;"f the species having decreased over the past two decades, The changes vary artiong life forms: trees increased, whereas decreasing species were mainly herbaceous or shrubs, Similarly, shade-tolerant species increased, whereas those adapted to open habitat"&amp;" decreased. The compositional changes are mainly explained through the increased regional temperature, with a significant buffering effect of tree canopy cover. A significant increase in low-elevation (warm-adapted) species is detected, but this thermophi"&amp;"lization is only found in the semi-open forest. Conclusions: Fine sc le temporal changes in the temperate oak forests are mainly driven by macroclimate warming, although change land-use regime also has a profound direct effect by governing canopy closure "&amp;"that, in turn, moderates the effect of climate warming. Tree canopy cover governs the relative abundances of different species based on their adaptive characteristics, such as shade tolerance and life-form traits. The magnitude of the temporal vegetation "&amp;"change would therefore be dependent on both the degree of regional climate warming and forest canopy closure.")</f>
        <v>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v>
      </c>
      <c r="C31" s="24" t="str">
        <f>IFERROR(__xludf.DUMMYFUNCTION("""COMPUTED_VALUE"""),"10.1111/jvs.12423")</f>
        <v>10.1111/jvs.12423</v>
      </c>
      <c r="D31" s="24" t="str">
        <f>IFERROR(__xludf.DUMMYFUNCTION("""COMPUTED_VALUE"""),"Jaureguiberry et al")</f>
        <v>Jaureguiberry et al</v>
      </c>
      <c r="E31" s="24" t="str">
        <f>IFERROR(__xludf.DUMMYFUNCTION("""COMPUTED_VALUE"""),"WOS:000388439400009")</f>
        <v>WOS:000388439400009</v>
      </c>
      <c r="F31" s="24" t="str">
        <f>IFERROR(__xludf.DUMMYFUNCTION("""COMPUTED_VALUE"""),"[""ELIGIBLE""]")</f>
        <v>["ELIGIBLE"]</v>
      </c>
    </row>
    <row r="32">
      <c r="A32" s="24" t="str">
        <f>IFERROR(__xludf.DUMMYFUNCTION("""COMPUTED_VALUE"""),"150 years of macronutrient change in unfertilized UK ecosystems: Observations vs simulations")</f>
        <v>150 years of macronutrient change in unfertilized UK ecosystems: Observations vs simulations</v>
      </c>
      <c r="B32" s="24" t="str">
        <f>IFERROR(__xludf.DUMMYFUNCTION("""COMPUTED_VALUE"""),"Understanding changes in plant-soil C, N and P using data alone is difficult due to the linkages between carbon, nitrogen and phosphorus cycles (C, Nand P), andmultiple changing long-termdrivers (e.g. climate, land-use, and atmospheric N deposition). Henc"&amp;"e, dynamic models are a vital tool for disentangling these drivers, helping us understand the dominant processes and drivers and predict future change. However, it is essential that models are tested against data if their outputs are to be concluded uponw"&amp;"ith confidence. Here, a simulation of C, N and P cycles using the N14CP modelwas compared with time-series observations of C, N and P in soils and biomass from the Rothamsted Research long-termexperiments spanning 150 years, providing an unprecedented tem"&amp;"poral integrated test of such a model. N14CP reproduced broad trends in soil organicmatter (SOM) C, N and P, vegetation biomass and N and P leaching. Subsequently, the model was used to decouple the effects of land management and elevated nitrogen deposit"&amp;"ion in these experiments. Elevated N deposition over the last 150 years is shown to have increased net primary productivity (NPP) 4.5-fold and total carbon sequestration 5-fold at the Geescroft Wilderness experiment, which was re-wilded to woodland in 188"&amp;"6. In contrast, the model predicts that for cropped grassland conditions at the Park Grass site, elevated N deposition has very little effect on SOM, as increases in NPP are diverted from the soil. More broadly, these results suggest that N deposition is "&amp;"likely to have had a large effect on SOM and NPP in northern temperate and boreal semi-natural grasslands and forests. However, in cropped and grazed systems in the same region, whilst NPP may have been supported in part by elevated N deposition, declines"&amp;" in SOM may not have been appreciably counteracted by increased N availability. (C) 2016 The Authors. Published by Elsevier B.V.")</f>
        <v>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v>
      </c>
      <c r="C32" s="24" t="str">
        <f>IFERROR(__xludf.DUMMYFUNCTION("""COMPUTED_VALUE"""),"10.1016/j.scitotenv.2016.03.055")</f>
        <v>10.1016/j.scitotenv.2016.03.055</v>
      </c>
      <c r="D32" s="24" t="str">
        <f>IFERROR(__xludf.DUMMYFUNCTION("""COMPUTED_VALUE"""),"Jaureguiberry et al")</f>
        <v>Jaureguiberry et al</v>
      </c>
      <c r="E32" s="24" t="str">
        <f>IFERROR(__xludf.DUMMYFUNCTION("""COMPUTED_VALUE"""),"WOS:000387807200143")</f>
        <v>WOS:000387807200143</v>
      </c>
      <c r="F32" s="24" t="str">
        <f>IFERROR(__xludf.DUMMYFUNCTION("""COMPUTED_VALUE"""),"[""ELIGIBLE""]")</f>
        <v>["ELIGIBLE"]</v>
      </c>
    </row>
    <row r="33">
      <c r="A33" s="24" t="str">
        <f>IFERROR(__xludf.DUMMYFUNCTION("""COMPUTED_VALUE"""),"Responses of typical grasslands in a semi-arid basin on the Qinghai-Tibetan Plateau to climate change and disturbances")</f>
        <v>Responses of typical grasslands in a semi-arid basin on the Qinghai-Tibetan Plateau to climate change and disturbances</v>
      </c>
      <c r="B33" s="24" t="str">
        <f>IFERROR(__xludf.DUMMYFUNCTION("""COMPUTED_VALUE"""),"Alpine grassland ecosystems on the Qinghai-Tibetan Plateau (QTP) are vulnerable to climate change and anthropogenic disturbances, which may have significant effects on the QTP's carbon budgets. In this study, vegetation and soil characteristics were compa"&amp;"red among alpine grassland ecosystems in a semi-arid basin on the northeast ridge of the QTP (1) among alpine swamp meadow, meadow, steppe meadow and steppe soils, which represent the direction of succession under climate-warming conditions, and (2) among"&amp;" alpine, degraded and tilled meadow soils to investigate the effects of human disturbance. The results showed that (1) if the alpine grassland ecosystems succeed in this direction, climate warming will cause a loss of carbon, and (2) tilling activity also"&amp;" results in carbon loss. Therefore, these results indicate that anthropogenic disturbance regimes that change more rapidly than climate may exert a more profound influence on carbon dynamics and balance. However, the plots that were set in the present stu"&amp;"dy represented only part of the basin due to road accessibility. Relationships between leaf area index (biomass and soil carbon) and fractional vegetation cover x vegetation height from this study are fairly good, which can be applied at regional scale to"&amp;" estimate carbon pools. In combination with detailed information of grassland types, climate and human activities, the effects of climate change and disturbances can be estimated using remote sensing datasets.")</f>
        <v>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v>
      </c>
      <c r="C33" s="24" t="str">
        <f>IFERROR(__xludf.DUMMYFUNCTION("""COMPUTED_VALUE"""),"10.1007/s12665-013-2547-0")</f>
        <v>10.1007/s12665-013-2547-0</v>
      </c>
      <c r="D33" s="24" t="str">
        <f>IFERROR(__xludf.DUMMYFUNCTION("""COMPUTED_VALUE"""),"Jaureguiberry et al")</f>
        <v>Jaureguiberry et al</v>
      </c>
      <c r="E33" s="24" t="str">
        <f>IFERROR(__xludf.DUMMYFUNCTION("""COMPUTED_VALUE"""),"WOS:000330124100038")</f>
        <v>WOS:000330124100038</v>
      </c>
      <c r="F33" s="24" t="str">
        <f>IFERROR(__xludf.DUMMYFUNCTION("""COMPUTED_VALUE"""),"[""ELIGIBLE""]")</f>
        <v>["ELIGIBLE"]</v>
      </c>
    </row>
    <row r="34">
      <c r="A34" s="24" t="str">
        <f>IFERROR(__xludf.DUMMYFUNCTION("""COMPUTED_VALUE"""),"Patterns on a parr: Drivers of long-term salmon parr length in UK and French rivers depend on geographical scale")</f>
        <v>Patterns on a parr: Drivers of long-term salmon parr length in UK and French rivers depend on geographical scale</v>
      </c>
      <c r="B34" s="24" t="str">
        <f>IFERROR(__xludf.DUMMYFUNCTION("""COMPUTED_VALUE"""),"Understanding the geographical scales at which environmental variables affect an individual's body size, and thus their mortality risk, can inform management strategies to help conserve wild populations under climate change. Yet, our current understanding"&amp;" of these relationships is based on studies done at different scales that report inconsistent findings. We predicted that temperature-related variables (e.g. winter temperature) influence body size at a regional scale, that is, affecting individuals in ge"&amp;"ographically independent catchments similarly, whereas non-temperature-related variables (e.g. conspecific competitor density) exert a local influence, that is, affecting individuals in geographically independent catchments differently. We developed stati"&amp;"stical models to test our predictions using body length measures of a large and long-term sample of juvenile Atlantic salmon (Salmo salar) from three rivers in the U.K. and France. We developed mixture models to predict the individual juvenile salmon ages"&amp;" objectively from their body length. We then developed linear mixed models to describe inter-annual changes in mean length of the youngest (age 0) cohort of juvenile salmon from river-specific seasonal variables, and tested whether they exerted their infl"&amp;"uence at a local or regional scale. All models accounted for spatio-temporal differences in sampling protocols and individual reproductive strategy. We estimated and interpreted coefficients using Bayesian theory. Our findings supported our predictions. J"&amp;"uvenile salmon were longer in years of higher overwinter water temperature and this effect was best parameterised as a single regional coefficient applicable to all three rivers. Similarly, spring mean temperature was best parameterised with a single regi"&amp;"onal nonlinear coefficient. In contrast, juvenile salmon were shorter in years of high densities of competing conspecifics and their interaction with total mean discharge and these effects were represented by local river-specific coefficients. Summer drou"&amp;"ghts had a negative effect on juvenile salmon length but was best parameterised as a single regional coefficient, contrary to our expectations. We show that environmental variables affect biological processes at different but predictable geographical scal"&amp;"es. Temperature-related variables affect body sizes of exothermic animals at a regional scale, whereas non-temperature variables, such as the density of conspecific competitors and water abstraction, exert their influence at a local scale. These findings "&amp;"highlight the importance of integrating local and regional management plans to mitigate the impacts of climate change on the body size, and ultimately the conservation, of exothermic species.")</f>
        <v>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v>
      </c>
      <c r="C34" s="24" t="str">
        <f>IFERROR(__xludf.DUMMYFUNCTION("""COMPUTED_VALUE"""),"10.1111/fwb.12929")</f>
        <v>10.1111/fwb.12929</v>
      </c>
      <c r="D34" s="24" t="str">
        <f>IFERROR(__xludf.DUMMYFUNCTION("""COMPUTED_VALUE"""),"Jaureguiberry et al")</f>
        <v>Jaureguiberry et al</v>
      </c>
      <c r="E34" s="24" t="str">
        <f>IFERROR(__xludf.DUMMYFUNCTION("""COMPUTED_VALUE"""),"WOS:000403021500001")</f>
        <v>WOS:000403021500001</v>
      </c>
      <c r="F34" s="24" t="str">
        <f>IFERROR(__xludf.DUMMYFUNCTION("""COMPUTED_VALUE"""),"[""ELIGIBLE""]")</f>
        <v>["ELIGIBLE"]</v>
      </c>
    </row>
    <row r="35">
      <c r="A35" s="24" t="str">
        <f>IFERROR(__xludf.DUMMYFUNCTION("""COMPUTED_VALUE"""),"Assessing the risk to the conservation status of temperate rainforest from exposure to mining, commercial logging, and climate change: A Tasmanian case study")</f>
        <v>Assessing the risk to the conservation status of temperate rainforest from exposure to mining, commercial logging, and climate change: A Tasmanian case study</v>
      </c>
      <c r="B35" s="24" t="str">
        <f>IFERROR(__xludf.DUMMYFUNCTION("""COMPUTED_VALUE"""),"Formal protected areas are a critical conservation measure so long as their tenure is defined and secure and they are well managed. Protected areas in developed countries are assumed to meet these criteria and therefore have not attracted the level of att"&amp;"ention given to the adequacy of protected areas in developing countries. We investigate this assumption using as a case study the southern temperate rainforests of Tasmania, Australia. We examine the extent to which these rainforests are protected from po"&amp;"tential exposure to mining, commercial logging and climate change. We analyse the tenure of Tasmania's rainforests and identify the protected area categories that prohibit or allow mining or logging. We also model the potential distribution of Nothofagus "&amp;"cunninghctmii, a dominant rainforest canopy tree species, to future climate and compare this with modelled current and future forest fire danger index. Results showed that 90% of the total area of Tasmanian rainforest (715,773 ha(-1)) is in a reserve. How"&amp;"ever, the area of rainforest in reserves secured from mining and/or commercial logging is only 47% (335,863 ha(-1)) as 43% (308,897 ha(-1)) is in a reserve category where these land uses are permitted. The protected area category with the highest level of"&amp;" protection, prohibiting all mining and logging, is the Tasmanian Wilderness World Heritage Area which encompasses 325,920 ha(-1) of temperate rainforest. During a recent legislative review, 66,012 ha(-1) of rainforest in protected areas was downgraded to"&amp;" a reserve category that permits logging or mining. A key conservation instrument therefore is the Management Plan for the World Heritage Area as it overrides land use activities otherwise permitted including the 21,257 ha(-1) which is on a State-defined "&amp;"land tenure that allows for logging or mining. Climate change impacts, as modelled, suggest the main conservation challenges are in maintaining the integrity of the remaining intact rainforest blocks and better managing ignitions from lightning strikes an"&amp;"d arsonists in the coniferous and alpine rainforests. Allowing structural degradation and fragmentation to intact rainforest blocks will reduce their capacity to buffer meso-climatic variability and resist fire events thereby undermining their ecosystem i"&amp;"ntegrity. Noting that Aichi Target 11 includes the requirement that reserves are effectively managed, our case study highlights that assessing the effectiveness of a reserve system is not necessarily a straightforward matter as governance systems and regu"&amp;"latory frameworks involve a mix of international obligations, national and sub national policies and statutes, along with other agreements, administrative arrangements and plans of management, which can provide for a range of land use activities and be su"&amp;"bject to modification over time.")</f>
        <v>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v>
      </c>
      <c r="C35" s="24" t="str">
        <f>IFERROR(__xludf.DUMMYFUNCTION("""COMPUTED_VALUE"""),"10.1016/j.biocon.2017.08.032")</f>
        <v>10.1016/j.biocon.2017.08.032</v>
      </c>
      <c r="D35" s="24" t="str">
        <f>IFERROR(__xludf.DUMMYFUNCTION("""COMPUTED_VALUE"""),"Jaureguiberry et al")</f>
        <v>Jaureguiberry et al</v>
      </c>
      <c r="E35" s="24" t="str">
        <f>IFERROR(__xludf.DUMMYFUNCTION("""COMPUTED_VALUE"""),"WOS:000414883000003")</f>
        <v>WOS:000414883000003</v>
      </c>
      <c r="F35" s="24" t="str">
        <f>IFERROR(__xludf.DUMMYFUNCTION("""COMPUTED_VALUE"""),"[""ELIGIBLE""]")</f>
        <v>["ELIGIBLE"]</v>
      </c>
    </row>
    <row r="36">
      <c r="A36" s="24" t="str">
        <f>IFERROR(__xludf.DUMMYFUNCTION("""COMPUTED_VALUE"""),"Detection and attribution of vegetation greening trend in China over the last 30 years")</f>
        <v>Detection and attribution of vegetation greening trend in China over the last 30 years</v>
      </c>
      <c r="B36" s="24" t="str">
        <f>IFERROR(__xludf.DUMMYFUNCTION("""COMPUTED_VALUE"""),"The reliable detection and attribution of changes in vegetation growth is a prerequisite for the development of strategies for the sustainable management of ecosystems. This is an extraordinary challenge. To our knowledge, this study is the first to compr"&amp;"ehensively detect and attribute a greening trend in China over the last three decades. We use three different satellite-derived Leaf Area Index (LAI) datasets for detection as well as five different process-based ecosystem models for attribution. Rising a"&amp;"tmospheric CO2 concentration and nitrogen deposition are identified as the most likely causes of the greening trend in China, explaining 85% and 41% of the average growing-season LAI trend (LAI(GS)) estimated by satellite datasets (average trend of 0.0070"&amp;"yr(-1), ranging from 0.0035yr(-1) to 0.0127yr(-1)), respectively. The contribution of nitrogen deposition is more clearly seen in southern China than in the north of the country. Models disagree about the contribution of climate change alone to the trend "&amp;"in LAI(GS) at the country scale (one model shows a significant increasing trend, whereas two others show significant decreasing trends). However, the models generally agree on the negative impacts of climate change in north China and Inner Mongolia and th"&amp;"e positive impact in the Qinghai-Xizang plateau. Provincial forest area change tends to be significantly correlated with the trend of LAI(GS) (P&lt;0.05), and marginally significantly (P=0.07) correlated with the residual of LAI(GS) trend, calculated as the "&amp;"trend observed by satellite minus that estimated by models through considering the effects of climate change, rising CO2 concentration and nitrogen deposition, across different provinces. This result highlights the important role of China's afforestation "&amp;"program in explaining the spatial patterns of trend in vegetation growth.")</f>
        <v>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v>
      </c>
      <c r="C36" s="24" t="str">
        <f>IFERROR(__xludf.DUMMYFUNCTION("""COMPUTED_VALUE"""),"10.1111/gcb.12795")</f>
        <v>10.1111/gcb.12795</v>
      </c>
      <c r="D36" s="24" t="str">
        <f>IFERROR(__xludf.DUMMYFUNCTION("""COMPUTED_VALUE"""),"Jaureguiberry et al")</f>
        <v>Jaureguiberry et al</v>
      </c>
      <c r="E36" s="24" t="str">
        <f>IFERROR(__xludf.DUMMYFUNCTION("""COMPUTED_VALUE"""),"WOS:000351214100022")</f>
        <v>WOS:000351214100022</v>
      </c>
      <c r="F36" s="24" t="str">
        <f>IFERROR(__xludf.DUMMYFUNCTION("""COMPUTED_VALUE"""),"[""ELIGIBLE""]")</f>
        <v>["ELIGIBLE"]</v>
      </c>
    </row>
    <row r="37">
      <c r="A37" s="24" t="str">
        <f>IFERROR(__xludf.DUMMYFUNCTION("""COMPUTED_VALUE"""),"Determining the contributions of urbanisation and climate change to NPP variations over the last decade in the Yangtze River Delta, China")</f>
        <v>Determining the contributions of urbanisation and climate change to NPP variations over the last decade in the Yangtze River Delta, China</v>
      </c>
      <c r="B37" s="24" t="str">
        <f>IFERROR(__xludf.DUMMYFUNCTION("""COMPUTED_VALUE"""),"Terrestrial net primary production (NPP) is an important measure of global change, and identifying the relative contributions of urbanisation and climate change to NPP is important for understanding the impact of human and natural influences on terrestria"&amp;"l systems and the carbon cycle. The objective of this study was to reveal how urbanisation and climate drive changes in NPP. Satellite-based estimates of NPP collected over a 12-year period (1999-2010) were analysed to identify NPP variations in the Yangt"&amp;"ze River Delta. Temporal and spatial analysis methods were used to identify the relationships among NPP, nighttime light urbanisation index values, and climatic factors from pixel to regional scales. The NPP of the entire Yangtze River Delta decreased sli"&amp;"ghtly at a rate of -0.5 g C m(-2) a(-1) from 1999 to 2010, but this change was not significant. However, in the urban region, NPP decreased significantly (p &lt; 0.05) at a rate of -4.7 g C m(-2) a(-1) due to urbanisation processes. A spatially explicit meth"&amp;"od was proposed to partition the relative contributions of urbanisation and climate change to NPP variation. The results revealed that the urbanisation factor is the main driving force for NPP change in high-speed urbanisation areas, and the factor accoun"&amp;"ted for 47% of the variations. However, in the forest and farm regions, the NPP variation was mainly controlled by climate change and residual factors. (C) 2013 Elsevier B.V. All rights reserved.")</f>
        <v>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v>
      </c>
      <c r="C37" s="24" t="str">
        <f>IFERROR(__xludf.DUMMYFUNCTION("""COMPUTED_VALUE"""),"10.1016/j.scitotenv.2013.10.128")</f>
        <v>10.1016/j.scitotenv.2013.10.128</v>
      </c>
      <c r="D37" s="24" t="str">
        <f>IFERROR(__xludf.DUMMYFUNCTION("""COMPUTED_VALUE"""),"Jaureguiberry et al")</f>
        <v>Jaureguiberry et al</v>
      </c>
      <c r="E37" s="24" t="str">
        <f>IFERROR(__xludf.DUMMYFUNCTION("""COMPUTED_VALUE"""),"WOS:000331916100047")</f>
        <v>WOS:000331916100047</v>
      </c>
      <c r="F37" s="24" t="str">
        <f>IFERROR(__xludf.DUMMYFUNCTION("""COMPUTED_VALUE"""),"[""ELIGIBLE""]")</f>
        <v>["ELIGIBLE"]</v>
      </c>
    </row>
    <row r="38">
      <c r="A38" s="24" t="str">
        <f>IFERROR(__xludf.DUMMYFUNCTION("""COMPUTED_VALUE"""),"The Impact of Global Change on the Dynamics of Marine Living Resources")</f>
        <v>The Impact of Global Change on the Dynamics of Marine Living Resources</v>
      </c>
      <c r="B38" s="24" t="str">
        <f>IFERROR(__xludf.DUMMYFUNCTION("""COMPUTED_VALUE"""),"Based on the capture of wild animals–mostly for human consumption–fishing is a truly original food production system, carried out since the Paleolithic era. The aquatic animal food production is a considerable asset. Together, fisheries and aquaculture pr"&amp;"ovided more than 4.3 billion people with at least 15% of their intake of animal protein in 2010. In order to understand how marine animal species respond to fishing, it is also essential to precisely understand the degree of concordance between their actu"&amp;"al organization and their management units. The increasing interest in the variety of governance mechanisms for the fishing industry, the role of stakeholders and the reinforcement of regulations over access to resources. The Ecosystem Approach to Fisheri"&amp;"es (EAF) is based on this high-level conceptual representation. For Diadromous fish, climate change is one element among the factors in the modification of their ecosystems.")</f>
        <v>Based on the capture of wild animals–mostly for human consumption–fishing is a truly original food production system, carried out since the Paleolithic era. The aquatic animal food production is a considerable asset. Together, fisheries and aquaculture provided more than 4.3 billion people with at least 15% of their intake of animal protein in 2010. In order to understand how marine animal species respond to fishing, it is also essential to precisely understand the degree of concordance between their actual organization and their management units. The increasing interest in the variety of governance mechanisms for the fishing industry, the role of stakeholders and the reinforcement of regulations over access to resources. The Ecosystem Approach to Fisheries (EAF) is based on this high-level conceptual representation. For Diadromous fish, climate change is one element among the factors in the modification of their ecosystems.</v>
      </c>
      <c r="C38" s="24" t="str">
        <f>IFERROR(__xludf.DUMMYFUNCTION("""COMPUTED_VALUE"""),"")</f>
        <v/>
      </c>
      <c r="D38" s="24" t="str">
        <f>IFERROR(__xludf.DUMMYFUNCTION("""COMPUTED_VALUE"""),"Jaureguiberry et al")</f>
        <v>Jaureguiberry et al</v>
      </c>
      <c r="E38" s="24" t="str">
        <f>IFERROR(__xludf.DUMMYFUNCTION("""COMPUTED_VALUE"""),"WOS:000364520200005")</f>
        <v>WOS:000364520200005</v>
      </c>
      <c r="F38" s="24" t="str">
        <f>IFERROR(__xludf.DUMMYFUNCTION("""COMPUTED_VALUE"""),"[""ELIGIBLE""]")</f>
        <v>["ELIGIBLE"]</v>
      </c>
    </row>
    <row r="39">
      <c r="A39" s="24" t="str">
        <f>IFERROR(__xludf.DUMMYFUNCTION("""COMPUTED_VALUE"""),"The Effects of Fishing, Climate Change, and Other Anthropogenic Disturbances on Red Grouper and Other Reef Fishes in the Gulf of Mexico")</f>
        <v>The Effects of Fishing, Climate Change, and Other Anthropogenic Disturbances on Red Grouper and Other Reef Fishes in the Gulf of Mexico</v>
      </c>
      <c r="B39" s="24" t="str">
        <f>IFERROR(__xludf.DUMMYFUNCTION("""COMPUTED_VALUE"""),"In this article, we consider the potential effects of anthropogenic disturbances on marine fish species known or suspected to be habitat engineers. The three species of interest inhabit different marine habitats at different life stages, and therefore can"&amp;" have significant influences across the sea floor at broad spatial scales. The primary species include the shallow-water Atlantic goliath grouper (Epinephelus itajara), which inhabits mangrove root systems as juveniles, and caves, shipwrecks, and rocky re"&amp;"efs as adults; red grouper (E. morio), which excavates habitat throughout its benthic life in Karst regions of the Gulf of Mexico and western Atlantic, from the coast to the shelf-edge; and tilefish (Lopholatilus chamaeleonticeps), a species that lives on"&amp;" the continental slope and constructs elaborate, pueblo-esque burrows. The anthropogenic disturbances of greatest interest in the Gulf of Mexico include fishing, hypoxia, red tide, oil and gas exploration, and climatic change. We suggest that to understan"&amp;"d the broader effects of both natural and anthropogenic disturbances on biomass and productivity in these species requires that we first understand the strength of interactions between them and the other species residing within their communities (e.g., pr"&amp;"edators, prey, commensals, and mutualists).")</f>
        <v>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v>
      </c>
      <c r="C39" s="24" t="str">
        <f>IFERROR(__xludf.DUMMYFUNCTION("""COMPUTED_VALUE"""),"10.1093/icb/icq072")</f>
        <v>10.1093/icb/icq072</v>
      </c>
      <c r="D39" s="24" t="str">
        <f>IFERROR(__xludf.DUMMYFUNCTION("""COMPUTED_VALUE"""),"Jaureguiberry et al")</f>
        <v>Jaureguiberry et al</v>
      </c>
      <c r="E39" s="24" t="str">
        <f>IFERROR(__xludf.DUMMYFUNCTION("""COMPUTED_VALUE"""),"WOS:000280279800005")</f>
        <v>WOS:000280279800005</v>
      </c>
      <c r="F39" s="24" t="str">
        <f>IFERROR(__xludf.DUMMYFUNCTION("""COMPUTED_VALUE"""),"[""ELIGIBLE""]")</f>
        <v>["ELIGIBLE"]</v>
      </c>
    </row>
    <row r="40">
      <c r="A40" s="24" t="str">
        <f>IFERROR(__xludf.DUMMYFUNCTION("""COMPUTED_VALUE"""),"The status and distribution of a newly identified endemic galaxiid in the eastern Cape Fold Ecoregion, of South Africa")</f>
        <v>The status and distribution of a newly identified endemic galaxiid in the eastern Cape Fold Ecoregion, of South Africa</v>
      </c>
      <c r="B40" s="24" t="str">
        <f>IFERROR(__xludf.DUMMYFUNCTION("""COMPUTED_VALUE"""),"DNA-based studies have uncovered cryptic species and lineages within almost all freshwater fishes studied thus far from the Cape Fold Ecoregion (CFE) of South Africa. These studies have changed the way the CFE is viewed, as almost all stream fishes that w"&amp;"ere previously considered to be of low conservation priority, because they were perceived to have broad geographical ranges, contain multiple historically isolated lineages, many of which are narrow-range endemics. As stream fishes of the CFE are of conse"&amp;"rvation concern owing to threats mainly posed by habitat degradation, invasion by alien species and hydrological modification, re-evaluation of the distribution and conservation status of newly identified unique lineages is required to inform the developm"&amp;"ent and implementation of effective conservation and management strategies. The present study conducted an IUCN Red List conservation assessment of a newly identified lineage of the Galaxias zebratus species complex (hereafter referred to as Galaxias sp. "&amp;"Joubertina') to identify key threats and provide recommendations to conservation authorities on appropriate measures to reduce extinction risk. The lineage met the qualifying threshold for the Endangered category because of its very restricted geographic "&amp;"range, few remaining secure populations, small known population sizes and the intensity of threats to most of the populations. Only six populations remain, one of which could be an extralimital' population potentially established through an inter-basin wa"&amp;"ter transfer scheme. Galaxias sp. Joubertina' is threatened by invasive piscivores, habitat degradation and excessive water abstraction. These impacts have fragmented remnant populations, raising concerns about potential long-term adverse impacts on genet"&amp;"ic diversity and evolutionary potential of this lineage. Immediate conservation measures should protect remnant populations from further impacts, while long-term measures should aim to restore historical connectivity to reduce the potential deleterious ef"&amp;"fects of inbreeding in the small isolated populations.")</f>
        <v>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v>
      </c>
      <c r="C40" s="24" t="str">
        <f>IFERROR(__xludf.DUMMYFUNCTION("""COMPUTED_VALUE"""),"10.1002/aqc.2850")</f>
        <v>10.1002/aqc.2850</v>
      </c>
      <c r="D40" s="24" t="str">
        <f>IFERROR(__xludf.DUMMYFUNCTION("""COMPUTED_VALUE"""),"Jaureguiberry et al")</f>
        <v>Jaureguiberry et al</v>
      </c>
      <c r="E40" s="24" t="str">
        <f>IFERROR(__xludf.DUMMYFUNCTION("""COMPUTED_VALUE"""),"WOS:000425121900007")</f>
        <v>WOS:000425121900007</v>
      </c>
      <c r="F40" s="24" t="str">
        <f>IFERROR(__xludf.DUMMYFUNCTION("""COMPUTED_VALUE"""),"[""ELIGIBLE""]")</f>
        <v>["ELIGIBLE"]</v>
      </c>
    </row>
    <row r="41">
      <c r="A41" s="24" t="str">
        <f>IFERROR(__xludf.DUMMYFUNCTION("""COMPUTED_VALUE"""),"Impacts of global changes and extreme hydroclimatic events on macroinvertebrate community structures in the French Rhone River")</f>
        <v>Impacts of global changes and extreme hydroclimatic events on macroinvertebrate community structures in the French Rhone River</v>
      </c>
      <c r="B41" s="24" t="str">
        <f>IFERROR(__xludf.DUMMYFUNCTION("""COMPUTED_VALUE"""),"We assessed the temporal changes in and the relationships between the structures of the macroinvertebrate communities and the environmental conditions of the French Rhone River (the river from Lake Geneva to the Mediterranean Sea) over the last 20 years ("&amp;"1985-2004). Multisite environmental and biological datasets were analysed using multiple CO-inertia analysis (MCOA) and Procrustean analysis. Changes in environmental conditions were mainly marked by an improvement in water quality between 1985 and 1991 a"&amp;"nd by an increase in water temperature from 1985 onwards due to climate change. Improvement in water quality seemed to delay changes in community structures under global warming. We then observed trends in community structures coupled with high temperatur"&amp;"es and a decrease in oxygen content. Interestingly, we observed both gradual changes and rapid switches in community states. These shifts seemed coupled to extreme hydroclimatic events (i.e. pulse disturbances). Floods and the 2003 heatwave enhanced the d"&amp;"evelopment of eurytolerant and invasive taxa which were probably able to take advantage of gradual warming environmental conditions. Despite various site-specific press constraints (e.g. hydropower schemes, nuclear power plants), similar changes in commun"&amp;"ity structures were observed along the French Rhone River. Such consistency in temporal processes at large geographical scales underlined the strength of hydroclimatic constraints on community dynamics compared to specific local disturbances. Finally, com"&amp;"munity structures did not show any sign of recovery, and their relative sensitivities to extreme hydroclimatic events seemed to increase with time. Thus, our results suggest that global changes may reduce the resilience of current community states.")</f>
        <v>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v>
      </c>
      <c r="C41" s="24" t="str">
        <f>IFERROR(__xludf.DUMMYFUNCTION("""COMPUTED_VALUE"""),"10.1007/s00442-006-0655-1")</f>
        <v>10.1007/s00442-006-0655-1</v>
      </c>
      <c r="D41" s="24" t="str">
        <f>IFERROR(__xludf.DUMMYFUNCTION("""COMPUTED_VALUE"""),"Jaureguiberry et al")</f>
        <v>Jaureguiberry et al</v>
      </c>
      <c r="E41" s="24" t="str">
        <f>IFERROR(__xludf.DUMMYFUNCTION("""COMPUTED_VALUE"""),"WOS:000244692700016")</f>
        <v>WOS:000244692700016</v>
      </c>
      <c r="F41" s="24" t="str">
        <f>IFERROR(__xludf.DUMMYFUNCTION("""COMPUTED_VALUE"""),"[""ELIGIBLE""]")</f>
        <v>["ELIGIBLE"]</v>
      </c>
    </row>
    <row r="42">
      <c r="A42" s="24" t="str">
        <f>IFERROR(__xludf.DUMMYFUNCTION("""COMPUTED_VALUE"""),"Drivers of Extinction Risk in Terrestrial Vertebrates")</f>
        <v>Drivers of Extinction Risk in Terrestrial Vertebrates</v>
      </c>
      <c r="B42" s="24" t="str">
        <f>IFERROR(__xludf.DUMMYFUNCTION("""COMPUTED_VALUE"""),"Rising rates of extinction create an urgent need to identify the mechanisms and drivers of endangerment. One critical question is whether major phylogenetic lineages are equally at risk to the same threats. We used the IUCN Red List classification to expl"&amp;"ore the effect of four major threatening processes (habitat alteration, invasive species, climate change and overexploitation) on 7,441 species in four terrestrial vertebrate classes. As expected, species rated as vulnerable to a higher number of threats "&amp;"were also at greater risk of extinction. However, this pattern differed strongly among classes. Notably, invasive species and climate change were strongly associated with increased risk of extinction in birds but not mammals. These large-scale differences"&amp;" might be artifacts of differing methodologies used by class specialists to classify species vulnerability; or might reflect biological differences. That ambiguity needs to be resolved, because it has strong implications for the assessment and amelioratio"&amp;"n of threatening processes.")</f>
        <v>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v>
      </c>
      <c r="C42" s="24" t="str">
        <f>IFERROR(__xludf.DUMMYFUNCTION("""COMPUTED_VALUE"""),"10.1111/conl.12258")</f>
        <v>10.1111/conl.12258</v>
      </c>
      <c r="D42" s="24" t="str">
        <f>IFERROR(__xludf.DUMMYFUNCTION("""COMPUTED_VALUE"""),"Jaureguiberry et al")</f>
        <v>Jaureguiberry et al</v>
      </c>
      <c r="E42" s="24" t="str">
        <f>IFERROR(__xludf.DUMMYFUNCTION("""COMPUTED_VALUE"""),"WOS:000398563500003")</f>
        <v>WOS:000398563500003</v>
      </c>
      <c r="F42" s="24" t="str">
        <f>IFERROR(__xludf.DUMMYFUNCTION("""COMPUTED_VALUE"""),"[""ELIGIBLE""]")</f>
        <v>["ELIGIBLE"]</v>
      </c>
    </row>
    <row r="43">
      <c r="A43" s="24" t="str">
        <f>IFERROR(__xludf.DUMMYFUNCTION("""COMPUTED_VALUE"""),"Climate vulnerability and resilience in the most valuable North American fishery")</f>
        <v>Climate vulnerability and resilience in the most valuable North American fishery</v>
      </c>
      <c r="B43" s="24" t="str">
        <f>IFERROR(__xludf.DUMMYFUNCTION("""COMPUTED_VALUE"""),"Managing natural resources in an era of increasing climate impacts requires accounting for the synergistic effects of climate, ecosystem changes, and harvesting on resource productivity. Coincident with recent exceptional warming of the northwest Atlantic"&amp;" Ocean and removal of large predatory fish, the American lobster has become the most valuable fishery resource in North America. Using a model that links ocean temperature, predator density, and fishing to population productivity, we show that harvester-d"&amp;"riven conservation efforts to protect large lobsters prepared the Gulf of Maine lobster fishery to capitalize on favorable ecosystem conditions, resulting in the record-breaking landings recently observed in the region. In contrast, in the warmer southern"&amp;" New England region, the absence of similar conservation efforts precipitated warming-induced recruitment failure that led to the collapse of the fishery. Population projections under expected warming suggest that the American lobster fishery is vulnerabl"&amp;"e to future temperature increases, but continued efforts to preserve the stock's reproductive potential can dampen the negative impacts of warming. This study demonstrates that, even though global climate change is severely impacting marine ecosystems, wi"&amp;"dely adopted, proactive conservation measures can increase the resilience of commercial fisheries to climate change.")</f>
        <v>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v>
      </c>
      <c r="C43" s="24" t="str">
        <f>IFERROR(__xludf.DUMMYFUNCTION("""COMPUTED_VALUE"""),"10.1073/pnas.1711122115")</f>
        <v>10.1073/pnas.1711122115</v>
      </c>
      <c r="D43" s="24" t="str">
        <f>IFERROR(__xludf.DUMMYFUNCTION("""COMPUTED_VALUE"""),"Jaureguiberry et al")</f>
        <v>Jaureguiberry et al</v>
      </c>
      <c r="E43" s="24" t="str">
        <f>IFERROR(__xludf.DUMMYFUNCTION("""COMPUTED_VALUE"""),"WOS:000425495000061")</f>
        <v>WOS:000425495000061</v>
      </c>
      <c r="F43" s="24" t="str">
        <f>IFERROR(__xludf.DUMMYFUNCTION("""COMPUTED_VALUE"""),"[""ELIGIBLE""]")</f>
        <v>["ELIGIBLE"]</v>
      </c>
    </row>
    <row r="44">
      <c r="A44" s="24" t="str">
        <f>IFERROR(__xludf.DUMMYFUNCTION("""COMPUTED_VALUE"""),"Realized climatic niches are conserved along maximum temperatures among herpetofaunal invaders")</f>
        <v>Realized climatic niches are conserved along maximum temperatures among herpetofaunal invaders</v>
      </c>
      <c r="B44" s="24" t="str">
        <f>IFERROR(__xludf.DUMMYFUNCTION("""COMPUTED_VALUE"""),"AimThe conservatism of the realized climatic niche is a pivotal assumption for predicting invasion risk under present and future climates. To date, however, no studies have identified the particular dimensions of realized climatic niches that are spatiall"&amp;"y and temporally conserved for a whole taxonomic group on a global scale. Understanding realized niche dynamics along each individual climatic variable separately is a key consideration for improving forecasts of invasive species distributions and anticip"&amp;"ating future range expansions. LocationGlobal. MethodsUsing 181 successful invasion events for 128 alien herpetofaunal species across the globe, we applied a robust niche dynamics framework and analysed the conservatism of the realized climatic niche and "&amp;"its influencing factors along 19 temperature and precipitation variables. ResultsWe found that the magnitude of the niche expansion along the maximum temperature of the warmest month (or warmest quarter) was, on average, the lowest compared with the niche"&amp;" expansion magnitude along the minimum, average, range and seasonal temperature characteristics and all precipitation variables. Furthermore, the niche shift along the maximum temperature was only negatively correlated with native range size and was unrel"&amp;"ated to residence time, species traits, introduction propagule pressure, topographic heterogeneity or equatorwards and polewards range expansion. Main conclusionsWe provide the first evidence that the realized climatic niche of alien herpetofaunal species"&amp;" is generally most conserved along maximum temperatures. This finding highlights the importance of preferentially choosing conserved climatic niche parameters to develop robust predictions of biological invasions or shifts in species ranges in response to"&amp;" climate change.")</f>
        <v>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v>
      </c>
      <c r="C44" s="24" t="str">
        <f>IFERROR(__xludf.DUMMYFUNCTION("""COMPUTED_VALUE"""),"10.1111/jbi.12808")</f>
        <v>10.1111/jbi.12808</v>
      </c>
      <c r="D44" s="24" t="str">
        <f>IFERROR(__xludf.DUMMYFUNCTION("""COMPUTED_VALUE"""),"Jaureguiberry et al")</f>
        <v>Jaureguiberry et al</v>
      </c>
      <c r="E44" s="24" t="str">
        <f>IFERROR(__xludf.DUMMYFUNCTION("""COMPUTED_VALUE"""),"WOS:000391956900011")</f>
        <v>WOS:000391956900011</v>
      </c>
      <c r="F44" s="24" t="str">
        <f>IFERROR(__xludf.DUMMYFUNCTION("""COMPUTED_VALUE"""),"[""ELIGIBLE""]")</f>
        <v>["ELIGIBLE"]</v>
      </c>
    </row>
    <row r="45">
      <c r="A45" s="24" t="str">
        <f>IFERROR(__xludf.DUMMYFUNCTION("""COMPUTED_VALUE"""),"The current status of coral reefs and their vulnerability to climate change and multiple human stresses in the Comoros Archipelago, Western Indian Ocean")</f>
        <v>The current status of coral reefs and their vulnerability to climate change and multiple human stresses in the Comoros Archipelago, Western Indian Ocean</v>
      </c>
      <c r="B45" s="24" t="str">
        <f>IFERROR(__xludf.DUMMYFUNCTION("""COMPUTED_VALUE"""),"Coral bleaching and various human stressors have degraded the coral reefs of the Comoros Archipelago in the past 40 years and rising atmospheric CO2 levels are predicted to further impact marine habitats. The condition of reefs in the Comoros is poorly kn"&amp;"own; using SCUBA based methods we surveyed reef condition and resilience to bleaching at sites in Grande Comore and Moheli in 2010 and 2016. The condition of reefs was highly variable, with a range in live coral cover between 6% and 60% and target fishery"&amp;" species biomass between 20 and 500 kg per ha. The vulnerability assessment of reefs to future coral bleaching and their exposure to fishing, soil erosion and river pollution in Moheli Marine Park found that offshore sites around the islets south of the i"&amp;"sland were least likely to be impacted by these negative pressures. The high variability in both reef condition and vulnerability across reefs in the Park lends itself to spatially explicit conservation actions. However, it is noteworthy that climate impa"&amp;"cts to date appear moderate and that local human pressures are not having a major impact on components of reef health and recovery, suggesting these reefs are relatively resilient to the current anthropogenic stresses that they are experiencing.")</f>
        <v>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v>
      </c>
      <c r="C45" s="24" t="str">
        <f>IFERROR(__xludf.DUMMYFUNCTION("""COMPUTED_VALUE"""),"10.1016/j.marpolbul.2018.04.065")</f>
        <v>10.1016/j.marpolbul.2018.04.065</v>
      </c>
      <c r="D45" s="24" t="str">
        <f>IFERROR(__xludf.DUMMYFUNCTION("""COMPUTED_VALUE"""),"Jaureguiberry et al")</f>
        <v>Jaureguiberry et al</v>
      </c>
      <c r="E45" s="24" t="str">
        <f>IFERROR(__xludf.DUMMYFUNCTION("""COMPUTED_VALUE"""),"WOS:000441853600107")</f>
        <v>WOS:000441853600107</v>
      </c>
      <c r="F45" s="24" t="str">
        <f>IFERROR(__xludf.DUMMYFUNCTION("""COMPUTED_VALUE"""),"[""ELIGIBLE""]")</f>
        <v>["ELIGIBLE"]</v>
      </c>
    </row>
    <row r="46">
      <c r="A46" s="24" t="str">
        <f>IFERROR(__xludf.DUMMYFUNCTION("""COMPUTED_VALUE"""),"Conservation of natural wilderness values in the Port Davey marine and estuarine protected area, south-western Tasmania")</f>
        <v>Conservation of natural wilderness values in the Port Davey marine and estuarine protected area, south-western Tasmania</v>
      </c>
      <c r="B46" s="24" t="str">
        <f>IFERROR(__xludf.DUMMYFUNCTION("""COMPUTED_VALUE"""),"1. Port Davey and associated Bathurst Harbour in south-western Tasmania represent one of the world's most anomalous estuarine systems owing to an unusual combination of environmental factors. These include: (i) large uninhabited catchment protected as a N"&amp;"ational Park; (ii) ria geomorphology but with fjord characteristics that include a shallow entrance and deep 12-km long channel connecting an almost land-locked harbour to the sea; (iii) high rainfall and riverine input that generate strongly-stratified e"&amp;"stuarine conditions, with a low-salinity surface layer and marine bottom water; (iv) a deeply tannin-stained surface layer that blocks light penetration to depth; (v) very low levels of nutrients and low aquatic productivity; (vi) weak tidal influences; ("&amp;"vii) marine bottom water with stable temperature throughout the year; (viii) numerous endemic species; (ix) strongly depth-stratified benthic assemblages exhibiting high compositional variability over small spatial scales; (x) deepsea species present at a"&amp;"nomalously shallow depths; (xi) no conspicuous introduced taxa; (xii) a predominance of fragile sessile invertebrates, including slow-growing fenestrate bryozoans; and (xiii) sponge spicule-and bryozoan-based sediments that are more characteristic of deep"&amp;" sea and polar environments than those inshore. 2. Although this region has historically been protected by its isolation, seven major anthropogenic stressors now threaten its natural integrity: boating, fishing, dive tourism, nutrient enrichment, introduc"&amp;"ed species, onshore development, and global climate change. These threats are not randomly distributed but disproportionately affect particular habitat types. 3. For management of environmental risk, the Port Davey-Bathurst Harbour region is subdivided in"&amp;"to six biophysical zones, each with different ecological characteristics, values, and types and levels of potential threat. In response to the various threats, the Tasmanian Government has enacted an adaptive management regime that includes a multi-zoned "&amp;"marine protected area and the largest 'no-take' estuarine protected area in Australia. Copyright (C) 2009 John Wiley &amp; Sons, Ltd.")</f>
        <v>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v>
      </c>
      <c r="C46" s="24" t="str">
        <f>IFERROR(__xludf.DUMMYFUNCTION("""COMPUTED_VALUE"""),"10.1002/aqc.1079")</f>
        <v>10.1002/aqc.1079</v>
      </c>
      <c r="D46" s="24" t="str">
        <f>IFERROR(__xludf.DUMMYFUNCTION("""COMPUTED_VALUE"""),"Jaureguiberry et al")</f>
        <v>Jaureguiberry et al</v>
      </c>
      <c r="E46" s="24" t="str">
        <f>IFERROR(__xludf.DUMMYFUNCTION("""COMPUTED_VALUE"""),"WOS:000277830200007")</f>
        <v>WOS:000277830200007</v>
      </c>
      <c r="F46" s="24" t="str">
        <f>IFERROR(__xludf.DUMMYFUNCTION("""COMPUTED_VALUE"""),"[""ELIGIBLE""]")</f>
        <v>["ELIGIBLE"]</v>
      </c>
    </row>
    <row r="47">
      <c r="A47" s="24" t="str">
        <f>IFERROR(__xludf.DUMMYFUNCTION("""COMPUTED_VALUE"""),"Long-term shifts in abundance and distribution of a temperate fish fauna: a response to climate change and fishing practices")</f>
        <v>Long-term shifts in abundance and distribution of a temperate fish fauna: a response to climate change and fishing practices</v>
      </c>
      <c r="B47" s="24" t="str">
        <f>IFERROR(__xludf.DUMMYFUNCTION("""COMPUTED_VALUE"""),"Aim South-eastern Australia is a climate change hotspot with well-documented recent changes in its physical marine environment. The impact on and temporal responses of the biota to change are less well understood, but appear to be due to influences of cli"&amp;"mate, as well as the non-climate related past and continuing human impacts. We attempt to resolve the agents of change by examining major temporal and distributional shifts in the fish fauna and making a tentative attribution of causal factors. Location T"&amp;"emperate seas of south-eastern Australia. Methods Mixed data sources synthesized from published accounts, scientific surveys, spearfishing and angling competitions, commercial catches and underwater photographic records, from the 'late 1800s' to the 'pres"&amp;"ent', were examined to determine shifts in coastal fish distributions. Results Forty-five species, representing 27 families (about 30% of the inshore fish families occurring in the region), exhibited major distributional shifts thought to be climate relat"&amp;"ed. These are distributed across the following categories: species previously rare or unlisted (12), with expanded ranges (23) and/or abundance increases (30), expanded populations in south-eastern Tasmania (16) and extra-limital vagrants (4). Another 9 s"&amp;"pecies, representing 7 families, experienced longer-term changes (since the 1800s) probably due to anthropogenic factors, such as habitat alteration and fishing pressure: species now extinct locally (3), recovering (3), threatened (2) or with remnant popu"&amp;"lations (1). One species is a temporary resident periodically recruited from New Zealand. Of fishes exhibiting an obvious poleward movement, most are reef dwellers from three Australian biogeographic categories: widespread southern, western warm temperate"&amp;" (Flindersian) or eastern warm temperate (Peronian) species. Main conclusions Some of the region's largest predatory reef fishes have become extinct in Tasmanian seas since the 'late 1800s', most likely as a result of poor fishing practices. In more recen"&amp;"t times, there have been major changes in the distribution patterns of Tasmanian fishes that correspond to dramatic warming observed in the local marine environment.")</f>
        <v>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v>
      </c>
      <c r="C47" s="24" t="str">
        <f>IFERROR(__xludf.DUMMYFUNCTION("""COMPUTED_VALUE"""),"10.1111/j.1466-8238.2010.00575.x")</f>
        <v>10.1111/j.1466-8238.2010.00575.x</v>
      </c>
      <c r="D47" s="24" t="str">
        <f>IFERROR(__xludf.DUMMYFUNCTION("""COMPUTED_VALUE"""),"Jaureguiberry et al")</f>
        <v>Jaureguiberry et al</v>
      </c>
      <c r="E47" s="24" t="str">
        <f>IFERROR(__xludf.DUMMYFUNCTION("""COMPUTED_VALUE"""),"WOS:000285109200005")</f>
        <v>WOS:000285109200005</v>
      </c>
      <c r="F47" s="24" t="str">
        <f>IFERROR(__xludf.DUMMYFUNCTION("""COMPUTED_VALUE"""),"[""ELIGIBLE""]")</f>
        <v>["ELIGIBLE"]</v>
      </c>
    </row>
    <row r="48">
      <c r="A48" s="24" t="str">
        <f>IFERROR(__xludf.DUMMYFUNCTION("""COMPUTED_VALUE"""),"Linking fish species traits to environmental conditions in the Jakarta Bay-Pulau Seribu coral reef system")</f>
        <v>Linking fish species traits to environmental conditions in the Jakarta Bay-Pulau Seribu coral reef system</v>
      </c>
      <c r="B48" s="24" t="str">
        <f>IFERROR(__xludf.DUMMYFUNCTION("""COMPUTED_VALUE"""),"Coral reefs around the globe have been subjected to a wide range of stressors. In the present study, fish species were recorded across a pronounced in-to-offshore gradient in the Jakarta Bay-Pulau Seribu reef system. In addition to this, fish species trai"&amp;"ts were obtained from FishBase. RLQ analysis revealed a significant association between fish species traits and environmental variables. Fish species associated with perturbed, inshore waters were resilient to disturbance, had higher mortality rates, high"&amp;"er growth rates and mainly consumed animals. In contrast, fish species associated with less perturbed, mid- and offshore waters had greater life expectancy, higher age at maturity, greater life span, greater generation time and mainly fed on plants or pla"&amp;"nts and animals. Eutrophication, pollution and physical destruction of coral substrate in inshore waters has thus selected for a low biomass and depauperate fish community characterised by fast growing and short lived species.")</f>
        <v>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v>
      </c>
      <c r="C48" s="24" t="str">
        <f>IFERROR(__xludf.DUMMYFUNCTION("""COMPUTED_VALUE"""),"10.1016/j.marpolbul.2017.06.054")</f>
        <v>10.1016/j.marpolbul.2017.06.054</v>
      </c>
      <c r="D48" s="24" t="str">
        <f>IFERROR(__xludf.DUMMYFUNCTION("""COMPUTED_VALUE"""),"Jaureguiberry et al")</f>
        <v>Jaureguiberry et al</v>
      </c>
      <c r="E48" s="24" t="str">
        <f>IFERROR(__xludf.DUMMYFUNCTION("""COMPUTED_VALUE"""),"WOS:000408076900039")</f>
        <v>WOS:000408076900039</v>
      </c>
      <c r="F48" s="24" t="str">
        <f>IFERROR(__xludf.DUMMYFUNCTION("""COMPUTED_VALUE"""),"[""ELIGIBLE""]")</f>
        <v>["ELIGIBLE"]</v>
      </c>
    </row>
    <row r="49">
      <c r="A49" s="24" t="str">
        <f>IFERROR(__xludf.DUMMYFUNCTION("""COMPUTED_VALUE"""),"Mapping Long-Term Changes in Mangrove Species Composition and Distribution in the Sundarbans")</f>
        <v>Mapping Long-Term Changes in Mangrove Species Composition and Distribution in the Sundarbans</v>
      </c>
      <c r="B49" s="24" t="str">
        <f>IFERROR(__xludf.DUMMYFUNCTION("""COMPUTED_VALUE"""),"The Sundarbans mangrove forest is an important resource for the people of the Ganges Delta. It plays an important role in the local as well as global ecosystem by absorbing carbon dioxide and other pollutants from air and water, offering protection to mil"&amp;"lions of people in the Ganges Delta against cyclone and water surges, stabilizing the shore line, trapping sediment and nutrients, purifying water, and providing services for human beings, such as fuel wood, medicine, food, and construction materials. How"&amp;"ever, this mangrove ecosystem is under threat, mainly due to climate change and anthropogenic factors. Anthropogenic and climate change-induced degradation, such as over-exploitation of timber and pollution, sea level rise, coastal erosion, increasing sal"&amp;"inity, effects of increasing number of cyclones and higher levels of storm surges function as recurrent threats to mangroves in the Sundarbans. In this situation, regular and detailed information on mangrove species composition, their spatial distribution"&amp;" and the changes taking place over time is very important for a thorough understanding of mangrove biodiversity, and this information can also lead to the adoption of management practices designed for the maximum sustainable yield of the Sundarbans forest"&amp;" resources. We employed a maximum likelihood classifier technique to classify images recorded by the Landsat satellite series and used post classification comparison techniques to detect changes at the species level. The image classification resulted in o"&amp;"verall accuracies of 72%, 83%, 79% and 89% for the images of 1977, 1989, 2000 and 2015, respectively. We identified five major mangrove species and detected changes over the 38-year (1977-2015) study period. During this period, both Heritiera fomes and Ex"&amp;"coecaria agallocha decreased by 9.9%, while Ceriops decandra, Sonneratia apelatala, and Xylocarpus mekongensis increased by 12.9%, 380.4% and 57.3%, respectively.")</f>
        <v>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v>
      </c>
      <c r="C49" s="24" t="str">
        <f>IFERROR(__xludf.DUMMYFUNCTION("""COMPUTED_VALUE"""),"10.3390/f7120305")</f>
        <v>10.3390/f7120305</v>
      </c>
      <c r="D49" s="24" t="str">
        <f>IFERROR(__xludf.DUMMYFUNCTION("""COMPUTED_VALUE"""),"Jaureguiberry et al")</f>
        <v>Jaureguiberry et al</v>
      </c>
      <c r="E49" s="24" t="str">
        <f>IFERROR(__xludf.DUMMYFUNCTION("""COMPUTED_VALUE"""),"WOS:000393327700005")</f>
        <v>WOS:000393327700005</v>
      </c>
      <c r="F49" s="24" t="str">
        <f>IFERROR(__xludf.DUMMYFUNCTION("""COMPUTED_VALUE"""),"[""ELIGIBLE""]")</f>
        <v>["ELIGIBLE"]</v>
      </c>
    </row>
    <row r="50">
      <c r="A50" s="24" t="str">
        <f>IFERROR(__xludf.DUMMYFUNCTION("""COMPUTED_VALUE"""),"Concomitant impacts of climate change, fragmentation and non-native species have led to reorganization of fish communities since the 1980s")</f>
        <v>Concomitant impacts of climate change, fragmentation and non-native species have led to reorganization of fish communities since the 1980s</v>
      </c>
      <c r="B50" s="24" t="str">
        <f>IFERROR(__xludf.DUMMYFUNCTION("""COMPUTED_VALUE"""),"Aim: In response to climate change, species distribution shifts resulting from local extinctions, colonizations and variations in population abundances potentially lead to community-level reorganizations. Here, we assess changes over time in stream fish c"&amp;"ommunities, quantify the extent to which these changes are attributable to population declines or increases and identify their main drivers. Location: France. Time period: 1980-2012. Major taxa studied: Stream fish species. Methods: We used abundance-moni"&amp;"toring data to quantify changes in composition and uniqueness for 332 stream fish communities between a cold historical period (1980-1993) and a warm contemporary period (2004-2012). Then, we used a model-averaging procedure to test the impacts of factors"&amp;" related to climate, land use and non-native species density and their interacting effects in shaping community reorganization. Results: We observed biotic homogenization over time in stream fish communities, although some communities experienced differen"&amp;"tiation. Changes in composition mainly resulted from population declines and were favoured by an increase in temperature seasonality and in non-native species density. Population declines decreased with fragmentation and changes in non-native species dens"&amp;"ity, whereas population increases were negatively driven by changes in precipitation and positively by fragmentation. Our results provide evidence that environmental changes can interact with other factors (e.g., upstream-downstream, fragmentation intensi"&amp;"ty) to determine community reorganization. Main conclusions: In the context of global change, fish assemblage reorganizations mainly result from population declines of species. These reorganizations are spatially structured and driven by both climatic and"&amp;" human-related stressors. Here, we emphasize the need to take into account several components of global change, because the interplay between stressors might play a key role in the ongoing biodiversity changes.")</f>
        <v>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v>
      </c>
      <c r="C50" s="24" t="str">
        <f>IFERROR(__xludf.DUMMYFUNCTION("""COMPUTED_VALUE"""),"10.1111/geb.12690")</f>
        <v>10.1111/geb.12690</v>
      </c>
      <c r="D50" s="24" t="str">
        <f>IFERROR(__xludf.DUMMYFUNCTION("""COMPUTED_VALUE"""),"Jaureguiberry et al")</f>
        <v>Jaureguiberry et al</v>
      </c>
      <c r="E50" s="24" t="str">
        <f>IFERROR(__xludf.DUMMYFUNCTION("""COMPUTED_VALUE"""),"WOS:000422750700005")</f>
        <v>WOS:000422750700005</v>
      </c>
      <c r="F50" s="24" t="str">
        <f>IFERROR(__xludf.DUMMYFUNCTION("""COMPUTED_VALUE"""),"[""ELIGIBLE""]")</f>
        <v>["ELIGIBLE"]</v>
      </c>
    </row>
    <row r="51">
      <c r="A51" s="24" t="str">
        <f>IFERROR(__xludf.DUMMYFUNCTION("""COMPUTED_VALUE"""),"Dead Shrimp Blues: A Global Assessment of Extinction Risk in Freshwater Shrimps (Crustacea: Decapoda: Caridea)")</f>
        <v>Dead Shrimp Blues: A Global Assessment of Extinction Risk in Freshwater Shrimps (Crustacea: Decapoda: Caridea)</v>
      </c>
      <c r="B51" s="24" t="str">
        <f>IFERROR(__xludf.DUMMYFUNCTION("""COMPUTED_VALUE"""),"We present the first global assessment of extinction risk for a major group of freshwater invertebrates, caridean shrimps. The risk of extinction for all 763 species was assessed using the IUCN Red List criteria that include geographic ranges, habitats, e"&amp;"cology and past and present threats. The Indo-Malayan region holds over half of global species diversity, with a peak in Indo-China and southern China. Shrimps primarily inhabit flowing water; however, a significant subterranean component is present, whic"&amp;"h is more threatened than the surface fauna. Two species are extinct with a further 10 possibly extinct, and almost one third of species are either threatened or Near Threatened (NT). Threats to freshwater shrimps include agricultural and urban pollution "&amp;"impact over two-thirds of threatened and NT species. Invasive species and climate change have the greatest overall impact of all threats (based on combined timing, scope and severity of threats).")</f>
        <v>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v>
      </c>
      <c r="C51" s="24" t="str">
        <f>IFERROR(__xludf.DUMMYFUNCTION("""COMPUTED_VALUE"""),"10.1371/journal.pone.0120198")</f>
        <v>10.1371/journal.pone.0120198</v>
      </c>
      <c r="D51" s="24" t="str">
        <f>IFERROR(__xludf.DUMMYFUNCTION("""COMPUTED_VALUE"""),"Jaureguiberry et al")</f>
        <v>Jaureguiberry et al</v>
      </c>
      <c r="E51" s="24" t="str">
        <f>IFERROR(__xludf.DUMMYFUNCTION("""COMPUTED_VALUE"""),"WOS:000351880000071")</f>
        <v>WOS:000351880000071</v>
      </c>
      <c r="F51" s="24" t="str">
        <f>IFERROR(__xludf.DUMMYFUNCTION("""COMPUTED_VALUE"""),"[""ELIGIBLE""]")</f>
        <v>["ELIGIBLE"]</v>
      </c>
    </row>
    <row r="52">
      <c r="A52" s="24" t="str">
        <f>IFERROR(__xludf.DUMMYFUNCTION("""COMPUTED_VALUE"""),"Assessment Impacts of Weather and Land Use/Land Cover (LULC) Change on Urban Vegetation Net Primary Productivity (NPP): A Case Study in Guangzhou, China")</f>
        <v>Assessment Impacts of Weather and Land Use/Land Cover (LULC) Change on Urban Vegetation Net Primary Productivity (NPP): A Case Study in Guangzhou, China</v>
      </c>
      <c r="B52" s="24" t="str">
        <f>IFERROR(__xludf.DUMMYFUNCTION("""COMPUTED_VALUE"""),"Net primary productivity (NPP) can indicate vegetation ecosystem services ability and reflect variation response to climate change and human activities. This study applied MODIS-1 km NPP products to investigate the NPP variation from 2001 to 2006, a fast "&amp;"urban expansion and adjustment period in Guangzhou, China, and quantify the impacts of weather and land use/land cover (LULC) changes, respectively. The results showed that the NPP mean value increased at a rate of 11.6 gCm(-2)yr(-1) during the initial th"&amp;"ree years and decreased at an accelerated rate of 31.0 gCm(-2)yr(-1) during the final three years, resulting in a total NPP loss of approximately 167 x 10(6) gC. The spatiotemporal of NPP varied obviously in the central area, suburb and exurb of Guangzhou"&amp;" driven by three patterns of weather and LULC changes. By the interactive effects and the weather variation dominated effects, NPP of most areas changed slightly with dynamic index less than 5% of NPP mean value in the central area and the suburb. The LUL"&amp;"C change dominated effects caused obvious NPP reduction, by more than 15% of the NPP mean value, which occurred in some areas of the suburb and extended to the exurb with the outward urban sprawl. Importantly, conversion from wood grassland, shrublands an"&amp;"d even forests to croplands occupied by urban landscapes proved to be a main process in the conversion from high-NPP coverage to low-NPP coverage, thereby leading to the rapid degradation of urban carbon stock capacity in urban fringe areas. It is helpful"&amp;" for government to monitor urban ecological health and safety and make relevant policies.")</f>
        <v>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v>
      </c>
      <c r="C52" s="24" t="str">
        <f>IFERROR(__xludf.DUMMYFUNCTION("""COMPUTED_VALUE"""),"10.3390/rs5084125")</f>
        <v>10.3390/rs5084125</v>
      </c>
      <c r="D52" s="24" t="str">
        <f>IFERROR(__xludf.DUMMYFUNCTION("""COMPUTED_VALUE"""),"Jaureguiberry et al")</f>
        <v>Jaureguiberry et al</v>
      </c>
      <c r="E52" s="24" t="str">
        <f>IFERROR(__xludf.DUMMYFUNCTION("""COMPUTED_VALUE"""),"WOS:000328626100023")</f>
        <v>WOS:000328626100023</v>
      </c>
      <c r="F52" s="24" t="str">
        <f>IFERROR(__xludf.DUMMYFUNCTION("""COMPUTED_VALUE"""),"[""ELIGIBLE""]")</f>
        <v>["ELIGIBLE"]</v>
      </c>
    </row>
    <row r="53">
      <c r="A53" s="24" t="str">
        <f>IFERROR(__xludf.DUMMYFUNCTION("""COMPUTED_VALUE"""),"Productivity and recovery of forage fish under climate change and fishing: North Sea sandeel as a case study")</f>
        <v>Productivity and recovery of forage fish under climate change and fishing: North Sea sandeel as a case study</v>
      </c>
      <c r="B53" s="24" t="str">
        <f>IFERROR(__xludf.DUMMYFUNCTION("""COMPUTED_VALUE"""),"Forage fish occupy a central position in marine food-webs worldwide by mediating the transfer of energy and organic matter from lower to higher trophic levels. The lesser sandeel (Ammodytes marinus) is one of the ecologically and economically most importa"&amp;"nt forage fish species in the North-east Atlantic, acting as a key prey for predatory fish and sea birds, as well as supporting a large commercial fishery. In this case study, we investigate the underlying factors affecting recruitment and how these in tu"&amp;"rn affect productivity of the North Sea sandeel using long-term data and modelling. Our results demonstrate how sandeel productivity in the central North Sea (Dogger Bank) depends on a combination of external and internal regulatory factors, including fis"&amp;"hing and climate effects, as well as density dependence and food availability of the preferred zooplankton prey (Calanus finmarchicus and Temora longicornis). Furthermore, our model scenarios suggest that while fishing largely contributed to the abrupt st"&amp;"ock decline during the late 1990s and the following period of low biomass, a complete recovery of the stock to the highly productive levels of the early 1980s would only be possible through changes in the surrounding ecosystem, involving lower temperature"&amp;"s and improved feeding conditions. To that end, we stress the need for ecosystem-based management accounting for multiple internal and external factors occurring within the broader context of the ecosystem in which forage fish species, such as sandeel, pl"&amp;"ay an important and integral part.")</f>
        <v>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v>
      </c>
      <c r="C53" s="24" t="str">
        <f>IFERROR(__xludf.DUMMYFUNCTION("""COMPUTED_VALUE"""),"10.1111/fog.12246")</f>
        <v>10.1111/fog.12246</v>
      </c>
      <c r="D53" s="24" t="str">
        <f>IFERROR(__xludf.DUMMYFUNCTION("""COMPUTED_VALUE"""),"Jaureguiberry et al")</f>
        <v>Jaureguiberry et al</v>
      </c>
      <c r="E53" s="24" t="str">
        <f>IFERROR(__xludf.DUMMYFUNCTION("""COMPUTED_VALUE"""),"WOS:000428400500003")</f>
        <v>WOS:000428400500003</v>
      </c>
      <c r="F53" s="24" t="str">
        <f>IFERROR(__xludf.DUMMYFUNCTION("""COMPUTED_VALUE"""),"[""ELIGIBLE""]")</f>
        <v>["ELIGIBLE"]</v>
      </c>
    </row>
    <row r="54">
      <c r="A54" s="24" t="str">
        <f>IFERROR(__xludf.DUMMYFUNCTION("""COMPUTED_VALUE"""),"Seabird conservation status, threats and priority actions: a global assessment")</f>
        <v>Seabird conservation status, threats and priority actions: a global assessment</v>
      </c>
      <c r="B54" s="24" t="str">
        <f>IFERROR(__xludf.DUMMYFUNCTION("""COMPUTED_VALUE"""),"We review the conservation status of, and threats to, all 346 species of seabirds, based on BirdLife International's data and assessments for the 2010 IUCN Red List. We show that overall, seabirds are more threatened than other comparable groups of birds "&amp;"and that their status has deteriorated faster over recent decades. The principal current threats at sea are posed by commercial fisheries (through competition and mortality on fishing gear) and pollution, whereas on land, alien invasive predators, habitat"&amp;" degradation and human disturbance are the main threats. Direct exploitation remains a problem for some species both at sea and ashore. The priority actions needed involve: a) formal and effective site protection, especially for Important Bird Area (IBA) "&amp;"breeding sites and for marine IBA feeding and aggregation sites, as part of national, regional and global networks of Marine Protected Areas; b) removal of invasive, especially predatory, alien species (a list of priority sites is provided), as part of ha"&amp;"bitat and species recovery initiatives; and c) reduction of bycatch to negligible levels, as part of comprehensive implementation of ecosystem approaches to fisheries. The main knowledge gaps and research priorities relate to the three topics above but ne"&amp;"w work is needed on impacts of aquaculture, energy generation operations and climate change (especially effects on the distribution of prey species and rise in sea level). We summarise the relevant national and international jurisdictional responsibilitie"&amp;"s, especially in relation to endemic and globally threatened species.")</f>
        <v>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v>
      </c>
      <c r="C54" s="24" t="str">
        <f>IFERROR(__xludf.DUMMYFUNCTION("""COMPUTED_VALUE"""),"10.1017/S0959270912000020")</f>
        <v>10.1017/S0959270912000020</v>
      </c>
      <c r="D54" s="24" t="str">
        <f>IFERROR(__xludf.DUMMYFUNCTION("""COMPUTED_VALUE"""),"Jaureguiberry et al")</f>
        <v>Jaureguiberry et al</v>
      </c>
      <c r="E54" s="24" t="str">
        <f>IFERROR(__xludf.DUMMYFUNCTION("""COMPUTED_VALUE"""),"WOS:000301298900001")</f>
        <v>WOS:000301298900001</v>
      </c>
      <c r="F54" s="24" t="str">
        <f>IFERROR(__xludf.DUMMYFUNCTION("""COMPUTED_VALUE"""),"[""ELIGIBLE""]")</f>
        <v>["ELIGIBLE"]</v>
      </c>
    </row>
    <row r="55">
      <c r="A55" s="24" t="str">
        <f>IFERROR(__xludf.DUMMYFUNCTION("""COMPUTED_VALUE"""),"The Likelihood of Extinction of Iconic and Dominant Herbivores and Detritivores of Coral Reefs: The Parrotfishes and Surgeonfishes")</f>
        <v>The Likelihood of Extinction of Iconic and Dominant Herbivores and Detritivores of Coral Reefs: The Parrotfishes and Surgeonfishes</v>
      </c>
      <c r="B55" s="24" t="str">
        <f>IFERROR(__xludf.DUMMYFUNCTION("""COMPUTED_VALUE"""),"Parrotfishes and surgeonfishes perform important functional roles in the dynamics of coral reef systems. This is a consequence of their varied feeding behaviors ranging from targeted consumption of living plant material (primarily surgeonfishes) to feedin"&amp;"g on detrital aggregates that are either scraped from the reef surface or excavated from the deeper reef substratum (primarily parrotfishes). Increased fishing pressure and widespread habitat destruction have led to population declines for several species"&amp;" of these two groups. Species-specific data on global distribution, population status, life history characteristics, and major threats were compiled for each of the 179 known species of parrotfishes and surgeonfishes to determine the likelihood of extinct"&amp;"ion of each species under the Categories and Criteria of the IUCN Red List of Threatened Species. Due in part to the extensive distributions of most species and the life history traits exhibited in these two families, only three (1.7%) of the species are "&amp;"listed at an elevated risk of global extinction. The majority of the parrotfishes and surgeonfishes (86%) are listed as Least Concern, 10% are listed as Data Deficient and 1% are listed as Near Threatened. The risk of localized extinction, however, is hig"&amp;"her in some areas, particularly in the Coral Triangle region. The relatively low proportion of species globally listed in threatened Categories is highly encouraging, and some conservation successes are attributed to concentrated conservation efforts. How"&amp;"ever, with the growing realization of man's profound impact on the planet, conservation actions such as improved marine reserve networks, more stringent fishing regulations, and continued monitoring of the population status at the species and community le"&amp;"vels are imperative for the prevention of species loss in these groups of important and iconic coral reef fishes.")</f>
        <v>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v>
      </c>
      <c r="C55" s="24" t="str">
        <f>IFERROR(__xludf.DUMMYFUNCTION("""COMPUTED_VALUE"""),"10.1371/journal.pone.0039825")</f>
        <v>10.1371/journal.pone.0039825</v>
      </c>
      <c r="D55" s="24" t="str">
        <f>IFERROR(__xludf.DUMMYFUNCTION("""COMPUTED_VALUE"""),"Jaureguiberry et al")</f>
        <v>Jaureguiberry et al</v>
      </c>
      <c r="E55" s="24" t="str">
        <f>IFERROR(__xludf.DUMMYFUNCTION("""COMPUTED_VALUE"""),"WOS:000306362400022")</f>
        <v>WOS:000306362400022</v>
      </c>
      <c r="F55" s="24" t="str">
        <f>IFERROR(__xludf.DUMMYFUNCTION("""COMPUTED_VALUE"""),"[""ELIGIBLE""]")</f>
        <v>["ELIGIBLE"]</v>
      </c>
    </row>
    <row r="56">
      <c r="A56" s="24" t="str">
        <f>IFERROR(__xludf.DUMMYFUNCTION("""COMPUTED_VALUE"""),"The impact of European occupation on terrestrial and aquatic ecosystem dynamics in an Australian tropical rain forest")</f>
        <v>The impact of European occupation on terrestrial and aquatic ecosystem dynamics in an Australian tropical rain forest</v>
      </c>
      <c r="B56" s="24" t="str">
        <f>IFERROR(__xludf.DUMMYFUNCTION("""COMPUTED_VALUE"""),"1 The long-term impact of changes in land use, fire and climate on species diversity in Australia are only just beginning to be understood. We combined fine-resolution palaeoecological proxies for terrestrial and aquatic ecosystems to investigate the resp"&amp;"onses of a tropical rain forest catchment over the last 700 years. 2 Sediment cores were sampled at 1-cm intervals to a depth of 100 cm from Lake Euramoo on the Atherton Tableland of north-east Queensland, dated and analysed for pollen, charcoal, diatom, "&amp;"chironomid and inorganic content. 3 The pollen and charcoal record shows a rapid loss of forest diversity (particularly the long-lived taxa Agathis and Podocarpus) and increased burning coinciding with the arrival of European settlers. The aquatic environ"&amp;"ment is also subject to rapid changes at this time, with a possible increase in pH and subsequent shifts in local algal and insect communities. This event was outside the historic range of variability in both rain forest and aquatic communities. 4 The pre"&amp;"sent mosaic of vegetation types is a complex function of environmental changes operating across a range of spatial and temporal scales: millennial climate change, short-term climatic variations associated with El Nino events and, most significantly, a shi"&amp;"ft from indigenous to 'European' land-use practices, including clearance and burning activities associated with the timber and farming industry between about AD 1880 and 1920. 5 The establishment of a World Heritage reserve around the lake catchment and t"&amp;"he suppression of fire over the last 50 years have not yet restored the terrestrial or aquatic ecosystem to its pre-European state and are unlikely to, given the current predictions of future climate change. This supports the notion that ecological and cl"&amp;"imate thresholds are not necessarily the same, and that the effects of crossing them are not necessarily reversible. Retrospective studies of the historic range of variability within small catchments can provide an understanding of the limits of natural a"&amp;"nd human-induced variability that can inform management decisions and resource planning.")</f>
        <v>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v>
      </c>
      <c r="C56" s="24" t="str">
        <f>IFERROR(__xludf.DUMMYFUNCTION("""COMPUTED_VALUE"""),"10.1111/j.1365-2745.2006.01140.x")</f>
        <v>10.1111/j.1365-2745.2006.01140.x</v>
      </c>
      <c r="D56" s="24" t="str">
        <f>IFERROR(__xludf.DUMMYFUNCTION("""COMPUTED_VALUE"""),"Jaureguiberry et al")</f>
        <v>Jaureguiberry et al</v>
      </c>
      <c r="E56" s="24" t="str">
        <f>IFERROR(__xludf.DUMMYFUNCTION("""COMPUTED_VALUE"""),"WOS:000239510400011")</f>
        <v>WOS:000239510400011</v>
      </c>
      <c r="F56" s="24" t="str">
        <f>IFERROR(__xludf.DUMMYFUNCTION("""COMPUTED_VALUE"""),"[""ELIGIBLE""]")</f>
        <v>["ELIGIBLE"]</v>
      </c>
    </row>
    <row r="57">
      <c r="A57" s="24" t="str">
        <f>IFERROR(__xludf.DUMMYFUNCTION("""COMPUTED_VALUE"""),"Abiotic drivers of coastal fish community change during four decades in the Baltic Sea")</f>
        <v>Abiotic drivers of coastal fish community change during four decades in the Baltic Sea</v>
      </c>
      <c r="B57" s="24" t="str">
        <f>IFERROR(__xludf.DUMMYFUNCTION("""COMPUTED_VALUE"""),"Evidence for long-term change of marine ecosystems is increasing worldwide. Coastal areas harbour the socio-economically and ecologically most vital aquatic ecosystems, but are under increasing anthropogenic pressure. Little is known, however, about how e"&amp;"nvironmental perturbations affect the development of coastal systems. In this paper, datasets of coastal fish communities covering almost four decades (early/mid 1970s to 2008) in three different basins of the Baltic Sea were analysed. There were clear ch"&amp;"anges in species composition over time in all but one dataset and coherence among basins in the timing of change. Changes were mainly associated with variables related to climate (water temperature, salinity, and North Atlantic Oscillation index), but les"&amp;"s so with those reflecting nutrient status (nutrient concentrations and loading). Despite the importance of local water temperature, regional climatic variables were more important for the temporal development of communities. The results indicate that Bal"&amp;"tic coastal fish communities have undergone large structural changes governed by processes acting on both local and regional scales. The findings suggest that ecological targets should be set accounting for long-term changes in community structure and tha"&amp;"t a common management of coastal and offshore ecosystems would be beneficial.")</f>
        <v>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v>
      </c>
      <c r="C57" s="24" t="str">
        <f>IFERROR(__xludf.DUMMYFUNCTION("""COMPUTED_VALUE"""),"10.1093/icesjms/fss072")</f>
        <v>10.1093/icesjms/fss072</v>
      </c>
      <c r="D57" s="24" t="str">
        <f>IFERROR(__xludf.DUMMYFUNCTION("""COMPUTED_VALUE"""),"Jaureguiberry et al")</f>
        <v>Jaureguiberry et al</v>
      </c>
      <c r="E57" s="24" t="str">
        <f>IFERROR(__xludf.DUMMYFUNCTION("""COMPUTED_VALUE"""),"WOS:000305461200004")</f>
        <v>WOS:000305461200004</v>
      </c>
      <c r="F57" s="24" t="str">
        <f>IFERROR(__xludf.DUMMYFUNCTION("""COMPUTED_VALUE"""),"[""ELIGIBLE""]")</f>
        <v>["ELIGIBLE"]</v>
      </c>
    </row>
    <row r="58">
      <c r="A58" s="24" t="str">
        <f>IFERROR(__xludf.DUMMYFUNCTION("""COMPUTED_VALUE"""),"Attributing carbon changes in conterminous U.S. forests to disturbance and non-disturbance factors from 1901 to 2010")</f>
        <v>Attributing carbon changes in conterminous U.S. forests to disturbance and non-disturbance factors from 1901 to 2010</v>
      </c>
      <c r="B58" s="24" t="str">
        <f>IFERROR(__xludf.DUMMYFUNCTION("""COMPUTED_VALUE"""),"Recent climate variability (increasing temperature, droughts) and atmospheric composition changes (nitrogen deposition, rising CO2 concentration) along with harvesting, wildfires, and insect infestations have had significant effects on U. S. forest carbon"&amp;" (C) uptake. In this study, we attribute C changes in the conterminous U. S. forests to disturbance and non-disturbance factors with the help of forest inventory data, a continental stand age map, and an updated Integrated Terrestrial Ecosystem Carbon Cyc"&amp;"le model (InTEC). We grouped factors into disturbances (harvesting, fire, insect infestation) and non-disturbances (CO2 concentration, N deposition, and climate variability) and estimated their subsequent impacts on forest regrowth patterns. Results showe"&amp;"d that on average, the C sink in the conterminous U. S. forests from 1950 to 2010 was 206 Tg C yr(-1) with 87% (180 Tg C yr(-1)) of the sink in living biomass. Compared with the simulation of all factors combined, the estimated C sink would be reduced by "&amp;"95 Tg C yr(-1) if disturbance factors were omitted, and reduced by 50 Tg C yr(-1) if non-disturbance factors were omitted. Our study also showed diverse regional patterns of C sinks related to the importance of driving factors. During 1980-2010, disturban"&amp;"ce effects dominated the C changes in the South and Rocky Mountain regions, were almost equal to non-disturbance effects in the North region, and had minor effects compared with non-disturbance effects in the West Coast region.")</f>
        <v>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v>
      </c>
      <c r="C58" s="24" t="str">
        <f>IFERROR(__xludf.DUMMYFUNCTION("""COMPUTED_VALUE"""),"10.1029/2011JG001930")</f>
        <v>10.1029/2011JG001930</v>
      </c>
      <c r="D58" s="24" t="str">
        <f>IFERROR(__xludf.DUMMYFUNCTION("""COMPUTED_VALUE"""),"Jaureguiberry et al")</f>
        <v>Jaureguiberry et al</v>
      </c>
      <c r="E58" s="24" t="str">
        <f>IFERROR(__xludf.DUMMYFUNCTION("""COMPUTED_VALUE"""),"WOS:000305154000001")</f>
        <v>WOS:000305154000001</v>
      </c>
      <c r="F58" s="24" t="str">
        <f>IFERROR(__xludf.DUMMYFUNCTION("""COMPUTED_VALUE"""),"[""ELIGIBLE""]")</f>
        <v>["ELIGIBLE"]</v>
      </c>
    </row>
    <row r="59">
      <c r="A59" s="24" t="str">
        <f>IFERROR(__xludf.DUMMYFUNCTION("""COMPUTED_VALUE"""),"Drivers of temporal changes in temperate forest plant diversity vary across spatial scales")</f>
        <v>Drivers of temporal changes in temperate forest plant diversity vary across spatial scales</v>
      </c>
      <c r="B59" s="24" t="str">
        <f>IFERROR(__xludf.DUMMYFUNCTION("""COMPUTED_VALUE"""),"Global biodiversity is affected by numerous environmental drivers. Yet, the extent to which global environmental changes contribute to changes in local diversity is poorly understood. We investigated biodiversity changes in a meta-analysis of 39 resurvey "&amp;"studies in European temperate forests (3988 vegetation records in total, 17-75years between the two surveys) by assessing the importance of (i) coarse-resolution (i.e., among sites) vs. fine-resolution (i.e., within sites) environmental differences and (i"&amp;"i) changing environmental conditions between surveys. Our results clarify the mechanisms underlying the direction and magnitude of local-scale biodiversity changes. While not detecting any net local diversity loss, we observed considerable among-site vari"&amp;"ation, partly explained by temporal changes in light availability (a local driver) and density of large herbivores (a regional driver). Furthermore, strong evidence was found that presurvey levels of nitrogen deposition determined subsequent diversity cha"&amp;"nges. We conclude that models forecasting future biodiversity changes should consider coarse-resolution environmental changes, account for differences in baseline environmental conditions and for local changes in fine-resolution environmental conditions.")</f>
        <v>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v>
      </c>
      <c r="C59" s="24" t="str">
        <f>IFERROR(__xludf.DUMMYFUNCTION("""COMPUTED_VALUE"""),"10.1111/gcb.12993")</f>
        <v>10.1111/gcb.12993</v>
      </c>
      <c r="D59" s="24" t="str">
        <f>IFERROR(__xludf.DUMMYFUNCTION("""COMPUTED_VALUE"""),"Jaureguiberry et al")</f>
        <v>Jaureguiberry et al</v>
      </c>
      <c r="E59" s="24" t="str">
        <f>IFERROR(__xludf.DUMMYFUNCTION("""COMPUTED_VALUE"""),"WOS:000360994500014")</f>
        <v>WOS:000360994500014</v>
      </c>
      <c r="F59" s="24" t="str">
        <f>IFERROR(__xludf.DUMMYFUNCTION("""COMPUTED_VALUE"""),"[""ELIGIBLE""]")</f>
        <v>["ELIGIBLE"]</v>
      </c>
    </row>
    <row r="60">
      <c r="A60" s="24" t="str">
        <f>IFERROR(__xludf.DUMMYFUNCTION("""COMPUTED_VALUE"""),"Long-Term Changes in Population Dynamics of the Shrimp Palaemon longirostris in the Gironde Estuary")</f>
        <v>Long-Term Changes in Population Dynamics of the Shrimp Palaemon longirostris in the Gironde Estuary</v>
      </c>
      <c r="B60" s="24" t="str">
        <f>IFERROR(__xludf.DUMMYFUNCTION("""COMPUTED_VALUE"""),"Spanning 20 years (1979-2007), this study is the longest time series pertaining to the resident shrimp species Palaemon longirostris in a European estuary. Data from monthly faunal surveys undertaken across the middle part of the Gironde estuary from Apri"&amp;"l 1979 along with data from a statistical analysis of the commercial catches throughout the entire estuary and river were considered in order to explore their inter and intra-annual variability and long-term trends. Long-term densities series as well as e"&amp;"nvironmental series (salinity, discharge, temperature and NAO) were decomposed and the effects of environmental variables were also examined using statistical models (GAMs). This revealed important spatio-temporal variability and a significant overall dec"&amp;"rease in abundance of this species in the Gironde estuary since the beginning of the 1980s. This long-term decrease in abundance corresponded significantly to long-term decreases in both discharge and the NAO index, as well a long-term increase in tempera"&amp;"ture and salinity in the middle part of the estuary. However, models showed that environmental factors explained only a small part of the variability. The upstream shift of the population highlighted in this study, probably due to the intrusion of marine "&amp;"waters into the middle section of the estuary, may also have contributed to its decrease in abundance. Inter-annual variability of densities was also significantly linked with inter-annual fecundity fluctuations, and a significant decrease in both mean fe"&amp;"male size and fecundity was shown for preserved samples from 1992. Moreover, the breeding period has been temporally stretched out and began earlier in more recent years, potentially due to the increase in spring temperature.")</f>
        <v>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v>
      </c>
      <c r="C60" s="24" t="str">
        <f>IFERROR(__xludf.DUMMYFUNCTION("""COMPUTED_VALUE"""),"10.1007/s12237-012-9506-y")</f>
        <v>10.1007/s12237-012-9506-y</v>
      </c>
      <c r="D60" s="24" t="str">
        <f>IFERROR(__xludf.DUMMYFUNCTION("""COMPUTED_VALUE"""),"Jaureguiberry et al")</f>
        <v>Jaureguiberry et al</v>
      </c>
      <c r="E60" s="24" t="str">
        <f>IFERROR(__xludf.DUMMYFUNCTION("""COMPUTED_VALUE"""),"WOS:000304697600014")</f>
        <v>WOS:000304697600014</v>
      </c>
      <c r="F60" s="24" t="str">
        <f>IFERROR(__xludf.DUMMYFUNCTION("""COMPUTED_VALUE"""),"[""ELIGIBLE""]")</f>
        <v>["ELIGIBLE"]</v>
      </c>
    </row>
    <row r="61">
      <c r="A61" s="24" t="str">
        <f>IFERROR(__xludf.DUMMYFUNCTION("""COMPUTED_VALUE"""),"Climate Warming, Marine Protected Areas and the Ocean-Scale Integrity of Coral Reef Ecosystems")</f>
        <v>Climate Warming, Marine Protected Areas and the Ocean-Scale Integrity of Coral Reef Ecosystems</v>
      </c>
      <c r="B61" s="24" t="str">
        <f>IFERROR(__xludf.DUMMYFUNCTION("""COMPUTED_VALUE"""),"Coral reefs have emerged as one of the ecosystems most vulnerable to climate variation and change. While the contribution of a warming climate to the loss of live coral cover has been well documented across large spatial and temporal scales, the associate"&amp;"d effects on fish have not. Here, we respond to recent and repeated calls to assess the importance of local management in conserving coral reefs in the context of global climate change. Such information is important, as coral reef fish assemblages are the"&amp;" most species dense vertebrate communities on earth, contributing critical ecosystem functions and providing crucial ecosystem services to human societies in tropical countries. Our assessment of the impacts of the 1998 mass bleaching event on coral cover"&amp;", reef structural complexity, and reef associated fishes spans 7 countries, 66 sites and 26 degrees of latitude in the Indian Ocean. Using Bayesian meta-analysis we show that changes in the size structure, diversity and trophic composition of the reef fis"&amp;"h community have followed coral declines. Although the ocean scale integrity of these coral reef ecosystems has been lost, it is positive to see the effects are spatially variable at multiple scales, with impacts and vulnerability affected by geography bu"&amp;"t not management regime. Existing no-take marine protected areas still support high biomass of fish, however they had no positive affect on the ecosystem response to large-scale disturbance. This suggests a need for future conservation and management effo"&amp;"rts to identify and protect regional refugia, which should be integrated into existing management frameworks and combined with policies to improve system-wide resilience to climate variation and change.")</f>
        <v>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v>
      </c>
      <c r="C61" s="24" t="str">
        <f>IFERROR(__xludf.DUMMYFUNCTION("""COMPUTED_VALUE"""),"10.1371/journal.pone.0003039")</f>
        <v>10.1371/journal.pone.0003039</v>
      </c>
      <c r="D61" s="24" t="str">
        <f>IFERROR(__xludf.DUMMYFUNCTION("""COMPUTED_VALUE"""),"Jaureguiberry et al")</f>
        <v>Jaureguiberry et al</v>
      </c>
      <c r="E61" s="24" t="str">
        <f>IFERROR(__xludf.DUMMYFUNCTION("""COMPUTED_VALUE"""),"WOS:000264796400003")</f>
        <v>WOS:000264796400003</v>
      </c>
      <c r="F61" s="24" t="str">
        <f>IFERROR(__xludf.DUMMYFUNCTION("""COMPUTED_VALUE"""),"[""ELIGIBLE""]")</f>
        <v>["ELIGIBLE"]</v>
      </c>
    </row>
    <row r="62">
      <c r="A62" s="24" t="str">
        <f>IFERROR(__xludf.DUMMYFUNCTION("""COMPUTED_VALUE"""),"Comparing the ecological footprint with the biodiversity footprint of products")</f>
        <v>Comparing the ecological footprint with the biodiversity footprint of products</v>
      </c>
      <c r="B62" s="24" t="str">
        <f>IFERROR(__xludf.DUMMYFUNCTION("""COMPUTED_VALUE"""),"This study compares the ecological footprints with the biodiversity footprints of products that result from land use and carbon dioxide emissions. The biodiversity footprints were quantified using mean species abundance statistics, whereas the ecological "&amp;"footprint refers to the impacts on bioproductivity. We used a data set of 1340 product systems subdivided into 13 product groups, which included various types of energy generation and material production. We found that the importance of direct land use vs"&amp;". carbon dioxide emissions is different for biodiversity footprints compared to ecological footprints. This difference is particularly relevant if the environmental impact of bio-based products (dominated by direct land use) is compared with the environme"&amp;"ntal impact of fossil-based products (dominated by CO2 emissions). Our results also show that the relative importance of different drivers can change over time within the biodiversity footprint and that the relative importance of climate change significan"&amp;"tly increased for longer time horizons. As the interpretation of the biodiversity footprint can differ from the ecological footprint, the inclusion of impacts on biodiversity should be considered in the footprint calculation of products. (C) 2012 Elsevier"&amp;" Ltd. All rights reserved.")</f>
        <v>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v>
      </c>
      <c r="C62" s="24" t="str">
        <f>IFERROR(__xludf.DUMMYFUNCTION("""COMPUTED_VALUE"""),"10.1016/j.jclepro.2012.06.016")</f>
        <v>10.1016/j.jclepro.2012.06.016</v>
      </c>
      <c r="D62" s="24" t="str">
        <f>IFERROR(__xludf.DUMMYFUNCTION("""COMPUTED_VALUE"""),"Jaureguiberry et al")</f>
        <v>Jaureguiberry et al</v>
      </c>
      <c r="E62" s="24" t="str">
        <f>IFERROR(__xludf.DUMMYFUNCTION("""COMPUTED_VALUE"""),"WOS:000309375200010")</f>
        <v>WOS:000309375200010</v>
      </c>
      <c r="F62" s="24" t="str">
        <f>IFERROR(__xludf.DUMMYFUNCTION("""COMPUTED_VALUE"""),"[""ELIGIBLE""]")</f>
        <v>["ELIGIBLE"]</v>
      </c>
    </row>
    <row r="63">
      <c r="A63" s="24" t="str">
        <f>IFERROR(__xludf.DUMMYFUNCTION("""COMPUTED_VALUE"""),"Sensitivity and responses of diatoms to climate warming in lakes heavily influenced by humans")</f>
        <v>Sensitivity and responses of diatoms to climate warming in lakes heavily influenced by humans</v>
      </c>
      <c r="B63" s="24" t="str">
        <f>IFERROR(__xludf.DUMMYFUNCTION("""COMPUTED_VALUE"""),"1. Diatom communities have been shown to respond strongly to current climate warming in remote lakes, while evidence remains equivocal for lakes under strong local human pressures. 2. Temporal dynamics of planktonic diatoms in three subalpine lakes (Genev"&amp;"a, Annecy and Bourget) reconstructed from palaeolimnological approaches were used to assess the relative effects of phosphorus concentrations, fisheries management practices and climate warming in structuring communities over the last century. 3. Changes "&amp;"in total phosphorous concentration (TP), air temperature and fish predation pressure could explain the temporal dynamics of most diatom species in the sediment records. TP was found to be not only the main driver of changes in community composition but al"&amp;"so an important factor modulating diatom sensitivity and responses to climate warming. 4. The diatom community of Lake Bourget showed the highest vulnerability and direct responses to climate warming, favouring spring species that can resist earlier strat"&amp;"ification in mesotrophic lakes (such as Asterionella formosa, Aulacoseira islandica and Stephanodiscus parvus) and summer species that can make the best trade-off between decreasing nutrient concentrations and increased water column stability (Diatoma ten"&amp;"uis, A. islandica). In Lake Geneva, climate warming also contributed to shaping diatom communities but through an indirect pathway; fisheries management practices and climate warming interacted to reinforce top-down control, favouring large, colonial ined"&amp;"ible species (Stephanodicus binderanus and A. formosa). For Lake Annecy, the most nutrient limited of the three lakes studied, no changes in diatom community structure were directly related to warmer air temperatures over the last 25 years. 5. All three l"&amp;"akes have been subjected to the same climate variability. Yet the magnitude and responses of their diatom communities to climate warming were dissimilar and strongly modulated by differences in lake trophic status and fish management practices.")</f>
        <v>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v>
      </c>
      <c r="C63" s="24" t="str">
        <f>IFERROR(__xludf.DUMMYFUNCTION("""COMPUTED_VALUE"""),"10.1111/fwb.12380")</f>
        <v>10.1111/fwb.12380</v>
      </c>
      <c r="D63" s="24" t="str">
        <f>IFERROR(__xludf.DUMMYFUNCTION("""COMPUTED_VALUE"""),"Jaureguiberry et al")</f>
        <v>Jaureguiberry et al</v>
      </c>
      <c r="E63" s="24" t="str">
        <f>IFERROR(__xludf.DUMMYFUNCTION("""COMPUTED_VALUE"""),"WOS:000339385100016")</f>
        <v>WOS:000339385100016</v>
      </c>
      <c r="F63" s="24" t="str">
        <f>IFERROR(__xludf.DUMMYFUNCTION("""COMPUTED_VALUE"""),"[""ELIGIBLE""]")</f>
        <v>["ELIGIBLE"]</v>
      </c>
    </row>
    <row r="64">
      <c r="A64" s="24" t="str">
        <f>IFERROR(__xludf.DUMMYFUNCTION("""COMPUTED_VALUE"""),"Regional variability in the sensitivity of Caribbean reef fish assemblages to ocean warming")</f>
        <v>Regional variability in the sensitivity of Caribbean reef fish assemblages to ocean warming</v>
      </c>
      <c r="B64" s="24" t="str">
        <f>IFERROR(__xludf.DUMMYFUNCTION("""COMPUTED_VALUE"""),"Ocean warming is expected to impact biodiversity and fisheries in the tropics through shifts in species' distributions, leading to local extinctions and changes in species composition of catches. However, regional-scale patterns may differ from global tre"&amp;"nds due to the influence of important environmental factors such as ocean warming, fishing and habitat availability. Here, we used the mean temperature of the catch to test the hypothesis that, for the period of 1971 to 2010, regional variation in species"&amp;"-turnover of exploited reef fish assemblages among 9 Caribbean countries can be explained by differences in the rate of warming, species' thermal preferences, changes in trophic structure due to fishing and potential reef habitat across the region. Sea su"&amp;"rface temperature and the mean temperature of the catch displayed rates of increase of 0.14 and 0.19 degrees C decade(-1) respectively, on par with the global average and higher when compared to the global average for all tropical fisheries. These rates a"&amp;"lso varied across the 9 Caribbean countries, ranging from 0.04 to 0.18 degrees C decade(-1) for sea surface temperature and 0.10 to 0.62 degrees C decade(-1) for the mean temperature of the catch. The negative interaction between potential reef habitats i"&amp;"n each country and sea surface temperature in relation to the mean temperature of the catch suggests possible moderating effects of available habitats on the sensitivity of fish communities to warming. In addition, the negative relationship of trophic lev"&amp;"el with the mean temperature of the catch suggests that fishing increases their vulnerability. Findings from this study can help elucidate factors driving variations in the sensitivity of exploited fish communities to warming, and have implications for th"&amp;"e management of living marine resources in the Caribbean region.")</f>
        <v>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v>
      </c>
      <c r="C64" s="24" t="str">
        <f>IFERROR(__xludf.DUMMYFUNCTION("""COMPUTED_VALUE"""),"10.3354/meps12462")</f>
        <v>10.3354/meps12462</v>
      </c>
      <c r="D64" s="24" t="str">
        <f>IFERROR(__xludf.DUMMYFUNCTION("""COMPUTED_VALUE"""),"Jaureguiberry et al")</f>
        <v>Jaureguiberry et al</v>
      </c>
      <c r="E64" s="24" t="str">
        <f>IFERROR(__xludf.DUMMYFUNCTION("""COMPUTED_VALUE"""),"WOS:000428817200014")</f>
        <v>WOS:000428817200014</v>
      </c>
      <c r="F64" s="24" t="str">
        <f>IFERROR(__xludf.DUMMYFUNCTION("""COMPUTED_VALUE"""),"[""ELIGIBLE""]")</f>
        <v>["ELIGIBLE"]</v>
      </c>
    </row>
    <row r="65">
      <c r="A65" s="24" t="str">
        <f>IFERROR(__xludf.DUMMYFUNCTION("""COMPUTED_VALUE"""),"Biotic and abiotic effects on cohort size distributions in fish")</f>
        <v>Biotic and abiotic effects on cohort size distributions in fish</v>
      </c>
      <c r="B65" s="24" t="str">
        <f>IFERROR(__xludf.DUMMYFUNCTION("""COMPUTED_VALUE"""),"Intraspecific variation in body size is common in animals and plants. Body size affects trophic interactions like foraging ability and vulnerability to predation, which in turn affect individual fitness as well as population stability and extinction risk."&amp;" Experimental and theoretical work has shown that the size distribution of individuals within cohorts is strongly influenced by intraspecific competition for resources, often leading to skewed frequency distributions. However, little is known about the ef"&amp;"fects of environmental factors such as climate and eutrophication on the cohort size-structure of natural populations. We use a long-term time series of scientific monitoring of a freshwater fish (European perch Perca fluviatilis) to investigate the effec"&amp;"ts of density dependence, predation, nutrient availability, climate and the timing of spawning on the cohort size distributions. We find that the mean length of the fish is best predicted by the extrinsic factors phosphorus concentration and summer temper"&amp;"ature, and the densities of the different age-classes, whereas the skewness of the length distribution is best predicted by phosphorus concentration, summer temperature, abundance of small fish, and the timing of spawning. Higher nutrient levels, temperat"&amp;"ures and densities of small fish increase food availability and thus reduce competition, which is reflected in increased mean length and decreased skewness. The timing of spawning affects skewness presumably through changes in the initial size variation o"&amp;"f the cohort and the length of the first growth season. Our results indicate that higher temperatures increase the mean length and decrease skewness due to the concurrent eutrophication of the lake. The study thereby highlights the potential impact of hum"&amp;"an-induced environmental change on the size structure of fish populations. More studies are needed to understand better the complex mechanisms through which these factors alter the intensity of intraspecific competition in fish communities.")</f>
        <v>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v>
      </c>
      <c r="C65" s="24" t="str">
        <f>IFERROR(__xludf.DUMMYFUNCTION("""COMPUTED_VALUE"""),"10.1111/j.1600-0706.2012.19858.x")</f>
        <v>10.1111/j.1600-0706.2012.19858.x</v>
      </c>
      <c r="D65" s="24" t="str">
        <f>IFERROR(__xludf.DUMMYFUNCTION("""COMPUTED_VALUE"""),"Jaureguiberry et al")</f>
        <v>Jaureguiberry et al</v>
      </c>
      <c r="E65" s="24" t="str">
        <f>IFERROR(__xludf.DUMMYFUNCTION("""COMPUTED_VALUE"""),"WOS:000319408300004")</f>
        <v>WOS:000319408300004</v>
      </c>
      <c r="F65" s="24" t="str">
        <f>IFERROR(__xludf.DUMMYFUNCTION("""COMPUTED_VALUE"""),"[""ELIGIBLE""]")</f>
        <v>["ELIGIBLE"]</v>
      </c>
    </row>
    <row r="66">
      <c r="A66" s="24" t="str">
        <f>IFERROR(__xludf.DUMMYFUNCTION("""COMPUTED_VALUE"""),"Warming, eutrophication, and predator loss amplify subsidies between aquatic and terrestrial ecosystems")</f>
        <v>Warming, eutrophication, and predator loss amplify subsidies between aquatic and terrestrial ecosystems</v>
      </c>
      <c r="B66" s="24" t="str">
        <f>IFERROR(__xludf.DUMMYFUNCTION("""COMPUTED_VALUE"""),"The exchange of organisms and energy among ecosystems has major impacts on food web structure and dynamics, yet little is known about how climate warming combines with other pervasive anthropogenic perturbations to affect such exchanges. We used an outdoo"&amp;"r freshwater mesocosm experiment to investigate the interactive effects of warming, eutrophication, and changes in top predators on the flux of biomass between aquatic and terrestrial ecosystems. We demonstrated that predatory fish decoupled aquatic and t"&amp;"errestrial ecosystems by reducing the emergence of aquatic organisms and suppressing the decomposition of terrestrial plant detritus. In contrast, warming and nutrients enhanced cross-ecosystem exchanges by increasing emergence and decomposition, and thes"&amp;"e effects were strongest in the absence of predators. Furthermore, we found that warming advanced while predators delayed the phenology of insect emergence. Our results demonstrate that anthropogenic perturbations may extend well beyond ecosystem boundari"&amp;"es by influencing cross-ecosystem subsidies. We find that these changes are sufficient to substantially impact recipient communities and potentially alter the carbon balance between aquatic and terrestrial ecosystems and the atmosphere.")</f>
        <v>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v>
      </c>
      <c r="C66" s="24" t="str">
        <f>IFERROR(__xludf.DUMMYFUNCTION("""COMPUTED_VALUE"""),"10.1111/j.1365-2486.2011.02540.x")</f>
        <v>10.1111/j.1365-2486.2011.02540.x</v>
      </c>
      <c r="D66" s="24" t="str">
        <f>IFERROR(__xludf.DUMMYFUNCTION("""COMPUTED_VALUE"""),"Jaureguiberry et al")</f>
        <v>Jaureguiberry et al</v>
      </c>
      <c r="E66" s="24" t="str">
        <f>IFERROR(__xludf.DUMMYFUNCTION("""COMPUTED_VALUE"""),"WOS:000299042500010")</f>
        <v>WOS:000299042500010</v>
      </c>
      <c r="F66" s="24" t="str">
        <f>IFERROR(__xludf.DUMMYFUNCTION("""COMPUTED_VALUE"""),"[""ELIGIBLE""]")</f>
        <v>["ELIGIBLE"]</v>
      </c>
    </row>
    <row r="67">
      <c r="A67" s="24" t="str">
        <f>IFERROR(__xludf.DUMMYFUNCTION("""COMPUTED_VALUE"""),"Quantifying Biodiversity Losses Due to Human Consumption: A Global-Scale Footprint Analysis")</f>
        <v>Quantifying Biodiversity Losses Due to Human Consumption: A Global-Scale Footprint Analysis</v>
      </c>
      <c r="B67" s="24" t="str">
        <f>IFERROR(__xludf.DUMMYFUNCTION("""COMPUTED_VALUE"""),"It is increasingly recognized that human consumption leads to considerable losses of biodiversity. This study is the first to systematically quantify these losses in relation to land use and greenhouse gas (GHG) emissions associated with the production an"&amp;"d consumption of (inter)nationally traded goods and services by presenting consumption-based biodiversity losses, in short biodiversity footprint, for 45 countries and world regions globally. Our results showed that (i) the biodiversity loss per citizen s"&amp;"hows large variations among countries, with higher values when per-capita income increases; (ii) the share of biodiversity losses due to GHG emissions in the biodiversity footprint increases with income; (iii) food consumption is the most important driver"&amp;" of biodiversity loss in most of the countries and regions, with a global average of 40%; (iv) more than 50% of the biodiversity loss associated with consumption in developed economies occurs outside their territorial boundaries; and (v) the biodiversity "&amp;"footprint per dollar consumed is lower for wealthier countries. The insights provided by our analysis might support policymakers in developing adequate responses to avert further losses of biodiversity when population and incomes increase. Both the mitiga"&amp;"tion of GHG emissions and land use related reduction options in production and consumption should be considered in strategies to protect mean species abundance consumption global biodiversity.")</f>
        <v>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v>
      </c>
      <c r="C67" s="24" t="str">
        <f>IFERROR(__xludf.DUMMYFUNCTION("""COMPUTED_VALUE"""),"10.1021/acs.est.6b05296")</f>
        <v>10.1021/acs.est.6b05296</v>
      </c>
      <c r="D67" s="24" t="str">
        <f>IFERROR(__xludf.DUMMYFUNCTION("""COMPUTED_VALUE"""),"Jaureguiberry et al")</f>
        <v>Jaureguiberry et al</v>
      </c>
      <c r="E67" s="24" t="str">
        <f>IFERROR(__xludf.DUMMYFUNCTION("""COMPUTED_VALUE"""),"WOS:000397477900021")</f>
        <v>WOS:000397477900021</v>
      </c>
      <c r="F67" s="24" t="str">
        <f>IFERROR(__xludf.DUMMYFUNCTION("""COMPUTED_VALUE"""),"[""ELIGIBLE""]")</f>
        <v>["ELIGIBLE"]</v>
      </c>
    </row>
    <row r="68">
      <c r="A68" s="24" t="str">
        <f>IFERROR(__xludf.DUMMYFUNCTION("""COMPUTED_VALUE"""),"Modeling Carbon Stocks in a Secondary Tropical Dry Forest in the Yucatan Peninsula, Mexico")</f>
        <v>Modeling Carbon Stocks in a Secondary Tropical Dry Forest in the Yucatan Peninsula, Mexico</v>
      </c>
      <c r="B68" s="24" t="str">
        <f>IFERROR(__xludf.DUMMYFUNCTION("""COMPUTED_VALUE"""),"The carbon balance of secondary dry tropical forests of Mexico's Yucatan Peninsula is sensitive to human and natural disturbances and climate change. The spatially explicit process model Forest-DeNitrificationDeComposition (DNDC) was used to estimate fore"&amp;"st carbon dynamics in this region, including the effects of disturbance on carbon stocks. Model evaluation using observations from 276 sample plots in a tropical dry forest in the Yucatan Peninsula indicated that Forest-DNDC can be used to simulate carbon"&amp;" stocks for this forest with good model performance efficiency. The simulated spatial variability in carbon stocks was large, ranging from 5 to 115 Mg carbon (C) ha(-1), with a mean of 56.6 Mg C ha(-1). Carbon stocks in the forest were largely influenced "&amp;"by human disturbances between 1985 and 2010. Based on a comparison of the simulations with and without disturbances, carbon storage in the year 2012 with disturbance was 3.2 Mg C ha(-1), lower on average than without disturbance. The difference over the w"&amp;"hole study area was 154.7 Gg C, or an 8.5 % decrease. There were substantial differences in carbon stocks simulated at individual sample plots, compared to spatially modeled outputs (200 m(2) plots vs. polygon simulation units) at some locations due to di"&amp;"fferences in vegetation class, stand age, and soil conditions at different resolutions. However, the difference in the regional mean of carbon stocks between plot-level simulation and spatial output was small. Soil CO2 and N2O fluxes varied spatially; bot"&amp;"h fluxes increased with increasing precipitation, and soil CO2 also increased with an increase in biomass. The modeled spatial variability in CH4 uptake by soils was small, and the flux was not correlated with precipitation. The net ecosystem exchange (NE"&amp;"E) and net primary production (NPP) were nonlinearly correlated with stand age. Similar to the carbon stock simulations, different resolutions resulted in some differences in NEE and NPP, but the spatial means were similar.")</f>
        <v>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v>
      </c>
      <c r="C68" s="24" t="str">
        <f>IFERROR(__xludf.DUMMYFUNCTION("""COMPUTED_VALUE"""),"10.1007/s11270-014-1925-x")</f>
        <v>10.1007/s11270-014-1925-x</v>
      </c>
      <c r="D68" s="24" t="str">
        <f>IFERROR(__xludf.DUMMYFUNCTION("""COMPUTED_VALUE"""),"Jaureguiberry et al")</f>
        <v>Jaureguiberry et al</v>
      </c>
      <c r="E68" s="24" t="str">
        <f>IFERROR(__xludf.DUMMYFUNCTION("""COMPUTED_VALUE"""),"WOS:000334578300016")</f>
        <v>WOS:000334578300016</v>
      </c>
      <c r="F68" s="24" t="str">
        <f>IFERROR(__xludf.DUMMYFUNCTION("""COMPUTED_VALUE"""),"[""ELIGIBLE""]")</f>
        <v>["ELIGIBLE"]</v>
      </c>
    </row>
    <row r="69">
      <c r="A69" s="24" t="str">
        <f>IFERROR(__xludf.DUMMYFUNCTION("""COMPUTED_VALUE"""),"Status, trends and drivers of kelp forests in Europe: an expert assessment")</f>
        <v>Status, trends and drivers of kelp forests in Europe: an expert assessment</v>
      </c>
      <c r="B69" s="24" t="str">
        <f>IFERROR(__xludf.DUMMYFUNCTION("""COMPUTED_VALUE"""),"A comprehensive expert consultation was conducted in order to assess the status, trends and the most important drivers of change in the abundance and geographical distribution of kelp forests in European waters. This consultation included an on-line quest"&amp;"ionnaire, results from a workshop and data provided by a selected group of experts working on kelp forest mapping and eco-evolutionary research. Differences in status and trends according to geographical areas, species identity and small-scale variations "&amp;"within the same habitat where shown by assembling and mapping kelp distribution and trend data. Significant data gaps for some geographical regions, like the Mediterranean and the southern Iberian Peninsula, were also identified. The data used for this st"&amp;"udy confirmed a general trend with decreasing abundance of some native kelp species at their southern distributional range limits and increasing abundance in other parts of their distribution (Saccharina latissima and Saccorhiza polyschides). The expansio"&amp;"n of the introduced species Undaria pinnatifida was also registered. Drivers of observed changes in kelp forests distribution and abundance were assessed using experts' opinions. Multiple possible drivers were identified, including global warming, sea urc"&amp;"hin grazing, harvesting, pollution and fishing pressure, and their impact varied between geographical areas. Overall, the results highlight major threats for these ecosystems but also opportunities for conservation. Major requirements to ensure adequate p"&amp;"rotection of coastal kelp ecosystems along European coastlines are discussed, based on the local to regional gaps detected in the study.")</f>
        <v>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v>
      </c>
      <c r="C69" s="24" t="str">
        <f>IFERROR(__xludf.DUMMYFUNCTION("""COMPUTED_VALUE"""),"10.1007/s10531-016-1141-7")</f>
        <v>10.1007/s10531-016-1141-7</v>
      </c>
      <c r="D69" s="24" t="str">
        <f>IFERROR(__xludf.DUMMYFUNCTION("""COMPUTED_VALUE"""),"Jaureguiberry et al")</f>
        <v>Jaureguiberry et al</v>
      </c>
      <c r="E69" s="24" t="str">
        <f>IFERROR(__xludf.DUMMYFUNCTION("""COMPUTED_VALUE"""),"WOS:000379006400008")</f>
        <v>WOS:000379006400008</v>
      </c>
      <c r="F69" s="24" t="str">
        <f>IFERROR(__xludf.DUMMYFUNCTION("""COMPUTED_VALUE"""),"[""ELIGIBLE""]")</f>
        <v>["ELIGIBLE"]</v>
      </c>
    </row>
    <row r="70">
      <c r="A70" s="24" t="str">
        <f>IFERROR(__xludf.DUMMYFUNCTION("""COMPUTED_VALUE"""),"Lake-wide physical and biological trends associated with warming in Lake Baikal")</f>
        <v>Lake-wide physical and biological trends associated with warming in Lake Baikal</v>
      </c>
      <c r="B70" s="24" t="str">
        <f>IFERROR(__xludf.DUMMYFUNCTION("""COMPUTED_VALUE"""),"Eutrophication and warming of lakes are occurring globally. Lake Baikal, a large ancient lake composed of three basins, has recently experienced benthic eutrophication at local sites and lake warming in the south basin. Here, we look for signals of warmin"&amp;"g and pelagic eutrophication across the entire lake using physical and biological data collected at a subset of 79 stations sampled ca. annually (1977-2003) during the period of summer stratification. Lake-wide, surface waters warmed 2.0 degrees C; and, c"&amp;"onsistent with this warming, the abundance of two warm-water, cosmopolitan zooplankton taxa increased between two (pelagic cladocerans) and 12-fold (Cyclops kolensis). C kolensis increased throughout the lake, whereas cladocerans increased significantly o"&amp;"nly in the north basin. In contrast, abundance of the cold-water endemic copepod, Epischura baikalensis, that dominates the crustacean zooplankton community, did not change. With the exception of one coastal station in the north basin, there is no evidenc"&amp;"e of pelagic eutrophication. Although chlorophyll concentrations increased 46% lake-wide (0.82 to 1.20 mu g/L), the increasing trend was significant only in the south basin. Surprisingly, mean Secchi transparency increased by 1.4 m lake-wide across the 26"&amp;"-year time series with significant deepening of water transparency occurring in the central and north basins. This suggests a decline in productivity in the north and middle basins, but an increase in the south basin. Taken together, these findings sugges"&amp;"t that physical and biological changes associated with warming have occurred in Lake Baikal, but wide-spread pelagic eutrophication in the lake's three basins has not. (C) 2015 The Authors. Published by Elsevier B.V. on behalf of International Association"&amp;" for Great Lakes Research.")</f>
        <v>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v>
      </c>
      <c r="C70" s="24" t="str">
        <f>IFERROR(__xludf.DUMMYFUNCTION("""COMPUTED_VALUE"""),"10.1016/j.jglr.2015.11.006")</f>
        <v>10.1016/j.jglr.2015.11.006</v>
      </c>
      <c r="D70" s="24" t="str">
        <f>IFERROR(__xludf.DUMMYFUNCTION("""COMPUTED_VALUE"""),"Jaureguiberry et al")</f>
        <v>Jaureguiberry et al</v>
      </c>
      <c r="E70" s="24" t="str">
        <f>IFERROR(__xludf.DUMMYFUNCTION("""COMPUTED_VALUE"""),"WOS:000370115500002")</f>
        <v>WOS:000370115500002</v>
      </c>
      <c r="F70" s="24" t="str">
        <f>IFERROR(__xludf.DUMMYFUNCTION("""COMPUTED_VALUE"""),"[""ELIGIBLE""]")</f>
        <v>["ELIGIBLE"]</v>
      </c>
    </row>
    <row r="71">
      <c r="A71" s="24" t="str">
        <f>IFERROR(__xludf.DUMMYFUNCTION("""COMPUTED_VALUE"""),"Land ownership and 20th century changes to forest structure in California")</f>
        <v>Land ownership and 20th century changes to forest structure in California</v>
      </c>
      <c r="B71" s="24" t="str">
        <f>IFERROR(__xludf.DUMMYFUNCTION("""COMPUTED_VALUE"""),"Forests in California have changed dramatically during the 20th century. Shifts in forest structure including densification, declines in large trees and tree basal area have altered the function, productivity, and resilience of modern day forests. Attribu"&amp;"ting these changes to specific drivers is increasingly important for effective management of healthy and productive forests. Previous studies focus on climatic (temperature, precipitation, climatic water deficit), disturbance (fire), geomorphological (top"&amp;"ography, soil types), and anthropogenic (logging, fire suppression) drivers, but few studies evaluate large scale change in forest structure across land ownership type. In this paper, we investigate 20th century changes to forest structure across six land"&amp;" ownership classes in California. We compare historical and contemporary forest structural data and find that declines in large trees and increases in forest density are consistent across the state. This pattern is most pronounced on private timberlands, "&amp;"which experience up to 400% regional increases in small tree (&lt; 10.2 cm) density since 1930. All land ownership classes experience declines in large trees, while private timberlands, national parks and wilderness areas experience the most extreme change w"&amp;"ith an average loss of over 83% and 71% respectively. We conclude that understanding patterns of change across land ownership is essential for targeting federal, state, and locally specific policies that foster healthy and resilient forests for the future"&amp;".")</f>
        <v>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v>
      </c>
      <c r="C71" s="24" t="str">
        <f>IFERROR(__xludf.DUMMYFUNCTION("""COMPUTED_VALUE"""),"10.1016/j.foreco.2018.04.012")</f>
        <v>10.1016/j.foreco.2018.04.012</v>
      </c>
      <c r="D71" s="24" t="str">
        <f>IFERROR(__xludf.DUMMYFUNCTION("""COMPUTED_VALUE"""),"Jaureguiberry et al")</f>
        <v>Jaureguiberry et al</v>
      </c>
      <c r="E71" s="24" t="str">
        <f>IFERROR(__xludf.DUMMYFUNCTION("""COMPUTED_VALUE"""),"WOS:000433653900015")</f>
        <v>WOS:000433653900015</v>
      </c>
      <c r="F71" s="24" t="str">
        <f>IFERROR(__xludf.DUMMYFUNCTION("""COMPUTED_VALUE"""),"[""ELIGIBLE""]")</f>
        <v>["ELIGIBLE"]</v>
      </c>
    </row>
    <row r="72">
      <c r="A72" s="24" t="str">
        <f>IFERROR(__xludf.DUMMYFUNCTION("""COMPUTED_VALUE"""),"Fishing, pollution, climate change, and the long-term decline of coral reefs off Havana, Cuba")</f>
        <v>Fishing, pollution, climate change, and the long-term decline of coral reefs off Havana, Cuba</v>
      </c>
      <c r="B72" s="24" t="str">
        <f>IFERROR(__xludf.DUMMYFUNCTION("""COMPUTED_VALUE"""),"Understanding temporal and spatial variation of coral reef communities allows us to analyze the relative effects of local stressors, such as fishing and eutrophication, and global stressors, such as ocean warming. To test for spatial and temporal changes "&amp;"in coral reef communities, we combined recent benthic and fish surveys from 2016 with long-term data, dating back to the late 1990s, from four zones located at different distances from Central Havana, Cuba's largest population center. These changes may in"&amp;"dicate the shifting importance of local vs global stressors affecting reef communities. Regardless of the distance from Havana, we found that coral cover was uniformly low (approximately 10%), whereas macroalgal abundance was often high (approximately 65%"&amp;"). Similarly, fish biomass was low across zones, particularly for herbivorous fishes (approximately 12 g m -2 ) that are critical ecological drivers of reef structure and coral resilience. Analyses of longer-term trends revealed that coral cover near Hava"&amp;"na has been below about 10% since at least 1995, potentially because of local stressors. In contrast, reefs farther from Havana maintained relatively high coral cover (approximately 30%) until the early 2000s, but declined more recently to approximately 1"&amp;"5%, putting them near the Caribbean-wide average. These distinct spatial and temporal trajectories of reef communities may be the result of the expansion of local stressors away from Havana as the human population increased, or as fishers ventured farther"&amp;" away to exploit new resources. Alternatively, the more recent decline of reefs farther from population centers may have resulted from increasingly frequent global stressors, such as bleaching events and hurricanes.")</f>
        <v>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v>
      </c>
      <c r="C72" s="24" t="str">
        <f>IFERROR(__xludf.DUMMYFUNCTION("""COMPUTED_VALUE"""),"10.5343/bms.2017.1061")</f>
        <v>10.5343/bms.2017.1061</v>
      </c>
      <c r="D72" s="24" t="str">
        <f>IFERROR(__xludf.DUMMYFUNCTION("""COMPUTED_VALUE"""),"Jaureguiberry et al")</f>
        <v>Jaureguiberry et al</v>
      </c>
      <c r="E72" s="24" t="str">
        <f>IFERROR(__xludf.DUMMYFUNCTION("""COMPUTED_VALUE"""),"WOS:000439017000005")</f>
        <v>WOS:000439017000005</v>
      </c>
      <c r="F72" s="24" t="str">
        <f>IFERROR(__xludf.DUMMYFUNCTION("""COMPUTED_VALUE"""),"[""ELIGIBLE""]")</f>
        <v>["ELIGIBLE"]</v>
      </c>
    </row>
    <row r="73">
      <c r="A73" s="24" t="str">
        <f>IFERROR(__xludf.DUMMYFUNCTION("""COMPUTED_VALUE"""),"Rapid recovery of a coral dominated Eastern Tropical Pacific reef after experimentally produced anthropogenic disturbance")</f>
        <v>Rapid recovery of a coral dominated Eastern Tropical Pacific reef after experimentally produced anthropogenic disturbance</v>
      </c>
      <c r="B73" s="24" t="str">
        <f>IFERROR(__xludf.DUMMYFUNCTION("""COMPUTED_VALUE"""),"Local anthropogenic stressors such as overfishing, nutrient enrichment and increased sediment loading have been shown to push coral reefs toward greater dominance by algae. In a few cases this shift has been temporary, with the ability to recover to a hea"&amp;"lthy coral-dominated community after disturbance, suggesting some systems have considerable resilience. However, an understanding of the circumstances under which reefs may recover is only beginning to emerge. We monitored recovery of a coral-dominated re"&amp;"ef in the Eastern Tropical Pacific (ETP) after cessation of a 6 month multiple stressor experiment (with herbivore exclosure, nutrient addition, and sediment addition). We observed substantial recovery from small-scale disturbances, though there were diff"&amp;"erences in both the extent and temporal dynamics of recovery between treatments. Plots that had been caged showed the largest recovery in absolute terms and recovery was quite rapid, while nutrient and sediment addition plots were slower to recover. We al"&amp;"so observed different recovery patterns depending on the type of algae that replaced coral during or after disturbances. Macroalgae that established during manipulation were almost completely removed within 2 weeks, revealing that a significant proportion"&amp;" had covered still-living coral. Turf algae persisted longer, but were almost completely replaced by regenerating coral within 18 months. Very little crustose coralline algae were apparent during manipulations, but coverage did increase during recovery. T"&amp;"his rapid recovery of corals after simulated anthropogenic disturbance to ETP reefs underscores the value of management of local stressors for short-term recovery and perhaps as a buffer for longer-term global stressors.")</f>
        <v>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v>
      </c>
      <c r="C73" s="24" t="str">
        <f>IFERROR(__xludf.DUMMYFUNCTION("""COMPUTED_VALUE"""),"10.1016/j.marenvres.2018.05.008")</f>
        <v>10.1016/j.marenvres.2018.05.008</v>
      </c>
      <c r="D73" s="24" t="str">
        <f>IFERROR(__xludf.DUMMYFUNCTION("""COMPUTED_VALUE"""),"Jaureguiberry et al")</f>
        <v>Jaureguiberry et al</v>
      </c>
      <c r="E73" s="24" t="str">
        <f>IFERROR(__xludf.DUMMYFUNCTION("""COMPUTED_VALUE"""),"WOS:000436911600009")</f>
        <v>WOS:000436911600009</v>
      </c>
      <c r="F73" s="24" t="str">
        <f>IFERROR(__xludf.DUMMYFUNCTION("""COMPUTED_VALUE"""),"[""ELIGIBLE""]")</f>
        <v>["ELIGIBLE"]</v>
      </c>
    </row>
    <row r="74">
      <c r="A74" s="24" t="str">
        <f>IFERROR(__xludf.DUMMYFUNCTION("""COMPUTED_VALUE"""),"Is the Natura 2000 network of the European Union the key land use policy tool for preserving Europe's biodiversity heritage?")</f>
        <v>Is the Natura 2000 network of the European Union the key land use policy tool for preserving Europe's biodiversity heritage?</v>
      </c>
      <c r="B74" s="24" t="str">
        <f>IFERROR(__xludf.DUMMYFUNCTION("""COMPUTED_VALUE"""),"The Natura 2000 network of protected areas is considered by the European Commission to be the centrepiece of the European Union's nature and biodiversity policy. This paper reviews the European Environment Agency's public Natura 2000 database. It comprise"&amp;"s data for birds, mammals, fish, amphibians, reptiles, invertebrates and plants submitted by the 28 EU Member States. For each Natura 2000 site a calculation was made of the conservation value of each species, together with an assessment of population iso"&amp;"lation in relation to natural range and global conservation value. The results show that the great majority of national species populations of Community interest and birds are just covered by each Natura 2000 site up to only 2% at maximum. The most freque"&amp;"ntly reported high negative impacts on Natura 2000 sites are human induced changes in hydraulic conditions, hunting and collection of wild animals, and grazing. Natura 2000 sites alone are unlikely to safeguard Europe's biodiversity heritage, because most"&amp;" species occur predominantly outside Natura 2000 protected areas. Recommendations are made for improved reporting by EU Member States to provide quantifiable data based on monitoring and comparable indicators. Reform of the Natura 2000 network is needed f"&amp;"or an integrated ecosystem approach to allow natural and human induced fluctuations of structures and functions of species habitats. 100% landscape management of the wider countryside should be enforced as a result of the limited coverage of Natura 2000 s"&amp;"ites for Europe's biodiversity heritage.")</f>
        <v>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v>
      </c>
      <c r="C74" s="24" t="str">
        <f>IFERROR(__xludf.DUMMYFUNCTION("""COMPUTED_VALUE"""),"10.1016/j.landusepol.2017.09.045")</f>
        <v>10.1016/j.landusepol.2017.09.045</v>
      </c>
      <c r="D74" s="24" t="str">
        <f>IFERROR(__xludf.DUMMYFUNCTION("""COMPUTED_VALUE"""),"Jaureguiberry et al")</f>
        <v>Jaureguiberry et al</v>
      </c>
      <c r="E74" s="24" t="str">
        <f>IFERROR(__xludf.DUMMYFUNCTION("""COMPUTED_VALUE"""),"WOS:000414881200040")</f>
        <v>WOS:000414881200040</v>
      </c>
      <c r="F74" s="24" t="str">
        <f>IFERROR(__xludf.DUMMYFUNCTION("""COMPUTED_VALUE"""),"[""ELIGIBLE""]")</f>
        <v>["ELIGIBLE"]</v>
      </c>
    </row>
    <row r="75">
      <c r="A75" s="24" t="str">
        <f>IFERROR(__xludf.DUMMYFUNCTION("""COMPUTED_VALUE"""),"Combined effects of climate and land management on watershed vegetation dynamics in an arid environment")</f>
        <v>Combined effects of climate and land management on watershed vegetation dynamics in an arid environment</v>
      </c>
      <c r="B75" s="24" t="str">
        <f>IFERROR(__xludf.DUMMYFUNCTION("""COMPUTED_VALUE"""),"Leaf area index (LAI) is a key parameter to characterize vegetation dynamics and ecosystem structure that determines the ecosystem functions and services such as clean water supply and carbon sequestration in a watershed. However, linking LAI dynamics and"&amp;" environmental controls (i.e., coupling biosphere, atmosphere, and anthroposphere) remains challenging and such type of studies have rarely been done at a watershed scale due to data availability. The present study examined the spatial and temporal variat"&amp;"ions of LAI for five ecosystem types within a watershed with a complex topography in the Upper Heihe River Basin, a major inland river in the arid and semi-arid western China. We integrated remote sensing-based GLASS (Global Land Surface Satellite) LAI pr"&amp;"oducts, interpolated climate data, watershed characteristics, and land management records for the period of 2001-2012. We determined the relationships among LAI, topography, air temperature and precipitation, and grazing history by five ecosystem types us"&amp;"ing several advanced statistical methods. We show that long-term mean LAI distribution had an obvious vertical pattern as controlled by precipitation and temperature in a hilly watershed. Overall, watershed-wide mean LAI had an increasing trend overtime f"&amp;"or all ecosystem types during 2001-2012, presumably as a result of global warming and a wetting climate. However, the fluctuations of observed LAI at a pixel scale (1 km) varied greatly across the watershed. We classified the vegetation changes within the"&amp;" watershed as 'Improved', 'Stabilized', and 'Degraded' according their respective LAI changes. We found that climate was not the only driver for temporal vegetation changes for all land cover types. Grazing partially contributed to the decline of LAI in s"&amp;"ome areas and masked the positive climate warming effects in other areas. Extreme weathers such as cold spells and droughts could substantially affect inter-annual variability of LAI dynamics. We concluded that temporal and spatial LAI dynamics were rathe"&amp;"r complex and were affected by both climate variations and human disturbances in the study basin. Future monitoring studies should focus on the functional interactions among vegetation dynamics, climate variations, land management, and human disturbances."&amp;" Published by Elsevier B.V.")</f>
        <v>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v>
      </c>
      <c r="C75" s="24" t="str">
        <f>IFERROR(__xludf.DUMMYFUNCTION("""COMPUTED_VALUE"""),"10.1016/j.scitotenv.2017.02.210")</f>
        <v>10.1016/j.scitotenv.2017.02.210</v>
      </c>
      <c r="D75" s="24" t="str">
        <f>IFERROR(__xludf.DUMMYFUNCTION("""COMPUTED_VALUE"""),"Jaureguiberry et al")</f>
        <v>Jaureguiberry et al</v>
      </c>
      <c r="E75" s="24" t="str">
        <f>IFERROR(__xludf.DUMMYFUNCTION("""COMPUTED_VALUE"""),"WOS:000399848100008")</f>
        <v>WOS:000399848100008</v>
      </c>
      <c r="F75" s="24" t="str">
        <f>IFERROR(__xludf.DUMMYFUNCTION("""COMPUTED_VALUE"""),"[""ELIGIBLE""]")</f>
        <v>["ELIGIBLE"]</v>
      </c>
    </row>
    <row r="76">
      <c r="A76" s="24" t="str">
        <f>IFERROR(__xludf.DUMMYFUNCTION("""COMPUTED_VALUE"""),"Impacts of climate, disturbance and topography on distribution of herbaceous cover in Southern California chaparral: Insights from a remote-sensing method")</f>
        <v>Impacts of climate, disturbance and topography on distribution of herbaceous cover in Southern California chaparral: Insights from a remote-sensing method</v>
      </c>
      <c r="B76" s="24" t="str">
        <f>IFERROR(__xludf.DUMMYFUNCTION("""COMPUTED_VALUE"""),"Aim: While chaparral communities have historically been considered resistant to invasion and type conversion into grasslands, interacting global changes such as increased drought and anthropogenic disturbance may have reduced this resistance. Existing mon"&amp;"itoring methods are not well-suited to evaluate the distribution of invasive herbs and grasses within chaparral at regional scales. In this study, we determine the extent of invasions by forbs and grasses into formerly chaparral vegetation and evaluate co"&amp;"ntributions of moisture, disturbance and anthropogenic activity and topography to the distribution of herbaceous cover throughout chaparral-dominated communities. Location: The Angeles National Forest (ANF), California, USA. Methods: We developed a remote"&amp;"-sensing method to estimate the distribution of herbaceous cover within chaparral by leveraging intra-annual phenological differences in normalized difference vegetation index (NDVI) between herbaceous forbs and grasses and evergreen shrublands using Land"&amp;"sat remote-sensing imagery. The distribution of herbaceous cover was then related to multiple spatially explicit variables describing individual and interactive effects of local moisture availability and anthropogenic disturbance. Results: Herbaceous cove"&amp;"r represents approximately 31% of the ANF within the elevation range typically dominated by chaparral. Disturbance-related and anthropogenic factors explained 17% of observed variation, while differences in moisture availability explained 47% of observed "&amp;"variation in herbaceous cover and were associated with increased invasive cover. Main conclusions: Landscapes historically dominated by chaparral may exhibit high degrees of herbaceous cover. While fire frequency and other anthropogenic disturbances are l"&amp;"ikely the primary catalyst for invasion of chaparral by herbaceous species, this study shows that moisture availability is a more important factor in determining which locations are successfully invaded. These results indicate that chaparral vulnerability"&amp;" to invasion in southern California may increase in the next century due to reduced precipitation associated with projected climate change.")</f>
        <v>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v>
      </c>
      <c r="C76" s="24" t="str">
        <f>IFERROR(__xludf.DUMMYFUNCTION("""COMPUTED_VALUE"""),"10.1111/ddi.12693")</f>
        <v>10.1111/ddi.12693</v>
      </c>
      <c r="D76" s="24" t="str">
        <f>IFERROR(__xludf.DUMMYFUNCTION("""COMPUTED_VALUE"""),"Jaureguiberry et al")</f>
        <v>Jaureguiberry et al</v>
      </c>
      <c r="E76" s="24" t="str">
        <f>IFERROR(__xludf.DUMMYFUNCTION("""COMPUTED_VALUE"""),"WOS:000427246300007")</f>
        <v>WOS:000427246300007</v>
      </c>
      <c r="F76" s="24" t="str">
        <f>IFERROR(__xludf.DUMMYFUNCTION("""COMPUTED_VALUE"""),"[""ELIGIBLE""]")</f>
        <v>["ELIGIBLE"]</v>
      </c>
    </row>
    <row r="77">
      <c r="A77" s="24" t="str">
        <f>IFERROR(__xludf.DUMMYFUNCTION("""COMPUTED_VALUE"""),"From unburnt to salvage logged: Quantifying bird responses to different levels of disturbance severity")</f>
        <v>From unburnt to salvage logged: Quantifying bird responses to different levels of disturbance severity</v>
      </c>
      <c r="B77" s="24" t="str">
        <f>IFERROR(__xludf.DUMMYFUNCTION("""COMPUTED_VALUE"""),"1. Forests world-wide are increasingly subject to natural and human disturbances, including wildfires and logging of varying intensity and frequency. Understanding how biodiversity responds to different kinds and combinations of natural and human disturba"&amp;"nce is critical to enhanced forest management. 2. We completed an 8-year study of bird responses across a spectrum of disturbance types in Australian mountain ash (Eucalyptus regnans) forests following wildfires in 2009. 3. We found evidence of a gradient"&amp;" in bird species richness over the study duration. It was highest in unlogged and unburned (least disturbed) sites, decreasing through burnt unlogged forest (subject to high or low intensity fire), lower still in logged forest, and lowest in the most dist"&amp;"urbed sites (subject to salvage logging without island retention). Retention of uncut islands within logged areas increased bird species richness above that found in areas that had been clearcut. 4. The greatest rate of increase per year after disturbance"&amp;" in bird species richness was on sites burnt by high-severity fire but which were not subject to any form of logging. The level of disturbance affected the composition of the bird assemblage. Sites that were unlogged and unburned were more likely to suppo"&amp;"rt species that were larger, more mobile, and nested at greater heights above the ground. 5. Synthesis and applications. All forms of logging on burned sites impaired recovery in bird species richness relative to sites subject to high-severity fire. Alter"&amp;"ations in stand structure and plant species composition (and hence modification in bird habitat suitability) due to logging are the most likely reasons for reduced bird species richness and delayed patterns of recovery. This study highlights the importanc"&amp;"e for native bird species of retaining patches of unlogged forest not only within otherwise clearcut forest, but also in areas that are burned and subject to salvage logging. We therefore suggest that the adoption of retention harvesting be expanded to in"&amp;"clude stands disturbed by wildfires.")</f>
        <v>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v>
      </c>
      <c r="C77" s="24" t="str">
        <f>IFERROR(__xludf.DUMMYFUNCTION("""COMPUTED_VALUE"""),"10.1111/1365-2664.13137")</f>
        <v>10.1111/1365-2664.13137</v>
      </c>
      <c r="D77" s="24" t="str">
        <f>IFERROR(__xludf.DUMMYFUNCTION("""COMPUTED_VALUE"""),"Jaureguiberry et al")</f>
        <v>Jaureguiberry et al</v>
      </c>
      <c r="E77" s="24" t="str">
        <f>IFERROR(__xludf.DUMMYFUNCTION("""COMPUTED_VALUE"""),"WOS:000434970200007")</f>
        <v>WOS:000434970200007</v>
      </c>
      <c r="F77" s="24" t="str">
        <f>IFERROR(__xludf.DUMMYFUNCTION("""COMPUTED_VALUE"""),"[""ELIGIBLE""]")</f>
        <v>["ELIGIBLE"]</v>
      </c>
    </row>
    <row r="78">
      <c r="A78" s="24" t="str">
        <f>IFERROR(__xludf.DUMMYFUNCTION("""COMPUTED_VALUE"""),"Rapid Response of Bird Communities to Small-Scale Reforestation in Indonesian Borneo")</f>
        <v>Rapid Response of Bird Communities to Small-Scale Reforestation in Indonesian Borneo</v>
      </c>
      <c r="B78" s="24" t="str">
        <f>IFERROR(__xludf.DUMMYFUNCTION("""COMPUTED_VALUE"""),"The island of Borneo suffers from one of the highest deforestation rates in the world, primarily due to agriculture, logging, and other human activities. This habitat loss may be partly mitigated by reforestation programs in degraded landscapes, especiall"&amp;"y anthropogenic grasslands that have little conservation or economic value. By monitoring native bird communities, we evaluated the success of two small (&lt;20 ha) community reforestation projects in Gunung Palung National Park in Indonesian Borneo. Birds r"&amp;"esponded rapidly following reforestation, with species richness doubling over 7 years at one site, and increasing by 29% in just 3 years at the other Final tallies (63-70 species per site) were comparable to those obtained in older secondary forests elsew"&amp;"here in Borneo. Anthropogenic fire is the primary threat to reforestation success, but intensive fire prevention allows bird communities to recover from temporary setbacks. Absence of fire was thus the most important factor in recovery, and we detected no"&amp;" effect of replanted area on bird species richness. Our results suggest that by engaging local communities and ensuring long-term maintenance, even small reforestation sites in Borneo can provide immediate benefits for native biodiversity.")</f>
        <v>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v>
      </c>
      <c r="C78" s="24" t="str">
        <f>IFERROR(__xludf.DUMMYFUNCTION("""COMPUTED_VALUE"""),"10.1177/1940082918769460")</f>
        <v>10.1177/1940082918769460</v>
      </c>
      <c r="D78" s="24" t="str">
        <f>IFERROR(__xludf.DUMMYFUNCTION("""COMPUTED_VALUE"""),"Jaureguiberry et al")</f>
        <v>Jaureguiberry et al</v>
      </c>
      <c r="E78" s="24" t="str">
        <f>IFERROR(__xludf.DUMMYFUNCTION("""COMPUTED_VALUE"""),"WOS:000437507600001")</f>
        <v>WOS:000437507600001</v>
      </c>
      <c r="F78" s="24" t="str">
        <f>IFERROR(__xludf.DUMMYFUNCTION("""COMPUTED_VALUE"""),"[""ELIGIBLE""]")</f>
        <v>["ELIGIBLE"]</v>
      </c>
    </row>
    <row r="79">
      <c r="A79" s="24" t="str">
        <f>IFERROR(__xludf.DUMMYFUNCTION("""COMPUTED_VALUE"""),"Not rare, but threatened:: the endemic Madagascar flying fox Pteropus rufus in a fragmented landscape")</f>
        <v>Not rare, but threatened:: the endemic Madagascar flying fox Pteropus rufus in a fragmented landscape</v>
      </c>
      <c r="B79" s="24" t="str">
        <f>IFERROR(__xludf.DUMMYFUNCTION("""COMPUTED_VALUE"""),"The endemic Madagascar flying fox Pteropus rufus is threatened by habitat loss at roost sites and hunting for bushmeat. There is no conservation plan for this species, even though it is categorized on the IUCN Red List as Vulnerable and plays an important"&amp;" role as a seed disperser. In the Mangoro valley of central eastern Madagascar we monitored roost occupancy and abundance of P. rufus on 15 occasions at six sites over a 12-month period and conducted a detailed assessment of eight roosts during July 2004."&amp;" There was considerable monthly variation in bat abundance and only two sites contained bats during every visit. Three sites were occupied only between September and March and may act as maternity or nursery roosts. Evidence of hunting was found at three "&amp;"roosts, and fire and forest clearance are ubiquitous threats. Two roosts were in Eucalyptus plantations and six were in small (2.2 - 28.7 ha) isolated fragments of degraded, mid elevation dense humid forest. All roosts were outside protected areas but wer"&amp;"e within 20 km of relatively intact forest. Faecal analysis revealed a diet of native forest tree species, cultivated fruits and Eucalyptus flowers. P. rufus in the Mangoro valley, and elsewhere in Madagascar, appears to survive in human-impacted environm"&amp;"ents by the inclusion of exotic plants in its diet and the ability to move between roosts. We provide conservation recommendations for P. rufus at both local and national levels.")</f>
        <v>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v>
      </c>
      <c r="C79" s="24" t="str">
        <f>IFERROR(__xludf.DUMMYFUNCTION("""COMPUTED_VALUE"""),"10.1017/S0030605307001883")</f>
        <v>10.1017/S0030605307001883</v>
      </c>
      <c r="D79" s="24" t="str">
        <f>IFERROR(__xludf.DUMMYFUNCTION("""COMPUTED_VALUE"""),"Jaureguiberry et al")</f>
        <v>Jaureguiberry et al</v>
      </c>
      <c r="E79" s="24" t="str">
        <f>IFERROR(__xludf.DUMMYFUNCTION("""COMPUTED_VALUE"""),"WOS:000247440700024")</f>
        <v>WOS:000247440700024</v>
      </c>
      <c r="F79" s="24" t="str">
        <f>IFERROR(__xludf.DUMMYFUNCTION("""COMPUTED_VALUE"""),"[""ELIGIBLE""]")</f>
        <v>["ELIGIBLE"]</v>
      </c>
    </row>
    <row r="80">
      <c r="A80" s="24" t="str">
        <f>IFERROR(__xludf.DUMMYFUNCTION("""COMPUTED_VALUE"""),"GeoHab Atlas of Seafloor Geomorphic Features and Benthic Habitats: Synthesis and Lessons Learned")</f>
        <v>GeoHab Atlas of Seafloor Geomorphic Features and Benthic Habitats: Synthesis and Lessons Learned</v>
      </c>
      <c r="B80" s="24" t="str">
        <f>IFERROR(__xludf.DUMMYFUNCTION("""COMPUTED_VALUE"""),"This chapter presents a broad synthesis and overview based on the 57 case studies included in Part 2 of this book and on questionnaires completed by the authors. The case studies covered areas of seafloor ranging from 0.15 km(2) to over 1.000.000 km(2) (a"&amp;"verage of 26.600 km(2)) and a broad range of geomorphic feature types. The mean depths of the study areas ranged from 8 to 2.375 m. with about half of the studies on the shelf (depth &lt; 120 m) and half on the slope and at greater depths. Mapping resolution"&amp;" ranged from 0.1 to 170 m (mean of 13 m). There is a relatively equal distribution of studies across the four naturalness categories: near pristine (n = 17), largely unmodified (n = 16), modified (n = 13), and extensively modified (n = 10). In terms of th"&amp;"reats to habitats, most authors identified fishing (n = 46) as the most significant threat, followed by pollution (n = 12), oil and gas development (n = 7), and aggregate mining (n = 7). Anthropogenic climate change was viewed as an immediate threat to be"&amp;"nthic habitats by only three authors (n = 3). Water depth was found to be the most useful surrogate for benthic communities in the most studies (n = 17). followed by substrate/sediment type (n = 14). acoustic backscatter (n = 12). wave-current exposure (n"&amp;" = 10). grain size (n = 10). seabed rugosity (n = 9). and bathymetric/topographic position index (BPI/TPI) (n = 8). Water properties (temperature. salinity) and seabed slope are less useful surrogates. Multiple analytical methods were used to identify sur"&amp;"rogates, with ARC GIS being by far the most popular method (23 out of 44 studies that specified a methodology). Of the many purposes for mapping benthic habitats, four stand out as preeminent: (1) to support government spatial marine planning, management,"&amp;" and decision making; (2) to support and underpin the design of marine protected areas (MPAs); (3) to conduct scientific research programs aimed at generating knowledge of benthic ecosystems and seafloor geology; and (4) to conduct living and nonliving se"&amp;"abed resource assessments for economic and management purposes. Out of 57 case studies, habitat mapping was intended to be part of an ongoing monitoring program in 24 cases, whereas the mapping was considered to be a one-off exercise in 33 cases. However,"&amp;" out of the 33 one-off cases, the authors considered that their habitat map would form the baseline for monitoring future changes in 24 cases. This suggests that governments and regulators generally view habitat mapping as a useful means of measuring and "&amp;"monitoring change. In terms of the perceived clients and users of habitat maps, most authors considered industry, marine conservation, and the scientific community to be the primary users of habitat maps. However, the overwhelming majority of habitat surv"&amp;"eys were funded by government or government-funded agencies/institutions (n = 49), with only minor funding from private industry (n = 7) or nongovernment organizations (n = 4). A gap analysis (i.e., geomorphic features and habitats not included in the cas"&amp;"e studies) illustrates that whereas shelf and slope habitats are well represented in the case studies, estuarine and deltaic coastal habitats plus deep ocean (abyssal-hadal) environments were described in only a few case studies. Geographically, about hal"&amp;"f of the case studies were from waters around Western Europe, while the margins of the continents of Africa, Asia, and South America were not represented in any case study. Given the intense pressures facing benthic habitats and broad regional differences"&amp;" in ecosystems, species, and habitats, future case studies from these regions should be specifically sought for future editions of the Atlas.")</f>
        <v>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v>
      </c>
      <c r="C80" s="24" t="str">
        <f>IFERROR(__xludf.DUMMYFUNCTION("""COMPUTED_VALUE"""),"10.1016/B978-0-12-385140-6.00064-5")</f>
        <v>10.1016/B978-0-12-385140-6.00064-5</v>
      </c>
      <c r="D80" s="24" t="str">
        <f>IFERROR(__xludf.DUMMYFUNCTION("""COMPUTED_VALUE"""),"Jaureguiberry et al")</f>
        <v>Jaureguiberry et al</v>
      </c>
      <c r="E80" s="24" t="str">
        <f>IFERROR(__xludf.DUMMYFUNCTION("""COMPUTED_VALUE"""),"WOS:000322237000066")</f>
        <v>WOS:000322237000066</v>
      </c>
      <c r="F80" s="24" t="str">
        <f>IFERROR(__xludf.DUMMYFUNCTION("""COMPUTED_VALUE"""),"[""ELIGIBLE""]")</f>
        <v>["ELIGIBLE"]</v>
      </c>
    </row>
    <row r="81">
      <c r="A81" s="24" t="str">
        <f>IFERROR(__xludf.DUMMYFUNCTION("""COMPUTED_VALUE"""),"The link between international trade and the global distribution of invasive alien species")</f>
        <v>The link between international trade and the global distribution of invasive alien species</v>
      </c>
      <c r="B81" s="24" t="str">
        <f>IFERROR(__xludf.DUMMYFUNCTION("""COMPUTED_VALUE"""),"Invasive alien species (IAS) exact large biodiversity and economic costs and are a significant component of human-induced, global environmental change. Previous studies looking at the variation in alien species across regions have been limited geographica"&amp;"lly or taxonomically or have not considered economics. We used a global invasive species database to regress IAS per-country on a suite of socioeconomic, ecological, and biogeographical variables. We varied the countries included in the regression tree an"&amp;"alyses, in order to explore whether certain outliers were biasing the results, and in most of the cases, merchandise imports was the most important explanatory variable. The greater the degree of international trade, the higher the number of IAS. We also "&amp;"found a positive relationship between species richness and the number of invasives, in accord with other investigations at large spatial scales. Island status (overall), country area, latitude, continental position (New World versus Old World) or other me"&amp;"asures of human disturbance (e.g., GDP per capita, population density) were not found to be important determinants of a country's degree of biological invasion, contrary to previous studies. Our findings also provide support to the idea that more resource"&amp;"s for combating IAS should be directed at the introduction stage and that novel trade instruments need to be explored to account for this environmental externality.")</f>
        <v>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v>
      </c>
      <c r="C81" s="24" t="str">
        <f>IFERROR(__xludf.DUMMYFUNCTION("""COMPUTED_VALUE"""),"10.1007/s10530-007-9138-5")</f>
        <v>10.1007/s10530-007-9138-5</v>
      </c>
      <c r="D81" s="24" t="str">
        <f>IFERROR(__xludf.DUMMYFUNCTION("""COMPUTED_VALUE"""),"Jaureguiberry et al")</f>
        <v>Jaureguiberry et al</v>
      </c>
      <c r="E81" s="24" t="str">
        <f>IFERROR(__xludf.DUMMYFUNCTION("""COMPUTED_VALUE"""),"WOS:000254086900002")</f>
        <v>WOS:000254086900002</v>
      </c>
      <c r="F81" s="24" t="str">
        <f>IFERROR(__xludf.DUMMYFUNCTION("""COMPUTED_VALUE"""),"[""ELIGIBLE""]")</f>
        <v>["ELIGIBLE"]</v>
      </c>
    </row>
    <row r="82">
      <c r="A82" s="24" t="str">
        <f>IFERROR(__xludf.DUMMYFUNCTION("""COMPUTED_VALUE"""),"Global indicators of biological invasion: species numbers, biodiversity impact and policy responses")</f>
        <v>Global indicators of biological invasion: species numbers, biodiversity impact and policy responses</v>
      </c>
      <c r="B82" s="24" t="str">
        <f>IFERROR(__xludf.DUMMYFUNCTION("""COMPUTED_VALUE"""),"Aim Invasive alien species (IAS) pose a significant threat to biodiversity. The Convention on Biological Diversity's 2010 Biodiversity Target, and the associated indicator for IAS, has stimulated globally coordinated efforts to quantify patterns in the ex"&amp;"tent of biological invasion, its impact on biodiversity and policy responses. Here, we report on the outcome of indicators of alien invasion at a global scale. Location Global. Methods We developed four indicators in a pressure-state-response framework, i"&amp;".e. number of documented IAS (pressure), trends in the impact of IAS on biodiversity (state) and trends in international agreements and national policy adoption relevant to reducing IAS threats to biodiversity (response). These measures were considered be"&amp;"st suited to providing globally representative, standardized and sustainable indicators by 2010. Results We show that the number of documented IAS is a significant underestimate, because its value is negatively affected by country development status and p"&amp;"ositively by research effort and information availability. The Red List Index demonstrates that IAS pressure is driving declines in species diversity, with the overall impact apparently increasing. The policy response trend has nonetheless been positive f"&amp;"or the last several decades, although only half of countries that are signatory to the Convention on Biological Diversity (CBD) have IAS-relevant national legislation. Although IAS pressure has apparently driven the policy response, this has clearly not b"&amp;"een sufficient and/or adequately implemented to reduce biodiversity impact. Main conclusion For this indicator of threat to biodiversity, the 2010 Biodiversity Target has thus not been achieved. The results nonetheless provide clear direction for bridging"&amp;" the current divide between information available on IAS and that needed for policy and management for the prevention and control of IAS. It further highlights the need for measures to ensure that policy is effectively implemented, such that it translates"&amp;" into reduced IAS pressure and impact on biodiversity beyond 2010.")</f>
        <v>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v>
      </c>
      <c r="C82" s="24" t="str">
        <f>IFERROR(__xludf.DUMMYFUNCTION("""COMPUTED_VALUE"""),"10.1111/j.1472-4642.2009.00633.x")</f>
        <v>10.1111/j.1472-4642.2009.00633.x</v>
      </c>
      <c r="D82" s="24" t="str">
        <f>IFERROR(__xludf.DUMMYFUNCTION("""COMPUTED_VALUE"""),"Jaureguiberry et al")</f>
        <v>Jaureguiberry et al</v>
      </c>
      <c r="E82" s="24" t="str">
        <f>IFERROR(__xludf.DUMMYFUNCTION("""COMPUTED_VALUE"""),"WOS:000273723100010")</f>
        <v>WOS:000273723100010</v>
      </c>
      <c r="F82" s="24" t="str">
        <f>IFERROR(__xludf.DUMMYFUNCTION("""COMPUTED_VALUE"""),"[""ELIGIBLE""]")</f>
        <v>["ELIGIBLE"]</v>
      </c>
    </row>
    <row r="83">
      <c r="A83" s="24" t="str">
        <f>IFERROR(__xludf.DUMMYFUNCTION("""COMPUTED_VALUE"""),"Responses of species and phylogenetic diversity of fish communities in the Lancang River to hydropower development and exotic invasions")</f>
        <v>Responses of species and phylogenetic diversity of fish communities in the Lancang River to hydropower development and exotic invasions</v>
      </c>
      <c r="B83" s="24" t="str">
        <f>IFERROR(__xludf.DUMMYFUNCTION("""COMPUTED_VALUE"""),"Multiple anthropogenic disturbances have been modifying the structure and diversity of local assemblages worldwide through both introductions of nonnative species and disappearance of native species. Most previous studies have concentrated on the effects "&amp;"of human disturbances on species diversity, but their effects on phylogenetic diversity have been relatively seldom documented. Here, we measured the temporal changes in species and phylogenetic alpha diversity in 12 mainstream regions of the Lancang Rive"&amp;"r (LCR) in the context of hydropower development and widespread exotic invasions. We found that disturbances by dams and widespread introductions of exotic fishes have induced a marked loss of native species (average 36.8 species disappeared per region, a"&amp;"ccounting for 47.2% of the historical native species) in the downstream regions over time, whereas few native species were disappeared (average 4 species disappeared, accounting for 23.8% of the historical native species) in the upstream regions. In terms"&amp;" of phylogenetic diversity, however, the average taxonomic distinctness (Delta(+), a taxonomic proxy for phylogenetic diversity) of the entire assemblages significantly increased (an increase of 4.4% compared to historical Delta(+)) in all regions, while "&amp;"native Delta(+) insignificantly decreased in downstream regions, and the variation in taxonomic distinctness (Delta(+), a proxy for variation in phylogenetic diversity) of the entire assemblages significantly increased (24.6%) in downstream regions, while"&amp;" native Delta(+) significantly decreased (12.0%) in all regions. Such changes in phylogenetic diversity were triggered by invasions by distantly related exotic species and disappearances of congeneric endemic species. Across the LCR, the relationships bet"&amp;"ween species richness, Delta(+), and Delta(+) and altitude all became obscure due to the combined effect of introductions and disappearances. In dammed regions, the disappearance rate and rate of change in the taxonomic distinctness of native assemblages "&amp;"showed negative correlations with the distances of cascade dams. Our study showed that intensive hydropower development and exotic invasions have significantly affected both the taxonomic and phylogenetic diversity of fish assemblages in the LCR, especial"&amp;"ly in its downstream region. However, the response of phylogenetic diversity to human disturbance was inconsistent with that of species diversity, implying that examining the response of phylogenetic diversity could provide additional information for asse"&amp;"ssing the impacts of human domination.")</f>
        <v>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v>
      </c>
      <c r="C83" s="24" t="str">
        <f>IFERROR(__xludf.DUMMYFUNCTION("""COMPUTED_VALUE"""),"10.1016/j.ecolind.2018.03.004")</f>
        <v>10.1016/j.ecolind.2018.03.004</v>
      </c>
      <c r="D83" s="24" t="str">
        <f>IFERROR(__xludf.DUMMYFUNCTION("""COMPUTED_VALUE"""),"Jaureguiberry et al")</f>
        <v>Jaureguiberry et al</v>
      </c>
      <c r="E83" s="24" t="str">
        <f>IFERROR(__xludf.DUMMYFUNCTION("""COMPUTED_VALUE"""),"WOS:000440266100029")</f>
        <v>WOS:000440266100029</v>
      </c>
      <c r="F83" s="24" t="str">
        <f>IFERROR(__xludf.DUMMYFUNCTION("""COMPUTED_VALUE"""),"[""ELIGIBLE""]")</f>
        <v>["ELIGIBLE"]</v>
      </c>
    </row>
    <row r="84">
      <c r="A84" s="24" t="str">
        <f>IFERROR(__xludf.DUMMYFUNCTION("""COMPUTED_VALUE"""),"Introduction of exotic fish species and decline of native species in the lower Po basin, north-eastern Italy")</f>
        <v>Introduction of exotic fish species and decline of native species in the lower Po basin, north-eastern Italy</v>
      </c>
      <c r="B84" s="24" t="str">
        <f>IFERROR(__xludf.DUMMYFUNCTION("""COMPUTED_VALUE"""),"Freshwater ecosystems worldwide are experiencing native fish losses with severe threats to the conservation of freshwater biodiversity and ecosystem functioning, and the debate on whether the cause is biotic or abiotic disturbance is still open.Temporal v"&amp;"ariation in fish assemblages was analysed over an 18year period in 14 waterways of the lowland backwaters of the Po River in north-eastern Italy, which are important feeding, spawning and nursery sites for native fish.In 1991, 14 native and eight exotic s"&amp;"pecies were collected. In less than 20years 10 native species underwent local extinction, three of which - Rutilus pigus, Rutilus aula, and Chondrostoma soetta - were endemic to the Padano-Veneto District in northern Italy.Ordination of the data (MDS, CLU"&amp;"STER, ANOSIM, SIMPER) showed a clear temporal gradient in fish community structure. After the establishment of the exotic predator Silurus glanis, some native species significantly declined in abundance and biomass (i.e. Alburnus arborella and Scardinius "&amp;"erythrophthalmus) or disappeared (i.e. Rutilus aula and Tinca tinca). Moreover, exotic species Cyprinus carpio, Ameiurus melas, and Carassius auratus from previous introductions, underwent significant changes in their abundance and biomass. No correlation"&amp;" was found between fish community structure and water quality parameters (BIOENV).The success of exotic species, particularly S. glanis which thrived in this degraded habitat, seems to have led to the decline of native fish fauna in the canals of the lowe"&amp;"r portion of the Po River basin. Conservation strategies focusing on the containment of exotic species and habitat restoration are recommended. Copyright (c) 2013 John Wiley &amp; Sons, Ltd.")</f>
        <v>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v>
      </c>
      <c r="C84" s="24" t="str">
        <f>IFERROR(__xludf.DUMMYFUNCTION("""COMPUTED_VALUE"""),"10.1002/aqc.2345")</f>
        <v>10.1002/aqc.2345</v>
      </c>
      <c r="D84" s="24" t="str">
        <f>IFERROR(__xludf.DUMMYFUNCTION("""COMPUTED_VALUE"""),"Jaureguiberry et al")</f>
        <v>Jaureguiberry et al</v>
      </c>
      <c r="E84" s="24" t="str">
        <f>IFERROR(__xludf.DUMMYFUNCTION("""COMPUTED_VALUE"""),"WOS:000319873700007")</f>
        <v>WOS:000319873700007</v>
      </c>
      <c r="F84" s="24" t="str">
        <f>IFERROR(__xludf.DUMMYFUNCTION("""COMPUTED_VALUE"""),"[""ELIGIBLE""]")</f>
        <v>["ELIGIBLE"]</v>
      </c>
    </row>
    <row r="85">
      <c r="A85" s="24" t="str">
        <f>IFERROR(__xludf.DUMMYFUNCTION("""COMPUTED_VALUE"""),"Biotic homogenization of three insect groups due to urbanization")</f>
        <v>Biotic homogenization of three insect groups due to urbanization</v>
      </c>
      <c r="B85" s="24" t="str">
        <f>IFERROR(__xludf.DUMMYFUNCTION("""COMPUTED_VALUE"""),"Cities are growing rapidly, thereby expected to cause a large-scale global biotic homogenization. Evidence for the homogenization hypothesis is mostly derived from plants and birds, whereas arthropods have so far been neglected. Here, I tested the homogen"&amp;"ization hypothesis with three insect indicator groups, namely true bugs, leafhoppers, and beetles. In particular, I was interested whether insect species community composition differs between urban and rural areas, whether they are more similar between ci"&amp;"ties than between rural areas, and whether the found pattern is explained by true species turnover, species diversity gradients and geographic distance, by non-native or specialist species, respectively. I analyzed insect species communities sampled on bi"&amp;"rch trees in a total of six Swiss cities and six rural areas nearby. In all indicator groups, urban and rural community composition was significantly dissimilar due to native species turnover. Further, for bug and leafhopper communities, I found evidence "&amp;"for large-scale homogenization due to urbanization, which was driven by reduced species turnover of specialist species in cities. Species turnover of beetle communities was similar between cities and rural areas. Interestingly, when specialist species of "&amp;"beetles were excluded from the analyses, cities were more dissimilar than rural areas, suggesting biotic differentiation of beetle communities in cities. Non-native species did not affect species turnover of the insect groups. However, given non-native ar"&amp;"thropod species are increasing rapidly, their homogenizing effect might be detected more often in future. Overall, the results show that urbanization has a negative large-scale impact on the diversity specialist species of the investigated insect groups. "&amp;"Specific measures in cities targeted at increasing the persistence of specialist species typical for the respective biogeographic region could help to stop the loss of biodiversity.")</f>
        <v>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v>
      </c>
      <c r="C85" s="24" t="str">
        <f>IFERROR(__xludf.DUMMYFUNCTION("""COMPUTED_VALUE"""),"10.1111/gcb.13091")</f>
        <v>10.1111/gcb.13091</v>
      </c>
      <c r="D85" s="24" t="str">
        <f>IFERROR(__xludf.DUMMYFUNCTION("""COMPUTED_VALUE"""),"Jaureguiberry et al")</f>
        <v>Jaureguiberry et al</v>
      </c>
      <c r="E85" s="24" t="str">
        <f>IFERROR(__xludf.DUMMYFUNCTION("""COMPUTED_VALUE"""),"WOS:000367982900018")</f>
        <v>WOS:000367982900018</v>
      </c>
      <c r="F85" s="24" t="str">
        <f>IFERROR(__xludf.DUMMYFUNCTION("""COMPUTED_VALUE"""),"[""ELIGIBLE""]")</f>
        <v>["ELIGIBLE"]</v>
      </c>
    </row>
    <row r="86">
      <c r="A86" s="24" t="str">
        <f>IFERROR(__xludf.DUMMYFUNCTION("""COMPUTED_VALUE"""),"Effects of reduced water quality on coral reefs in and out of no-take marine reserves")</f>
        <v>Effects of reduced water quality on coral reefs in and out of no-take marine reserves</v>
      </c>
      <c r="B86" s="24" t="str">
        <f>IFERROR(__xludf.DUMMYFUNCTION("""COMPUTED_VALUE"""),"Near-shore marine environments are increasingly subjected to reduced water quality, and their ability to withstand it is critical to their persistence. The potential role marine reserves may play in mitigating the effects of reduced water quality has rece"&amp;"ived little attention. We investigated the spatial and temporal variability in live coral and macro-algal cover and water quality during moderate and major flooding events of the Fitzroy River within the Keppel Bay region of the Great Barrier Reef Marine "&amp;"Park from 2007 to 2013. We used 7 years of remote sensing data on water quality and data from long-term monitoring of coral reefs to quantify exposure of coral reefs to flood plumes. We used a distance linear model to partition the contribution of abiotic"&amp;" and biotic factors, including zoning, as drivers of the observed changes in coral and macro-algae cover. Moderate flood plumes from 2007 to 2009 did not affect coral cover on reefs in the Keppel Islands, suggesting the reef has intrinsic resistance again"&amp;"st short-term exposure to reduced water quality. However, from 2009 to 2013, live coral cover declined by approximate to 50% following several weeks of exposure to turbid, low salinity water from major flood plume events in 2011 and subsequent moderate ev"&amp;"ents in 2012 and 2013. Although the flooding events in 2012 and 2013 were smaller than the flooding events between 2007 to 2009, the ability of the reefs to withstand these moderate floods was lost, as evidenced by a approximate to 20% decline in coral co"&amp;"ver between 2011 to 2013. Although zoning (no-take reserve or fished) was identified a significant driver of coral cover, we recorded consistently lower coral cover on reserve reefs than on fished reefs throughout the study period and significantly lower "&amp;"cover in 2011. Our findings suggest that even reefs with an inherent resistance to reduced water quality are not able to withstand repeated disturbance events. The limitations of reserves in mitigating the effects of reduced water quality on near-shore co"&amp;"ral reefs underscores the importance of integrated management approaches that combine effective land-based management with networks of no-take reserves.")</f>
        <v>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v>
      </c>
      <c r="C86" s="24" t="str">
        <f>IFERROR(__xludf.DUMMYFUNCTION("""COMPUTED_VALUE"""),"10.1111/cobi.12576")</f>
        <v>10.1111/cobi.12576</v>
      </c>
      <c r="D86" s="24" t="str">
        <f>IFERROR(__xludf.DUMMYFUNCTION("""COMPUTED_VALUE"""),"Jaureguiberry et al")</f>
        <v>Jaureguiberry et al</v>
      </c>
      <c r="E86" s="24" t="str">
        <f>IFERROR(__xludf.DUMMYFUNCTION("""COMPUTED_VALUE"""),"WOS:000368938000016")</f>
        <v>WOS:000368938000016</v>
      </c>
      <c r="F86" s="24" t="str">
        <f>IFERROR(__xludf.DUMMYFUNCTION("""COMPUTED_VALUE"""),"[""ELIGIBLE""]")</f>
        <v>["ELIGIBLE"]</v>
      </c>
    </row>
    <row r="87">
      <c r="A87" s="24" t="str">
        <f>IFERROR(__xludf.DUMMYFUNCTION("""COMPUTED_VALUE"""),"Conservation of Mediterranean temporary ponds under agricultural intensification: an evaluation using amphibians")</f>
        <v>Conservation of Mediterranean temporary ponds under agricultural intensification: an evaluation using amphibians</v>
      </c>
      <c r="B87" s="24" t="str">
        <f>IFERROR(__xludf.DUMMYFUNCTION("""COMPUTED_VALUE"""),"This study examined responses of amphibians breeding in Mediterranean temporary ponds to a gradient of agricultural intensification, aiming to identify land uses and management prescriptions favouring the conservation of these habitats in farmed landscape"&amp;"s. Larval amphibian assemblages and habitat attributes were sampled at 57 ponds, 10 of which had been converted into permanent irrigation reservoirs. Species richness increased with area and hydroperiod in temporary ponds, with the addition of rare specie"&amp;"s to ponds with long hydroperiods resulting in a tendency for the less widespread species (e.g. Triturus marmoratus and T. boscai) to occur in the most species-rich ponds, while species-poor ponds consisted predominantly of widespread species only (nested"&amp;" pattern). However, one species (Pelodytes punctatus) was largely restricted to the most ephemeral ponds, whereas permanent irrigation reservoirs were species-poor and lacked most species occurring in temporary waters. The strongest negative correlates of"&amp;" amphibian abundances were the intensification of agricultural land uses, the transformation of ponds into permanent reservoirs and the introduction of exotic predators (fish and crayfish) from the irrigation channels. The results suggest that conservatio"&amp;"n of temporary pond amphibian assemblages in Mediterranean farmland requires networks of ponds with diverse hydroperiods, where the natural hydrologic regimes, less intensive land uses and isolation from irrigation waters should be preserved. (C) 2003 Els"&amp;"evier Ltd. All rights reserved.")</f>
        <v>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v>
      </c>
      <c r="C87" s="24" t="str">
        <f>IFERROR(__xludf.DUMMYFUNCTION("""COMPUTED_VALUE"""),"10.1016/S0006-3207(03)00051-X")</f>
        <v>10.1016/S0006-3207(03)00051-X</v>
      </c>
      <c r="D87" s="24" t="str">
        <f>IFERROR(__xludf.DUMMYFUNCTION("""COMPUTED_VALUE"""),"Jaureguiberry et al")</f>
        <v>Jaureguiberry et al</v>
      </c>
      <c r="E87" s="24" t="str">
        <f>IFERROR(__xludf.DUMMYFUNCTION("""COMPUTED_VALUE"""),"WOS:000185371200002")</f>
        <v>WOS:000185371200002</v>
      </c>
      <c r="F87" s="24" t="str">
        <f>IFERROR(__xludf.DUMMYFUNCTION("""COMPUTED_VALUE"""),"[""ELIGIBLE""]")</f>
        <v>["ELIGIBLE"]</v>
      </c>
    </row>
    <row r="88">
      <c r="A88" s="24" t="str">
        <f>IFERROR(__xludf.DUMMYFUNCTION("""COMPUTED_VALUE"""),"Interactive effects of nitrogen deposition, tropospheric ozone, elevated CO2 and land use history on the carbon dynamics of northern hardwood forests")</f>
        <v>Interactive effects of nitrogen deposition, tropospheric ozone, elevated CO2 and land use history on the carbon dynamics of northern hardwood forests</v>
      </c>
      <c r="B88" s="24" t="str">
        <f>IFERROR(__xludf.DUMMYFUNCTION("""COMPUTED_VALUE"""),"Temperate forests are affected by a wide variety of environmental factors that stem from human industrial and agricultural activities. In the north-eastern US, important change agents include tropospheric ozone, atmospheric nitrogen deposition, elevated C"&amp;"O2 , and historical human land use. Although each of these has received attention for its effects on forest carbon dynamics, integrated analyses that examine their combined effects are rare. To examine the relative importance of all of these factors on cu"&amp;"rrent forest growth and carbon balances, we included them individually and in combination in a forest ecosystem model that was applied over the period of 1700-2000 under different scenarios of air pollution and land use history. Results suggest that histo"&amp;"rical increases in CO2 and N deposition have stimulated forest growth and carbon uptake, but to different degrees following agriculture and timber harvesting. These differences resulted from the effects of each land use scenario on soil C and N pools and "&amp;"on the resulting degree of growth limitations by carbon vs. nitrogen. Including tropospheric ozone in the simulations offset a substantial portion of the increases caused by CO2 and N deposition. This result is particularly relevant given that ozone pollu"&amp;"tion is widespread across much of the world and because broad-scale spatial patterns of ozone are coupled with patterns of nitrogen oxide emissions. This was demonstrated across the study region by a significant correlation between ozone exposure and rate"&amp;"s of N deposition and suggests that the reduction of N-induced carbon sinks by ozone may be a common phenomenon in other regions. Collectively, the combined effects of all physical and chemical factors we addressed produced growth estimates that were surp"&amp;"risingly similar to estimates obtained in the absence of any form of disturbance. The implication of this result is that intact forests may show relatively little evidence of altered growth since preindustrial times despite substantial changes in their ph"&amp;"ysical and chemical environment.")</f>
        <v>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v>
      </c>
      <c r="C88" s="24" t="str">
        <f>IFERROR(__xludf.DUMMYFUNCTION("""COMPUTED_VALUE"""),"10.1046/j.1365-2486.2002.00482.x")</f>
        <v>10.1046/j.1365-2486.2002.00482.x</v>
      </c>
      <c r="D88" s="24" t="str">
        <f>IFERROR(__xludf.DUMMYFUNCTION("""COMPUTED_VALUE"""),"Jaureguiberry et al")</f>
        <v>Jaureguiberry et al</v>
      </c>
      <c r="E88" s="24" t="str">
        <f>IFERROR(__xludf.DUMMYFUNCTION("""COMPUTED_VALUE"""),"WOS:000175749000004")</f>
        <v>WOS:000175749000004</v>
      </c>
      <c r="F88" s="24" t="str">
        <f>IFERROR(__xludf.DUMMYFUNCTION("""COMPUTED_VALUE"""),"[""ELIGIBLE""]")</f>
        <v>["ELIGIBLE"]</v>
      </c>
    </row>
    <row r="89">
      <c r="A89" s="24" t="str">
        <f>IFERROR(__xludf.DUMMYFUNCTION("""COMPUTED_VALUE"""),"Seeding and fertilization effects on plant cover and community recovery following wildfire in the Eastern Cascade Mountains, USA")</f>
        <v>Seeding and fertilization effects on plant cover and community recovery following wildfire in the Eastern Cascade Mountains, USA</v>
      </c>
      <c r="B89" s="24" t="str">
        <f>IFERROR(__xludf.DUMMYFUNCTION("""COMPUTED_VALUE"""),"Slope stabilization treatments are frequently applied following high severity wildfires to reduce erosion, protect water quality, and mitigate threats to human life and property. However, the effectiveness of many treatment options has not been well estab"&amp;"lished. Furthermore, treatments may unintentionally inhibit natural vegetation recovery or facilitate exotic species invasion, compromising long-term ecosystem function. We evaluated the effects of seeding and fertilization treatments on plant cover and v"&amp;"egetation recovery following the Deer Point fire in the Eastern Cascade Mountains of Washington State, surveying vegetation for three consecutive years following fire. We applied a fertilization treatment and two seeding treatments in factorial combinatio"&amp;"n on experimental plots at four sites within the fire. Natural vegetation recovered rapidly on control plots, exceeding 40% average cover the second post-fire year and 53% cover the third year. Seeding and fertilization, applied alone and together, did li"&amp;"ttle to increase total plant cover in any of the three post-fire years. A seed mix containing mostly native species increased seeded species cover, but failed to increase in total plant cover, as reductions in non-seeded species cover largely offset incre"&amp;"ases in seeded species cover. The seed mix also reduced the cover and frequency of several disturbance-adapted native species and reduced tree seedling abundance by the third year after fire. Exotic species averaged less than 0.5% cover across all treatme"&amp;"nts, and were not significantly affected by any treatment. Minimal treatment effects on total plant cover suggest that seeding and fertilization did little to reduce erosion hazards. However, seeding with the species mix did interfere with natural vegetat"&amp;"ion recovery, despite the use of native species and low realized seeded species cover. Published by Elsevier B.V.")</f>
        <v>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v>
      </c>
      <c r="C89" s="24" t="str">
        <f>IFERROR(__xludf.DUMMYFUNCTION("""COMPUTED_VALUE"""),"10.1016/j.foreco.2009.07.013")</f>
        <v>10.1016/j.foreco.2009.07.013</v>
      </c>
      <c r="D89" s="24" t="str">
        <f>IFERROR(__xludf.DUMMYFUNCTION("""COMPUTED_VALUE"""),"Jaureguiberry et al")</f>
        <v>Jaureguiberry et al</v>
      </c>
      <c r="E89" s="24" t="str">
        <f>IFERROR(__xludf.DUMMYFUNCTION("""COMPUTED_VALUE"""),"WOS:000270152300065")</f>
        <v>WOS:000270152300065</v>
      </c>
      <c r="F89" s="24" t="str">
        <f>IFERROR(__xludf.DUMMYFUNCTION("""COMPUTED_VALUE"""),"[""ELIGIBLE""]")</f>
        <v>["ELIGIBLE"]</v>
      </c>
    </row>
    <row r="90">
      <c r="A90" s="24" t="str">
        <f>IFERROR(__xludf.DUMMYFUNCTION("""COMPUTED_VALUE"""),"Effects of human land-use on Africa's only forest-dependent fetid: The African golden cat Caracal aurata")</f>
        <v>Effects of human land-use on Africa's only forest-dependent fetid: The African golden cat Caracal aurata</v>
      </c>
      <c r="B90" s="24" t="str">
        <f>IFERROR(__xludf.DUMMYFUNCTION("""COMPUTED_VALUE"""),"Africa's equatorial forests are threatened by widespread deforestation and bushmeat hunting, with both threats spreading into formerly remote areas due to rapid human population growth and large-scale expansions of commercial resource extraction such as l"&amp;"ogging and mining, as well as forest clearing for agriculture. Many globally threatened species are endemic to these forests, but the potential effects of these threats are not well understood. Using the case of the forest-dependent African golden cat, we"&amp;" assess the potential effects of disturbance including logging and hunting on population density. We applied spatially-explicit capture-recapture models to camera trap data to estimate density across a human land-use gradient at five sites in central Gabo"&amp;"n. We found density was highest at a pristine, undisturbed site (16.23 [+/- 5.84 SE] individuals per 100 km(2)) and lowest at a village site with moderate levels of mostly subsistence bushmeat hunting (3.8[+/- 2.23 SE] individuals per 100 km(2)). Logging "&amp;"concessions can support important densities of the species (10.18 [+/- 3.54 SE] and 12.84 [+/- 4.25 SE] individuals per 100 km(2)), with the higher estimate of the two for the concession certified by the Forest Stewardship Council (FSC) versus the non-cer"&amp;"tified concession. While protected intact forests are the main strongholds for golden cats, well-managed logging concessions may also play an important role in the conservation of golden cats and other threatened species. (C) 2016 Elsevier Ltd. All rights"&amp;" reserved.")</f>
        <v>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v>
      </c>
      <c r="C90" s="24" t="str">
        <f>IFERROR(__xludf.DUMMYFUNCTION("""COMPUTED_VALUE"""),"10.1016/j.biocon.2016.04.013")</f>
        <v>10.1016/j.biocon.2016.04.013</v>
      </c>
      <c r="D90" s="24" t="str">
        <f>IFERROR(__xludf.DUMMYFUNCTION("""COMPUTED_VALUE"""),"Jaureguiberry et al")</f>
        <v>Jaureguiberry et al</v>
      </c>
      <c r="E90" s="24" t="str">
        <f>IFERROR(__xludf.DUMMYFUNCTION("""COMPUTED_VALUE"""),"WOS:000379559600001")</f>
        <v>WOS:000379559600001</v>
      </c>
      <c r="F90" s="24" t="str">
        <f>IFERROR(__xludf.DUMMYFUNCTION("""COMPUTED_VALUE"""),"[""ELIGIBLE""]")</f>
        <v>["ELIGIBLE"]</v>
      </c>
    </row>
    <row r="91">
      <c r="A91" s="24" t="str">
        <f>IFERROR(__xludf.DUMMYFUNCTION("""COMPUTED_VALUE"""),"Large-scale, long-term trends in British river macroinvertebrates")</f>
        <v>Large-scale, long-term trends in British river macroinvertebrates</v>
      </c>
      <c r="B91" s="24" t="str">
        <f>IFERROR(__xludf.DUMMYFUNCTION("""COMPUTED_VALUE"""),"Rivers are among the world's most modified ecosystems, with poor water quality representing a prominent problem for over 200 similar to years, especially in urban areas. In Western Europe, however, industrial decline, tighter regulation and improved waste"&amp;"water treatment have combined over recent decades to create conditions conducive to extensive restoration and positive biological change. Here, we evaluate the river macroinvertebrate fauna of England and Wales in relation to water quality, physical habit"&amp;"at and climate over almost two decades. We predicted that biological recovery would be characterized by: (i) greater taxon richness and prevalence of pollution-sensitive taxa, (ii) larger changes in more heavily urbanized catchments, and (iii) temporal tr"&amp;"ends in assemblage structure that correlated with improving water quality. Family level richness increased on average by nearly 20% during 19912008, accompanied by a widespread shift towards taxa characteristic of well-oxygenated and less polluted waters."&amp;" Changes were largest in the most urbanized catchments. A combination of natural gradients and anthropogenic pressures explained the variation among sites, whereas temporal changes correlated with improving water quality and variations in discharge. Posit"&amp;"ive trends were not universal, however, and there was localized deterioration in some streams draining upland areas and in the lowland south east. Our results are consistent with a large-scale ecological recovery of English and Welsh rivers since 1990, pr"&amp;"obably continuing a trend from the mid-20th century. Based on these results, we suggest: (i) freshwater communities are resilient to long-term anthropogenic pressures, (ii) biodiversity benefits can arise from investment and long-term restoration intended"&amp;" largely to enhance ecosystem services such as drinking water and sanitary concerns, and (iii) long-term monitoring data collected for statutory purposesbased in this case on nearly 50 similar to 000 samplescan address scientific questions at spatial and "&amp;"temporal extents seldom achieved in research programmes.")</f>
        <v>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v>
      </c>
      <c r="C91" s="24" t="str">
        <f>IFERROR(__xludf.DUMMYFUNCTION("""COMPUTED_VALUE"""),"10.1111/j.1365-2486.2012.02662.x")</f>
        <v>10.1111/j.1365-2486.2012.02662.x</v>
      </c>
      <c r="D91" s="24" t="str">
        <f>IFERROR(__xludf.DUMMYFUNCTION("""COMPUTED_VALUE"""),"Jaureguiberry et al")</f>
        <v>Jaureguiberry et al</v>
      </c>
      <c r="E91" s="24" t="str">
        <f>IFERROR(__xludf.DUMMYFUNCTION("""COMPUTED_VALUE"""),"WOS:000304820300009")</f>
        <v>WOS:000304820300009</v>
      </c>
      <c r="F91" s="24" t="str">
        <f>IFERROR(__xludf.DUMMYFUNCTION("""COMPUTED_VALUE"""),"[""ELIGIBLE""]")</f>
        <v>["ELIGIBLE"]</v>
      </c>
    </row>
    <row r="92">
      <c r="A92" s="24" t="str">
        <f>IFERROR(__xludf.DUMMYFUNCTION("""COMPUTED_VALUE"""),"Analysing ethnobotanical and fishery-related importance of mangroves of the East-Godavari Delta (Andhra Pradesh, India) for conservation and management purposes")</f>
        <v>Analysing ethnobotanical and fishery-related importance of mangroves of the East-Godavari Delta (Andhra Pradesh, India) for conservation and management purposes</v>
      </c>
      <c r="B92" s="24" t="str">
        <f>IFERROR(__xludf.DUMMYFUNCTION("""COMPUTED_VALUE"""),"Mangrove forests, though essentially common and wide-spread, are highly threatened. Local societies along with their knowledge about the mangrove also are endangered, while they are still underrepresented as scientific research topics. With the present st"&amp;"udy we document local utilization patterns, and perception of ecosystem change. We illustrate how information generated by ethnobiological research can be used to strengthen the management of the ecosystem. This study was conducted in the Godavari mangrov"&amp;"e forest located in the East-Godavari District of the state Andhra Pradesh in India, where mangroves have been degrading due to over-exploitation, extensive development of aquaculture, and pollution from rural and urbanized areas (Kakinada). One hundred i"&amp;"nterviews were carried out among the fisherfolk population present in two mangrove zones in the study area, a wildlife sanctuary with strong conservation status and an adjacent zone. Results from the interviews indicated that Avicennia marina (Forsk.) Vie"&amp;"rh., a dominant species in the Godavari mangroves, is used most frequently as firewood and for construction. Multiple products of the mangrove included the bark of Ceriops decandra (Griff.) Ding Hou to dye the fishing nets and improve their durability, th"&amp;"e bark of Aegiceras corniculatum (L.) Blanco to poison and catch fish, and the leaves of Avicennia spp. and Excoecaria agallocha L. as fodder for cattle. No medicinal uses of true mangrove species were reported, but there were a few traditional uses for m"&amp;"angrove associates. Utilization patterns varied in the two zones that we investigated, most likely due to differences in their ecology and legal status. The findings are discussed in relation with the demographic and socio-economic traits of the fisherfol"&amp;"k communities of the Godavari mangroves and indicate a clear dependency of their livelihood on the mangrove forest. Reported changes in the Godavari mangrove cover also differed in the two zones, with significantly less perceptions of a decrease in the pr"&amp;"otected area, as compared to the adjacent non-protected area. A posteriori comparisons between sequential satellite imagery (retrospective till 1977) and respondents that were at least 15 years back then, revealed a mangrove decrease which was however per"&amp;"ceived to different extents depending on the area with which the fishermen were familiar. While local needs had not been incorporated in the existing policy, we created a framework on how data on ethnobotanical traditions, fishery-related activities and l"&amp;"ocal people's perceptions of change can be incorporated into management strategies.")</f>
        <v>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v>
      </c>
      <c r="C92" s="24" t="str">
        <f>IFERROR(__xludf.DUMMYFUNCTION("""COMPUTED_VALUE"""),"10.1186/1746-4269-2-24")</f>
        <v>10.1186/1746-4269-2-24</v>
      </c>
      <c r="D92" s="24" t="str">
        <f>IFERROR(__xludf.DUMMYFUNCTION("""COMPUTED_VALUE"""),"Jaureguiberry et al")</f>
        <v>Jaureguiberry et al</v>
      </c>
      <c r="E92" s="24" t="str">
        <f>IFERROR(__xludf.DUMMYFUNCTION("""COMPUTED_VALUE"""),"WOS:000209091500024")</f>
        <v>WOS:000209091500024</v>
      </c>
      <c r="F92" s="24" t="str">
        <f>IFERROR(__xludf.DUMMYFUNCTION("""COMPUTED_VALUE"""),"[""ELIGIBLE""]")</f>
        <v>["ELIGIBLE"]</v>
      </c>
    </row>
    <row r="93">
      <c r="A93" s="24" t="str">
        <f>IFERROR(__xludf.DUMMYFUNCTION("""COMPUTED_VALUE"""),"The role of fisheries and the environment in driving the decline of elasmobranchs in the northern Adriatic Sea")</f>
        <v>The role of fisheries and the environment in driving the decline of elasmobranchs in the northern Adriatic Sea</v>
      </c>
      <c r="B93" s="24" t="str">
        <f>IFERROR(__xludf.DUMMYFUNCTION("""COMPUTED_VALUE"""),"Elasmobranch populations are declining worldwide, calling for urgent assessment of fishery exploitation and application of effective conservation strategies. Here, we applied a novel approach, integrating long-term time-series of landings (1945-2012) and "&amp;"extensive surveys at the fishmarket of Chioggia, Italy, home of the major fishing fleet of the northern Adriatic Sea, to evaluate the status of elasmobranch populations and fisheries in the one of the most fished Mediterranean basins. The time-series high"&amp;"light a dramatic decline in elasmobranch landings, particularly for skates and catsharks (Scyliorhinus spp.), whose current catch rates are 2.4 and 10.6% of the average 1940s levels, respectively. These data likely reflect similar large reductions in abun"&amp;"dance, as indicated by the analysis of catch-per unit-effort time-series. The biomass of landed skates and catsharks showed regular fluctuations that disappeared after the collapse of the landings. Elasmobranch market composition, assessed through the sam"&amp;"pling of 11 900 specimens from 2006 to 2013, included 14 species, but was dominated by just two: Mustelus mustelus and M. punctulatus, which represented more than 60% of the catch. The proportion of sexually immature individuals was generally very high, u"&amp;"p to 83% of landed females and 71% of landed males, depending on the species. Although some correlations were detected between landings and local hydrography or climatic indices, the analyses of landings and surveys at the fish market identified fishery e"&amp;"xploitation as the main driver of the striking, long-term elasmobranch decline in the northern Adriatic Sea, calling for urgent management actions to improve the conservation status of these fish.")</f>
        <v>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v>
      </c>
      <c r="C93" s="24" t="str">
        <f>IFERROR(__xludf.DUMMYFUNCTION("""COMPUTED_VALUE"""),"10.1093/icesjms/fst222")</f>
        <v>10.1093/icesjms/fst222</v>
      </c>
      <c r="D93" s="24" t="str">
        <f>IFERROR(__xludf.DUMMYFUNCTION("""COMPUTED_VALUE"""),"Jaureguiberry et al")</f>
        <v>Jaureguiberry et al</v>
      </c>
      <c r="E93" s="24" t="str">
        <f>IFERROR(__xludf.DUMMYFUNCTION("""COMPUTED_VALUE"""),"WOS:000343315900008")</f>
        <v>WOS:000343315900008</v>
      </c>
      <c r="F93" s="24" t="str">
        <f>IFERROR(__xludf.DUMMYFUNCTION("""COMPUTED_VALUE"""),"[""ELIGIBLE""]")</f>
        <v>["ELIGIBLE"]</v>
      </c>
    </row>
    <row r="94">
      <c r="A94" s="24" t="str">
        <f>IFERROR(__xludf.DUMMYFUNCTION("""COMPUTED_VALUE"""),"Fish Ecology in Tropical Streams")</f>
        <v>Fish Ecology in Tropical Streams</v>
      </c>
      <c r="B94" s="24" t="str">
        <f>IFERROR(__xludf.DUMMYFUNCTION("""COMPUTED_VALUE"""),"This chapter emphasizes the ecological responses of fishes to spatial and temporal variation in tropical stream habitats. At the global scale, the Neotropics has the highest fish fauna richness, with estimates ranging as high as 8000 species. Larger drain"&amp;"age basins tend to be associated with greater local and regional species richness. Within longitudinal stream gradients, the number of species increases with declining elevation. Tropical stream fishes encompass highly diverse reproductive strategies rang"&amp;"ing from egg scattering to mouth brooding and livebearing, with reproductive seasons ranging from a few days to the entire year. Relationships between life-history strategies and population dynamics in different environmental settings are reviewed briefly"&amp;". Fishes in tropical streams exhibit diverse feeding behaviors, including specialized niches, such as fin and scale feeding, not normally observed in temperate stream fishes. Many tropical stream fishes have greater diet breadth while exploiting abundant "&amp;"resources during the wet season, and lower diet breadth during the dry season as a consequence of specialized feeding on a subset of resources. Niche complementarity with high overlap in habitat use is usually accompanied by low dietary overlap. Ecologica"&amp;"l specializations and strong associations between form and function in tropical stream fishes provide clear examples of evolutionary convergence. Several studies have revealed the major influence of fishes on benthic ecosystem dynamics in tropical streams"&amp;" including effects on primary production and nutrient cycling. Tropical stream fishes are important food resources for humans in many countries, and significant conservation challenges include drainage-basin degradation, pollution, dams, overfishing, and "&amp;"introductions of exotic species.")</f>
        <v>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v>
      </c>
      <c r="C94" s="24" t="str">
        <f>IFERROR(__xludf.DUMMYFUNCTION("""COMPUTED_VALUE"""),"10.1016/B978-012088449-0.50007-8")</f>
        <v>10.1016/B978-012088449-0.50007-8</v>
      </c>
      <c r="D94" s="24" t="str">
        <f>IFERROR(__xludf.DUMMYFUNCTION("""COMPUTED_VALUE"""),"Jaureguiberry et al")</f>
        <v>Jaureguiberry et al</v>
      </c>
      <c r="E94" s="24" t="str">
        <f>IFERROR(__xludf.DUMMYFUNCTION("""COMPUTED_VALUE"""),"WOS:000318618900006")</f>
        <v>WOS:000318618900006</v>
      </c>
      <c r="F94" s="24" t="str">
        <f>IFERROR(__xludf.DUMMYFUNCTION("""COMPUTED_VALUE"""),"[""ELIGIBLE""]")</f>
        <v>["ELIGIBLE"]</v>
      </c>
    </row>
    <row r="95">
      <c r="A95" s="24" t="str">
        <f>IFERROR(__xludf.DUMMYFUNCTION("""COMPUTED_VALUE"""),"Ongoing primary forest loss in Brazil, Democratic Republic of the Congo, and Indonesia")</f>
        <v>Ongoing primary forest loss in Brazil, Democratic Republic of the Congo, and Indonesia</v>
      </c>
      <c r="B95" s="24" t="str">
        <f>IFERROR(__xludf.DUMMYFUNCTION("""COMPUTED_VALUE"""),"Humid tropical forests provide numerous global ecosystem services, but are under continuing threat of clearing from economic drivers. Here, we report primary humid tropical forest extent for the year 2001, and primary forest loss and distance to loss from"&amp;" 2002-2014 for the largest rainforest countries of Brazil, Democratic Republic of the Congo (DRC), and Indonesia. Brazil's total area of primary forest loss is more than twice that of Indonesia and five times that of DRC. Despite unprecedented success in "&amp;"slowing deforestation along its forest frontier, Brazil's most remote forests are increasingly nearer to loss, as extractive activities such as logging and mining intrude upon previously intact forests. In absolute terms, DRC has the lowest area of primar"&amp;"y forest loss; however, its forests are increasingly encroached upon as smallholder agriculturalists move into remaining forests, often to escape conflict and insecurity. The decrease in DRC forests' distance to loss as a function of area of forest loss w"&amp;"as five times that of Brazil or Indonesia. In 2014, Indonesia had the least area of remaining primary forest. Despite an announced moratorium on concession licenses in 2011, Indonesia exhibited a rate of primary forest loss twice that of DRC and triple th"&amp;"at of Brazil by the end of the study period. Forest loss dynamics in Indonesia range from industrial-scale clearing of coastal peatlands to logging of interior montane rainforests. While results illustrate considerable variation in forest loss dynamics be"&amp;"tween the three countries, the dominant narrative is of ongoing exploitation of primary humid tropical forests.")</f>
        <v>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v>
      </c>
      <c r="C95" s="24" t="str">
        <f>IFERROR(__xludf.DUMMYFUNCTION("""COMPUTED_VALUE"""),"10.1088/1748-9326/aacd1c")</f>
        <v>10.1088/1748-9326/aacd1c</v>
      </c>
      <c r="D95" s="24" t="str">
        <f>IFERROR(__xludf.DUMMYFUNCTION("""COMPUTED_VALUE"""),"Jaureguiberry et al")</f>
        <v>Jaureguiberry et al</v>
      </c>
      <c r="E95" s="24" t="str">
        <f>IFERROR(__xludf.DUMMYFUNCTION("""COMPUTED_VALUE"""),"WOS:000438666900001")</f>
        <v>WOS:000438666900001</v>
      </c>
      <c r="F95" s="24" t="str">
        <f>IFERROR(__xludf.DUMMYFUNCTION("""COMPUTED_VALUE"""),"[""ELIGIBLE""]")</f>
        <v>["ELIGIBLE"]</v>
      </c>
    </row>
    <row r="96">
      <c r="A96" s="24" t="str">
        <f>IFERROR(__xludf.DUMMYFUNCTION("""COMPUTED_VALUE"""),"Do terrestrial protected areas conserve freshwater fish diversity? Results from the Western Ghats of India")</f>
        <v>Do terrestrial protected areas conserve freshwater fish diversity? Results from the Western Ghats of India</v>
      </c>
      <c r="B96" s="24" t="str">
        <f>IFERROR(__xludf.DUMMYFUNCTION("""COMPUTED_VALUE"""),"Terrestrial protected areas are often designated in inaccessible high elevation regions, and usually targeted towards conservation of charismatic large mammals and birds. It has been suggested that such protected areas, with partial coverage of riverine h"&amp;"abitats, may not be adequate for conservation of freshwater taxa such as fishes. Also, protected areas are often designated in upstream catchments of dam reservoirs, and conservation of freshwater biodiversity is usually not a priority. We investigated th"&amp;"e importance of existing protected areas for conservation of stream fishes within and across three dammed and two undammed rivers in the southern Western Ghats, India (a global biodiversity hotspot). Comparisons of stream sites in protected and unprotecte"&amp;"d areas were restricted to mid elevations because of confounding factors of dams, elevation and stream order. For dammed rivers, endemic and total species richness was significantly higher inside protected areas than unprotected areas. Total fish species "&amp;"richness increased with decreasing elevation and endemic species richness peaked at mid elevations. Species found in comparable stream orders across dammed and undammed midland river reaches were similar. Intensity of threats such as sand mining, dynamite"&amp;" fishing, pollution and introduced invasive fishes was higher in unprotected than in protected areas. Lack of awareness among managers has also led to the occurrence of some threats within protected areas. However, existing protected areas are vital for c"&amp;"onservation of endemic fishes. Our results support the need for extending the scope of terrestrial protected areas towards better representation of freshwater ecosystems and biodiversity.")</f>
        <v>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v>
      </c>
      <c r="C96" s="24" t="str">
        <f>IFERROR(__xludf.DUMMYFUNCTION("""COMPUTED_VALUE"""),"10.1017/S0030605311000937")</f>
        <v>10.1017/S0030605311000937</v>
      </c>
      <c r="D96" s="24" t="str">
        <f>IFERROR(__xludf.DUMMYFUNCTION("""COMPUTED_VALUE"""),"Jaureguiberry et al")</f>
        <v>Jaureguiberry et al</v>
      </c>
      <c r="E96" s="24" t="str">
        <f>IFERROR(__xludf.DUMMYFUNCTION("""COMPUTED_VALUE"""),"WOS:000309472600015")</f>
        <v>WOS:000309472600015</v>
      </c>
      <c r="F96" s="24" t="str">
        <f>IFERROR(__xludf.DUMMYFUNCTION("""COMPUTED_VALUE"""),"[""ELIGIBLE""]")</f>
        <v>["ELIGIBLE"]</v>
      </c>
    </row>
    <row r="97">
      <c r="A97" s="24" t="str">
        <f>IFERROR(__xludf.DUMMYFUNCTION("""COMPUTED_VALUE"""),"Aquatic faunal responses to an induced regime shift in the phosphorus-impacted Everglades")</f>
        <v>Aquatic faunal responses to an induced regime shift in the phosphorus-impacted Everglades</v>
      </c>
      <c r="B97" s="24" t="str">
        <f>IFERROR(__xludf.DUMMYFUNCTION("""COMPUTED_VALUE"""),"Wetland eutrophication increases the susceptibility of native communities to invasion by opportunistic plant species, which then commonly form monotypic stands. Wetland aquatic fauna are negatively affected by associated changes of eutrophication in the p"&amp;"hysiochemical environment, habitat structural complexity and ecological interactions. In addition to reducing external nutrient loads, it is predicted that efforts that reduce the resilience of the altered ecosystem are required to accelerate ecosystem re"&amp;"covery. We assessed small fish and decapod crustacean responses to a 3-year ecosystem scale experiment that tested the effectiveness of chemical treatment and controlled burning as a management strategy to accelerate the recovery of eutrophic Everglades m"&amp;"arsh. The management strategy resulted in the removal, on average, of 91% and 81% of the emergent macrophyte cover in two regions differing in enrichment effects. The resulting open-water habitats were characterised by higher dissolved oxygen concentratio"&amp;"ns, greater periphyton and submersed aquatic vegetation and increased structural complexity. The average combined density and biomass of small fish and decapod crustaceans did not differ significantly between dense emergent vegetation and created openings"&amp;" but regional and water year differences occurred. More importantly, community composition did differ between treatments, with the crayfish Procambarus fallax dominating in dense vegetation and small fish Gambusia holbrooki, Jordanella floridae and Poecil"&amp;"ia latipinna and grass shrimp Palaemonetes paludosus dominating in open water. We compared the whole body carbon (C), nitrogen (N) and phosphorus (P) contents (%) and C:N:P stoichiometry among small fish and decapod crustaceans. Fish had greater whole bod"&amp;"y C and P contents (low C:P) compared with the two crustaceans. While the management action did not alter the quantity (mgcarbonm-2) or energy (kcalm-2) of fauna, the resultant shift in composition was coincident with an increase in the nutrient quality ("&amp;"mgPm-2 and low C:P) of fauna. Faunal community composition of the created open-water habitats in the eutrophic Everglades was similar to the oligotrophic Everglades; however, density and biomass were significantly lower for the oligotrophic region. Moreov"&amp;"er, intraspecific comparisons showed that small fish and decapod crustaceans from the oligotrophic region were smaller and had lower whole body phosphorus contents than organisms from eutrophic regions. This suggests that phosphorus limitation in the Ever"&amp;"glades extends beyond autotrophs to include consumers. The high density of emergent macrophytes typically formed in eutrophic wetlands creates a physical barrier to predators, limiting the trophic transfer of energy. The combination of burning and chemica"&amp;"l treatment not only maintained the abundance and biomass of aquatic fauna, but produced a compositional shift towards higher quality prey for wading birds and predatory fishes. We recognise that the contrasting nature between the created openings in the "&amp;"eutrophic and oligotrophic Everglades highlights major structural and functional differences in natural sloughs versus enriched created sloughs', but we suggest that active management efforts to accelerate the recovery of P-impacted regions could provide "&amp;"temporary benefits to Everglades wildlife by improving access to abundant, high-quality prey.")</f>
        <v>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v>
      </c>
      <c r="C97" s="24" t="str">
        <f>IFERROR(__xludf.DUMMYFUNCTION("""COMPUTED_VALUE"""),"10.1111/fwb.12353")</f>
        <v>10.1111/fwb.12353</v>
      </c>
      <c r="D97" s="24" t="str">
        <f>IFERROR(__xludf.DUMMYFUNCTION("""COMPUTED_VALUE"""),"Jaureguiberry et al")</f>
        <v>Jaureguiberry et al</v>
      </c>
      <c r="E97" s="24" t="str">
        <f>IFERROR(__xludf.DUMMYFUNCTION("""COMPUTED_VALUE"""),"WOS:000337528600004")</f>
        <v>WOS:000337528600004</v>
      </c>
      <c r="F97" s="24" t="str">
        <f>IFERROR(__xludf.DUMMYFUNCTION("""COMPUTED_VALUE"""),"[""ELIGIBLE""]")</f>
        <v>["ELIGIBLE"]</v>
      </c>
    </row>
    <row r="98">
      <c r="A98" s="24" t="str">
        <f>IFERROR(__xludf.DUMMYFUNCTION("""COMPUTED_VALUE"""),"Inter-decadal changes in fish communities of a tropical bay in southeastern Brazil")</f>
        <v>Inter-decadal changes in fish communities of a tropical bay in southeastern Brazil</v>
      </c>
      <c r="B98" s="24" t="str">
        <f>IFERROR(__xludf.DUMMYFUNCTION("""COMPUTED_VALUE"""),"Long-term evaluations of coastal fish communities worldwide have in many cases showed a decrease in the species richness and abundance as a result of anthropogenic impacts. Fish communities in two zones (inner and outer) of a tropical bay in southeastern "&amp;"Brazil were sampled monthly during six years over two decades (1983-1985, 1993-1995, 1999-2001) using identical sampling methods. Over time, an increase in temperature and a decrease in water transparency were detected, while salinity remained stable. Fis"&amp;"h assemblage was dominated by benthivorous species both migrant and resident species. The fish assemblage structure differed significantly between the two bay zones. Significant decreases in the fish richness, abundance and biomass were detected over time"&amp;". The highest decreases in the species richness was recorded between 1983-1985 and 1993-1995 for the marine migrants in both bay zones and for the resident and marine straggler species in the outer zone. Dominant species such as the clupeoids Anchoa janua"&amp;"ria, Anchoa tricolor, Harengula clupeola, the gerreid Eucinostomos argenteus, the sciaenid Micropogonias furnieri, the atherinopsid Atherinella brasiliensis and the ariid Genidens barbus decreased over time, whereas the mugilid Mugil liza increased. Persi"&amp;"stent differences in the fish assemblage structure between the two bay zones over the three periods can be attributed at least in part to differences in environmental variables between the zones and seem to be a key ecological element to maintenance of bi"&amp;"odiversity. This is the first study to examine long-term changes in the fish community of a tropical bay in Brazil. (C) 2015 Elsevier B.V. All rights reserved.")</f>
        <v>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v>
      </c>
      <c r="C98" s="24" t="str">
        <f>IFERROR(__xludf.DUMMYFUNCTION("""COMPUTED_VALUE"""),"10.1016/j.rsma.2015.06.001")</f>
        <v>10.1016/j.rsma.2015.06.001</v>
      </c>
      <c r="D98" s="24" t="str">
        <f>IFERROR(__xludf.DUMMYFUNCTION("""COMPUTED_VALUE"""),"Jaureguiberry et al")</f>
        <v>Jaureguiberry et al</v>
      </c>
      <c r="E98" s="24" t="str">
        <f>IFERROR(__xludf.DUMMYFUNCTION("""COMPUTED_VALUE"""),"WOS:000414755500014")</f>
        <v>WOS:000414755500014</v>
      </c>
      <c r="F98" s="24" t="str">
        <f>IFERROR(__xludf.DUMMYFUNCTION("""COMPUTED_VALUE"""),"[""ELIGIBLE""]")</f>
        <v>["ELIGIBLE"]</v>
      </c>
    </row>
    <row r="99">
      <c r="A99" s="24" t="str">
        <f>IFERROR(__xludf.DUMMYFUNCTION("""COMPUTED_VALUE"""),"Forest fragmentation and edge effects from deforestation and selective logging in the Brazilian Amazon")</f>
        <v>Forest fragmentation and edge effects from deforestation and selective logging in the Brazilian Amazon</v>
      </c>
      <c r="B99" s="24" t="str">
        <f>IFERROR(__xludf.DUMMYFUNCTION("""COMPUTED_VALUE"""),"Forest fragmentation results from deforestation and disturbance, with subsequent edge effects extending deep into remaining forest areas. No study has quantified the effects of both deforestation and selective logging, separately and combined, on forest f"&amp;"ragmentation and edge effects over large regions. The main objectives of this study were to: (1) quantify the rates and extent of forest fragmentation from deforestation and logging within the Brazilian Amazon, and (2) contextualize the spatio-temporal dy"&amp;"namics of this forest fragmentation through a literature review of potential ecological repercussions of edge creation. Using GIS and remote sensing, we quantified forest fragmentation defined as both increases in the forest edge-to-area ratio and number "&amp;"of forest fragments - and edge-effected forest occurring from these activities across more than 1.1 million km(2) of the Brazilian Amazon from 1999 to 2002. Annually, deforestation and logging generated similar to 32,000 and 38,000 km of new forest edge w"&amp;"hile increasing the edge-to-area ratio of remaining forest by 0.14 and 0.15, respectively. Combined deforestation and logging increased the edge-to-area ratio of remaining forest by 65% over our study period, while generating 5539 and 3383 new forest frag"&amp;"ments, respectively. Although we found that 90% of individual forest fragments were smaller than 4 km(2), we also found that 50% of the remaining intact forests were located in contiguous forest areas greater than 35,000 km(2). We then conducted a literat"&amp;"ure review documenting 146 edge effects and found that these penetrated to a median distance of 100 m, a distance encompassing 6.4% of all remaining forests in our study region in the year 2002, while 53% of forests were located within two km of an edge. "&amp;"Annually deforestation and logging increased the proportion of edge-forest by 0.8% and 3.1%, respectively. As a result of both activities, the total proportion of edge-forest increased by 2.6% per year, while the proportion within 100-m increased by 0.5%."&amp;" Over our study period, deforestation resulted in an additional similar to 3000 km(2) of edge-forest, whereas logging generated similar to 20,000 km(2), as it extended deep into intact forest areas. These results show the large extent and rapid expansion "&amp;"of previously unquantified soft-edges throughout the Amazon and highlight the need for greater research into their ecological impacts. (C) 2008 Elsevier Ltd. All rights reserved.")</f>
        <v>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v>
      </c>
      <c r="C99" s="24" t="str">
        <f>IFERROR(__xludf.DUMMYFUNCTION("""COMPUTED_VALUE"""),"10.1016/j.biocon.2008.04.024")</f>
        <v>10.1016/j.biocon.2008.04.024</v>
      </c>
      <c r="D99" s="24" t="str">
        <f>IFERROR(__xludf.DUMMYFUNCTION("""COMPUTED_VALUE"""),"Jaureguiberry et al")</f>
        <v>Jaureguiberry et al</v>
      </c>
      <c r="E99" s="24" t="str">
        <f>IFERROR(__xludf.DUMMYFUNCTION("""COMPUTED_VALUE"""),"WOS:000258306300002")</f>
        <v>WOS:000258306300002</v>
      </c>
      <c r="F99" s="24" t="str">
        <f>IFERROR(__xludf.DUMMYFUNCTION("""COMPUTED_VALUE"""),"[""ELIGIBLE""]")</f>
        <v>["ELIGIBLE"]</v>
      </c>
    </row>
    <row r="100">
      <c r="A100" s="24" t="str">
        <f>IFERROR(__xludf.DUMMYFUNCTION("""COMPUTED_VALUE"""),"Modest recovery of biodiversity in a western European country: The Living Planet Index for the Netherlands")</f>
        <v>Modest recovery of biodiversity in a western European country: The Living Planet Index for the Netherlands</v>
      </c>
      <c r="B100" s="24" t="str">
        <f>IFERROR(__xludf.DUMMYFUNCTION("""COMPUTED_VALUE"""),"We calculated a Living Planet Index (LPI) for the Netherlands, based on 361 animal species from seven taxonomic groups occurring in terrestrial and freshwater habitats. Our assessment is basically similar to the global LPI, but the latter includes vertebr"&amp;"ate species and trends in population abundance only. To achieve inferences on trends in biodiversity more generally, we added two insect groups (butterflies and dragonflies) and added occupancy trends for species for which we had no abundance trends avail"&amp;"able. According to the LPI, the state of biodiversity has slightly increased from 1990 to 2014. However, large differences exist between habitat types. We found a considerable increase in freshwater animal populations, probably because of improvement of c"&amp;"hemical water quality and rehabilitation of marshland habitats. We found no trend in the LPI for woodland populations. In contrast, populations in farmland and open semi-natural habitats (coastal dunes, heathland and semi-natural grassland) declined, whic"&amp;"h we attribute to intensive agricultural practices and nitrogen deposition, respectively. The LPI shows that, even in a densely populated western European country, ongoing loss of animal biodiversity is not inevitable and may even be reversed if adequate "&amp;"measures are taken. Our approach enabled us to produce summary statistics beyond the level of species groups to monitor the state of biodiversity in a clear and consistent way. (C) 2016 The Authors. Published by Elsevier Ltd. This is an open access articl"&amp;"e under the CC BY license.")</f>
        <v>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v>
      </c>
      <c r="C100" s="24" t="str">
        <f>IFERROR(__xludf.DUMMYFUNCTION("""COMPUTED_VALUE"""),"10.1016/j.biocon.2016.05.031")</f>
        <v>10.1016/j.biocon.2016.05.031</v>
      </c>
      <c r="D100" s="24" t="str">
        <f>IFERROR(__xludf.DUMMYFUNCTION("""COMPUTED_VALUE"""),"Jaureguiberry et al")</f>
        <v>Jaureguiberry et al</v>
      </c>
      <c r="E100" s="24" t="str">
        <f>IFERROR(__xludf.DUMMYFUNCTION("""COMPUTED_VALUE"""),"WOS:000381325300006")</f>
        <v>WOS:000381325300006</v>
      </c>
      <c r="F100" s="24" t="str">
        <f>IFERROR(__xludf.DUMMYFUNCTION("""COMPUTED_VALUE"""),"[""ELIGIBLE""]")</f>
        <v>["ELIGIBLE"]</v>
      </c>
    </row>
    <row r="101">
      <c r="A101" s="24" t="str">
        <f>IFERROR(__xludf.DUMMYFUNCTION("""COMPUTED_VALUE"""),"Long-term community change: bryophytes are more responsive than vascular plants to nitrogen deposition and warming")</f>
        <v>Long-term community change: bryophytes are more responsive than vascular plants to nitrogen deposition and warming</v>
      </c>
      <c r="B101" s="24" t="str">
        <f>IFERROR(__xludf.DUMMYFUNCTION("""COMPUTED_VALUE"""),"Aims: Many studies of vegetation change over multiple decades have focused on vascular plants, but very few on bryophytes, despite the importance of bryophytes for overall plant biodiversity and ecosystem functioning. Using a repeated survey of vascular p"&amp;"lants and bryophytes in a forest ecosystem, we tested predictions of the hypotheses that: (1) vegetation change has been driven by N deposition and climate warming, and (2) bryophytes are more responsive to environmental change than vascular plants. Locat"&amp;"ion: Lowland temperate forest, northwest France. Methods: In forest plots initially surveyed in 1976, we re-surveyed both vascular plants and bryophytes in 2009 and 2012, respectively. We analysed changes in a-diversity, beta-diversity, and species compos"&amp;"ition, and we used community-weighted mean values of species affinities for temperature, light, pH, soil moisture and N to assess the temporal responses potentially caused by warming, N deposition, or possibly a changing light regime. Results: We observed"&amp;" significantly increased species richness of bryophytes and decreased richness of vascular plants. Community affinities to N, pH and temperature increased significantly for bryophytes, but not for vascular plants, although the change over time in N affini"&amp;"ties for vascular plants was qualitatively in the predicted direction. Bryophytes showed a higher magnitude of temporal community change than vascular plants, both in terms of overall species composition and environmental affinities, indicating a higher r"&amp;"esponsiveness of bryophytes to environmental change. Conclusion: Overall, the result of more marked temporal community change for bryophytes suggests that the many studies of changes in vascular plant communities over time might underestimate the sensitiv"&amp;"ity of the broader plant community (including cryptogams) to environmental change.")</f>
        <v>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v>
      </c>
      <c r="C101" s="24" t="str">
        <f>IFERROR(__xludf.DUMMYFUNCTION("""COMPUTED_VALUE"""),"10.1111/jvs.12579")</f>
        <v>10.1111/jvs.12579</v>
      </c>
      <c r="D101" s="24" t="str">
        <f>IFERROR(__xludf.DUMMYFUNCTION("""COMPUTED_VALUE"""),"Jaureguiberry et al")</f>
        <v>Jaureguiberry et al</v>
      </c>
      <c r="E101" s="24" t="str">
        <f>IFERROR(__xludf.DUMMYFUNCTION("""COMPUTED_VALUE"""),"WOS:000423189400012")</f>
        <v>WOS:000423189400012</v>
      </c>
      <c r="F101" s="24" t="str">
        <f>IFERROR(__xludf.DUMMYFUNCTION("""COMPUTED_VALUE"""),"[""ELIGIBLE""]")</f>
        <v>["ELIGIBLE"]</v>
      </c>
    </row>
    <row r="102">
      <c r="A102" s="24" t="str">
        <f>IFERROR(__xludf.DUMMYFUNCTION("""COMPUTED_VALUE"""),"Satellite-based primary forest degradation assessment in the Democratic Republic of the Congo, 2000-2010")</f>
        <v>Satellite-based primary forest degradation assessment in the Democratic Republic of the Congo, 2000-2010</v>
      </c>
      <c r="B102" s="24" t="str">
        <f>IFERROR(__xludf.DUMMYFUNCTION("""COMPUTED_VALUE"""),"Primary forest extent, loss and degradation within the Democratic Republic of the Congo (DRC) were quantified from 2000 to 2010 by combining directly mapped forest cover extent and loss data (CARPE) with indirectly mapped forest degradation data (intact f"&amp;"orest landscapes, IFL). Landsat data were used to derive both map inputs, and data from the GLAS (Geoscience Laser Altimetry System) sensor were employed to validate the discrimination of primary intact and primary degraded forests. In the year 2000, prim"&amp;"ary humid tropical forests occupied 104 455 kha of the country, with 61% of these forests classified as intact. From 2000 to 2010, 1.02% of primary forest cover was lost due to clearing, and almost 2% of intact primary forests were degraded due to alterat"&amp;"ion and fragmentation. While primary forest clearing increased by a factor of two between 2000-2005 and 2005-2010, the degradation of intact forests slightly decreased. Fragmentation and selective logging were the leading causes of intact forest degradati"&amp;"on, accounting for 91% of IFL area change. The 10 year forest degradation rate within designated logging permit areas was 3.8 times higher compared to other primary forest areas. Within protected areas the forest degradation rate was 3.7 times lower than "&amp;"in other primary forest areas. Forest degradation rates were high in the vicinity of major urban areas. Given the observed forest degradation rates, we infer that the degradation of intact forests could increase up to two-fold over the next decade.")</f>
        <v>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v>
      </c>
      <c r="C102" s="24" t="str">
        <f>IFERROR(__xludf.DUMMYFUNCTION("""COMPUTED_VALUE"""),"10.1088/1748-9326/8/2/024034")</f>
        <v>10.1088/1748-9326/8/2/024034</v>
      </c>
      <c r="D102" s="24" t="str">
        <f>IFERROR(__xludf.DUMMYFUNCTION("""COMPUTED_VALUE"""),"Jaureguiberry et al")</f>
        <v>Jaureguiberry et al</v>
      </c>
      <c r="E102" s="24" t="str">
        <f>IFERROR(__xludf.DUMMYFUNCTION("""COMPUTED_VALUE"""),"WOS:000321425100038")</f>
        <v>WOS:000321425100038</v>
      </c>
      <c r="F102" s="24" t="str">
        <f>IFERROR(__xludf.DUMMYFUNCTION("""COMPUTED_VALUE"""),"[""ELIGIBLE""]")</f>
        <v>["ELIGIBLE"]</v>
      </c>
    </row>
    <row r="103">
      <c r="A103" s="24" t="str">
        <f>IFERROR(__xludf.DUMMYFUNCTION("""COMPUTED_VALUE"""),"The freshwater habitats, fishes, and fisheries of the Orinoco River basin")</f>
        <v>The freshwater habitats, fishes, and fisheries of the Orinoco River basin</v>
      </c>
      <c r="B103" s="24" t="str">
        <f>IFERROR(__xludf.DUMMYFUNCTION("""COMPUTED_VALUE"""),"The Orinoco River of Venezuela and Colombia is one of the great rivers of the world, ranking third by discharge after the Amazon and the Congo. In the Orinoco basin, riverine and floodplain habitats, including riparian forests, play key roles in the conse"&amp;"rvation of biodiversity and support commercial, sport, and subsistence fisheries. The basin three major floodplains regulate the amplitude and duration of floods, maintain fertile agricultural terrain, provide habitat for numerous terrestrial and aquatic "&amp;"species, and support the fishery. The fish fauna, which includes some 1, 000 species, encompasses a great deal of ecological diversity in terms of geographic distributions, habitat affinities, functional morphology, and reproductive and feeding strategies"&amp;". The Orinoco fishery is still multispecific, with around 80 different species found in the fish markets at different times of year Current estimates indicate that annual sustainable yield is 40,000-45, 000 metric tons. Fish culture in the region is under"&amp;"developed despite decades of research and promotion. There is no serious commercial trade for ornamental fishes. Large regions of the Orinoco basin are still in a relatively pristine state, but aquatic resources are increasingly threatened by habitat dest"&amp;"ruction, overharvesting, pollution, and hydrological perturbation. Scientific understanding of diversity hotspots, critical habitats, and conservation status of fishes in the basin is currently insufficient to satisfy management needs. Compliance to fishe"&amp;"ry regulations is low and fishing is drastically modifying the relative abundance, population structure, and distribution of fish stocks. However many sectors of the Orinoco basin are unexploited or only lightly exploited, and fish stocks can recover quic"&amp;"kly if given the opportunity. Stricter enforcement of current fishery regulations would reduce the likelihood of stock collapses and other possibly irreversible, changes in the fishery.")</f>
        <v>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v>
      </c>
      <c r="C103" s="24" t="str">
        <f>IFERROR(__xludf.DUMMYFUNCTION("""COMPUTED_VALUE"""),"10.1080/14634980701350686")</f>
        <v>10.1080/14634980701350686</v>
      </c>
      <c r="D103" s="24" t="str">
        <f>IFERROR(__xludf.DUMMYFUNCTION("""COMPUTED_VALUE"""),"Jaureguiberry et al")</f>
        <v>Jaureguiberry et al</v>
      </c>
      <c r="E103" s="24" t="str">
        <f>IFERROR(__xludf.DUMMYFUNCTION("""COMPUTED_VALUE"""),"WOS:000247870000003")</f>
        <v>WOS:000247870000003</v>
      </c>
      <c r="F103" s="24" t="str">
        <f>IFERROR(__xludf.DUMMYFUNCTION("""COMPUTED_VALUE"""),"[""ELIGIBLE""]")</f>
        <v>["ELIGIBLE"]</v>
      </c>
    </row>
    <row r="104">
      <c r="A104" s="24" t="str">
        <f>IFERROR(__xludf.DUMMYFUNCTION("""COMPUTED_VALUE"""),"Ecological and socio-economic factors affecting extinction risk in parrots")</f>
        <v>Ecological and socio-economic factors affecting extinction risk in parrots</v>
      </c>
      <c r="B104" s="24" t="str">
        <f>IFERROR(__xludf.DUMMYFUNCTION("""COMPUTED_VALUE"""),"Parrots (Psittaciformes) are among the most threatened bird orders with 28 % (111 of 398) of extant species classified as threatened under IUCN criteria. We confirmed that parrots have a lower Red List Index (higher aggregate extinction risk) than other c"&amp;"omparable bird groups, and modeled the factors associated with extinction risk. Our analyses included intrinsic biological, life history and ecological attributes, external anthropogenic threats, and socio-economic variables associated with the countries "&amp;"where the parrot species occur, while we controlled for phylogenetic dependence among species. We found that the likelihood of parrot species being classified as threatened was less for species with larger historical distribution size, but was greater for"&amp;" species with high forest dependency, large body size, long generation time, and greater proportion of the human population living in urban areas in the countries encompassing the parrots' home ranges. The severity of extinction risk (from vulnerable to c"&amp;"ritically endangered) was positively related to the per capita gross domestic product (GDP) of the countries of occurrence, endemism to a single country, and lower for species used as pets. A disproportionate number of 16 extinct parrot species were endem"&amp;"ic to islands and single countries, and were large bodied, habitat specialists. Agriculture, hunting, trapping, and logging are the most frequent threats to parrots worldwide, with variation in importance among regions. We use multiple methods to rank cou"&amp;"ntries with disproportionately high numbers of threatened parrot species. Our results promote understanding of global and regional factors associated with endangerment in this highly threatened taxonomic group, and will enhance the prioritization of conse"&amp;"rvation actions.")</f>
        <v>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v>
      </c>
      <c r="C104" s="24" t="str">
        <f>IFERROR(__xludf.DUMMYFUNCTION("""COMPUTED_VALUE"""),"10.1007/s10531-015-1036-z")</f>
        <v>10.1007/s10531-015-1036-z</v>
      </c>
      <c r="D104" s="24" t="str">
        <f>IFERROR(__xludf.DUMMYFUNCTION("""COMPUTED_VALUE"""),"Jaureguiberry et al")</f>
        <v>Jaureguiberry et al</v>
      </c>
      <c r="E104" s="24" t="str">
        <f>IFERROR(__xludf.DUMMYFUNCTION("""COMPUTED_VALUE"""),"WOS:000370137100001")</f>
        <v>WOS:000370137100001</v>
      </c>
      <c r="F104" s="24" t="str">
        <f>IFERROR(__xludf.DUMMYFUNCTION("""COMPUTED_VALUE"""),"[""ELIGIBLE""]")</f>
        <v>["ELIGIBLE"]</v>
      </c>
    </row>
    <row r="105">
      <c r="A105" s="24" t="str">
        <f>IFERROR(__xludf.DUMMYFUNCTION("""COMPUTED_VALUE"""),"Identifying and quantifying environmental thresholds for ecological shifts in a large semi-regulated river")</f>
        <v>Identifying and quantifying environmental thresholds for ecological shifts in a large semi-regulated river</v>
      </c>
      <c r="B105" s="24" t="str">
        <f>IFERROR(__xludf.DUMMYFUNCTION("""COMPUTED_VALUE"""),"Ecological shifts, between a clear macrophyte-dominated state and a turbid state dominated by phytoplankton and high inorganic suspended solids, have been well described in shallow lake ecosystems. While few documented examples exist in rivers, models pre"&amp;"dict regime shifts, especially in regulated rivers with high water retention time. Here I quantified ecological shifts in a large, semi-regulated floodplain river during a transition from a turbid-to a clear-water state using water quality, aquatic vegeta"&amp;"tion and fisheries data from a rigorous, standardized long-term data set. My findings indicate that significant changes occurred in total suspended solids concentration, aquatic macrophyte abundance, native and non-native fish biomass, fish functional fee"&amp;"ding guild patterns, fish habitat guild assemblages and fish spawning guild assemblage patterns over a nearly 20-year period in Navigation Pool 8 of the Upper Mississippi River. Transitions in physical and biological indicators were examined to identify m"&amp;"echanisms underlying the ecological shifts. Environmental variables driving fish assemblage changes were identified (total suspended solids and aquatic vegetation) and management-relevant thresholds are presented. Awareness of management thresholds is cri"&amp;"tical for resource managers to implement measures to prevent the river from moving to a degraded state characterized by high non-native fish abundance and low predatory fish species abundance.")</f>
        <v>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v>
      </c>
      <c r="C105" s="24" t="str">
        <f>IFERROR(__xludf.DUMMYFUNCTION("""COMPUTED_VALUE"""),"10.1080/02705060.2017.1319431")</f>
        <v>10.1080/02705060.2017.1319431</v>
      </c>
      <c r="D105" s="24" t="str">
        <f>IFERROR(__xludf.DUMMYFUNCTION("""COMPUTED_VALUE"""),"Jaureguiberry et al")</f>
        <v>Jaureguiberry et al</v>
      </c>
      <c r="E105" s="24" t="str">
        <f>IFERROR(__xludf.DUMMYFUNCTION("""COMPUTED_VALUE"""),"WOS:000401719600004")</f>
        <v>WOS:000401719600004</v>
      </c>
      <c r="F105" s="24" t="str">
        <f>IFERROR(__xludf.DUMMYFUNCTION("""COMPUTED_VALUE"""),"[""ELIGIBLE""]")</f>
        <v>["ELIGIBLE"]</v>
      </c>
    </row>
    <row r="106">
      <c r="A106" s="24" t="str">
        <f>IFERROR(__xludf.DUMMYFUNCTION("""COMPUTED_VALUE"""),"Was overfishing of predatory fish responsible for a lobster-induced regime shift in the Benguela?")</f>
        <v>Was overfishing of predatory fish responsible for a lobster-induced regime shift in the Benguela?</v>
      </c>
      <c r="B106" s="24" t="str">
        <f>IFERROR(__xludf.DUMMYFUNCTION("""COMPUTED_VALUE"""),"The top-down effects of predators have been demonstrated for terrestrial, freshwater and marine systems and their removal can cause a shift in ecosystem state. In many cases, the depletion of top-predators occurred long before humans began monitoring thes"&amp;"e systems, but models can elucidate likely ecosystem changes. In this paper we use a multispecies model to demonstrate that the abundance of predators can induce different ecosystem states, emphasising the importance of sustainable harvesting. Our model i"&amp;"s founded on empirical data documenting a regime-shift that took place in the kelp-forest ecosystem along the south-west coast of South Africa following an 'invasion' by the West Coast rock lobster Jasus lalandii in the early 1990s. Formerly dominated by "&amp;"herbivores and encrusting corallines, the ecosystem became dominated by lobsters and macroalgae. A combination of illegal fishing of abalone Haliotis midae and the lobster-induced extermination of the urchin Parechinus angulosus (which shelters juvenile a"&amp;"balone) depleted abalone stocks severely. In this currently over-fished ecosystem where predators of lobsters are scarce, the regime-shift appears irreversible. Using an intermediate complexity model of lobster, urchin and abalone relationships, we simula"&amp;"ted the effects of predatory fish at various population levels on the course of development of the currently lobster-dominated system. Our results indicate that current levels of fish biomass (&lt;10% of the pristine population) would have been too small to "&amp;"significantly affect the lobster population. However, at pristine levels of fish abundance (or even 50% less), the invasion of lobsters would have been controlled by linefish, and urchin and abalone populations would not have collapsed. The effect of the "&amp;"lobster invasion had a greater influence on abalone abundance than illegal fishing, but together they severely depleted the abalone. Ecosystem effects of historical exploitation of top predators are of central concern, and our ecosystem model indicates th"&amp;"at depletion of linefish had severe consequences for lobsters, urchins and abalone, illustrating how overfishing of top predators may precipitate regime shifts, with profound socio-economic consequences. (C) 2013 Elsevier B.V. All rights reserved.")</f>
        <v>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v>
      </c>
      <c r="C106" s="24" t="str">
        <f>IFERROR(__xludf.DUMMYFUNCTION("""COMPUTED_VALUE"""),"10.1016/j.ecolmodel.2013.11.004")</f>
        <v>10.1016/j.ecolmodel.2013.11.004</v>
      </c>
      <c r="D106" s="24" t="str">
        <f>IFERROR(__xludf.DUMMYFUNCTION("""COMPUTED_VALUE"""),"Jaureguiberry et al")</f>
        <v>Jaureguiberry et al</v>
      </c>
      <c r="E106" s="24" t="str">
        <f>IFERROR(__xludf.DUMMYFUNCTION("""COMPUTED_VALUE"""),"WOS:000331673800014")</f>
        <v>WOS:000331673800014</v>
      </c>
      <c r="F106" s="24" t="str">
        <f>IFERROR(__xludf.DUMMYFUNCTION("""COMPUTED_VALUE"""),"[""ELIGIBLE""]")</f>
        <v>["ELIGIBLE"]</v>
      </c>
    </row>
    <row r="107">
      <c r="A107" s="24" t="str">
        <f>IFERROR(__xludf.DUMMYFUNCTION("""COMPUTED_VALUE"""),"Linking fisheries, trophic interactions and climate: threshold dynamics drive herring Clupea harengus growth in the central Baltic Sea")</f>
        <v>Linking fisheries, trophic interactions and climate: threshold dynamics drive herring Clupea harengus growth in the central Baltic Sea</v>
      </c>
      <c r="B107" s="24" t="str">
        <f>IFERROR(__xludf.DUMMYFUNCTION("""COMPUTED_VALUE"""),"How multiple stressors influence fish stock dynamics is a crucial question in ecology in general and in fisheries science in particular. Using time-series covering a 30 yr period, we show that the body growth of the central Baltic Sea herring Clupea haren"&amp;"gus, both in terms of condition and weight-at-age (WAA), has shifted from being mainly driven by hydro-climatic forces to an interspecific density-dependent control. The shift in the mechanisms of regulation of herring growth is triggered by the abundance"&amp;" of sprat, the main food competitor for herring. Abundances of sprat above the threshold of similar to 18 x 10(10) ind. decouple herring growth from hydro-climatic factors (i.e. salinity), and become the main driver of herring growth variations. At high s"&amp;"prat densities, herring growth is considerably lower than at low sprat levels, regardless of the salinity conditions, indicative of hysteresis in the response of herring growth to salinity changes. The threshold dynamic accurately explains the changes in "&amp;"herring growth during the past 3 decades and in turn contributes to elucidate the parallel drastic drop in herring spawning stock biomass. Studying the interplay between different stressors can provide fundamental information for the management of exploit"&amp;"ed resources. The management of the central Baltic herring stock should be adaptive and take into consideration the dual response of herring growth to hydro-climatic forces and food-web structure for a sound ecosystem approach to fisheries.")</f>
        <v>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v>
      </c>
      <c r="C107" s="24" t="str">
        <f>IFERROR(__xludf.DUMMYFUNCTION("""COMPUTED_VALUE"""),"10.3354/meps08592")</f>
        <v>10.3354/meps08592</v>
      </c>
      <c r="D107" s="24" t="str">
        <f>IFERROR(__xludf.DUMMYFUNCTION("""COMPUTED_VALUE"""),"Jaureguiberry et al")</f>
        <v>Jaureguiberry et al</v>
      </c>
      <c r="E107" s="24" t="str">
        <f>IFERROR(__xludf.DUMMYFUNCTION("""COMPUTED_VALUE"""),"WOS:000281566900019")</f>
        <v>WOS:000281566900019</v>
      </c>
      <c r="F107" s="24" t="str">
        <f>IFERROR(__xludf.DUMMYFUNCTION("""COMPUTED_VALUE"""),"[""ELIGIBLE""]")</f>
        <v>["ELIGIBLE"]</v>
      </c>
    </row>
    <row r="108">
      <c r="A108" s="24" t="str">
        <f>IFERROR(__xludf.DUMMYFUNCTION("""COMPUTED_VALUE"""),"Successful colonization of the calanoid copepod Acartia tonsa in the oligo-mesohaline area of the Gironde estuary (SW France) -: Natural or anthropogenic forcing?")</f>
        <v>Successful colonization of the calanoid copepod Acartia tonsa in the oligo-mesohaline area of the Gironde estuary (SW France) -: Natural or anthropogenic forcing?</v>
      </c>
      <c r="B108" s="24" t="str">
        <f>IFERROR(__xludf.DUMMYFUNCTION("""COMPUTED_VALUE"""),"The copepod Acartia tonsa appeared in Europe in the first half of the 20th century and colonized progressively European seas and estuaries, possibly transferred from North Atlantic Coast of America. It had been reported in the polyhaline area of the Giron"&amp;"de estuary for a long time but was first recorded in the oligo-mesohaline area in 1983. Its abundance has been increasing significantly. High abundances of A. tonsa were reported since 1999, supplanting the abundances of its autochthonous congeneric speci"&amp;"es, Acartia bifilosa. This colonization was characterized by analyzing the mean seasonal variability: (1) for three 5-year periods corresponding to three different steps of A. tonsa appearance (1978-1982, A. tonsa was absent; 1988-1992, low abundances of "&amp;"the species; and 1999-2003, high abundances of A. tonsa) in the oligo-mesohaline area and (2) for three stations distributed along the salinity gradient during the recent period. The aim of this work was to define if this colonization was due to natural o"&amp;"r anthropogenic forcing and to evaluate its possible impact on autochthonous zooplanktonic community. Both natural and anthropogenic forcings seem to explain the colonization of Acartia tonsa in the oligo-mesohaline area of the Gironde estuary. First reco"&amp;"rds (1983-1988) could be due to marine water inputs caused by high values of the North Atlantic Oscillation index. The global warming which caused the increase of the summer warm period, the marinisation of the system and the local decrease of the turbidi"&amp;"ty should have been the key factors favoring the establishment of the species. Anthropogenic forcings as the establishment of the nuclear power plant which locally causes warmer conditions are also important factors explaining the differences of seasonal "&amp;"cycle observed between oligo-mesohaline area and other stations: the seasonal pattern of A. tonsa in the oligo-mesohaline area was indeed characterized by an autumnal peak of abundances which has been observed in other stations and in many North European "&amp;"estuaries, and by a second spring peak that had only been observed in Southern estuaries. The introduction of Acartia tonsa in the Gironde estuary significantly changed the seasonal pattern of autochthonous copepods, by limiting their seasonal abundances "&amp;"without affecting their long-term population stability. Finally, the successful colonization of A. tonsa had led to the spread of the seasonal zooplanktonic production which could have had an impact on fish and shrimp productions. (c) 2006 Elsevier Ltd. A"&amp;"ll rights reserved.")</f>
        <v>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v>
      </c>
      <c r="C108" s="24" t="str">
        <f>IFERROR(__xludf.DUMMYFUNCTION("""COMPUTED_VALUE"""),"10.1016/j.ecss.2006.08.018")</f>
        <v>10.1016/j.ecss.2006.08.018</v>
      </c>
      <c r="D108" s="24" t="str">
        <f>IFERROR(__xludf.DUMMYFUNCTION("""COMPUTED_VALUE"""),"Jaureguiberry et al")</f>
        <v>Jaureguiberry et al</v>
      </c>
      <c r="E108" s="24" t="str">
        <f>IFERROR(__xludf.DUMMYFUNCTION("""COMPUTED_VALUE"""),"WOS:000244177300008")</f>
        <v>WOS:000244177300008</v>
      </c>
      <c r="F108" s="24" t="str">
        <f>IFERROR(__xludf.DUMMYFUNCTION("""COMPUTED_VALUE"""),"[""ELIGIBLE""]")</f>
        <v>["ELIGIBLE"]</v>
      </c>
    </row>
    <row r="109">
      <c r="A109" s="24" t="str">
        <f>IFERROR(__xludf.DUMMYFUNCTION("""COMPUTED_VALUE"""),"Demographic and Density Response of Northern Bobwhites to Pyric Herbivory of Non-Native Grasslands")</f>
        <v>Demographic and Density Response of Northern Bobwhites to Pyric Herbivory of Non-Native Grasslands</v>
      </c>
      <c r="B109" s="24" t="str">
        <f>IFERROR(__xludf.DUMMYFUNCTION("""COMPUTED_VALUE"""),"Usable space for northern bobwhites (Colinus virginianus) has declined significantly over the past 3 decades in Texas because non-native grasses have replaced native vegetation. We hypothesized that burning patches in pastures dominated by buffelgrass (Pe"&amp;"nnisetum ciliare) and OldWorld bluestems (Bothriochloa spp. and Dichanthium spp.) followed by livestock grazing would increase limiting habitat attributes, thereby increasing usable space and bobwhite demographic parameters and population densities. Our s"&amp;"tudy was conducted during 2009-2011 in LaSalle County, Texas on a ranch dominated by non-native grasses. Our experimental design was composed of 2 blocks with two 240-ha pastures, one control (graze only), and one treatment (patch-burn and graze) in each."&amp;" We estimated grass standing crop in grazing exclosures (June-September) and habitat attributes along transects (October) 2009-2011. Bobwhites were captured and monitored via radiotelemetry 2-3 times/wk during March-November. Means of vegetation metrics i"&amp;"mportant to bobwhites such as bare ground, traversibility, and forb and subshrub cover were similar between control and treatment units in post-treatment years. However, grass standing crop tended to be lower in treatment (June and August 2010 and Septemb"&amp;"er 2011-110.5 +/- 26.2 g/m(2)) compared with control units (June and August 2010 and September 2011-145.5 +/- 58.6 g/m(2)). Plant species richness was also greater (21%) in treatment (4.6 +/- 0.4/0.1 m(2)) compared with control units (3.8 +/- 0.4/0.1 m(2)"&amp;") during the last year of the study (P = 0.057). Patch heterogeneity was increased in treatment units. There was an increase in bobwhite densities in treatment units, although demographicmetrics remained similar between treatment and controls. Patch burni"&amp;"ng and grazing is a viable tool for managing monotypic non-native grasslands for bobwhites in semiarid environments. (C) 2018 Published by Elsevier Inc. on behalf of The Society for Range Management.")</f>
        <v>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v>
      </c>
      <c r="C109" s="24" t="str">
        <f>IFERROR(__xludf.DUMMYFUNCTION("""COMPUTED_VALUE"""),"10.1016/j.rama.2018.02.008")</f>
        <v>10.1016/j.rama.2018.02.008</v>
      </c>
      <c r="D109" s="24" t="str">
        <f>IFERROR(__xludf.DUMMYFUNCTION("""COMPUTED_VALUE"""),"Jaureguiberry et al")</f>
        <v>Jaureguiberry et al</v>
      </c>
      <c r="E109" s="24" t="str">
        <f>IFERROR(__xludf.DUMMYFUNCTION("""COMPUTED_VALUE"""),"WOS:000435480900008")</f>
        <v>WOS:000435480900008</v>
      </c>
      <c r="F109" s="24" t="str">
        <f>IFERROR(__xludf.DUMMYFUNCTION("""COMPUTED_VALUE"""),"[""ELIGIBLE""]")</f>
        <v>["ELIGIBLE"]</v>
      </c>
    </row>
    <row r="110">
      <c r="A110" s="24" t="str">
        <f>IFERROR(__xludf.DUMMYFUNCTION("""COMPUTED_VALUE"""),"Changes in forest biomass and linkage to climate and forest disturbances over Northeastern China")</f>
        <v>Changes in forest biomass and linkage to climate and forest disturbances over Northeastern China</v>
      </c>
      <c r="B110" s="24" t="str">
        <f>IFERROR(__xludf.DUMMYFUNCTION("""COMPUTED_VALUE"""),"The forests of northeastern China store nearly half of the country's total biomass carbon stocks. In this study, we investigated the changes in forest biomass by using satellite observations and found that a significant increase in forest biomass took pla"&amp;"ce between 2001 and 2010. To determine the possible reasons for this change, several statistical methods were used to analyze the correlations between forest biomass dynamics and forest disturbances (i.e. fires, insect damage, logging, and afforestation a"&amp;"nd reforestation), climatic factors, and forest development. Results showed that forest development was the most important contributor to the increasing trend of forest biomass from 2001 to 2010, and climate controls were the secondary important factor. A"&amp;"mong the four types of forest disturbance considered in this study, forest recovery from fires, and afforestation and reforestation during the past few decades played an important role in short-term biomass dynamics. This study provided observational evid"&amp;"ence and valuable information for the relationships between forest biomass and climate as well as forest disturbances.")</f>
        <v>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v>
      </c>
      <c r="C110" s="24" t="str">
        <f>IFERROR(__xludf.DUMMYFUNCTION("""COMPUTED_VALUE"""),"10.1111/gcb.12588")</f>
        <v>10.1111/gcb.12588</v>
      </c>
      <c r="D110" s="24" t="str">
        <f>IFERROR(__xludf.DUMMYFUNCTION("""COMPUTED_VALUE"""),"Jaureguiberry et al")</f>
        <v>Jaureguiberry et al</v>
      </c>
      <c r="E110" s="24" t="str">
        <f>IFERROR(__xludf.DUMMYFUNCTION("""COMPUTED_VALUE"""),"WOS:000339100200021")</f>
        <v>WOS:000339100200021</v>
      </c>
      <c r="F110" s="24" t="str">
        <f>IFERROR(__xludf.DUMMYFUNCTION("""COMPUTED_VALUE"""),"[""ELIGIBLE""]")</f>
        <v>["ELIGIBLE"]</v>
      </c>
    </row>
    <row r="111">
      <c r="A111" s="24" t="str">
        <f>IFERROR(__xludf.DUMMYFUNCTION("""COMPUTED_VALUE"""),"Dung beetle (Coleoptera: Scarabaeidae) diversity and community structure across three disturbance regimes in eastern Amazonia")</f>
        <v>Dung beetle (Coleoptera: Scarabaeidae) diversity and community structure across three disturbance regimes in eastern Amazonia</v>
      </c>
      <c r="B111" s="24" t="str">
        <f>IFERROR(__xludf.DUMMYFUNCTION("""COMPUTED_VALUE"""),"Anthropogenic disturbance in Amazonian forests has increased dramatically since the early 1980s and forest disturbance is expected to continue in the early twenty-first century. Logging and conversion to pasture for cattle are two of the largest causes of"&amp;" forest disturbance and destruction. This study examined the distribution and diversity of dung beetles (Coleoptera: Scarabacidae) in intact forest and under three disturbance regimes (selective logging, clear-cutting and pasture) in a forest tract in sou"&amp;"thern Para state, Brazil. Dung beetles were collected using facces-baited pitfall traps, then identified, measured and weighed. Principal Components Analyses and the Sorensen's Index indicated that the intact and selectively logged areas were similar in t"&amp;"erms of species composition but that the pasture areas and clear-cut areas had substantially different groups of species. Beetle size and diversity (as measured by species richness, Shannon index and Simpson's index) were lower in clear-cuts and pasture t"&amp;"han in intact forest. The selectively logged forest was no less diverse than intact forest. and beetles were the same size or larger than those in intact forest. Total beetle biomass, however, was highest in the pasture due to the abundance of small-bodic"&amp;"d beetles in this habitat. While the fact that selective logging has a relatively minor impact on the dung beetle community is heartening, the projected increase in the amount of highly disturbed landscape in Amazonia is expected to have a severe impact o"&amp;"n dung beetle biodiversity in the region.")</f>
        <v>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v>
      </c>
      <c r="C111" s="24" t="str">
        <f>IFERROR(__xludf.DUMMYFUNCTION("""COMPUTED_VALUE"""),"10.1017/S0266467404001683")</f>
        <v>10.1017/S0266467404001683</v>
      </c>
      <c r="D111" s="24" t="str">
        <f>IFERROR(__xludf.DUMMYFUNCTION("""COMPUTED_VALUE"""),"Jaureguiberry et al")</f>
        <v>Jaureguiberry et al</v>
      </c>
      <c r="E111" s="24" t="str">
        <f>IFERROR(__xludf.DUMMYFUNCTION("""COMPUTED_VALUE"""),"WOS:000227083400002")</f>
        <v>WOS:000227083400002</v>
      </c>
      <c r="F111" s="24" t="str">
        <f>IFERROR(__xludf.DUMMYFUNCTION("""COMPUTED_VALUE"""),"[""ELIGIBLE""]")</f>
        <v>["ELIGIBLE"]</v>
      </c>
    </row>
    <row r="112">
      <c r="A112" s="24" t="str">
        <f>IFERROR(__xludf.DUMMYFUNCTION("""COMPUTED_VALUE"""),"Adapting global biodiversity indicators to the national scale: A Red List Index for Australian birds")</f>
        <v>Adapting global biodiversity indicators to the national scale: A Red List Index for Australian birds</v>
      </c>
      <c r="B112" s="24" t="str">
        <f>IFERROR(__xludf.DUMMYFUNCTION("""COMPUTED_VALUE"""),"The Red List Index (RLI), which uses information from the IUCN Red List to track trends in the projected overall extinction risk of sets of species, is among the indicators adopted by the world's governments to assess performance under the Convention on B"&amp;"iological Diversity and the United Nations Millennium Development Goals. For greatest impact, such indicators need to be measured and used at a national scale as well as globally. We present the first application of the RLI based on assessments of extinct"&amp;"ion risk at the national scale using IUCN's recommended methods, evaluating trends in the status of Australian birds for 1990-2010. We calculated RLIs based on the number of taxa in each Red List category and the number that changed categories between ass"&amp;"essments in 1990, 2000 and 2010 as a result of genuine improvement or deterioration in status. A novel comparison between trends at the species and ultrataxon (subspecies or monotypic species) level showed that these were remarkably similar, suggesting th"&amp;"at current global RLI trends at the species level may also be a useful surrogate for tracking losses in genetic diversity at this scale, for which no global measures currently exist. The RLI for Australia is declining faster than global rates when migrato"&amp;"ry shorebirds and seabirds are included, but not when changes resulting from threats in Australia alone are considered. The RLI of oceanic island taxa has declined faster than those on the continent or on continental islands. There were also differences i"&amp;"n the performance of different jurisdictions within Australia. (C) 2012 Elsevier Ltd. All rights reserved.")</f>
        <v>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v>
      </c>
      <c r="C112" s="24" t="str">
        <f>IFERROR(__xludf.DUMMYFUNCTION("""COMPUTED_VALUE"""),"10.1016/j.biocon.2012.01.062")</f>
        <v>10.1016/j.biocon.2012.01.062</v>
      </c>
      <c r="D112" s="24" t="str">
        <f>IFERROR(__xludf.DUMMYFUNCTION("""COMPUTED_VALUE"""),"Jaureguiberry et al")</f>
        <v>Jaureguiberry et al</v>
      </c>
      <c r="E112" s="24" t="str">
        <f>IFERROR(__xludf.DUMMYFUNCTION("""COMPUTED_VALUE"""),"WOS:000302840100007")</f>
        <v>WOS:000302840100007</v>
      </c>
      <c r="F112" s="24" t="str">
        <f>IFERROR(__xludf.DUMMYFUNCTION("""COMPUTED_VALUE"""),"[""ELIGIBLE""]")</f>
        <v>["ELIGIBLE"]</v>
      </c>
    </row>
    <row r="113">
      <c r="A113" s="24" t="str">
        <f>IFERROR(__xludf.DUMMYFUNCTION("""COMPUTED_VALUE"""),"Distribution and dynamics of mangrove forests of South Asia")</f>
        <v>Distribution and dynamics of mangrove forests of South Asia</v>
      </c>
      <c r="B113" s="24" t="str">
        <f>IFERROR(__xludf.DUMMYFUNCTION("""COMPUTED_VALUE"""),"Mangrove forests in South Asia occur along the tidal sea edge of Bangladesh, India, Pakistan, and Sri Lanka. These forests provide important ecosystem goods and services to the region's dense coastal populations and support important functions of the bios"&amp;"phere. Mangroves are under threat from both natural and anthropogenic stressors; however the current status and dynamics of the region's mangroves are poorly understood. We mapped the current extent of mangrove forests in South Asia and identified mangrov"&amp;"e forest cover change (gain and loss) from 2000 to 2012 using Landsat satellite data. We also conducted three case studies in Indus Delta (Pakistan), Goa (India), and Sundarbans (Bangladesh and India) to identify rates, patterns, and causes of change in g"&amp;"reater spatial and thematic details compared to regional assessment of mangrove forests. Our findings revealed that the areal extent of mangrove forests in South Asia is approximately 1,187,476 ha representing similar to 7% of the global total. Our result"&amp;"s showed that from 2000 to 2012, 92,135 ha of mangroves were deforested and 80,461 ha were reforested with a net loss of 11,673 ha. In all three case studies, mangrove areas have remained the same or increased slightly, however, the turnover was greater t"&amp;"han the net change. Both, natural and anthropogenic factors are responsible for the change and turnover. The major causes of forest cover change are similar throughout the region; however, specific factors may be dominant in specific areas. Major causes o"&amp;"f deforestation in South Asia include (i) conversion to other land use (e.g. conversion to agriculture, shrimp farms, development, and human settlement), (ii) over-harvesting (e.g. grazing, browsing and lopping, and fishing), (iii) pollution, (iv) decline"&amp;" in freshwater availability, (v) floodings, (vi) reduction of silt deposition, (vii) coastal erosion, and (viii) disturbances from tropical cyclones and tsunamis. Our analysis in the region's diverse socio-economic and environmental conditions highlights "&amp;"complex patterns of mangrove distribution and change. Results from this study provide important insight to the conservation and management of the important and threatened South Asian mangrove ecosystem. Published by Elsevier Ltd.")</f>
        <v>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v>
      </c>
      <c r="C113" s="24" t="str">
        <f>IFERROR(__xludf.DUMMYFUNCTION("""COMPUTED_VALUE"""),"10.1016/j.jenvman.2014.01.020")</f>
        <v>10.1016/j.jenvman.2014.01.020</v>
      </c>
      <c r="D113" s="24" t="str">
        <f>IFERROR(__xludf.DUMMYFUNCTION("""COMPUTED_VALUE"""),"Jaureguiberry et al")</f>
        <v>Jaureguiberry et al</v>
      </c>
      <c r="E113" s="24" t="str">
        <f>IFERROR(__xludf.DUMMYFUNCTION("""COMPUTED_VALUE"""),"WOS:000348016400011")</f>
        <v>WOS:000348016400011</v>
      </c>
      <c r="F113" s="24" t="str">
        <f>IFERROR(__xludf.DUMMYFUNCTION("""COMPUTED_VALUE"""),"[""ELIGIBLE""]")</f>
        <v>["ELIGIBLE"]</v>
      </c>
    </row>
    <row r="114">
      <c r="A114" s="24" t="str">
        <f>IFERROR(__xludf.DUMMYFUNCTION("""COMPUTED_VALUE"""),"A global synthesis of the effects of diversified farming systems on arthropod diversity within fields and across agricultural landscapes")</f>
        <v>A global synthesis of the effects of diversified farming systems on arthropod diversity within fields and across agricultural landscapes</v>
      </c>
      <c r="B114" s="24" t="str">
        <f>IFERROR(__xludf.DUMMYFUNCTION("""COMPUTED_VALUE"""),"Agricultural intensification is a leading cause of global biodiversity loss, which can reduce the provisioning of ecosystem services in managed ecosystems. Organic farming and plant diversification are farm management schemes that may mitigate potential e"&amp;"cological harm by increasing species richness and boosting related ecosystem services to agroecosystems. What remains unclear is the extent to which farm management schemes affect biodiversity components other than species richness, and whether impacts di"&amp;"ffer across spatial scales and landscape contexts. Using a global metadataset, we quantified the effects of organic farming and plant diversification on abundance, local diversity (communities within fields), and regional diversity (communities across fie"&amp;"lds) of arthropod pollinators, predators, herbivores, and detritivores. Both organic farming and higher in-field plant diversity enhanced arthropod abundance, particularly for rare taxa. This resulted in increased richness but decreased evenness. While th"&amp;"ese responses were stronger at local relative to regional scales, richness and abundance increased at both scales, and richness on farms embedded in complex relative to simple landscapes. Overall, both organic farming and in-field plant diversification ex"&amp;"erted the strongest effects on pollinators and predators, suggesting these management schemes can facilitate ecosystem service providers without augmenting herbivore (pest) populations. Our results suggest that organic farming and plant diversification pr"&amp;"omote diverse arthropod metacommunities that may provide temporal and spatial stability of ecosystem service provisioning. Conserving diverse plant and arthropod communities in farming systems therefore requires sustainable practices that operate both wit"&amp;"hin fields and across landscapes.")</f>
        <v>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v>
      </c>
      <c r="C114" s="24" t="str">
        <f>IFERROR(__xludf.DUMMYFUNCTION("""COMPUTED_VALUE"""),"10.1111/gcb.13714")</f>
        <v>10.1111/gcb.13714</v>
      </c>
      <c r="D114" s="24" t="str">
        <f>IFERROR(__xludf.DUMMYFUNCTION("""COMPUTED_VALUE"""),"Jaureguiberry et al")</f>
        <v>Jaureguiberry et al</v>
      </c>
      <c r="E114" s="24" t="str">
        <f>IFERROR(__xludf.DUMMYFUNCTION("""COMPUTED_VALUE"""),"WOS:000412322700041")</f>
        <v>WOS:000412322700041</v>
      </c>
      <c r="F114" s="24" t="str">
        <f>IFERROR(__xludf.DUMMYFUNCTION("""COMPUTED_VALUE"""),"[""ELIGIBLE""]")</f>
        <v>["ELIGIBLE"]</v>
      </c>
    </row>
    <row r="115">
      <c r="A115" s="24" t="str">
        <f>IFERROR(__xludf.DUMMYFUNCTION("""COMPUTED_VALUE"""),"An overview of biodiversity and conservation status of steppes of the Anatolian Biogeographical Region")</f>
        <v>An overview of biodiversity and conservation status of steppes of the Anatolian Biogeographical Region</v>
      </c>
      <c r="B115" s="24" t="str">
        <f>IFERROR(__xludf.DUMMYFUNCTION("""COMPUTED_VALUE"""),"The Anatolian Biogeographical Region is unique in the Palearctic realm, with high plant and butterfly species richness and populations of globally threatened birds, mammals and herptiles (amphibians and reptiles). It is a place of diverse land-use practic"&amp;"es, dating back to the earliest farming practices in the world. Among 10,930 species of vascular plants, birds, butterflies, mammals and herptiles distributed in Turkey, we identified 1130 living predominantly in steppic environments and being classified "&amp;"either as threatened, near-threatened or data deficient at the national level, if not globally. A total of 28 effective protected areas were present in the region, covering 1.5 % of the 391,597 km(2) land area. Only 16.2 % of the threatened and near-threa"&amp;"tened species (n = 809) were distributed within the protected area network, ranging from 94.1 % for birds to as low as 12.9 % for vascular plants. The total area of steppe and steppe forest vegetation has been reduced by at least 44 % of its former extent"&amp;" due to diverse habitat destructive activities. The most significant threats arise from unsustainable agricultural activities including overgrazing, conversion to croplands and afforestation. To maintain steppe diversity, we propose a to-do list, includin"&amp;"g mainstreaming biodiversity, effective implementation of Turkey's Rangeland Act, conducting effective environmental impact assessments, establishing an effective site network for steppe biodiversity conservation and filling gaps in scientific knowledge.")</f>
        <v>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v>
      </c>
      <c r="C115" s="24" t="str">
        <f>IFERROR(__xludf.DUMMYFUNCTION("""COMPUTED_VALUE"""),"10.1007/s10531-016-1172-0")</f>
        <v>10.1007/s10531-016-1172-0</v>
      </c>
      <c r="D115" s="24" t="str">
        <f>IFERROR(__xludf.DUMMYFUNCTION("""COMPUTED_VALUE"""),"Jaureguiberry et al")</f>
        <v>Jaureguiberry et al</v>
      </c>
      <c r="E115" s="24" t="str">
        <f>IFERROR(__xludf.DUMMYFUNCTION("""COMPUTED_VALUE"""),"WOS:000386500700016")</f>
        <v>WOS:000386500700016</v>
      </c>
      <c r="F115" s="24" t="str">
        <f>IFERROR(__xludf.DUMMYFUNCTION("""COMPUTED_VALUE"""),"[""ELIGIBLE""]")</f>
        <v>["ELIGIBLE"]</v>
      </c>
    </row>
    <row r="116">
      <c r="A116" s="24" t="str">
        <f>IFERROR(__xludf.DUMMYFUNCTION("""COMPUTED_VALUE"""),"Quantifying long-term changes in carbon stocks and forest structure from Amazon forest degradation")</f>
        <v>Quantifying long-term changes in carbon stocks and forest structure from Amazon forest degradation</v>
      </c>
      <c r="B116" s="24" t="str">
        <f>IFERROR(__xludf.DUMMYFUNCTION("""COMPUTED_VALUE"""),"Despite sustained declines in Amazon deforestation, forest degradation from logging and fire continues to threaten carbon stocks, habitat, and biodiversity in frontier forests along the Amazon arc of deforestation. Limited data on the magnitude of carbon "&amp;"losses and rates of carbon recovery following forest degradation have hindered carbon accounting efforts and contributed to incomplete national reporting to reduce emissions from deforestation and forest degradation (REDD+). We combined annual time series"&amp;" of Landsat imagery and high-density airborne lidar data to characterize the variability, magnitude, and persistence of Amazon forest degradation impacts on aboveground carbon density (ACD) and canopy structure. On average, degraded forests contained 45.1"&amp;"% of the carbon stocks in intact forests, and differences persisted even after 15 years of regrowth. In comparison to logging, understory fires resulted in the largest and longest-lasting differences in ACD. Heterogeneity in burned forest structure varied"&amp;" by fire severity and frequency. Forests with a history of one, two, and three or more fires retained only 54.4%, 25.2%, and 7.6% of intact ACD, respectively, when measured after a year of regrowth. Unlike the additive impact of successive fires, selectiv"&amp;"e logging before burning did not explain additional variability in modeled ACD loss and recovery of burned forests. Airborne lidar also provides quantitative measures of habitat structure that can aid the estimation of co-benefits of avoided degradation. "&amp;"Notably, forest carbon stocks recovered faster than attributes of canopy structure that are critical for biodiversity in tropical forests, including the abundance of tall trees. We provide the first comprehensive look-up table of emissions factors for spe"&amp;"cific degradation pathways at standard reporting intervals in the Amazon. Estimated carbon loss and recovery trajectories provide an important foundation for assessing the long-term contributions from forest degradation to regional carbon cycling and adva"&amp;"nce our understanding of the current state of frontier forests.")</f>
        <v>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v>
      </c>
      <c r="C116" s="24" t="str">
        <f>IFERROR(__xludf.DUMMYFUNCTION("""COMPUTED_VALUE"""),"10.1088/1748-9326/aac331")</f>
        <v>10.1088/1748-9326/aac331</v>
      </c>
      <c r="D116" s="24" t="str">
        <f>IFERROR(__xludf.DUMMYFUNCTION("""COMPUTED_VALUE"""),"Jaureguiberry et al")</f>
        <v>Jaureguiberry et al</v>
      </c>
      <c r="E116" s="24" t="str">
        <f>IFERROR(__xludf.DUMMYFUNCTION("""COMPUTED_VALUE"""),"WOS:000434818600001")</f>
        <v>WOS:000434818600001</v>
      </c>
      <c r="F116" s="24" t="str">
        <f>IFERROR(__xludf.DUMMYFUNCTION("""COMPUTED_VALUE"""),"[""ELIGIBLE""]")</f>
        <v>["ELIGIBLE"]</v>
      </c>
    </row>
    <row r="117">
      <c r="A117" s="24" t="str">
        <f>IFERROR(__xludf.DUMMYFUNCTION("""COMPUTED_VALUE"""),"Investigating trends in the growth of five demersal fish species from the Firth of Clyde and the wider western shelf of Scotland")</f>
        <v>Investigating trends in the growth of five demersal fish species from the Firth of Clyde and the wider western shelf of Scotland</v>
      </c>
      <c r="B117" s="24" t="str">
        <f>IFERROR(__xludf.DUMMYFUNCTION("""COMPUTED_VALUE"""),"Demersal fish landings from the Firth of Clyde peaked in 1973, then declined rapidly until the targeted demersal fishery ceased in 2005. The abundance of large fish decreased during this period, and their numbers have not recovered since 2005. We aim to d"&amp;"etermine whether changing growth rates have contributed to the decline in the abundance of large fish. Bottom trawl survey data from 1980 to 2012 was used to calculate the annual mean length-at-age and time series of von Bertalanffy growth parameters of f"&amp;"ive demersal species; cod, haddock, whiting, Norway pout and saithe. Two regions were considered: the Firth of Clyde and the neighbouring seas west of Scotland (the western shelf). There have been substantial decreases in the lengths of most age groups of"&amp;" Clyde haddock and whiting due to declines in both asymptotic length and von Bertalanffy growth rate. Lengths-at-age have also declined in western shelf populations, but at markedly slower rates than within the Clyde. Trends in temperature and year class "&amp;"strength tended to contribute little to changes in the growth parameters, so declines in length-at-age have been largely due to other factors. Fishing intensity is greater in the Clyde than western shelf, and the size selectivity of the fisheries differ a"&amp;"s more Clyde vessels use Nephrops trawling gear. Since trends in growth were also more extreme in the Clyde, it appears as though size-selective fishing may have caused reductions in the lengths of these fish. If the changes in growth are partially due to"&amp;" fishing induced evolution then it may take many generations for the changes to reverse. (C) 2016 The Authors. Published by Elsevier B.V.")</f>
        <v>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v>
      </c>
      <c r="C117" s="24" t="str">
        <f>IFERROR(__xludf.DUMMYFUNCTION("""COMPUTED_VALUE"""),"10.1016/j.fishres.2016.01.005")</f>
        <v>10.1016/j.fishres.2016.01.005</v>
      </c>
      <c r="D117" s="24" t="str">
        <f>IFERROR(__xludf.DUMMYFUNCTION("""COMPUTED_VALUE"""),"Jaureguiberry et al")</f>
        <v>Jaureguiberry et al</v>
      </c>
      <c r="E117" s="24" t="str">
        <f>IFERROR(__xludf.DUMMYFUNCTION("""COMPUTED_VALUE"""),"WOS:000372378600009")</f>
        <v>WOS:000372378600009</v>
      </c>
      <c r="F117" s="24" t="str">
        <f>IFERROR(__xludf.DUMMYFUNCTION("""COMPUTED_VALUE"""),"[""ELIGIBLE""]")</f>
        <v>["ELIGIBLE"]</v>
      </c>
    </row>
    <row r="118">
      <c r="A118" s="24" t="str">
        <f>IFERROR(__xludf.DUMMYFUNCTION("""COMPUTED_VALUE"""),"Changes in the biomass of chambo in the southeast arm of Lake Malawi: A stock assessment of Oreochromis spp.")</f>
        <v>Changes in the biomass of chambo in the southeast arm of Lake Malawi: A stock assessment of Oreochromis spp.</v>
      </c>
      <c r="B118" s="24" t="str">
        <f>IFERROR(__xludf.DUMMYFUNCTION("""COMPUTED_VALUE"""),"Lake Malawi has one of the most diverse fish faunas in the world (500-650 species) and is a major source of protein for the people of Malawi. Chambo (Oreochromis spp.) is one of the most important food fishes; its abundance has declined sharply over the l"&amp;"ast twenty-years. Surveys by the Malawi Department of Fisheries have shown a decrease in chambo density in the southeast arm of the lake and the annual harvest has dropped substantially since 1985. We conducted a dynamic stock assessment of Oreochromis sp"&amp;"p. which included all vessel and gear types and covered the entire southeast arm of Lake Malawi. Chambo biomass peaked in 1982 and then declined continuously through the early 2000s. The biomass is highly correlated with the mean lake height two years pri"&amp;"or suggesting that recruitment may be linked to increased nutrient input, and spawning and nursery habitat associated with the flooding of low lying areas. The main driver of chambo biomass, however, was fishing pressure which was above the level that wou"&amp;"ld achieve maximum sustainable yield during the entire time series. This study provides a baseline from which to measure changes due to future management actions or climate variations. (C) 2012 International Association for Great Lakes Research. Published"&amp;" by Elsevier B.V. All rights reserved.")</f>
        <v>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v>
      </c>
      <c r="C118" s="24" t="str">
        <f>IFERROR(__xludf.DUMMYFUNCTION("""COMPUTED_VALUE"""),"10.1016/j.jglr.2012.09.022")</f>
        <v>10.1016/j.jglr.2012.09.022</v>
      </c>
      <c r="D118" s="24" t="str">
        <f>IFERROR(__xludf.DUMMYFUNCTION("""COMPUTED_VALUE"""),"Jaureguiberry et al")</f>
        <v>Jaureguiberry et al</v>
      </c>
      <c r="E118" s="24" t="str">
        <f>IFERROR(__xludf.DUMMYFUNCTION("""COMPUTED_VALUE"""),"WOS:000312183100013")</f>
        <v>WOS:000312183100013</v>
      </c>
      <c r="F118" s="24" t="str">
        <f>IFERROR(__xludf.DUMMYFUNCTION("""COMPUTED_VALUE"""),"[""ELIGIBLE""]")</f>
        <v>["ELIGIBLE"]</v>
      </c>
    </row>
    <row r="119">
      <c r="A119" s="24" t="str">
        <f>IFERROR(__xludf.DUMMYFUNCTION("""COMPUTED_VALUE"""),"Density- and trait-mediated top-down effects modify bottom-up control of a highly endemic tropical aquatic food web")</f>
        <v>Density- and trait-mediated top-down effects modify bottom-up control of a highly endemic tropical aquatic food web</v>
      </c>
      <c r="B119" s="24" t="str">
        <f>IFERROR(__xludf.DUMMYFUNCTION("""COMPUTED_VALUE"""),"Benthic invertebrates mediate bottomup and topdown influences in aquatic food webs, and changes in the abundance or traits of invertebrates can alter the strength of topdown effects. Studies assessing the role of invertebrate abundance and behavior as con"&amp;"trols on food web structure are rare at the whole ecosystem scale. Here we use a comparative approach to investigate bottomup and topdown influences on whole anchialine pond ecosystems in coastal Hawaii. In these ponds, a single species of endemic atyid s"&amp;"hrimp (Halocaridina rubra) is believed to structure epilithon communities. Many Hawaiian anchialine ponds and their endemic fauna, however, have been greatly altered by bottomup (increased nutrient enrichment) and topdown (introduced fish predators) distu"&amp;"rbances from human development. We present the results of a survey of dissolved nutrient concentrations, epilithon biomass and composition, and H. rubra abundance and behavior in anchialine ponds with and without invasive predatory fish along a nutrient c"&amp;"oncentration gradient on the North Kona coast of Hawaii. We use linear models to assess 1) the effects of nutrient loading and fish introductions on pond food web structure and 2) the role of shrimp density and behavior in effecting that change. We find e"&amp;"vidence for bottomup food web control, in that nutrients were associated with increased epilithon biomass, autotrophy and nutrient content as well as increased abundance and size of H. rubra. We also find evidence for topdown control, as ponds with invasi"&amp;"ve predatory fish had higher epilithon biomass, productivity, and nutrient content. Topdown effects were transmitted by both altered H. rubra abundance, which changed the biomass of epilithon, and H. rubra behavior, which changed the composition of the ep"&amp;"ilithon. Our study extends experimental findings on bottomup and topdown control to the whole ecosystem scale and finds evidence for qualitatively different effects of trait- and density-mediated change in topdown influences.")</f>
        <v>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v>
      </c>
      <c r="C119" s="24" t="str">
        <f>IFERROR(__xludf.DUMMYFUNCTION("""COMPUTED_VALUE"""),"10.1111/j.1600-0706.2012.20696.x")</f>
        <v>10.1111/j.1600-0706.2012.20696.x</v>
      </c>
      <c r="D119" s="24" t="str">
        <f>IFERROR(__xludf.DUMMYFUNCTION("""COMPUTED_VALUE"""),"Jaureguiberry et al")</f>
        <v>Jaureguiberry et al</v>
      </c>
      <c r="E119" s="24" t="str">
        <f>IFERROR(__xludf.DUMMYFUNCTION("""COMPUTED_VALUE"""),"WOS:000317981400015")</f>
        <v>WOS:000317981400015</v>
      </c>
      <c r="F119" s="24" t="str">
        <f>IFERROR(__xludf.DUMMYFUNCTION("""COMPUTED_VALUE"""),"[""ELIGIBLE""]")</f>
        <v>["ELIGIBLE"]</v>
      </c>
    </row>
    <row r="120">
      <c r="A120" s="24" t="str">
        <f>IFERROR(__xludf.DUMMYFUNCTION("""COMPUTED_VALUE"""),"Bird community responses to disturbance in a forestry concession in lowland Bolivia")</f>
        <v>Bird community responses to disturbance in a forestry concession in lowland Bolivia</v>
      </c>
      <c r="B120" s="24" t="str">
        <f>IFERROR(__xludf.DUMMYFUNCTION("""COMPUTED_VALUE"""),"Bird community characteristics of three sites with different levels of disturbance were studied using transect surveys during the dry season in a subtropical humid forest in Bolivia. One area had been unintentionally burned 4 years prior and selectively h"&amp;"arvested (DIS) 1 year prior to sampling. A second area had been selectively harvested 1 year prior to sampling and had no recent history of fire (HAR). Species richness, as assessed by species-time curves and rarefaction, was higher in both altered areas "&amp;"than in undisturbed forest (INT). In general, frugivores and omnivores were more abundant in both altered areas compared to intact forest. Canopy frugivores, understory omnivores and multiple-strata omnivores were most abundant in HAR. Canopy frugivores, "&amp;"near-ground insectivores, understory and multiple-strata omnivores were least abundant in INT, although INT had the highest abundances of canopy insectivores and near-ground omnivores. Richness and abundance of widespread species with low habitat specific"&amp;"ity was higher in both areas that experienced disturbance compared to intact forest. Differences in bird community structure between disturbed and intact forest at this site are attributed primarily to the addition of widespread species with less narrow h"&amp;"abitat requirements, and possibly to changes in the distribution of different food types.")</f>
        <v>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v>
      </c>
      <c r="C120" s="24" t="str">
        <f>IFERROR(__xludf.DUMMYFUNCTION("""COMPUTED_VALUE"""),"10.1023/A:1024147529295")</f>
        <v>10.1023/A:1024147529295</v>
      </c>
      <c r="D120" s="24" t="str">
        <f>IFERROR(__xludf.DUMMYFUNCTION("""COMPUTED_VALUE"""),"Jaureguiberry et al")</f>
        <v>Jaureguiberry et al</v>
      </c>
      <c r="E120" s="24" t="str">
        <f>IFERROR(__xludf.DUMMYFUNCTION("""COMPUTED_VALUE"""),"WOS:000183444300010")</f>
        <v>WOS:000183444300010</v>
      </c>
      <c r="F120" s="24" t="str">
        <f>IFERROR(__xludf.DUMMYFUNCTION("""COMPUTED_VALUE"""),"[""ELIGIBLE""]")</f>
        <v>["ELIGIBLE"]</v>
      </c>
    </row>
    <row r="121">
      <c r="A121" s="24" t="str">
        <f>IFERROR(__xludf.DUMMYFUNCTION("""COMPUTED_VALUE"""),"Green Plants in the Red: A Baseline Global Assessment for the IUCN Sampled Red List Index for Plants")</f>
        <v>Green Plants in the Red: A Baseline Global Assessment for the IUCN Sampled Red List Index for Plants</v>
      </c>
      <c r="B121" s="24" t="str">
        <f>IFERROR(__xludf.DUMMYFUNCTION("""COMPUTED_VALUE"""),"Plants provide fundamental support systems for life on Earth and are the basis for all terrestrial ecosystems; a decline in plant diversity will be detrimental to all other groups of organisms including humans. Decline in plant diversity has been hard to "&amp;"quantify, due to the huge numbers of known and yet to be discovered species and the lack of an adequate baseline assessment of extinction risk against which to track changes. The biodiversity of many remote parts of the world remains poorly known, and the"&amp;" rate of new assessments of extinction risk for individual plant species approximates the rate at which new plant species are described. Thus the question 'How threatened are plants?' is still very difficult to answer accurately. While completing assessme"&amp;"nts for each species of plant remains a distant prospect, by assessing a randomly selected sample of species the Sampled Red List Index for Plants gives, for the first time, an accurate view of how threatened plants are across the world. It represents the"&amp;" first key phase of ongoing efforts to monitor the status of the world's plants. More than 20% of plant species assessed are threatened with extinction, and the habitat with the most threatened species is overwhelmingly tropical rain forest, where the gre"&amp;"atest threat to plants is anthropogenic habitat conversion, for arable and livestock agriculture, and harvesting of natural resources. Gymnosperms (e.g. conifers and cycads) are the most threatened group, while a third of plant species included in this st"&amp;"udy have yet to receive an assessment or are so poorly known that we cannot yet ascertain whether they are threatened or not. This study provides a baseline assessment from which trends in the status of plant biodiversity can be measured and periodically "&amp;"reassessed.")</f>
        <v>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v>
      </c>
      <c r="C121" s="24" t="str">
        <f>IFERROR(__xludf.DUMMYFUNCTION("""COMPUTED_VALUE"""),"10.1371/journal.pone.0135152")</f>
        <v>10.1371/journal.pone.0135152</v>
      </c>
      <c r="D121" s="24" t="str">
        <f>IFERROR(__xludf.DUMMYFUNCTION("""COMPUTED_VALUE"""),"Jaureguiberry et al")</f>
        <v>Jaureguiberry et al</v>
      </c>
      <c r="E121" s="24" t="str">
        <f>IFERROR(__xludf.DUMMYFUNCTION("""COMPUTED_VALUE"""),"WOS:000359121100125")</f>
        <v>WOS:000359121100125</v>
      </c>
      <c r="F121" s="24" t="str">
        <f>IFERROR(__xludf.DUMMYFUNCTION("""COMPUTED_VALUE"""),"[""ELIGIBLE""]")</f>
        <v>["ELIGIBLE"]</v>
      </c>
    </row>
    <row r="122">
      <c r="A122" s="24" t="str">
        <f>IFERROR(__xludf.DUMMYFUNCTION("""COMPUTED_VALUE"""),"Effects of invasive insects and fire on forest energy exchange and evapotranspiration in the New Jersey pinelands")</f>
        <v>Effects of invasive insects and fire on forest energy exchange and evapotranspiration in the New Jersey pinelands</v>
      </c>
      <c r="B122" s="24" t="str">
        <f>IFERROR(__xludf.DUMMYFUNCTION("""COMPUTED_VALUE"""),"We used eddy covariance and meteorological measurements to quantify energy exchange and evapotranspiration (Et) in three representative upland forest stands in the New Jersey Pinelands that were either defoliated by gypsy moth (Lymantria dispar L) or burn"&amp;"ed in prescribed fires during the study period. Latent (lambda E) and sensible heat (H) fluxes were linear functions of available energy, and seasonality had a major effect on the partitioning of available energy into lambda E and H at each stand. Both de"&amp;"foliation and prescribed fire reduced leaf area, altered the partitioning of available energy, and reduced lambda E flux compared to undisturbed periods. Summer daily Et averaged 4.2 +/- 1.5, 33 +/- 1.2 and 3.9 +/- 1.3 mm day(-1) at the oak-, mixed, and p"&amp;"ine-dominated stands during undisturbed periods, but only 2.4 +/- 0.9 mm day(-1) during defoliation at the oak stand in 2007, and 2.4 +/- 0.9 and 3.2 +/- 0.9 mm day(-1) following spring fires at the mixed and pine-dominated stands, respectively. For all y"&amp;"ears measured, seasonal maximum leaf area index (LAI) explained 82% of the variability in daily Et during the summer at the oak stand, and 80% of the variability at the mixed and pine-dominated stands. Annual Et averaged 614, 493, and 683 mm yr(-1) at the"&amp;" oak, mixed, and pine stands, respectively. When averaged across all stands and years, annual Et was 606 mm yr(-1), ca. 53.6% of incident precipitation, and similar to long-term averages reported in other studies in the Pinelands. Gypsy moth defoliation p"&amp;"otentially reduced Et by ca. 31 mm yr(-1) across all upland forests in 2007, resulting in a 7.3% increase in groundwater recharge. Our research indicates that non-stand replacing disturbances can have significant effects on energy partitioning, and can re"&amp;"duce Et at the stand and landscape scales. Published by Elsevier B.V.")</f>
        <v>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v>
      </c>
      <c r="C122" s="24" t="str">
        <f>IFERROR(__xludf.DUMMYFUNCTION("""COMPUTED_VALUE"""),"10.1016/j.agrformet.2012.07.007")</f>
        <v>10.1016/j.agrformet.2012.07.007</v>
      </c>
      <c r="D122" s="24" t="str">
        <f>IFERROR(__xludf.DUMMYFUNCTION("""COMPUTED_VALUE"""),"Jaureguiberry et al")</f>
        <v>Jaureguiberry et al</v>
      </c>
      <c r="E122" s="24" t="str">
        <f>IFERROR(__xludf.DUMMYFUNCTION("""COMPUTED_VALUE"""),"WOS:000313479100007")</f>
        <v>WOS:000313479100007</v>
      </c>
      <c r="F122" s="24" t="str">
        <f>IFERROR(__xludf.DUMMYFUNCTION("""COMPUTED_VALUE"""),"[""ELIGIBLE""]")</f>
        <v>["ELIGIBLE"]</v>
      </c>
    </row>
    <row r="123">
      <c r="A123" s="24" t="str">
        <f>IFERROR(__xludf.DUMMYFUNCTION("""COMPUTED_VALUE"""),"Impacts of grazing, selective logging and hyper-aggressors on diurnal bird fauna in intact forest landscapes of the Brigalow Belt, Queensland")</f>
        <v>Impacts of grazing, selective logging and hyper-aggressors on diurnal bird fauna in intact forest landscapes of the Brigalow Belt, Queensland</v>
      </c>
      <c r="B123" s="24" t="str">
        <f>IFERROR(__xludf.DUMMYFUNCTION("""COMPUTED_VALUE"""),"The impact of forest management on diurnal bird assemblages and abundance was investigated in contiguous tracts of eucalypt forest in the Brigalow Belt Bioregion, south central Queensland. Sites were located across three levels of livestock grazing intens"&amp;"ity and three levels of selective logging intensity within the most extensive habitat type, Corymbia citriodora-dominant forest. We recorded a high rate of incidence and large numbers of the hyper-aggressive noisy miner Manorina melanocephala (Passeriform"&amp;"es: Meliphagidae) at the majority of our survey sites, a phenomenon rarely reported in non-cleared landscapes. As shown by numerous studies in fragmented landscapes, the distribution of this species in our study had a substantial negative effect upon the "&amp;"distribution of small passerine species. Noisy miners exerted the strongest influence upon small passerine abundance, and masked any forest management effects. However, key habitat features important for small passerines were identified, including a relat"&amp;"ively high density of large trees and stems in the midstorey. Selective logging appeared to exert a minimal effect upon noisy miner abundance, whereas grazing intensity had a profound, positive influence. Noisy miners were most abundant in intensively gra"&amp;"zed forest with minimal midstorey and a low volume of coarse woody debris. Higher road density in the forest landscape also corresponded with increased numbers of noisy miners. Reduction in grazing pressure in Brigalow Belt forests has the potential to be"&amp;"nefit small passerine assemblages across large areas through moderating noisy miner abundance. The strong relationship between noisy miners and small passerines suggests that noisy miner abundance could act as an easily measured indicator of forest condit"&amp;"ion, potentially contributing to monitoring of forest management outcomes.")</f>
        <v>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v>
      </c>
      <c r="C123" s="24" t="str">
        <f>IFERROR(__xludf.DUMMYFUNCTION("""COMPUTED_VALUE"""),"10.1111/j.1442-9993.2009.01979.x")</f>
        <v>10.1111/j.1442-9993.2009.01979.x</v>
      </c>
      <c r="D123" s="24" t="str">
        <f>IFERROR(__xludf.DUMMYFUNCTION("""COMPUTED_VALUE"""),"Jaureguiberry et al")</f>
        <v>Jaureguiberry et al</v>
      </c>
      <c r="E123" s="24" t="str">
        <f>IFERROR(__xludf.DUMMYFUNCTION("""COMPUTED_VALUE"""),"WOS:000269675600012")</f>
        <v>WOS:000269675600012</v>
      </c>
      <c r="F123" s="24" t="str">
        <f>IFERROR(__xludf.DUMMYFUNCTION("""COMPUTED_VALUE"""),"[""ELIGIBLE""]")</f>
        <v>["ELIGIBLE"]</v>
      </c>
    </row>
    <row r="124">
      <c r="A124" s="24" t="str">
        <f>IFERROR(__xludf.DUMMYFUNCTION("""COMPUTED_VALUE"""),"Forest recovery patterns in response to divergent disturbance regimes in the Border Lakes region of Minnesota (USA) and Ontario (Canada)")</f>
        <v>Forest recovery patterns in response to divergent disturbance regimes in the Border Lakes region of Minnesota (USA) and Ontario (Canada)</v>
      </c>
      <c r="B124" s="24" t="str">
        <f>IFERROR(__xludf.DUMMYFUNCTION("""COMPUTED_VALUE"""),"The persistence of landscape-scale disturbance legacies in forested ecosystems depends in part on the nature and strength of feedback among disturbances, their effects, and subsequent recovery processes such as tree regeneration and canopy closure. We inv"&amp;"estigated factors affecting forest recovery rates over a 25-year time period in a large (6 million ha) landscape where geopolitical boundaries have resulted in important land management legacies (managed forests of Minnesota, USA; managed forests of Ontar"&amp;"io, Canada; and a large unmanaged wilderness). Stand-replacing disturbance regimes were quantified across management zones, both inside and outside a central ecoregion, using a time series of classified land cover data constructed at 5-year intervals betw"&amp;"een 1975 and 2000. The temporally variable disturbance regime of the wilderness was characterized by fine-scaled canopy disturbances punctuated by less frequent large disturbance events (i.e., fire and blow down). The comparably consistent disturbance reg"&amp;"imes of the managed forests of Minnesota and Ontario differed primarily in the size distribution of disturbances - principally clearcut harvesting. Using logistic regression we found that a combination of time since disturbance, mapped disturbance attribu"&amp;"tes, climate, and differences among management zones affected pixel-scale probabilities of forest recovery that reflect recovery rates. We conclude that the magnitude of divergence in landscape disturbance legacies of this region will be additionally rein"&amp;"forced by regional variations in the human and natural disturbance regimes and their interactions with forest recovery processes. Our analyses compliment traditional plot-scale studies that investigate post-disturbance recovery by (a) examining vegetation"&amp;" trends across a wide range of variability and (b) quantifying the cumulative effects of disturbances as they affect recovery rates over a broad spatial extent. Our findings therefore have implications for sustainable forestry, ecosystem-based management,"&amp;" and landscape disturbance and succession modeling. Published by Elsevier B.V.")</f>
        <v>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v>
      </c>
      <c r="C124" s="24" t="str">
        <f>IFERROR(__xludf.DUMMYFUNCTION("""COMPUTED_VALUE"""),"10.1016/j.foreco.2013.10.039")</f>
        <v>10.1016/j.foreco.2013.10.039</v>
      </c>
      <c r="D124" s="24" t="str">
        <f>IFERROR(__xludf.DUMMYFUNCTION("""COMPUTED_VALUE"""),"Jaureguiberry et al")</f>
        <v>Jaureguiberry et al</v>
      </c>
      <c r="E124" s="24" t="str">
        <f>IFERROR(__xludf.DUMMYFUNCTION("""COMPUTED_VALUE"""),"WOS:000331665600023")</f>
        <v>WOS:000331665600023</v>
      </c>
      <c r="F124" s="24" t="str">
        <f>IFERROR(__xludf.DUMMYFUNCTION("""COMPUTED_VALUE"""),"[""ELIGIBLE""]")</f>
        <v>["ELIGIBLE"]</v>
      </c>
    </row>
    <row r="125">
      <c r="A125" s="24" t="str">
        <f>IFERROR(__xludf.DUMMYFUNCTION("""COMPUTED_VALUE"""),"Forest Fragmentation and Selective Logging Have Inconsistent Effects on Multiple Animal-Mediated Ecosystem Processes in a Tropical Forest")</f>
        <v>Forest Fragmentation and Selective Logging Have Inconsistent Effects on Multiple Animal-Mediated Ecosystem Processes in a Tropical Forest</v>
      </c>
      <c r="B125" s="24" t="str">
        <f>IFERROR(__xludf.DUMMYFUNCTION("""COMPUTED_VALUE"""),"Forest fragmentation and selective logging are two main drivers of global environmental change and modify biodiversity and environmental conditions in many tropical forests. The consequences of these changes for the functioning of tropical forest ecosyste"&amp;"ms have rarely been explored in a comprehensive approach. In a Kenyan rainforest, we studied six animal-mediated ecosystem processes and recorded species richness and community composition of all animal taxa involved in these processes. We used linear mod"&amp;"els and a formal meta-analysis to test whether forest fragmentation and selective logging affected ecosystem processes and biodiversity and used structural equation models to disentangle direct from biodiversity-related indirect effects of human disturban"&amp;"ce on multiple ecosystem processes. Fragmentation increased decomposition and reduced antbird predation, while selective logging consistently increased pollination, seed dispersal and army-ant raiding. Fragmentation modified species richness or community "&amp;"composition of five taxa, whereas selective logging did not affect any component of biodiversity. Changes in the abundance of functionally important species were related to lower predation by antbirds and higher decomposition rates in small forest fragmen"&amp;"ts. The positive effects of selective logging on bee pollination, bird seed dispersal and army-ant raiding were direct, i.e. not related to changes in biodiversity, and were probably due to behavioural changes of these highly mobile animal taxa. We conclu"&amp;"de that animal-mediated ecosystem processes respond in distinct ways to different types of human disturbance in Kakamega Forest. Our findings suggest that forest fragmentation affects ecosystem processes indirectly by changes in biodiversity, whereas sele"&amp;"ctive logging influences processes directly by modifying local environmental conditions and resource distributions. The positive to neutral effects of selective logging on ecosystem processes show that the functionality of tropical forests can be maintain"&amp;"ed in moderately disturbed forest fragments. Conservation concepts for tropical forests should thus include not only remaining pristine forests but also functionally viable forest remnants.")</f>
        <v>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v>
      </c>
      <c r="C125" s="24" t="str">
        <f>IFERROR(__xludf.DUMMYFUNCTION("""COMPUTED_VALUE"""),"10.1371/journal.pone.0027785")</f>
        <v>10.1371/journal.pone.0027785</v>
      </c>
      <c r="D125" s="24" t="str">
        <f>IFERROR(__xludf.DUMMYFUNCTION("""COMPUTED_VALUE"""),"Jaureguiberry et al")</f>
        <v>Jaureguiberry et al</v>
      </c>
      <c r="E125" s="24" t="str">
        <f>IFERROR(__xludf.DUMMYFUNCTION("""COMPUTED_VALUE"""),"WOS:000297555400114")</f>
        <v>WOS:000297555400114</v>
      </c>
      <c r="F125" s="24" t="str">
        <f>IFERROR(__xludf.DUMMYFUNCTION("""COMPUTED_VALUE"""),"[""ELIGIBLE""]")</f>
        <v>["ELIGIBLE"]</v>
      </c>
    </row>
    <row r="126">
      <c r="A126" s="24" t="str">
        <f>IFERROR(__xludf.DUMMYFUNCTION("""COMPUTED_VALUE"""),"The Loss of Species: Mangrove Extinction Risk and Geographic Areas of Global Concern")</f>
        <v>The Loss of Species: Mangrove Extinction Risk and Geographic Areas of Global Concern</v>
      </c>
      <c r="B126" s="24" t="str">
        <f>IFERROR(__xludf.DUMMYFUNCTION("""COMPUTED_VALUE"""),"Mangrove species are uniquely adapted to tropical and subtropical coasts, and although relatively low in number of species, mangrove forests provide at least US $1.6 billion each year in ecosystem services and support coastal livelihoods worldwide. Global"&amp;"ly, mangrove areas are declining rapidly as they are cleared for coastal development and aquaculture and logged for timber and fuel production. Little is known about the effects of mangrove area loss on individual mangrove species and local or regional po"&amp;"pulations. To address this gap, species-specific information on global distribution, population status, life history traits, and major threats were compiled for each of the 70 known species of mangroves. Each species' probability of extinction was assesse"&amp;"d under the Categories and Criteria of the IUCN Red List of Threatened Species. Eleven of the 70 mangrove species (16%) are at elevated threat of extinction. Particular areas of geographical concern include the Atlantic and Pacific coasts of Central Ameri"&amp;"ca, where as many as 40% of mangroves species present are threatened with extinction. Across the globe, mangrove species found primarily in the high intertidal and upstream estuarine zones, which often have specific freshwater requirements and patchy dist"&amp;"ributions, are the most threatened because they are often the first cleared for development of aquaculture and agriculture. The loss of mangrove species will have devastating economic and environmental consequences for coastal communities, especially in t"&amp;"hose areas with low mangrove diversity and high mangrove area or species loss. Several species at high risk of extinction may disappear well before the next decade if existing protective measures are not enforced.")</f>
        <v>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v>
      </c>
      <c r="C126" s="24" t="str">
        <f>IFERROR(__xludf.DUMMYFUNCTION("""COMPUTED_VALUE"""),"10.1371/journal.pone.0010095")</f>
        <v>10.1371/journal.pone.0010095</v>
      </c>
      <c r="D126" s="24" t="str">
        <f>IFERROR(__xludf.DUMMYFUNCTION("""COMPUTED_VALUE"""),"Jaureguiberry et al")</f>
        <v>Jaureguiberry et al</v>
      </c>
      <c r="E126" s="24" t="str">
        <f>IFERROR(__xludf.DUMMYFUNCTION("""COMPUTED_VALUE"""),"WOS:000276482000021")</f>
        <v>WOS:000276482000021</v>
      </c>
      <c r="F126" s="24" t="str">
        <f>IFERROR(__xludf.DUMMYFUNCTION("""COMPUTED_VALUE"""),"[""ELIGIBLE""]")</f>
        <v>["ELIGIBLE"]</v>
      </c>
    </row>
    <row r="127">
      <c r="A127" s="24" t="str">
        <f>IFERROR(__xludf.DUMMYFUNCTION("""COMPUTED_VALUE"""),"MULTIPLE HYPOTHESIS TESTING AND THE DECLINING-POPULATION PARADIGM IN STELLER SEA LIONS")</f>
        <v>MULTIPLE HYPOTHESIS TESTING AND THE DECLINING-POPULATION PARADIGM IN STELLER SEA LIONS</v>
      </c>
      <c r="B127" s="24" t="str">
        <f>IFERROR(__xludf.DUMMYFUNCTION("""COMPUTED_VALUE"""),"We describe a novel spatially and temporally detailed approach for determining the cause or causes of a population decline, using the western Alaskan population of Steller sea lions (Eumetopias jubatus) as an example. Existing methods are mostly based on "&amp;"regression, which limits their utility when there are multiple hypotheses to consider and the data are sparse and noisy. Our likelihood-based approach is unbiased with regard to sample size, and its posterior probability landscape allows for the separate "&amp;"consideration of magnitude and certainty for multiple factors simultaneously. As applied to Steller sea lions, the approach uses a stochastic population model in which the vital rates (fecundity, pup survival, non-pup survival) at a particular rookery in "&amp;"each year are functions of one or more local conditions (total prey availability, species composition of available prey,fisheries activity, predation risk indices). Three vital rates and four scaling functions produce twelve nonexclusive hypotheses, of wh"&amp;"ich we considered 10; we assumed a priori that fecundity would not be affected by fishery activities or predation. The likelihood of all the rookery- and year-specific census data was calculated by averaging across sample paths, using backward iteration a"&amp;"nd a beta-binomial structure for observation error. We computed the joint maximum likelihood estimates (MLE) of parameters associated with each hypothesis and constructed marginal likelihood curves to examine the support for each effect. We found strong s"&amp;"upport for a positive effect of total prey availability on pup recruitment, negative effects of prey species composition (pollock fraction) on fecundity and pup survival, and a positive effect of harbor seal density (our inverse proxy for predation risk) "&amp;"on non-pup survival. These results suggest a natural framework for adaptive management; for example, the areas around some of the rookeries could be designated as experimental zones where fishery quotas are contingent upon the results of pre-fishing seaso"&amp;"n survey trawls. We contrast our results with those of previous studies, demonstrating the importance of testing multiple hypotheses simultaneously and quantitatively when investigating the causes of a population decline.")</f>
        <v>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v>
      </c>
      <c r="C127" s="24" t="str">
        <f>IFERROR(__xludf.DUMMYFUNCTION("""COMPUTED_VALUE"""),"10.1890/07-1254.1")</f>
        <v>10.1890/07-1254.1</v>
      </c>
      <c r="D127" s="24" t="str">
        <f>IFERROR(__xludf.DUMMYFUNCTION("""COMPUTED_VALUE"""),"Jaureguiberry et al")</f>
        <v>Jaureguiberry et al</v>
      </c>
      <c r="E127" s="24" t="str">
        <f>IFERROR(__xludf.DUMMYFUNCTION("""COMPUTED_VALUE"""),"WOS:000262605500010")</f>
        <v>WOS:000262605500010</v>
      </c>
      <c r="F127" s="24" t="str">
        <f>IFERROR(__xludf.DUMMYFUNCTION("""COMPUTED_VALUE"""),"[""ELIGIBLE""]")</f>
        <v>["ELIGIBLE"]</v>
      </c>
    </row>
    <row r="128">
      <c r="A128" s="24" t="str">
        <f>IFERROR(__xludf.DUMMYFUNCTION("""COMPUTED_VALUE"""),"Patterns and drivers of regeneration of tree species in forests of peninsular Spain")</f>
        <v>Patterns and drivers of regeneration of tree species in forests of peninsular Spain</v>
      </c>
      <c r="B128" s="24" t="str">
        <f>IFERROR(__xludf.DUMMYFUNCTION("""COMPUTED_VALUE"""),"Aim Our study aimed to identify and explore the main factors that influence tree recruitment of multiple species at a regional scale across peninsular Spain, an understanding of which is essential for predicting future forest species composition in the fa"&amp;"ce of ongoing environmental change. The study focused on the dynamics of the key transition phase from saplings to adult trees. Location The forests of peninsular Spain. Methods We used the extensive network of plots sampled in two consecutive Spanish nat"&amp;"ional forest inventories (&gt;30,000 plots) to identify the factors that determine regeneration patterns of the 10 most abundant forest species of Spain at relatively large temporal (c. 10years) and spatial scales (across Spain): five coniferous species of P"&amp;"inus (pines) and five broadleaved species of the genera Fagus and Quercus. We fitted separate generalized linear models for the pine species and the broadleaved species to assess the response of sapling abundance and ingrowth rate to the spatial variabili"&amp;"ty of climate (temperature, water availability and recent warming), forest structure (tree density, understorey and overstorey canopy cover, and basal area change) and disturbances (previous forest logging, wildfires and grazing). Results Mean sapling abu"&amp;"ndance was four times higher for broadleaved species than for pines, while mean annual ingrowth was twice as high. Sapling abundance and ingrowth rate were mainly determined by stand structure, both in pines and broadleaved trees. The direct effects of di"&amp;"sturbances and climate were comparatively smaller, and there was no detectable effect of recent warming. Main conclusions The higher values of ingrowth rate of broadleaved species can be explained by their ability to maintain a higher sapling bank due to "&amp;"their greater shade tolerance. This differential response of pines and broadleaved species to canopy closure suggests a probable increase in broadleaved species at the expense of pines. This transition could occur earlier in stands with faster canopy clos"&amp;"ure dynamics. Spatially explicit, mixed-species demographic models incorporating both the ingrowth and the tree mortality components are needed for predicting the composition of future forests.")</f>
        <v>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v>
      </c>
      <c r="C128" s="24" t="str">
        <f>IFERROR(__xludf.DUMMYFUNCTION("""COMPUTED_VALUE"""),"10.1111/jbi.12105")</f>
        <v>10.1111/jbi.12105</v>
      </c>
      <c r="D128" s="24" t="str">
        <f>IFERROR(__xludf.DUMMYFUNCTION("""COMPUTED_VALUE"""),"Jaureguiberry et al")</f>
        <v>Jaureguiberry et al</v>
      </c>
      <c r="E128" s="24" t="str">
        <f>IFERROR(__xludf.DUMMYFUNCTION("""COMPUTED_VALUE"""),"WOS:000320175400005")</f>
        <v>WOS:000320175400005</v>
      </c>
      <c r="F128" s="24" t="str">
        <f>IFERROR(__xludf.DUMMYFUNCTION("""COMPUTED_VALUE"""),"[""ELIGIBLE""]")</f>
        <v>["ELIGIBLE"]</v>
      </c>
    </row>
    <row r="129">
      <c r="A129" s="24" t="str">
        <f>IFERROR(__xludf.DUMMYFUNCTION("""COMPUTED_VALUE"""),"Successful conservation of global waterbird populations depends on effective governance")</f>
        <v>Successful conservation of global waterbird populations depends on effective governance</v>
      </c>
      <c r="B129" s="24" t="str">
        <f>IFERROR(__xludf.DUMMYFUNCTION("""COMPUTED_VALUE"""),"Understanding global patterns of biodiversity change is crucial for conservation research, policies and practices. However, for most ecosystems, the lack of systematically collected data at a global level limits our understanding of biodiversity changes a"&amp;"nd their localscale drivers. Here we address this challenge by focusing on wetlands, which are among the most biodiverse and productive of any environments(1,2) and which provide essential ecosystem services(3,4), but are also amongst the most seriously t"&amp;"hreatened ecosystems(3,5). Using birds as an indicator taxon of wetland biodiversity, we model time-series abundance data for 461 waterbird species at 25,769 survey sites across the globe. We show that the strongest predictor of changes in waterbird abund"&amp;"ance, and of conservation efforts having beneficial effects, is the effective governance of a country. In areas in which governance is on average less effective, such as western and central Asia, sub-Saharan Africa and South America, waterbird declines ar"&amp;"e particularly pronounced; a higher protected area coverage of wetland environments facilitates waterbird increases, but only in countries with more effective governance. Our findings highlight that sociopolitical instability can lead to biodiversity loss"&amp;" and undermine the benefit of existing conservation efforts, such as the expansion of protected area coverage. Furthermore, data deficiencies in areas with less effective governance could lead to underestimations of the extent of the current biodiversity "&amp;"crisis.")</f>
        <v>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v>
      </c>
      <c r="C129" s="24" t="str">
        <f>IFERROR(__xludf.DUMMYFUNCTION("""COMPUTED_VALUE"""),"10.1038/nature25139")</f>
        <v>10.1038/nature25139</v>
      </c>
      <c r="D129" s="24" t="str">
        <f>IFERROR(__xludf.DUMMYFUNCTION("""COMPUTED_VALUE"""),"Jaureguiberry et al")</f>
        <v>Jaureguiberry et al</v>
      </c>
      <c r="E129" s="24" t="str">
        <f>IFERROR(__xludf.DUMMYFUNCTION("""COMPUTED_VALUE"""),"WOS:000419794800035")</f>
        <v>WOS:000419794800035</v>
      </c>
      <c r="F129" s="24" t="str">
        <f>IFERROR(__xludf.DUMMYFUNCTION("""COMPUTED_VALUE"""),"[""ELIGIBLE""]")</f>
        <v>["ELIGIBLE"]</v>
      </c>
    </row>
    <row r="130">
      <c r="A130" s="24"/>
      <c r="B130" s="24"/>
      <c r="C130" s="24"/>
      <c r="D130" s="24"/>
      <c r="E130" s="24"/>
      <c r="F130" s="24"/>
    </row>
    <row r="131">
      <c r="A131" s="24"/>
      <c r="B131" s="24"/>
      <c r="C131" s="24"/>
      <c r="D131" s="24"/>
      <c r="E131" s="24"/>
      <c r="F131" s="24"/>
    </row>
    <row r="132">
      <c r="A132" s="24"/>
      <c r="B132" s="24"/>
      <c r="C132" s="24"/>
      <c r="D132" s="24"/>
      <c r="E132" s="24"/>
      <c r="F132" s="24"/>
    </row>
    <row r="133">
      <c r="A133" s="24"/>
      <c r="B133" s="24"/>
      <c r="C133" s="24"/>
      <c r="D133" s="24"/>
      <c r="E133" s="24"/>
      <c r="F133" s="24"/>
    </row>
    <row r="134">
      <c r="A134" s="24"/>
      <c r="B134" s="24"/>
      <c r="C134" s="24"/>
      <c r="D134" s="24"/>
      <c r="E134" s="24"/>
      <c r="F134" s="24"/>
    </row>
    <row r="135">
      <c r="A135" s="24"/>
      <c r="B135" s="24"/>
      <c r="C135" s="24"/>
      <c r="D135" s="24"/>
      <c r="E135" s="24"/>
      <c r="F135" s="24"/>
    </row>
    <row r="136">
      <c r="A136" s="24"/>
      <c r="B136" s="24"/>
      <c r="C136" s="24"/>
      <c r="D136" s="24"/>
      <c r="E136" s="24"/>
      <c r="F136" s="24"/>
    </row>
    <row r="137">
      <c r="A137" s="24"/>
      <c r="B137" s="24"/>
      <c r="C137" s="24"/>
      <c r="D137" s="24"/>
      <c r="E137" s="24"/>
      <c r="F137" s="24"/>
    </row>
    <row r="138">
      <c r="A138" s="24"/>
      <c r="B138" s="24"/>
      <c r="C138" s="24"/>
      <c r="D138" s="24"/>
      <c r="E138" s="24"/>
      <c r="F138" s="24"/>
    </row>
    <row r="139">
      <c r="A139" s="24"/>
      <c r="B139" s="24"/>
      <c r="C139" s="24"/>
      <c r="D139" s="24"/>
      <c r="E139" s="24"/>
      <c r="F139" s="24"/>
    </row>
    <row r="140">
      <c r="A140" s="24"/>
      <c r="B140" s="24"/>
      <c r="C140" s="24"/>
      <c r="D140" s="24"/>
      <c r="E140" s="24"/>
      <c r="F140" s="24"/>
    </row>
    <row r="141">
      <c r="A141" s="24"/>
      <c r="B141" s="24"/>
      <c r="C141" s="24"/>
      <c r="D141" s="24"/>
      <c r="E141" s="24"/>
      <c r="F141" s="24"/>
    </row>
    <row r="142">
      <c r="A142" s="24"/>
      <c r="B142" s="24"/>
      <c r="C142" s="24"/>
      <c r="D142" s="24"/>
      <c r="E142" s="24"/>
      <c r="F142" s="24"/>
    </row>
    <row r="143">
      <c r="A143" s="24"/>
      <c r="B143" s="24"/>
      <c r="C143" s="24"/>
      <c r="D143" s="24"/>
      <c r="E143" s="24"/>
      <c r="F143" s="24"/>
    </row>
    <row r="144">
      <c r="A144" s="24"/>
      <c r="B144" s="24"/>
      <c r="C144" s="24"/>
      <c r="D144" s="24"/>
      <c r="E144" s="24"/>
      <c r="F144" s="24"/>
    </row>
    <row r="145">
      <c r="A145" s="24"/>
      <c r="B145" s="24"/>
      <c r="C145" s="24"/>
      <c r="D145" s="24"/>
      <c r="E145" s="24"/>
      <c r="F145" s="24"/>
    </row>
    <row r="146">
      <c r="A146" s="24"/>
      <c r="B146" s="24"/>
      <c r="C146" s="24"/>
      <c r="D146" s="24"/>
      <c r="E146" s="24"/>
      <c r="F146" s="24"/>
    </row>
    <row r="147">
      <c r="A147" s="24"/>
      <c r="B147" s="24"/>
      <c r="C147" s="24"/>
      <c r="D147" s="24"/>
      <c r="E147" s="24"/>
      <c r="F147" s="24"/>
    </row>
    <row r="148">
      <c r="A148" s="24"/>
      <c r="B148" s="24"/>
      <c r="C148" s="24"/>
      <c r="D148" s="24"/>
      <c r="E148" s="24"/>
      <c r="F148" s="24"/>
    </row>
    <row r="149">
      <c r="A149" s="24"/>
      <c r="B149" s="24"/>
      <c r="C149" s="24"/>
      <c r="D149" s="24"/>
      <c r="E149" s="24"/>
      <c r="F149" s="24"/>
    </row>
    <row r="150">
      <c r="A150" s="24"/>
      <c r="B150" s="24"/>
      <c r="C150" s="24"/>
      <c r="D150" s="24"/>
      <c r="E150" s="24"/>
      <c r="F150" s="24"/>
    </row>
    <row r="151">
      <c r="A151" s="24"/>
      <c r="B151" s="24"/>
      <c r="C151" s="24"/>
      <c r="D151" s="24"/>
      <c r="E151" s="24"/>
      <c r="F151" s="24"/>
    </row>
    <row r="152">
      <c r="A152" s="24"/>
      <c r="B152" s="24"/>
      <c r="C152" s="24"/>
      <c r="D152" s="24"/>
      <c r="E152" s="24"/>
      <c r="F152" s="24"/>
    </row>
    <row r="153">
      <c r="A153" s="24"/>
      <c r="B153" s="24"/>
      <c r="C153" s="24"/>
      <c r="D153" s="24"/>
      <c r="E153" s="24"/>
      <c r="F153" s="24"/>
    </row>
    <row r="154">
      <c r="A154" s="24"/>
      <c r="B154" s="24"/>
      <c r="C154" s="24"/>
      <c r="D154" s="24"/>
      <c r="E154" s="24"/>
      <c r="F154" s="24"/>
    </row>
    <row r="155">
      <c r="A155" s="24"/>
      <c r="B155" s="24"/>
      <c r="C155" s="24"/>
      <c r="D155" s="24"/>
      <c r="E155" s="24"/>
      <c r="F155" s="24"/>
    </row>
    <row r="156">
      <c r="A156" s="24"/>
      <c r="B156" s="24"/>
      <c r="C156" s="24"/>
      <c r="D156" s="24"/>
      <c r="E156" s="24"/>
      <c r="F156" s="24"/>
    </row>
    <row r="157">
      <c r="A157" s="24"/>
      <c r="B157" s="24"/>
      <c r="C157" s="24"/>
      <c r="D157" s="24"/>
      <c r="E157" s="24"/>
      <c r="F157" s="24"/>
    </row>
    <row r="158">
      <c r="A158" s="24"/>
      <c r="B158" s="24"/>
      <c r="C158" s="24"/>
      <c r="D158" s="24"/>
      <c r="E158" s="24"/>
      <c r="F158" s="24"/>
    </row>
    <row r="159">
      <c r="A159" s="24"/>
      <c r="B159" s="24"/>
      <c r="C159" s="24"/>
      <c r="D159" s="24"/>
      <c r="E159" s="24"/>
      <c r="F159" s="24"/>
    </row>
    <row r="160">
      <c r="A160" s="24"/>
      <c r="B160" s="24"/>
      <c r="C160" s="24"/>
      <c r="D160" s="24"/>
      <c r="E160" s="24"/>
      <c r="F160" s="24"/>
    </row>
    <row r="161">
      <c r="A161" s="24"/>
      <c r="B161" s="24"/>
      <c r="C161" s="24"/>
      <c r="D161" s="24"/>
      <c r="E161" s="24"/>
      <c r="F161" s="24"/>
    </row>
    <row r="162">
      <c r="A162" s="24"/>
      <c r="B162" s="24"/>
      <c r="C162" s="24"/>
      <c r="D162" s="24"/>
      <c r="E162" s="24"/>
      <c r="F162" s="24"/>
    </row>
    <row r="163">
      <c r="A163" s="24"/>
      <c r="B163" s="24"/>
      <c r="C163" s="24"/>
      <c r="D163" s="24"/>
      <c r="E163" s="24"/>
      <c r="F163" s="24"/>
    </row>
    <row r="164">
      <c r="A164" s="24"/>
      <c r="B164" s="24"/>
      <c r="C164" s="24"/>
      <c r="D164" s="24"/>
      <c r="E164" s="24"/>
      <c r="F164" s="24"/>
    </row>
    <row r="165">
      <c r="A165" s="24"/>
      <c r="B165" s="24"/>
      <c r="C165" s="24"/>
      <c r="D165" s="24"/>
      <c r="E165" s="24"/>
      <c r="F165" s="24"/>
    </row>
    <row r="166">
      <c r="A166" s="24"/>
      <c r="B166" s="24"/>
      <c r="C166" s="24"/>
      <c r="D166" s="24"/>
      <c r="E166" s="24"/>
      <c r="F166" s="24"/>
    </row>
    <row r="167">
      <c r="A167" s="24"/>
      <c r="B167" s="24"/>
      <c r="C167" s="24"/>
      <c r="D167" s="24"/>
      <c r="E167" s="24"/>
      <c r="F167" s="24"/>
    </row>
    <row r="168">
      <c r="A168" s="24"/>
      <c r="B168" s="24"/>
      <c r="C168" s="24"/>
      <c r="D168" s="24"/>
      <c r="E168" s="24"/>
      <c r="F168" s="24"/>
    </row>
    <row r="169">
      <c r="A169" s="24"/>
      <c r="B169" s="24"/>
      <c r="C169" s="24"/>
      <c r="D169" s="24"/>
      <c r="E169" s="24"/>
      <c r="F169" s="24"/>
    </row>
    <row r="170">
      <c r="A170" s="24"/>
      <c r="B170" s="24"/>
      <c r="C170" s="24"/>
      <c r="D170" s="24"/>
      <c r="E170" s="24"/>
      <c r="F170" s="24"/>
    </row>
    <row r="171">
      <c r="A171" s="24"/>
      <c r="B171" s="24"/>
      <c r="C171" s="24"/>
      <c r="D171" s="24"/>
      <c r="E171" s="24"/>
      <c r="F171" s="24"/>
    </row>
    <row r="172">
      <c r="A172" s="24"/>
      <c r="B172" s="24"/>
      <c r="C172" s="24"/>
      <c r="D172" s="24"/>
      <c r="E172" s="24"/>
      <c r="F172" s="24"/>
    </row>
    <row r="173">
      <c r="A173" s="24"/>
      <c r="B173" s="24"/>
      <c r="C173" s="24"/>
      <c r="D173" s="24"/>
      <c r="E173" s="24"/>
      <c r="F173" s="24"/>
    </row>
    <row r="174">
      <c r="A174" s="24"/>
      <c r="B174" s="24"/>
      <c r="C174" s="24"/>
      <c r="D174" s="24"/>
      <c r="E174" s="24"/>
      <c r="F174" s="24"/>
    </row>
    <row r="175">
      <c r="A175" s="24"/>
      <c r="B175" s="24"/>
      <c r="C175" s="24"/>
      <c r="D175" s="24"/>
      <c r="E175" s="24"/>
      <c r="F175" s="24"/>
    </row>
    <row r="176">
      <c r="A176" s="24"/>
      <c r="B176" s="24"/>
      <c r="C176" s="24"/>
      <c r="D176" s="24"/>
      <c r="E176" s="24"/>
      <c r="F176" s="24"/>
    </row>
    <row r="177">
      <c r="A177" s="24"/>
      <c r="B177" s="24"/>
      <c r="C177" s="24"/>
      <c r="D177" s="24"/>
      <c r="E177" s="24"/>
      <c r="F177" s="24"/>
    </row>
    <row r="178">
      <c r="A178" s="24"/>
      <c r="B178" s="24"/>
      <c r="C178" s="24"/>
      <c r="D178" s="24"/>
      <c r="E178" s="24"/>
      <c r="F178" s="24"/>
    </row>
    <row r="179">
      <c r="A179" s="24"/>
      <c r="B179" s="24"/>
      <c r="C179" s="24"/>
      <c r="D179" s="24"/>
      <c r="E179" s="24"/>
      <c r="F179" s="24"/>
    </row>
    <row r="180">
      <c r="A180" s="24"/>
      <c r="B180" s="24"/>
      <c r="C180" s="24"/>
      <c r="D180" s="24"/>
      <c r="E180" s="24"/>
      <c r="F180" s="24"/>
    </row>
    <row r="181">
      <c r="A181" s="24"/>
      <c r="B181" s="24"/>
      <c r="C181" s="24"/>
      <c r="D181" s="24"/>
      <c r="E181" s="24"/>
      <c r="F181" s="24"/>
    </row>
    <row r="182">
      <c r="A182" s="24"/>
      <c r="B182" s="24"/>
      <c r="C182" s="24"/>
      <c r="D182" s="24"/>
      <c r="E182" s="24"/>
      <c r="F182" s="24"/>
    </row>
    <row r="183">
      <c r="A183" s="24"/>
      <c r="B183" s="24"/>
      <c r="C183" s="24"/>
      <c r="D183" s="24"/>
      <c r="E183" s="24"/>
      <c r="F183" s="24"/>
    </row>
    <row r="184">
      <c r="A184" s="24"/>
      <c r="B184" s="24"/>
      <c r="C184" s="24"/>
      <c r="D184" s="24"/>
      <c r="E184" s="24"/>
      <c r="F184" s="24"/>
    </row>
    <row r="185">
      <c r="A185" s="24"/>
      <c r="B185" s="24"/>
      <c r="C185" s="24"/>
      <c r="D185" s="24"/>
      <c r="E185" s="24"/>
      <c r="F185" s="24"/>
    </row>
    <row r="186">
      <c r="A186" s="24"/>
      <c r="B186" s="24"/>
      <c r="C186" s="24"/>
      <c r="D186" s="24"/>
      <c r="E186" s="24"/>
      <c r="F186" s="24"/>
    </row>
    <row r="187">
      <c r="A187" s="24"/>
      <c r="B187" s="24"/>
      <c r="C187" s="24"/>
      <c r="D187" s="24"/>
      <c r="E187" s="24"/>
      <c r="F187" s="24"/>
    </row>
    <row r="188">
      <c r="A188" s="24"/>
      <c r="B188" s="24"/>
      <c r="C188" s="24"/>
      <c r="D188" s="24"/>
      <c r="E188" s="24"/>
      <c r="F188" s="24"/>
    </row>
    <row r="189">
      <c r="A189" s="24"/>
      <c r="B189" s="24"/>
      <c r="C189" s="24"/>
      <c r="D189" s="24"/>
      <c r="E189" s="24"/>
      <c r="F189" s="24"/>
    </row>
    <row r="190">
      <c r="A190" s="24"/>
      <c r="B190" s="24"/>
      <c r="C190" s="24"/>
      <c r="D190" s="24"/>
      <c r="E190" s="24"/>
      <c r="F190" s="24"/>
    </row>
    <row r="191">
      <c r="A191" s="24"/>
      <c r="B191" s="24"/>
      <c r="C191" s="24"/>
      <c r="D191" s="24"/>
      <c r="E191" s="24"/>
      <c r="F191" s="24"/>
    </row>
    <row r="192">
      <c r="A192" s="24"/>
      <c r="B192" s="24"/>
      <c r="C192" s="24"/>
      <c r="D192" s="24"/>
      <c r="E192" s="24"/>
      <c r="F192" s="24"/>
    </row>
    <row r="193">
      <c r="A193" s="24"/>
      <c r="B193" s="24"/>
      <c r="C193" s="24"/>
      <c r="D193" s="24"/>
      <c r="E193" s="24"/>
      <c r="F193" s="24"/>
    </row>
    <row r="194">
      <c r="A194" s="24"/>
      <c r="B194" s="24"/>
      <c r="C194" s="24"/>
      <c r="D194" s="24"/>
      <c r="E194" s="24"/>
      <c r="F194" s="24"/>
    </row>
    <row r="195">
      <c r="A195" s="24"/>
      <c r="B195" s="24"/>
      <c r="C195" s="24"/>
      <c r="D195" s="24"/>
      <c r="E195" s="24"/>
      <c r="F195" s="24"/>
    </row>
    <row r="196">
      <c r="A196" s="24"/>
      <c r="B196" s="24"/>
      <c r="C196" s="24"/>
      <c r="D196" s="24"/>
      <c r="E196" s="24"/>
      <c r="F196" s="24"/>
    </row>
    <row r="197">
      <c r="A197" s="24"/>
      <c r="B197" s="24"/>
      <c r="C197" s="24"/>
      <c r="D197" s="24"/>
      <c r="E197" s="24"/>
      <c r="F197" s="24"/>
    </row>
    <row r="198">
      <c r="A198" s="24"/>
      <c r="B198" s="24"/>
      <c r="C198" s="24"/>
      <c r="D198" s="24"/>
      <c r="E198" s="24"/>
      <c r="F198" s="24"/>
    </row>
    <row r="199">
      <c r="A199" s="24"/>
      <c r="B199" s="24"/>
      <c r="C199" s="24"/>
      <c r="D199" s="24"/>
      <c r="E199" s="24"/>
      <c r="F199" s="24"/>
    </row>
    <row r="200">
      <c r="A200" s="24"/>
      <c r="B200" s="24"/>
      <c r="C200" s="24"/>
      <c r="D200" s="24"/>
      <c r="E200" s="24"/>
      <c r="F200" s="24"/>
    </row>
    <row r="201">
      <c r="A201" s="24"/>
      <c r="B201" s="24"/>
      <c r="C201" s="24"/>
      <c r="D201" s="24"/>
      <c r="E201" s="24"/>
      <c r="F201" s="24"/>
    </row>
    <row r="202">
      <c r="A202" s="24"/>
      <c r="B202" s="24"/>
      <c r="C202" s="24"/>
      <c r="D202" s="24"/>
      <c r="E202" s="24"/>
      <c r="F202" s="24"/>
    </row>
    <row r="203">
      <c r="A203" s="24"/>
      <c r="B203" s="24"/>
      <c r="C203" s="24"/>
      <c r="D203" s="24"/>
      <c r="E203" s="24"/>
      <c r="F203" s="24"/>
    </row>
    <row r="204">
      <c r="A204" s="24"/>
      <c r="B204" s="24"/>
      <c r="C204" s="24"/>
      <c r="D204" s="24"/>
      <c r="E204" s="24"/>
      <c r="F204" s="24"/>
    </row>
    <row r="205">
      <c r="A205" s="24"/>
      <c r="B205" s="24"/>
      <c r="C205" s="24"/>
      <c r="D205" s="24"/>
      <c r="E205" s="24"/>
      <c r="F205" s="24"/>
    </row>
    <row r="206">
      <c r="A206" s="24"/>
      <c r="B206" s="24"/>
      <c r="C206" s="24"/>
      <c r="D206" s="24"/>
      <c r="E206" s="24"/>
      <c r="F206" s="24"/>
    </row>
    <row r="207">
      <c r="A207" s="24"/>
      <c r="B207" s="24"/>
      <c r="C207" s="24"/>
      <c r="D207" s="24"/>
      <c r="E207" s="24"/>
      <c r="F207" s="24"/>
    </row>
    <row r="208">
      <c r="A208" s="24"/>
      <c r="B208" s="24"/>
      <c r="C208" s="24"/>
      <c r="D208" s="24"/>
      <c r="E208" s="24"/>
      <c r="F208" s="24"/>
    </row>
    <row r="209">
      <c r="A209" s="24"/>
      <c r="B209" s="24"/>
      <c r="C209" s="24"/>
      <c r="D209" s="24"/>
      <c r="E209" s="24"/>
      <c r="F209" s="24"/>
    </row>
    <row r="210">
      <c r="A210" s="24"/>
      <c r="B210" s="24"/>
      <c r="C210" s="24"/>
      <c r="D210" s="24"/>
      <c r="E210" s="24"/>
      <c r="F210" s="24"/>
    </row>
    <row r="211">
      <c r="A211" s="24"/>
      <c r="B211" s="24"/>
      <c r="C211" s="24"/>
      <c r="D211" s="24"/>
      <c r="E211" s="24"/>
      <c r="F211" s="24"/>
    </row>
    <row r="212">
      <c r="A212" s="24"/>
      <c r="B212" s="24"/>
      <c r="C212" s="24"/>
      <c r="D212" s="24"/>
      <c r="E212" s="24"/>
      <c r="F212" s="24"/>
    </row>
    <row r="213">
      <c r="A213" s="24"/>
      <c r="B213" s="24"/>
      <c r="C213" s="24"/>
      <c r="D213" s="24"/>
      <c r="E213" s="24"/>
      <c r="F213" s="24"/>
    </row>
    <row r="214">
      <c r="A214" s="24"/>
      <c r="B214" s="24"/>
      <c r="C214" s="24"/>
      <c r="D214" s="24"/>
      <c r="E214" s="24"/>
      <c r="F214" s="24"/>
    </row>
    <row r="215">
      <c r="A215" s="24"/>
      <c r="B215" s="24"/>
      <c r="C215" s="24"/>
      <c r="D215" s="24"/>
      <c r="E215" s="24"/>
      <c r="F215" s="24"/>
    </row>
    <row r="216">
      <c r="A216" s="24"/>
      <c r="B216" s="24"/>
      <c r="C216" s="24"/>
      <c r="D216" s="24"/>
      <c r="E216" s="24"/>
      <c r="F216" s="24"/>
    </row>
    <row r="217">
      <c r="A217" s="24"/>
      <c r="B217" s="24"/>
      <c r="C217" s="24"/>
      <c r="D217" s="24"/>
      <c r="E217" s="24"/>
      <c r="F217" s="24"/>
    </row>
    <row r="218">
      <c r="A218" s="24"/>
      <c r="B218" s="24"/>
      <c r="C218" s="24"/>
      <c r="D218" s="24"/>
      <c r="E218" s="24"/>
      <c r="F218" s="24"/>
    </row>
    <row r="219">
      <c r="A219" s="24"/>
      <c r="B219" s="24"/>
      <c r="C219" s="24"/>
      <c r="D219" s="24"/>
      <c r="E219" s="24"/>
      <c r="F219" s="24"/>
    </row>
    <row r="220">
      <c r="A220" s="24"/>
      <c r="B220" s="24"/>
      <c r="C220" s="24"/>
      <c r="D220" s="24"/>
      <c r="E220" s="24"/>
      <c r="F220" s="24"/>
    </row>
    <row r="221">
      <c r="A221" s="24"/>
      <c r="B221" s="24"/>
      <c r="C221" s="24"/>
      <c r="D221" s="24"/>
      <c r="E221" s="24"/>
      <c r="F221" s="24"/>
    </row>
    <row r="222">
      <c r="A222" s="24"/>
      <c r="B222" s="24"/>
      <c r="C222" s="24"/>
      <c r="D222" s="24"/>
      <c r="E222" s="24"/>
      <c r="F222" s="24"/>
    </row>
    <row r="223">
      <c r="A223" s="24"/>
      <c r="B223" s="24"/>
      <c r="C223" s="24"/>
      <c r="D223" s="24"/>
      <c r="E223" s="24"/>
      <c r="F223" s="24"/>
    </row>
    <row r="224">
      <c r="A224" s="24"/>
      <c r="B224" s="24"/>
      <c r="C224" s="24"/>
      <c r="D224" s="24"/>
      <c r="E224" s="24"/>
      <c r="F224" s="24"/>
    </row>
    <row r="225">
      <c r="A225" s="24"/>
      <c r="B225" s="24"/>
      <c r="C225" s="24"/>
      <c r="D225" s="24"/>
      <c r="E225" s="24"/>
      <c r="F225" s="24"/>
    </row>
    <row r="226">
      <c r="A226" s="24"/>
      <c r="B226" s="24"/>
      <c r="C226" s="24"/>
      <c r="D226" s="24"/>
      <c r="E226" s="24"/>
      <c r="F226" s="24"/>
    </row>
    <row r="227">
      <c r="A227" s="24"/>
      <c r="B227" s="24"/>
      <c r="C227" s="24"/>
      <c r="D227" s="24"/>
      <c r="E227" s="24"/>
      <c r="F227" s="24"/>
    </row>
    <row r="228">
      <c r="A228" s="24"/>
      <c r="B228" s="24"/>
      <c r="C228" s="24"/>
      <c r="D228" s="24"/>
      <c r="E228" s="24"/>
      <c r="F228" s="24"/>
    </row>
    <row r="229">
      <c r="A229" s="24"/>
      <c r="B229" s="24"/>
      <c r="C229" s="24"/>
      <c r="D229" s="24"/>
      <c r="E229" s="24"/>
      <c r="F229" s="24"/>
    </row>
    <row r="230">
      <c r="A230" s="24"/>
      <c r="B230" s="24"/>
      <c r="C230" s="24"/>
      <c r="D230" s="24"/>
      <c r="E230" s="24"/>
      <c r="F230" s="24"/>
    </row>
    <row r="231">
      <c r="A231" s="24"/>
      <c r="B231" s="24"/>
      <c r="C231" s="24"/>
      <c r="D231" s="24"/>
      <c r="E231" s="24"/>
      <c r="F231" s="24"/>
    </row>
    <row r="232">
      <c r="A232" s="24"/>
      <c r="B232" s="24"/>
      <c r="C232" s="24"/>
      <c r="D232" s="24"/>
      <c r="E232" s="24"/>
      <c r="F232" s="24"/>
    </row>
    <row r="233">
      <c r="A233" s="24"/>
      <c r="B233" s="24"/>
      <c r="C233" s="24"/>
      <c r="D233" s="24"/>
      <c r="E233" s="24"/>
      <c r="F233" s="24"/>
    </row>
    <row r="234">
      <c r="A234" s="24"/>
      <c r="B234" s="24"/>
      <c r="C234" s="24"/>
      <c r="D234" s="24"/>
      <c r="E234" s="24"/>
      <c r="F234" s="24"/>
    </row>
    <row r="235">
      <c r="A235" s="24"/>
      <c r="B235" s="24"/>
      <c r="C235" s="24"/>
      <c r="D235" s="24"/>
      <c r="E235" s="24"/>
      <c r="F235" s="24"/>
    </row>
    <row r="236">
      <c r="A236" s="24"/>
      <c r="B236" s="24"/>
      <c r="C236" s="24"/>
      <c r="D236" s="24"/>
      <c r="E236" s="24"/>
      <c r="F236" s="24"/>
    </row>
    <row r="237">
      <c r="A237" s="24"/>
      <c r="B237" s="24"/>
      <c r="C237" s="24"/>
      <c r="D237" s="24"/>
      <c r="E237" s="24"/>
      <c r="F237" s="24"/>
    </row>
    <row r="238">
      <c r="A238" s="24"/>
      <c r="B238" s="24"/>
      <c r="C238" s="24"/>
      <c r="D238" s="24"/>
      <c r="E238" s="24"/>
      <c r="F238" s="24"/>
    </row>
    <row r="239">
      <c r="A239" s="24"/>
      <c r="B239" s="24"/>
      <c r="C239" s="24"/>
      <c r="D239" s="24"/>
      <c r="E239" s="24"/>
      <c r="F239" s="24"/>
    </row>
    <row r="240">
      <c r="A240" s="24"/>
      <c r="B240" s="24"/>
      <c r="C240" s="24"/>
      <c r="D240" s="24"/>
      <c r="E240" s="24"/>
      <c r="F240" s="24"/>
    </row>
    <row r="241">
      <c r="A241" s="24"/>
      <c r="B241" s="24"/>
      <c r="C241" s="24"/>
      <c r="D241" s="24"/>
      <c r="E241" s="24"/>
      <c r="F241" s="24"/>
    </row>
    <row r="242">
      <c r="A242" s="24"/>
      <c r="B242" s="24"/>
      <c r="C242" s="24"/>
      <c r="D242" s="24"/>
      <c r="E242" s="24"/>
      <c r="F242" s="24"/>
    </row>
    <row r="243">
      <c r="A243" s="24"/>
      <c r="B243" s="24"/>
      <c r="C243" s="24"/>
      <c r="D243" s="24"/>
      <c r="E243" s="24"/>
      <c r="F243" s="24"/>
    </row>
    <row r="244">
      <c r="A244" s="24"/>
      <c r="B244" s="24"/>
      <c r="C244" s="24"/>
      <c r="D244" s="24"/>
      <c r="E244" s="24"/>
      <c r="F244" s="24"/>
    </row>
    <row r="245">
      <c r="A245" s="24"/>
      <c r="B245" s="24"/>
      <c r="C245" s="24"/>
      <c r="D245" s="24"/>
      <c r="E245" s="24"/>
      <c r="F245" s="24"/>
    </row>
    <row r="246">
      <c r="A246" s="24"/>
      <c r="B246" s="24"/>
      <c r="C246" s="24"/>
      <c r="D246" s="24"/>
      <c r="E246" s="24"/>
      <c r="F246" s="24"/>
    </row>
    <row r="247">
      <c r="A247" s="24"/>
      <c r="B247" s="24"/>
      <c r="C247" s="24"/>
      <c r="D247" s="24"/>
      <c r="E247" s="24"/>
      <c r="F247" s="24"/>
    </row>
    <row r="248">
      <c r="A248" s="24"/>
      <c r="B248" s="24"/>
      <c r="C248" s="24"/>
      <c r="D248" s="24"/>
      <c r="E248" s="24"/>
      <c r="F248" s="24"/>
    </row>
    <row r="249">
      <c r="A249" s="24"/>
      <c r="B249" s="24"/>
      <c r="C249" s="24"/>
      <c r="D249" s="24"/>
      <c r="E249" s="24"/>
      <c r="F249" s="24"/>
    </row>
    <row r="250">
      <c r="A250" s="24"/>
      <c r="B250" s="24"/>
      <c r="C250" s="24"/>
      <c r="D250" s="24"/>
      <c r="E250" s="24"/>
      <c r="F250" s="24"/>
    </row>
    <row r="251">
      <c r="A251" s="24"/>
      <c r="B251" s="24"/>
      <c r="C251" s="24"/>
      <c r="D251" s="24"/>
      <c r="E251" s="24"/>
      <c r="F251" s="24"/>
    </row>
    <row r="252">
      <c r="A252" s="24"/>
      <c r="B252" s="24"/>
      <c r="C252" s="24"/>
      <c r="D252" s="24"/>
      <c r="E252" s="24"/>
      <c r="F252" s="24"/>
    </row>
    <row r="253">
      <c r="A253" s="24"/>
      <c r="B253" s="24"/>
      <c r="C253" s="24"/>
      <c r="D253" s="24"/>
      <c r="E253" s="24"/>
      <c r="F253" s="24"/>
    </row>
    <row r="254">
      <c r="A254" s="24"/>
      <c r="B254" s="24"/>
      <c r="C254" s="24"/>
      <c r="D254" s="24"/>
      <c r="E254" s="24"/>
      <c r="F254" s="24"/>
    </row>
    <row r="255">
      <c r="A255" s="24"/>
      <c r="B255" s="24"/>
      <c r="C255" s="24"/>
      <c r="D255" s="24"/>
      <c r="E255" s="24"/>
      <c r="F255" s="24"/>
    </row>
    <row r="256">
      <c r="A256" s="24"/>
      <c r="B256" s="24"/>
      <c r="C256" s="24"/>
      <c r="D256" s="24"/>
      <c r="E256" s="24"/>
      <c r="F256" s="24"/>
    </row>
    <row r="257">
      <c r="A257" s="24"/>
      <c r="B257" s="24"/>
      <c r="C257" s="24"/>
      <c r="D257" s="24"/>
      <c r="E257" s="24"/>
      <c r="F257" s="24"/>
    </row>
    <row r="258">
      <c r="A258" s="24"/>
      <c r="B258" s="24"/>
      <c r="C258" s="24"/>
      <c r="D258" s="24"/>
      <c r="E258" s="24"/>
      <c r="F258" s="24"/>
    </row>
    <row r="259">
      <c r="A259" s="24"/>
      <c r="B259" s="24"/>
      <c r="C259" s="24"/>
      <c r="D259" s="24"/>
      <c r="E259" s="24"/>
      <c r="F259" s="24"/>
    </row>
    <row r="260">
      <c r="A260" s="24"/>
      <c r="B260" s="24"/>
      <c r="C260" s="24"/>
      <c r="D260" s="24"/>
      <c r="E260" s="24"/>
      <c r="F260" s="24"/>
    </row>
    <row r="261">
      <c r="A261" s="24"/>
      <c r="B261" s="24"/>
      <c r="C261" s="24"/>
      <c r="D261" s="24"/>
      <c r="E261" s="24"/>
      <c r="F261" s="24"/>
    </row>
    <row r="262">
      <c r="A262" s="24"/>
      <c r="B262" s="24"/>
      <c r="C262" s="24"/>
      <c r="D262" s="24"/>
      <c r="E262" s="24"/>
      <c r="F262" s="24"/>
    </row>
    <row r="263">
      <c r="A263" s="24"/>
      <c r="B263" s="24"/>
      <c r="C263" s="24"/>
      <c r="D263" s="24"/>
      <c r="E263" s="24"/>
      <c r="F263" s="24"/>
    </row>
    <row r="264">
      <c r="A264" s="24"/>
      <c r="B264" s="24"/>
      <c r="C264" s="24"/>
      <c r="D264" s="24"/>
      <c r="E264" s="24"/>
      <c r="F264" s="24"/>
    </row>
    <row r="265">
      <c r="A265" s="24"/>
      <c r="B265" s="24"/>
      <c r="C265" s="24"/>
      <c r="D265" s="24"/>
      <c r="E265" s="24"/>
      <c r="F265" s="24"/>
    </row>
    <row r="266">
      <c r="A266" s="24"/>
      <c r="B266" s="24"/>
      <c r="C266" s="24"/>
      <c r="D266" s="24"/>
      <c r="E266" s="24"/>
      <c r="F266" s="24"/>
    </row>
    <row r="267">
      <c r="A267" s="24"/>
      <c r="B267" s="24"/>
      <c r="C267" s="24"/>
      <c r="D267" s="24"/>
      <c r="E267" s="24"/>
      <c r="F267" s="24"/>
    </row>
    <row r="268">
      <c r="A268" s="24"/>
      <c r="B268" s="24"/>
      <c r="C268" s="24"/>
      <c r="D268" s="24"/>
      <c r="E268" s="24"/>
      <c r="F268" s="24"/>
    </row>
    <row r="269">
      <c r="A269" s="24"/>
      <c r="B269" s="24"/>
      <c r="C269" s="24"/>
      <c r="D269" s="24"/>
      <c r="E269" s="24"/>
      <c r="F269" s="24"/>
    </row>
    <row r="270">
      <c r="A270" s="24"/>
      <c r="B270" s="24"/>
      <c r="C270" s="24"/>
      <c r="D270" s="24"/>
      <c r="E270" s="24"/>
      <c r="F270" s="24"/>
    </row>
    <row r="271">
      <c r="A271" s="24"/>
      <c r="B271" s="24"/>
      <c r="C271" s="24"/>
      <c r="D271" s="24"/>
      <c r="E271" s="24"/>
      <c r="F271" s="24"/>
    </row>
    <row r="272">
      <c r="A272" s="24"/>
      <c r="B272" s="24"/>
      <c r="C272" s="24"/>
      <c r="D272" s="24"/>
      <c r="E272" s="24"/>
      <c r="F272" s="24"/>
    </row>
    <row r="273">
      <c r="A273" s="24"/>
      <c r="B273" s="24"/>
      <c r="C273" s="24"/>
      <c r="D273" s="24"/>
      <c r="E273" s="24"/>
      <c r="F273" s="24"/>
    </row>
    <row r="274">
      <c r="A274" s="24"/>
      <c r="B274" s="24"/>
      <c r="C274" s="24"/>
      <c r="D274" s="24"/>
      <c r="E274" s="24"/>
      <c r="F274" s="24"/>
    </row>
    <row r="275">
      <c r="A275" s="24"/>
      <c r="B275" s="24"/>
      <c r="C275" s="24"/>
      <c r="D275" s="24"/>
      <c r="E275" s="24"/>
      <c r="F275" s="24"/>
    </row>
    <row r="276">
      <c r="A276" s="24"/>
      <c r="B276" s="24"/>
      <c r="C276" s="24"/>
      <c r="D276" s="24"/>
      <c r="E276" s="24"/>
      <c r="F276" s="24"/>
    </row>
    <row r="277">
      <c r="A277" s="24"/>
      <c r="B277" s="24"/>
      <c r="C277" s="24"/>
      <c r="D277" s="24"/>
      <c r="E277" s="24"/>
      <c r="F277" s="24"/>
    </row>
    <row r="278">
      <c r="A278" s="24"/>
      <c r="B278" s="24"/>
      <c r="C278" s="24"/>
      <c r="D278" s="24"/>
      <c r="E278" s="24"/>
      <c r="F278" s="24"/>
    </row>
    <row r="279">
      <c r="A279" s="24"/>
      <c r="B279" s="24"/>
      <c r="C279" s="24"/>
      <c r="D279" s="24"/>
      <c r="E279" s="24"/>
      <c r="F279" s="24"/>
    </row>
    <row r="280">
      <c r="A280" s="24"/>
      <c r="B280" s="24"/>
      <c r="C280" s="24"/>
      <c r="D280" s="24"/>
      <c r="E280" s="24"/>
      <c r="F280" s="24"/>
    </row>
    <row r="281">
      <c r="A281" s="24"/>
      <c r="B281" s="24"/>
      <c r="C281" s="24"/>
      <c r="D281" s="24"/>
      <c r="E281" s="24"/>
      <c r="F281" s="24"/>
    </row>
    <row r="282">
      <c r="A282" s="24"/>
      <c r="B282" s="24"/>
      <c r="C282" s="24"/>
      <c r="D282" s="24"/>
      <c r="E282" s="24"/>
      <c r="F282" s="24"/>
    </row>
    <row r="283">
      <c r="A283" s="24"/>
      <c r="B283" s="24"/>
      <c r="C283" s="24"/>
      <c r="D283" s="24"/>
      <c r="E283" s="24"/>
      <c r="F283" s="24"/>
    </row>
    <row r="284">
      <c r="A284" s="24"/>
      <c r="B284" s="24"/>
      <c r="C284" s="24"/>
      <c r="D284" s="24"/>
      <c r="E284" s="24"/>
      <c r="F284" s="24"/>
    </row>
    <row r="285">
      <c r="A285" s="24"/>
      <c r="B285" s="24"/>
      <c r="C285" s="24"/>
      <c r="D285" s="24"/>
      <c r="E285" s="24"/>
      <c r="F285" s="24"/>
    </row>
    <row r="286">
      <c r="A286" s="24"/>
      <c r="B286" s="24"/>
      <c r="C286" s="24"/>
      <c r="D286" s="24"/>
      <c r="E286" s="24"/>
      <c r="F286" s="24"/>
    </row>
    <row r="287">
      <c r="A287" s="24"/>
      <c r="B287" s="24"/>
      <c r="C287" s="24"/>
      <c r="D287" s="24"/>
      <c r="E287" s="24"/>
      <c r="F287" s="24"/>
    </row>
    <row r="288">
      <c r="A288" s="24"/>
      <c r="B288" s="24"/>
      <c r="C288" s="24"/>
      <c r="D288" s="24"/>
      <c r="E288" s="24"/>
      <c r="F288" s="24"/>
    </row>
    <row r="289">
      <c r="A289" s="24"/>
      <c r="B289" s="24"/>
      <c r="C289" s="24"/>
      <c r="D289" s="24"/>
      <c r="E289" s="24"/>
      <c r="F289" s="24"/>
    </row>
    <row r="290">
      <c r="A290" s="24"/>
      <c r="B290" s="24"/>
      <c r="C290" s="24"/>
      <c r="D290" s="24"/>
      <c r="E290" s="24"/>
      <c r="F290" s="24"/>
    </row>
    <row r="291">
      <c r="A291" s="24"/>
      <c r="B291" s="24"/>
      <c r="C291" s="24"/>
      <c r="D291" s="24"/>
      <c r="E291" s="24"/>
      <c r="F291" s="24"/>
    </row>
    <row r="292">
      <c r="A292" s="24"/>
      <c r="B292" s="24"/>
      <c r="C292" s="24"/>
      <c r="D292" s="24"/>
      <c r="E292" s="24"/>
      <c r="F292" s="24"/>
    </row>
    <row r="293">
      <c r="A293" s="24"/>
      <c r="B293" s="24"/>
      <c r="C293" s="24"/>
      <c r="D293" s="24"/>
      <c r="E293" s="24"/>
      <c r="F293" s="24"/>
    </row>
    <row r="294">
      <c r="A294" s="24"/>
      <c r="B294" s="24"/>
      <c r="C294" s="24"/>
      <c r="D294" s="24"/>
      <c r="E294" s="24"/>
      <c r="F294" s="24"/>
    </row>
    <row r="295">
      <c r="A295" s="24"/>
      <c r="B295" s="24"/>
      <c r="C295" s="24"/>
      <c r="D295" s="24"/>
      <c r="E295" s="24"/>
      <c r="F295" s="24"/>
    </row>
    <row r="296">
      <c r="A296" s="24"/>
      <c r="B296" s="24"/>
      <c r="C296" s="24"/>
      <c r="D296" s="24"/>
      <c r="E296" s="24"/>
      <c r="F296" s="24"/>
    </row>
    <row r="297">
      <c r="A297" s="24"/>
      <c r="B297" s="24"/>
      <c r="C297" s="24"/>
      <c r="D297" s="24"/>
      <c r="E297" s="24"/>
      <c r="F297" s="24"/>
    </row>
    <row r="298">
      <c r="A298" s="24"/>
      <c r="B298" s="24"/>
      <c r="C298" s="24"/>
      <c r="D298" s="24"/>
      <c r="E298" s="24"/>
      <c r="F298" s="24"/>
    </row>
    <row r="299">
      <c r="A299" s="24"/>
      <c r="B299" s="24"/>
      <c r="C299" s="24"/>
      <c r="D299" s="24"/>
      <c r="E299" s="24"/>
      <c r="F299" s="24"/>
    </row>
    <row r="300">
      <c r="A300" s="24"/>
      <c r="B300" s="24"/>
      <c r="C300" s="24"/>
      <c r="D300" s="24"/>
      <c r="E300" s="24"/>
      <c r="F300" s="24"/>
    </row>
    <row r="301">
      <c r="A301" s="24"/>
      <c r="B301" s="24"/>
      <c r="C301" s="24"/>
      <c r="D301" s="24"/>
      <c r="E301" s="24"/>
      <c r="F301" s="24"/>
    </row>
    <row r="302">
      <c r="A302" s="24"/>
      <c r="B302" s="24"/>
      <c r="C302" s="24"/>
      <c r="D302" s="24"/>
      <c r="E302" s="24"/>
      <c r="F302" s="24"/>
    </row>
    <row r="303">
      <c r="A303" s="24"/>
      <c r="B303" s="24"/>
      <c r="C303" s="24"/>
      <c r="D303" s="24"/>
      <c r="E303" s="24"/>
      <c r="F303" s="24"/>
    </row>
    <row r="304">
      <c r="A304" s="24"/>
      <c r="B304" s="24"/>
      <c r="C304" s="24"/>
      <c r="D304" s="24"/>
      <c r="E304" s="24"/>
      <c r="F304" s="24"/>
    </row>
    <row r="305">
      <c r="A305" s="24"/>
      <c r="B305" s="24"/>
      <c r="C305" s="24"/>
      <c r="D305" s="24"/>
      <c r="E305" s="24"/>
      <c r="F305" s="24"/>
    </row>
    <row r="306">
      <c r="A306" s="24"/>
      <c r="B306" s="24"/>
      <c r="C306" s="24"/>
      <c r="D306" s="24"/>
      <c r="E306" s="24"/>
      <c r="F306" s="24"/>
    </row>
    <row r="307">
      <c r="A307" s="24"/>
      <c r="B307" s="24"/>
      <c r="C307" s="24"/>
      <c r="D307" s="24"/>
      <c r="E307" s="24"/>
      <c r="F307" s="24"/>
    </row>
    <row r="308">
      <c r="A308" s="24"/>
      <c r="B308" s="24"/>
      <c r="C308" s="24"/>
      <c r="D308" s="24"/>
      <c r="E308" s="24"/>
      <c r="F308" s="24"/>
    </row>
    <row r="309">
      <c r="A309" s="24"/>
      <c r="B309" s="24"/>
      <c r="C309" s="24"/>
      <c r="D309" s="24"/>
      <c r="E309" s="24"/>
      <c r="F309" s="24"/>
    </row>
    <row r="310">
      <c r="A310" s="24"/>
      <c r="B310" s="24"/>
      <c r="C310" s="24"/>
      <c r="D310" s="24"/>
      <c r="E310" s="24"/>
      <c r="F310" s="24"/>
    </row>
    <row r="311">
      <c r="A311" s="24"/>
      <c r="B311" s="24"/>
      <c r="C311" s="24"/>
      <c r="D311" s="24"/>
      <c r="E311" s="24"/>
      <c r="F311" s="24"/>
    </row>
    <row r="312">
      <c r="A312" s="24"/>
      <c r="B312" s="24"/>
      <c r="C312" s="24"/>
      <c r="D312" s="24"/>
      <c r="E312" s="24"/>
      <c r="F312" s="24"/>
    </row>
    <row r="313">
      <c r="A313" s="24"/>
      <c r="B313" s="24"/>
      <c r="C313" s="24"/>
      <c r="D313" s="24"/>
      <c r="E313" s="24"/>
      <c r="F313" s="24"/>
    </row>
    <row r="314">
      <c r="A314" s="24"/>
      <c r="B314" s="24"/>
      <c r="C314" s="24"/>
      <c r="D314" s="24"/>
      <c r="E314" s="24"/>
      <c r="F314" s="24"/>
    </row>
    <row r="315">
      <c r="A315" s="24"/>
      <c r="B315" s="24"/>
      <c r="C315" s="24"/>
      <c r="D315" s="24"/>
      <c r="E315" s="24"/>
      <c r="F315" s="24"/>
    </row>
    <row r="316">
      <c r="A316" s="24"/>
      <c r="B316" s="24"/>
      <c r="C316" s="24"/>
      <c r="D316" s="24"/>
      <c r="E316" s="24"/>
      <c r="F316" s="24"/>
    </row>
    <row r="317">
      <c r="A317" s="24"/>
      <c r="B317" s="24"/>
      <c r="C317" s="24"/>
      <c r="D317" s="24"/>
      <c r="E317" s="24"/>
      <c r="F317" s="24"/>
    </row>
    <row r="318">
      <c r="A318" s="24"/>
      <c r="B318" s="24"/>
      <c r="C318" s="24"/>
      <c r="D318" s="24"/>
      <c r="E318" s="24"/>
      <c r="F318" s="24"/>
    </row>
    <row r="319">
      <c r="A319" s="24"/>
      <c r="B319" s="24"/>
      <c r="C319" s="24"/>
      <c r="D319" s="24"/>
      <c r="E319" s="24"/>
      <c r="F319" s="24"/>
    </row>
    <row r="320">
      <c r="A320" s="24"/>
      <c r="B320" s="24"/>
      <c r="C320" s="24"/>
      <c r="D320" s="24"/>
      <c r="E320" s="24"/>
      <c r="F320" s="24"/>
    </row>
    <row r="321">
      <c r="A321" s="24"/>
      <c r="B321" s="24"/>
      <c r="C321" s="24"/>
      <c r="D321" s="24"/>
      <c r="E321" s="24"/>
      <c r="F321" s="24"/>
    </row>
    <row r="322">
      <c r="A322" s="24"/>
      <c r="B322" s="24"/>
      <c r="C322" s="24"/>
      <c r="D322" s="24"/>
      <c r="E322" s="24"/>
      <c r="F322" s="24"/>
    </row>
    <row r="323">
      <c r="A323" s="24"/>
      <c r="B323" s="24"/>
      <c r="C323" s="24"/>
      <c r="D323" s="24"/>
      <c r="E323" s="24"/>
      <c r="F323" s="24"/>
    </row>
    <row r="324">
      <c r="A324" s="24"/>
      <c r="B324" s="24"/>
      <c r="C324" s="24"/>
      <c r="D324" s="24"/>
      <c r="E324" s="24"/>
      <c r="F324" s="24"/>
    </row>
    <row r="325">
      <c r="A325" s="24"/>
      <c r="B325" s="24"/>
      <c r="C325" s="24"/>
      <c r="D325" s="24"/>
      <c r="E325" s="24"/>
      <c r="F325" s="24"/>
    </row>
    <row r="326">
      <c r="A326" s="24"/>
      <c r="B326" s="24"/>
      <c r="C326" s="24"/>
      <c r="D326" s="24"/>
      <c r="E326" s="24"/>
      <c r="F326" s="24"/>
    </row>
    <row r="327">
      <c r="A327" s="24"/>
      <c r="B327" s="24"/>
      <c r="C327" s="24"/>
      <c r="D327" s="24"/>
      <c r="E327" s="24"/>
      <c r="F327" s="24"/>
    </row>
    <row r="328">
      <c r="A328" s="24"/>
      <c r="B328" s="24"/>
      <c r="C328" s="24"/>
      <c r="D328" s="24"/>
      <c r="E328" s="24"/>
      <c r="F328" s="24"/>
    </row>
    <row r="329">
      <c r="A329" s="24"/>
      <c r="B329" s="24"/>
      <c r="C329" s="24"/>
      <c r="D329" s="24"/>
      <c r="E329" s="24"/>
      <c r="F329" s="24"/>
    </row>
    <row r="330">
      <c r="A330" s="24"/>
      <c r="B330" s="24"/>
      <c r="C330" s="24"/>
      <c r="D330" s="24"/>
      <c r="E330" s="24"/>
      <c r="F330" s="24"/>
    </row>
    <row r="331">
      <c r="A331" s="24"/>
      <c r="B331" s="24"/>
      <c r="C331" s="24"/>
      <c r="D331" s="24"/>
      <c r="E331" s="24"/>
      <c r="F331" s="24"/>
    </row>
    <row r="332">
      <c r="A332" s="24"/>
      <c r="B332" s="24"/>
      <c r="C332" s="24"/>
      <c r="D332" s="24"/>
      <c r="E332" s="24"/>
      <c r="F332" s="24"/>
    </row>
    <row r="333">
      <c r="A333" s="24"/>
      <c r="B333" s="24"/>
      <c r="C333" s="24"/>
      <c r="D333" s="24"/>
      <c r="E333" s="24"/>
      <c r="F333" s="24"/>
    </row>
    <row r="334">
      <c r="A334" s="24"/>
      <c r="B334" s="24"/>
      <c r="C334" s="24"/>
      <c r="D334" s="24"/>
      <c r="E334" s="24"/>
      <c r="F334" s="24"/>
    </row>
    <row r="335">
      <c r="A335" s="24"/>
      <c r="B335" s="24"/>
      <c r="C335" s="24"/>
      <c r="D335" s="24"/>
      <c r="E335" s="24"/>
      <c r="F335" s="24"/>
    </row>
    <row r="336">
      <c r="A336" s="24"/>
      <c r="B336" s="24"/>
      <c r="C336" s="24"/>
      <c r="D336" s="24"/>
      <c r="E336" s="24"/>
      <c r="F336" s="24"/>
    </row>
    <row r="337">
      <c r="A337" s="24"/>
      <c r="B337" s="24"/>
      <c r="C337" s="24"/>
      <c r="D337" s="24"/>
      <c r="E337" s="24"/>
      <c r="F337" s="24"/>
    </row>
    <row r="338">
      <c r="A338" s="24"/>
      <c r="B338" s="24"/>
      <c r="C338" s="24"/>
      <c r="D338" s="24"/>
      <c r="E338" s="24"/>
      <c r="F338" s="24"/>
    </row>
    <row r="339">
      <c r="A339" s="24"/>
      <c r="B339" s="24"/>
      <c r="C339" s="24"/>
      <c r="D339" s="24"/>
      <c r="E339" s="24"/>
      <c r="F339" s="24"/>
    </row>
    <row r="340">
      <c r="A340" s="24"/>
      <c r="B340" s="24"/>
      <c r="C340" s="24"/>
      <c r="D340" s="24"/>
      <c r="E340" s="24"/>
      <c r="F340" s="24"/>
    </row>
    <row r="341">
      <c r="A341" s="24"/>
      <c r="B341" s="24"/>
      <c r="C341" s="24"/>
      <c r="D341" s="24"/>
      <c r="E341" s="24"/>
      <c r="F341" s="24"/>
    </row>
    <row r="342">
      <c r="A342" s="24"/>
      <c r="B342" s="24"/>
      <c r="C342" s="24"/>
      <c r="D342" s="24"/>
      <c r="E342" s="24"/>
      <c r="F342" s="24"/>
    </row>
    <row r="343">
      <c r="A343" s="24"/>
      <c r="B343" s="24"/>
      <c r="C343" s="24"/>
      <c r="D343" s="24"/>
      <c r="E343" s="24"/>
      <c r="F343" s="24"/>
    </row>
    <row r="344">
      <c r="A344" s="24"/>
      <c r="B344" s="24"/>
      <c r="C344" s="24"/>
      <c r="D344" s="24"/>
      <c r="E344" s="24"/>
      <c r="F344" s="24"/>
    </row>
    <row r="345">
      <c r="A345" s="24"/>
      <c r="B345" s="24"/>
      <c r="C345" s="24"/>
      <c r="D345" s="24"/>
      <c r="E345" s="24"/>
      <c r="F345" s="24"/>
    </row>
    <row r="346">
      <c r="A346" s="24"/>
      <c r="B346" s="24"/>
      <c r="C346" s="24"/>
      <c r="D346" s="24"/>
      <c r="E346" s="24"/>
      <c r="F346" s="24"/>
    </row>
    <row r="347">
      <c r="A347" s="24"/>
      <c r="B347" s="24"/>
      <c r="C347" s="24"/>
      <c r="D347" s="24"/>
      <c r="E347" s="24"/>
      <c r="F347" s="24"/>
    </row>
    <row r="348">
      <c r="A348" s="24"/>
      <c r="B348" s="24"/>
      <c r="C348" s="24"/>
      <c r="D348" s="24"/>
      <c r="E348" s="24"/>
      <c r="F348" s="24"/>
    </row>
    <row r="349">
      <c r="A349" s="24"/>
      <c r="B349" s="24"/>
      <c r="C349" s="24"/>
      <c r="D349" s="24"/>
      <c r="E349" s="24"/>
      <c r="F349" s="24"/>
    </row>
    <row r="350">
      <c r="A350" s="24"/>
      <c r="B350" s="24"/>
      <c r="C350" s="24"/>
      <c r="D350" s="24"/>
      <c r="E350" s="24"/>
      <c r="F350" s="24"/>
    </row>
    <row r="351">
      <c r="A351" s="24"/>
      <c r="B351" s="24"/>
      <c r="C351" s="24"/>
      <c r="D351" s="24"/>
      <c r="E351" s="24"/>
      <c r="F351" s="24"/>
    </row>
    <row r="352">
      <c r="A352" s="24"/>
      <c r="B352" s="24"/>
      <c r="C352" s="24"/>
      <c r="D352" s="24"/>
      <c r="E352" s="24"/>
      <c r="F352" s="24"/>
    </row>
    <row r="353">
      <c r="A353" s="24"/>
      <c r="B353" s="24"/>
      <c r="C353" s="24"/>
      <c r="D353" s="24"/>
      <c r="E353" s="24"/>
      <c r="F353" s="24"/>
    </row>
    <row r="354">
      <c r="A354" s="24"/>
      <c r="B354" s="24"/>
      <c r="C354" s="24"/>
      <c r="D354" s="24"/>
      <c r="E354" s="24"/>
      <c r="F354" s="24"/>
    </row>
    <row r="355">
      <c r="A355" s="24"/>
      <c r="B355" s="24"/>
      <c r="C355" s="24"/>
      <c r="D355" s="24"/>
      <c r="E355" s="24"/>
      <c r="F355" s="24"/>
    </row>
    <row r="356">
      <c r="A356" s="24"/>
      <c r="B356" s="24"/>
      <c r="C356" s="24"/>
      <c r="D356" s="24"/>
      <c r="E356" s="24"/>
      <c r="F356" s="24"/>
    </row>
    <row r="357">
      <c r="A357" s="24"/>
      <c r="B357" s="24"/>
      <c r="C357" s="24"/>
      <c r="D357" s="24"/>
      <c r="E357" s="24"/>
      <c r="F357" s="24"/>
    </row>
    <row r="358">
      <c r="A358" s="24"/>
      <c r="B358" s="24"/>
      <c r="C358" s="24"/>
      <c r="D358" s="24"/>
      <c r="E358" s="24"/>
      <c r="F358" s="24"/>
    </row>
    <row r="359">
      <c r="A359" s="24"/>
      <c r="B359" s="24"/>
      <c r="C359" s="24"/>
      <c r="D359" s="24"/>
      <c r="E359" s="24"/>
      <c r="F359" s="24"/>
    </row>
    <row r="360">
      <c r="A360" s="24"/>
      <c r="B360" s="24"/>
      <c r="C360" s="24"/>
      <c r="D360" s="24"/>
      <c r="E360" s="24"/>
      <c r="F360" s="24"/>
    </row>
    <row r="361">
      <c r="A361" s="24"/>
      <c r="B361" s="24"/>
      <c r="C361" s="24"/>
      <c r="D361" s="24"/>
      <c r="E361" s="24"/>
      <c r="F361" s="24"/>
    </row>
    <row r="362">
      <c r="A362" s="24"/>
      <c r="B362" s="24"/>
      <c r="C362" s="24"/>
      <c r="D362" s="24"/>
      <c r="E362" s="24"/>
      <c r="F362" s="24"/>
    </row>
    <row r="363">
      <c r="A363" s="24"/>
      <c r="B363" s="24"/>
      <c r="C363" s="24"/>
      <c r="D363" s="24"/>
      <c r="E363" s="24"/>
      <c r="F363" s="24"/>
    </row>
    <row r="364">
      <c r="A364" s="24"/>
      <c r="B364" s="24"/>
      <c r="C364" s="24"/>
      <c r="D364" s="24"/>
      <c r="E364" s="24"/>
      <c r="F364" s="24"/>
    </row>
    <row r="365">
      <c r="A365" s="24"/>
      <c r="B365" s="24"/>
      <c r="C365" s="24"/>
      <c r="D365" s="24"/>
      <c r="E365" s="24"/>
      <c r="F365" s="24"/>
    </row>
    <row r="366">
      <c r="A366" s="24"/>
      <c r="B366" s="24"/>
      <c r="C366" s="24"/>
      <c r="D366" s="24"/>
      <c r="E366" s="24"/>
      <c r="F366" s="24"/>
    </row>
    <row r="367">
      <c r="A367" s="24"/>
      <c r="B367" s="24"/>
      <c r="C367" s="24"/>
      <c r="D367" s="24"/>
      <c r="E367" s="24"/>
      <c r="F367" s="24"/>
    </row>
    <row r="368">
      <c r="A368" s="24"/>
      <c r="B368" s="24"/>
      <c r="C368" s="24"/>
      <c r="D368" s="24"/>
      <c r="E368" s="24"/>
      <c r="F368" s="24"/>
    </row>
    <row r="369">
      <c r="A369" s="24"/>
      <c r="B369" s="24"/>
      <c r="C369" s="24"/>
      <c r="D369" s="24"/>
      <c r="E369" s="24"/>
      <c r="F369" s="24"/>
    </row>
    <row r="370">
      <c r="A370" s="24"/>
      <c r="B370" s="24"/>
      <c r="C370" s="24"/>
      <c r="D370" s="24"/>
      <c r="E370" s="24"/>
      <c r="F370" s="24"/>
    </row>
    <row r="371">
      <c r="A371" s="24"/>
      <c r="B371" s="24"/>
      <c r="C371" s="24"/>
      <c r="D371" s="24"/>
      <c r="E371" s="24"/>
      <c r="F371" s="24"/>
    </row>
    <row r="372">
      <c r="A372" s="24"/>
      <c r="B372" s="24"/>
      <c r="C372" s="24"/>
      <c r="D372" s="24"/>
      <c r="E372" s="24"/>
      <c r="F372" s="24"/>
    </row>
    <row r="373">
      <c r="A373" s="24"/>
      <c r="B373" s="24"/>
      <c r="C373" s="24"/>
      <c r="D373" s="24"/>
      <c r="E373" s="24"/>
      <c r="F373" s="24"/>
    </row>
    <row r="374">
      <c r="A374" s="24"/>
      <c r="B374" s="24"/>
      <c r="C374" s="24"/>
      <c r="D374" s="24"/>
      <c r="E374" s="24"/>
      <c r="F374" s="24"/>
    </row>
    <row r="375">
      <c r="A375" s="24"/>
      <c r="B375" s="24"/>
      <c r="C375" s="24"/>
      <c r="D375" s="24"/>
      <c r="E375" s="24"/>
      <c r="F375" s="24"/>
    </row>
    <row r="376">
      <c r="A376" s="24"/>
      <c r="B376" s="24"/>
      <c r="C376" s="24"/>
      <c r="D376" s="24"/>
      <c r="E376" s="24"/>
      <c r="F376" s="24"/>
    </row>
    <row r="377">
      <c r="A377" s="24"/>
      <c r="B377" s="24"/>
      <c r="C377" s="24"/>
      <c r="D377" s="24"/>
      <c r="E377" s="24"/>
      <c r="F377" s="24"/>
    </row>
    <row r="378">
      <c r="A378" s="24"/>
      <c r="B378" s="24"/>
      <c r="C378" s="24"/>
      <c r="D378" s="24"/>
      <c r="E378" s="24"/>
      <c r="F378" s="24"/>
    </row>
    <row r="379">
      <c r="A379" s="24"/>
      <c r="B379" s="24"/>
      <c r="C379" s="24"/>
      <c r="D379" s="24"/>
      <c r="E379" s="24"/>
      <c r="F379" s="24"/>
    </row>
    <row r="380">
      <c r="A380" s="24"/>
      <c r="B380" s="24"/>
      <c r="C380" s="24"/>
      <c r="D380" s="24"/>
      <c r="E380" s="24"/>
      <c r="F380" s="24"/>
    </row>
    <row r="381">
      <c r="A381" s="24"/>
      <c r="B381" s="24"/>
      <c r="C381" s="24"/>
      <c r="D381" s="24"/>
      <c r="E381" s="24"/>
      <c r="F381" s="24"/>
    </row>
    <row r="382">
      <c r="A382" s="24"/>
      <c r="B382" s="24"/>
      <c r="C382" s="24"/>
      <c r="D382" s="24"/>
      <c r="E382" s="24"/>
      <c r="F382" s="24"/>
    </row>
    <row r="383">
      <c r="A383" s="24"/>
      <c r="B383" s="24"/>
      <c r="C383" s="24"/>
      <c r="D383" s="24"/>
      <c r="E383" s="24"/>
      <c r="F383" s="24"/>
    </row>
    <row r="384">
      <c r="A384" s="24"/>
      <c r="B384" s="24"/>
      <c r="C384" s="24"/>
      <c r="D384" s="24"/>
      <c r="E384" s="24"/>
      <c r="F384" s="24"/>
    </row>
    <row r="385">
      <c r="A385" s="24"/>
      <c r="B385" s="24"/>
      <c r="C385" s="24"/>
      <c r="D385" s="24"/>
      <c r="E385" s="24"/>
      <c r="F385" s="24"/>
    </row>
    <row r="386">
      <c r="A386" s="24"/>
      <c r="B386" s="24"/>
      <c r="C386" s="24"/>
      <c r="D386" s="24"/>
      <c r="E386" s="24"/>
      <c r="F386" s="24"/>
    </row>
    <row r="387">
      <c r="A387" s="24"/>
      <c r="B387" s="24"/>
      <c r="C387" s="24"/>
      <c r="D387" s="24"/>
      <c r="E387" s="24"/>
      <c r="F387" s="24"/>
    </row>
    <row r="388">
      <c r="A388" s="24"/>
      <c r="B388" s="24"/>
      <c r="C388" s="24"/>
      <c r="D388" s="24"/>
      <c r="E388" s="24"/>
      <c r="F388" s="24"/>
    </row>
    <row r="389">
      <c r="A389" s="24"/>
      <c r="B389" s="24"/>
      <c r="C389" s="24"/>
      <c r="D389" s="24"/>
      <c r="E389" s="24"/>
      <c r="F389" s="24"/>
    </row>
    <row r="390">
      <c r="A390" s="24"/>
      <c r="B390" s="24"/>
      <c r="C390" s="24"/>
      <c r="D390" s="24"/>
      <c r="E390" s="24"/>
      <c r="F390" s="24"/>
    </row>
    <row r="391">
      <c r="A391" s="24"/>
      <c r="B391" s="24"/>
      <c r="C391" s="24"/>
      <c r="D391" s="24"/>
      <c r="E391" s="24"/>
      <c r="F391" s="24"/>
    </row>
    <row r="392">
      <c r="A392" s="24"/>
      <c r="B392" s="24"/>
      <c r="C392" s="24"/>
      <c r="D392" s="24"/>
      <c r="E392" s="24"/>
      <c r="F392" s="24"/>
    </row>
    <row r="393">
      <c r="A393" s="24"/>
      <c r="B393" s="24"/>
      <c r="C393" s="24"/>
      <c r="D393" s="24"/>
      <c r="E393" s="24"/>
      <c r="F393" s="24"/>
    </row>
    <row r="394">
      <c r="A394" s="24"/>
      <c r="B394" s="24"/>
      <c r="C394" s="24"/>
      <c r="D394" s="24"/>
      <c r="E394" s="24"/>
      <c r="F394" s="24"/>
    </row>
    <row r="395">
      <c r="A395" s="24"/>
      <c r="B395" s="24"/>
      <c r="C395" s="24"/>
      <c r="D395" s="24"/>
      <c r="E395" s="24"/>
      <c r="F395" s="24"/>
    </row>
    <row r="396">
      <c r="A396" s="24"/>
      <c r="B396" s="24"/>
      <c r="C396" s="24"/>
      <c r="D396" s="24"/>
      <c r="E396" s="24"/>
      <c r="F396" s="24"/>
    </row>
    <row r="397">
      <c r="A397" s="24"/>
      <c r="B397" s="24"/>
      <c r="C397" s="24"/>
      <c r="D397" s="24"/>
      <c r="E397" s="24"/>
      <c r="F397" s="24"/>
    </row>
    <row r="398">
      <c r="A398" s="24"/>
      <c r="B398" s="24"/>
      <c r="C398" s="24"/>
      <c r="D398" s="24"/>
      <c r="E398" s="24"/>
      <c r="F398" s="24"/>
    </row>
    <row r="399">
      <c r="A399" s="24"/>
      <c r="B399" s="24"/>
      <c r="C399" s="24"/>
      <c r="D399" s="24"/>
      <c r="E399" s="24"/>
      <c r="F399" s="24"/>
    </row>
    <row r="400">
      <c r="A400" s="24"/>
      <c r="B400" s="24"/>
      <c r="C400" s="24"/>
      <c r="D400" s="24"/>
      <c r="E400" s="24"/>
      <c r="F400" s="24"/>
    </row>
    <row r="401">
      <c r="A401" s="24"/>
      <c r="B401" s="24"/>
      <c r="C401" s="24"/>
      <c r="D401" s="24"/>
      <c r="E401" s="24"/>
      <c r="F401" s="24"/>
    </row>
    <row r="402">
      <c r="A402" s="24"/>
      <c r="B402" s="24"/>
      <c r="C402" s="24"/>
      <c r="D402" s="24"/>
      <c r="E402" s="24"/>
      <c r="F402" s="24"/>
    </row>
    <row r="403">
      <c r="A403" s="24"/>
      <c r="B403" s="24"/>
      <c r="C403" s="24"/>
      <c r="D403" s="24"/>
      <c r="E403" s="24"/>
      <c r="F403" s="24"/>
    </row>
    <row r="404">
      <c r="A404" s="24"/>
      <c r="B404" s="24"/>
      <c r="C404" s="24"/>
      <c r="D404" s="24"/>
      <c r="E404" s="24"/>
      <c r="F404" s="24"/>
    </row>
    <row r="405">
      <c r="A405" s="24"/>
      <c r="B405" s="24"/>
      <c r="C405" s="24"/>
      <c r="D405" s="24"/>
      <c r="E405" s="24"/>
      <c r="F405" s="24"/>
    </row>
    <row r="406">
      <c r="A406" s="24"/>
      <c r="B406" s="24"/>
      <c r="C406" s="24"/>
      <c r="D406" s="24"/>
      <c r="E406" s="24"/>
      <c r="F406" s="24"/>
    </row>
    <row r="407">
      <c r="A407" s="24"/>
      <c r="B407" s="24"/>
      <c r="C407" s="24"/>
      <c r="D407" s="24"/>
      <c r="E407" s="24"/>
      <c r="F407" s="24"/>
    </row>
    <row r="408">
      <c r="A408" s="24"/>
      <c r="B408" s="24"/>
      <c r="C408" s="24"/>
      <c r="D408" s="24"/>
      <c r="E408" s="24"/>
      <c r="F408" s="24"/>
    </row>
    <row r="409">
      <c r="A409" s="24"/>
      <c r="B409" s="24"/>
      <c r="C409" s="24"/>
      <c r="D409" s="24"/>
      <c r="E409" s="24"/>
      <c r="F409" s="24"/>
    </row>
    <row r="410">
      <c r="A410" s="24"/>
      <c r="B410" s="24"/>
      <c r="C410" s="24"/>
      <c r="D410" s="24"/>
      <c r="E410" s="24"/>
      <c r="F410" s="24"/>
    </row>
    <row r="411">
      <c r="A411" s="24"/>
      <c r="B411" s="24"/>
      <c r="C411" s="24"/>
      <c r="D411" s="24"/>
      <c r="E411" s="24"/>
      <c r="F411" s="24"/>
    </row>
    <row r="412">
      <c r="A412" s="24"/>
      <c r="B412" s="24"/>
      <c r="C412" s="24"/>
      <c r="D412" s="24"/>
      <c r="E412" s="24"/>
      <c r="F412" s="24"/>
    </row>
    <row r="413">
      <c r="A413" s="24"/>
      <c r="B413" s="24"/>
      <c r="C413" s="24"/>
      <c r="D413" s="24"/>
      <c r="E413" s="24"/>
      <c r="F413" s="24"/>
    </row>
    <row r="414">
      <c r="A414" s="24"/>
      <c r="B414" s="24"/>
      <c r="C414" s="24"/>
      <c r="D414" s="24"/>
      <c r="E414" s="24"/>
      <c r="F414" s="24"/>
    </row>
    <row r="415">
      <c r="A415" s="24"/>
      <c r="B415" s="24"/>
      <c r="C415" s="24"/>
      <c r="D415" s="24"/>
      <c r="E415" s="24"/>
      <c r="F415" s="24"/>
    </row>
    <row r="416">
      <c r="A416" s="24"/>
      <c r="B416" s="24"/>
      <c r="C416" s="24"/>
      <c r="D416" s="24"/>
      <c r="E416" s="24"/>
      <c r="F416" s="24"/>
    </row>
    <row r="417">
      <c r="A417" s="24"/>
      <c r="B417" s="24"/>
      <c r="C417" s="24"/>
      <c r="D417" s="24"/>
      <c r="E417" s="24"/>
      <c r="F417" s="24"/>
    </row>
    <row r="418">
      <c r="A418" s="24"/>
      <c r="B418" s="24"/>
      <c r="C418" s="24"/>
      <c r="D418" s="24"/>
      <c r="E418" s="24"/>
      <c r="F418" s="24"/>
    </row>
    <row r="419">
      <c r="A419" s="24"/>
      <c r="B419" s="24"/>
      <c r="C419" s="24"/>
      <c r="D419" s="24"/>
      <c r="E419" s="24"/>
      <c r="F419" s="24"/>
    </row>
    <row r="420">
      <c r="A420" s="24"/>
      <c r="B420" s="24"/>
      <c r="C420" s="24"/>
      <c r="D420" s="24"/>
      <c r="E420" s="24"/>
      <c r="F420" s="24"/>
    </row>
    <row r="421">
      <c r="A421" s="24"/>
      <c r="B421" s="24"/>
      <c r="C421" s="24"/>
      <c r="D421" s="24"/>
      <c r="E421" s="24"/>
      <c r="F421" s="24"/>
    </row>
    <row r="422">
      <c r="A422" s="24"/>
      <c r="B422" s="24"/>
      <c r="C422" s="24"/>
      <c r="D422" s="24"/>
      <c r="E422" s="24"/>
      <c r="F422" s="24"/>
    </row>
    <row r="423">
      <c r="A423" s="24"/>
      <c r="B423" s="24"/>
      <c r="C423" s="24"/>
      <c r="D423" s="24"/>
      <c r="E423" s="24"/>
      <c r="F423" s="24"/>
    </row>
    <row r="424">
      <c r="A424" s="24"/>
      <c r="B424" s="24"/>
      <c r="C424" s="24"/>
      <c r="D424" s="24"/>
      <c r="E424" s="24"/>
      <c r="F424" s="24"/>
    </row>
    <row r="425">
      <c r="A425" s="24"/>
      <c r="B425" s="24"/>
      <c r="C425" s="24"/>
      <c r="D425" s="24"/>
      <c r="E425" s="24"/>
      <c r="F425" s="24"/>
    </row>
    <row r="426">
      <c r="A426" s="24"/>
      <c r="B426" s="24"/>
      <c r="C426" s="24"/>
      <c r="D426" s="24"/>
      <c r="E426" s="24"/>
      <c r="F426" s="24"/>
    </row>
    <row r="427">
      <c r="A427" s="24"/>
      <c r="B427" s="24"/>
      <c r="C427" s="24"/>
      <c r="D427" s="24"/>
      <c r="E427" s="24"/>
      <c r="F427" s="24"/>
    </row>
    <row r="428">
      <c r="A428" s="24"/>
      <c r="B428" s="24"/>
      <c r="C428" s="24"/>
      <c r="D428" s="24"/>
      <c r="E428" s="24"/>
      <c r="F428" s="24"/>
    </row>
    <row r="429">
      <c r="A429" s="24"/>
      <c r="B429" s="24"/>
      <c r="C429" s="24"/>
      <c r="D429" s="24"/>
      <c r="E429" s="24"/>
      <c r="F429" s="24"/>
    </row>
    <row r="430">
      <c r="A430" s="24"/>
      <c r="B430" s="24"/>
      <c r="C430" s="24"/>
      <c r="D430" s="24"/>
      <c r="E430" s="24"/>
      <c r="F430" s="24"/>
    </row>
    <row r="431">
      <c r="A431" s="24"/>
      <c r="B431" s="24"/>
      <c r="C431" s="24"/>
      <c r="D431" s="24"/>
      <c r="E431" s="24"/>
      <c r="F431" s="24"/>
    </row>
    <row r="432">
      <c r="A432" s="24"/>
      <c r="B432" s="24"/>
      <c r="C432" s="24"/>
      <c r="D432" s="24"/>
      <c r="E432" s="24"/>
      <c r="F432" s="24"/>
    </row>
    <row r="433">
      <c r="A433" s="24"/>
      <c r="B433" s="24"/>
      <c r="C433" s="24"/>
      <c r="D433" s="24"/>
      <c r="E433" s="24"/>
      <c r="F433" s="24"/>
    </row>
    <row r="434">
      <c r="A434" s="24"/>
      <c r="B434" s="24"/>
      <c r="C434" s="24"/>
      <c r="D434" s="24"/>
      <c r="E434" s="24"/>
      <c r="F434" s="24"/>
    </row>
    <row r="435">
      <c r="A435" s="24"/>
      <c r="B435" s="24"/>
      <c r="C435" s="24"/>
      <c r="D435" s="24"/>
      <c r="E435" s="24"/>
      <c r="F435" s="24"/>
    </row>
    <row r="436">
      <c r="A436" s="24"/>
      <c r="B436" s="24"/>
      <c r="C436" s="24"/>
      <c r="D436" s="24"/>
      <c r="E436" s="24"/>
      <c r="F436" s="24"/>
    </row>
    <row r="437">
      <c r="A437" s="24"/>
      <c r="B437" s="24"/>
      <c r="C437" s="24"/>
      <c r="D437" s="24"/>
      <c r="E437" s="24"/>
      <c r="F437" s="24"/>
    </row>
    <row r="438">
      <c r="A438" s="24"/>
      <c r="B438" s="24"/>
      <c r="C438" s="24"/>
      <c r="D438" s="24"/>
      <c r="E438" s="24"/>
      <c r="F438" s="24"/>
    </row>
    <row r="439">
      <c r="A439" s="24"/>
      <c r="B439" s="24"/>
      <c r="C439" s="24"/>
      <c r="D439" s="24"/>
      <c r="E439" s="24"/>
      <c r="F439" s="24"/>
    </row>
    <row r="440">
      <c r="A440" s="24"/>
      <c r="B440" s="24"/>
      <c r="C440" s="24"/>
      <c r="D440" s="24"/>
      <c r="E440" s="24"/>
      <c r="F440" s="24"/>
    </row>
    <row r="441">
      <c r="A441" s="24"/>
      <c r="B441" s="24"/>
      <c r="C441" s="24"/>
      <c r="D441" s="24"/>
      <c r="E441" s="24"/>
      <c r="F441" s="24"/>
    </row>
    <row r="442">
      <c r="A442" s="24"/>
      <c r="B442" s="24"/>
      <c r="C442" s="24"/>
      <c r="D442" s="24"/>
      <c r="E442" s="24"/>
      <c r="F442" s="24"/>
    </row>
    <row r="443">
      <c r="A443" s="24"/>
      <c r="B443" s="24"/>
      <c r="C443" s="24"/>
      <c r="D443" s="24"/>
      <c r="E443" s="24"/>
      <c r="F443" s="24"/>
    </row>
    <row r="444">
      <c r="A444" s="24"/>
      <c r="B444" s="24"/>
      <c r="C444" s="24"/>
      <c r="D444" s="24"/>
      <c r="E444" s="24"/>
      <c r="F444" s="24"/>
    </row>
    <row r="445">
      <c r="A445" s="24"/>
      <c r="B445" s="24"/>
      <c r="C445" s="24"/>
      <c r="D445" s="24"/>
      <c r="E445" s="24"/>
      <c r="F445" s="24"/>
    </row>
    <row r="446">
      <c r="A446" s="24"/>
      <c r="B446" s="24"/>
      <c r="C446" s="24"/>
      <c r="D446" s="24"/>
      <c r="E446" s="24"/>
      <c r="F446" s="24"/>
    </row>
    <row r="447">
      <c r="A447" s="24"/>
      <c r="B447" s="24"/>
      <c r="C447" s="24"/>
      <c r="D447" s="24"/>
      <c r="E447" s="24"/>
      <c r="F447" s="24"/>
    </row>
    <row r="448">
      <c r="A448" s="24"/>
      <c r="B448" s="24"/>
      <c r="C448" s="24"/>
      <c r="D448" s="24"/>
      <c r="E448" s="24"/>
      <c r="F448" s="24"/>
    </row>
    <row r="449">
      <c r="A449" s="24"/>
      <c r="B449" s="24"/>
      <c r="C449" s="24"/>
      <c r="D449" s="24"/>
      <c r="E449" s="24"/>
      <c r="F449" s="24"/>
    </row>
    <row r="450">
      <c r="A450" s="24"/>
      <c r="B450" s="24"/>
      <c r="C450" s="24"/>
      <c r="D450" s="24"/>
      <c r="E450" s="24"/>
      <c r="F450" s="24"/>
    </row>
    <row r="451">
      <c r="A451" s="24"/>
      <c r="B451" s="24"/>
      <c r="C451" s="24"/>
      <c r="D451" s="24"/>
      <c r="E451" s="24"/>
      <c r="F451" s="24"/>
    </row>
    <row r="452">
      <c r="A452" s="24"/>
      <c r="B452" s="24"/>
      <c r="C452" s="24"/>
      <c r="D452" s="24"/>
      <c r="E452" s="24"/>
      <c r="F452" s="24"/>
    </row>
    <row r="453">
      <c r="A453" s="24"/>
      <c r="B453" s="24"/>
      <c r="C453" s="24"/>
      <c r="D453" s="24"/>
      <c r="E453" s="24"/>
      <c r="F453" s="24"/>
    </row>
    <row r="454">
      <c r="A454" s="24"/>
      <c r="B454" s="24"/>
      <c r="C454" s="24"/>
      <c r="D454" s="24"/>
      <c r="E454" s="24"/>
      <c r="F454" s="24"/>
    </row>
    <row r="455">
      <c r="A455" s="24"/>
      <c r="B455" s="24"/>
      <c r="C455" s="24"/>
      <c r="D455" s="24"/>
      <c r="E455" s="24"/>
      <c r="F455" s="24"/>
    </row>
    <row r="456">
      <c r="A456" s="24"/>
      <c r="B456" s="24"/>
      <c r="C456" s="24"/>
      <c r="D456" s="24"/>
      <c r="E456" s="24"/>
      <c r="F456" s="24"/>
    </row>
    <row r="457">
      <c r="A457" s="24"/>
      <c r="B457" s="24"/>
      <c r="C457" s="24"/>
      <c r="D457" s="24"/>
      <c r="E457" s="24"/>
      <c r="F457" s="24"/>
    </row>
    <row r="458">
      <c r="A458" s="24"/>
      <c r="B458" s="24"/>
      <c r="C458" s="24"/>
      <c r="D458" s="24"/>
      <c r="E458" s="24"/>
      <c r="F458" s="24"/>
    </row>
    <row r="459">
      <c r="A459" s="24"/>
      <c r="B459" s="24"/>
      <c r="C459" s="24"/>
      <c r="D459" s="24"/>
      <c r="E459" s="24"/>
      <c r="F459" s="24"/>
    </row>
    <row r="460">
      <c r="A460" s="24"/>
      <c r="B460" s="24"/>
      <c r="C460" s="24"/>
      <c r="D460" s="24"/>
      <c r="E460" s="24"/>
      <c r="F460" s="24"/>
    </row>
    <row r="461">
      <c r="A461" s="24"/>
      <c r="B461" s="24"/>
      <c r="C461" s="24"/>
      <c r="D461" s="24"/>
      <c r="E461" s="24"/>
      <c r="F461" s="24"/>
    </row>
    <row r="462">
      <c r="A462" s="24"/>
      <c r="B462" s="24"/>
      <c r="C462" s="24"/>
      <c r="D462" s="24"/>
      <c r="E462" s="24"/>
      <c r="F462" s="24"/>
    </row>
    <row r="463">
      <c r="A463" s="24"/>
      <c r="B463" s="24"/>
      <c r="C463" s="24"/>
      <c r="D463" s="24"/>
      <c r="E463" s="24"/>
      <c r="F463" s="24"/>
    </row>
    <row r="464">
      <c r="A464" s="24"/>
      <c r="B464" s="24"/>
      <c r="C464" s="24"/>
      <c r="D464" s="24"/>
      <c r="E464" s="24"/>
      <c r="F464" s="24"/>
    </row>
    <row r="465">
      <c r="A465" s="24"/>
      <c r="B465" s="24"/>
      <c r="C465" s="24"/>
      <c r="D465" s="24"/>
      <c r="E465" s="24"/>
      <c r="F465" s="24"/>
    </row>
    <row r="466">
      <c r="A466" s="24"/>
      <c r="B466" s="24"/>
      <c r="C466" s="24"/>
      <c r="D466" s="24"/>
      <c r="E466" s="24"/>
      <c r="F466" s="24"/>
    </row>
    <row r="467">
      <c r="A467" s="24"/>
      <c r="B467" s="24"/>
      <c r="C467" s="24"/>
      <c r="D467" s="24"/>
      <c r="E467" s="24"/>
      <c r="F467" s="24"/>
    </row>
    <row r="468">
      <c r="A468" s="24"/>
      <c r="B468" s="24"/>
      <c r="C468" s="24"/>
      <c r="D468" s="24"/>
      <c r="E468" s="24"/>
      <c r="F468" s="24"/>
    </row>
    <row r="469">
      <c r="A469" s="24"/>
      <c r="B469" s="24"/>
      <c r="C469" s="24"/>
      <c r="D469" s="24"/>
      <c r="E469" s="24"/>
      <c r="F469" s="24"/>
    </row>
    <row r="470">
      <c r="A470" s="24"/>
      <c r="B470" s="24"/>
      <c r="C470" s="24"/>
      <c r="D470" s="24"/>
      <c r="E470" s="24"/>
      <c r="F470" s="24"/>
    </row>
    <row r="471">
      <c r="A471" s="24"/>
      <c r="B471" s="24"/>
      <c r="C471" s="24"/>
      <c r="D471" s="24"/>
      <c r="E471" s="24"/>
      <c r="F471" s="24"/>
    </row>
    <row r="472">
      <c r="A472" s="24"/>
      <c r="B472" s="24"/>
      <c r="C472" s="24"/>
      <c r="D472" s="24"/>
      <c r="E472" s="24"/>
      <c r="F472" s="24"/>
    </row>
    <row r="473">
      <c r="A473" s="24"/>
      <c r="B473" s="24"/>
      <c r="C473" s="24"/>
      <c r="D473" s="24"/>
      <c r="E473" s="24"/>
      <c r="F473" s="24"/>
    </row>
    <row r="474">
      <c r="A474" s="24"/>
      <c r="B474" s="24"/>
      <c r="C474" s="24"/>
      <c r="D474" s="24"/>
      <c r="E474" s="24"/>
      <c r="F474" s="24"/>
    </row>
    <row r="475">
      <c r="A475" s="24"/>
      <c r="B475" s="24"/>
      <c r="C475" s="24"/>
      <c r="D475" s="24"/>
      <c r="E475" s="24"/>
      <c r="F475" s="24"/>
    </row>
    <row r="476">
      <c r="A476" s="24"/>
      <c r="B476" s="24"/>
      <c r="C476" s="24"/>
      <c r="D476" s="24"/>
      <c r="E476" s="24"/>
      <c r="F476" s="24"/>
    </row>
    <row r="477">
      <c r="A477" s="24"/>
      <c r="B477" s="24"/>
      <c r="C477" s="24"/>
      <c r="D477" s="24"/>
      <c r="E477" s="24"/>
      <c r="F477" s="24"/>
    </row>
    <row r="478">
      <c r="A478" s="24"/>
      <c r="B478" s="24"/>
      <c r="C478" s="24"/>
      <c r="D478" s="24"/>
      <c r="E478" s="24"/>
      <c r="F478" s="24"/>
    </row>
    <row r="479">
      <c r="A479" s="24"/>
      <c r="B479" s="24"/>
      <c r="C479" s="24"/>
      <c r="D479" s="24"/>
      <c r="E479" s="24"/>
      <c r="F479" s="24"/>
    </row>
    <row r="480">
      <c r="A480" s="24"/>
      <c r="B480" s="24"/>
      <c r="C480" s="24"/>
      <c r="D480" s="24"/>
      <c r="E480" s="24"/>
      <c r="F480" s="24"/>
    </row>
    <row r="481">
      <c r="A481" s="24"/>
      <c r="B481" s="24"/>
      <c r="C481" s="24"/>
      <c r="D481" s="24"/>
      <c r="E481" s="24"/>
      <c r="F481" s="24"/>
    </row>
    <row r="482">
      <c r="A482" s="24"/>
      <c r="B482" s="24"/>
      <c r="C482" s="24"/>
      <c r="D482" s="24"/>
      <c r="E482" s="24"/>
      <c r="F482" s="24"/>
    </row>
    <row r="483">
      <c r="A483" s="24"/>
      <c r="B483" s="24"/>
      <c r="C483" s="24"/>
      <c r="D483" s="24"/>
      <c r="E483" s="24"/>
      <c r="F483" s="24"/>
    </row>
    <row r="484">
      <c r="A484" s="24"/>
      <c r="B484" s="24"/>
      <c r="C484" s="24"/>
      <c r="D484" s="24"/>
      <c r="E484" s="24"/>
      <c r="F484" s="24"/>
    </row>
    <row r="485">
      <c r="A485" s="24"/>
      <c r="B485" s="24"/>
      <c r="C485" s="24"/>
      <c r="D485" s="24"/>
      <c r="E485" s="24"/>
      <c r="F485" s="24"/>
    </row>
    <row r="486">
      <c r="A486" s="24"/>
      <c r="B486" s="24"/>
      <c r="C486" s="24"/>
      <c r="D486" s="24"/>
      <c r="E486" s="24"/>
      <c r="F486" s="24"/>
    </row>
    <row r="487">
      <c r="A487" s="24"/>
      <c r="B487" s="24"/>
      <c r="C487" s="24"/>
      <c r="D487" s="24"/>
      <c r="E487" s="24"/>
      <c r="F487" s="24"/>
    </row>
    <row r="488">
      <c r="A488" s="24"/>
      <c r="B488" s="24"/>
      <c r="C488" s="24"/>
      <c r="D488" s="24"/>
      <c r="E488" s="24"/>
      <c r="F488" s="24"/>
    </row>
    <row r="489">
      <c r="A489" s="24"/>
      <c r="B489" s="24"/>
      <c r="C489" s="24"/>
      <c r="D489" s="24"/>
      <c r="E489" s="24"/>
      <c r="F489" s="24"/>
    </row>
    <row r="490">
      <c r="A490" s="24"/>
      <c r="B490" s="24"/>
      <c r="C490" s="24"/>
      <c r="D490" s="24"/>
      <c r="E490" s="24"/>
      <c r="F490" s="24"/>
    </row>
    <row r="491">
      <c r="A491" s="24"/>
      <c r="B491" s="24"/>
      <c r="C491" s="24"/>
      <c r="D491" s="24"/>
      <c r="E491" s="24"/>
      <c r="F491" s="24"/>
    </row>
    <row r="492">
      <c r="A492" s="24"/>
      <c r="B492" s="24"/>
      <c r="C492" s="24"/>
      <c r="D492" s="24"/>
      <c r="E492" s="24"/>
      <c r="F492" s="24"/>
    </row>
    <row r="493">
      <c r="A493" s="24"/>
      <c r="B493" s="24"/>
      <c r="C493" s="24"/>
      <c r="D493" s="24"/>
      <c r="E493" s="24"/>
      <c r="F493" s="24"/>
    </row>
    <row r="494">
      <c r="A494" s="24"/>
      <c r="B494" s="24"/>
      <c r="C494" s="24"/>
      <c r="D494" s="24"/>
      <c r="E494" s="24"/>
      <c r="F494" s="24"/>
    </row>
    <row r="495">
      <c r="A495" s="24"/>
      <c r="B495" s="24"/>
      <c r="C495" s="24"/>
      <c r="D495" s="24"/>
      <c r="E495" s="24"/>
      <c r="F495" s="24"/>
    </row>
    <row r="496">
      <c r="A496" s="24"/>
      <c r="B496" s="24"/>
      <c r="C496" s="24"/>
      <c r="D496" s="24"/>
      <c r="E496" s="24"/>
      <c r="F496" s="24"/>
    </row>
    <row r="497">
      <c r="A497" s="24"/>
      <c r="B497" s="24"/>
      <c r="C497" s="24"/>
      <c r="D497" s="24"/>
      <c r="E497" s="24"/>
      <c r="F497" s="24"/>
    </row>
    <row r="498">
      <c r="A498" s="24"/>
      <c r="B498" s="24"/>
      <c r="C498" s="24"/>
      <c r="D498" s="24"/>
      <c r="E498" s="24"/>
      <c r="F498" s="24"/>
    </row>
    <row r="499">
      <c r="A499" s="24"/>
      <c r="B499" s="24"/>
      <c r="C499" s="24"/>
      <c r="D499" s="24"/>
      <c r="E499" s="24"/>
      <c r="F499" s="24"/>
    </row>
    <row r="500">
      <c r="A500" s="24"/>
      <c r="B500" s="24"/>
      <c r="C500" s="24"/>
      <c r="D500" s="24"/>
      <c r="E500" s="24"/>
      <c r="F500" s="24"/>
    </row>
    <row r="501">
      <c r="A501" s="24"/>
      <c r="B501" s="24"/>
      <c r="C501" s="24"/>
      <c r="D501" s="24"/>
      <c r="E501" s="24"/>
      <c r="F501" s="24"/>
    </row>
    <row r="502">
      <c r="A502" s="24"/>
      <c r="B502" s="24"/>
      <c r="C502" s="24"/>
      <c r="D502" s="24"/>
      <c r="E502" s="24"/>
      <c r="F502" s="24"/>
    </row>
    <row r="503">
      <c r="A503" s="24"/>
      <c r="B503" s="24"/>
      <c r="C503" s="24"/>
      <c r="D503" s="24"/>
      <c r="E503" s="24"/>
      <c r="F503" s="24"/>
    </row>
    <row r="504">
      <c r="A504" s="24"/>
      <c r="B504" s="24"/>
      <c r="C504" s="24"/>
      <c r="D504" s="24"/>
      <c r="E504" s="24"/>
      <c r="F504" s="24"/>
    </row>
    <row r="505">
      <c r="A505" s="24"/>
      <c r="B505" s="24"/>
      <c r="C505" s="24"/>
      <c r="D505" s="24"/>
      <c r="E505" s="24"/>
      <c r="F505" s="24"/>
    </row>
    <row r="506">
      <c r="A506" s="24"/>
      <c r="B506" s="24"/>
      <c r="C506" s="24"/>
      <c r="D506" s="24"/>
      <c r="E506" s="24"/>
      <c r="F506" s="24"/>
    </row>
    <row r="507">
      <c r="A507" s="24"/>
      <c r="B507" s="24"/>
      <c r="C507" s="24"/>
      <c r="D507" s="24"/>
      <c r="E507" s="24"/>
      <c r="F507" s="24"/>
    </row>
    <row r="508">
      <c r="A508" s="24"/>
      <c r="B508" s="24"/>
      <c r="C508" s="24"/>
      <c r="D508" s="24"/>
      <c r="E508" s="24"/>
      <c r="F508" s="24"/>
    </row>
    <row r="509">
      <c r="A509" s="24"/>
      <c r="B509" s="24"/>
      <c r="C509" s="24"/>
      <c r="D509" s="24"/>
      <c r="E509" s="24"/>
      <c r="F509" s="24"/>
    </row>
    <row r="510">
      <c r="A510" s="24"/>
      <c r="B510" s="24"/>
      <c r="C510" s="24"/>
      <c r="D510" s="24"/>
      <c r="E510" s="24"/>
      <c r="F510" s="24"/>
    </row>
    <row r="511">
      <c r="A511" s="24"/>
      <c r="B511" s="24"/>
      <c r="C511" s="24"/>
      <c r="D511" s="24"/>
      <c r="E511" s="24"/>
      <c r="F511" s="24"/>
    </row>
    <row r="512">
      <c r="A512" s="24"/>
      <c r="B512" s="24"/>
      <c r="C512" s="24"/>
      <c r="D512" s="24"/>
      <c r="E512" s="24"/>
      <c r="F512" s="24"/>
    </row>
    <row r="513">
      <c r="A513" s="24"/>
      <c r="B513" s="24"/>
      <c r="C513" s="24"/>
      <c r="D513" s="24"/>
      <c r="E513" s="24"/>
      <c r="F513" s="24"/>
    </row>
    <row r="514">
      <c r="A514" s="24"/>
      <c r="B514" s="24"/>
      <c r="C514" s="24"/>
      <c r="D514" s="24"/>
      <c r="E514" s="24"/>
      <c r="F514" s="24"/>
    </row>
    <row r="515">
      <c r="A515" s="24"/>
      <c r="B515" s="24"/>
      <c r="C515" s="24"/>
      <c r="D515" s="24"/>
      <c r="E515" s="24"/>
      <c r="F515" s="24"/>
    </row>
    <row r="516">
      <c r="A516" s="24"/>
      <c r="B516" s="24"/>
      <c r="C516" s="24"/>
      <c r="D516" s="24"/>
      <c r="E516" s="24"/>
      <c r="F516" s="24"/>
    </row>
    <row r="517">
      <c r="A517" s="24"/>
      <c r="B517" s="24"/>
      <c r="C517" s="24"/>
      <c r="D517" s="24"/>
      <c r="E517" s="24"/>
      <c r="F517" s="24"/>
    </row>
    <row r="518">
      <c r="A518" s="24"/>
      <c r="B518" s="24"/>
      <c r="C518" s="24"/>
      <c r="D518" s="24"/>
      <c r="E518" s="24"/>
      <c r="F518" s="24"/>
    </row>
    <row r="519">
      <c r="A519" s="24"/>
      <c r="B519" s="24"/>
      <c r="C519" s="24"/>
      <c r="D519" s="24"/>
      <c r="E519" s="24"/>
      <c r="F519" s="24"/>
    </row>
    <row r="520">
      <c r="A520" s="24"/>
      <c r="B520" s="24"/>
      <c r="C520" s="24"/>
      <c r="D520" s="24"/>
      <c r="E520" s="24"/>
      <c r="F520" s="24"/>
    </row>
    <row r="521">
      <c r="A521" s="24"/>
      <c r="B521" s="24"/>
      <c r="C521" s="24"/>
      <c r="D521" s="24"/>
      <c r="E521" s="24"/>
      <c r="F521" s="24"/>
    </row>
    <row r="522">
      <c r="A522" s="24"/>
      <c r="B522" s="24"/>
      <c r="C522" s="24"/>
      <c r="D522" s="24"/>
      <c r="E522" s="24"/>
      <c r="F522" s="24"/>
    </row>
    <row r="523">
      <c r="A523" s="24"/>
      <c r="B523" s="24"/>
      <c r="C523" s="24"/>
      <c r="D523" s="24"/>
      <c r="E523" s="24"/>
      <c r="F523" s="24"/>
    </row>
    <row r="524">
      <c r="A524" s="24"/>
      <c r="B524" s="24"/>
      <c r="C524" s="24"/>
      <c r="D524" s="24"/>
      <c r="E524" s="24"/>
      <c r="F524" s="24"/>
    </row>
    <row r="525">
      <c r="A525" s="24"/>
      <c r="B525" s="24"/>
      <c r="C525" s="24"/>
      <c r="D525" s="24"/>
      <c r="E525" s="24"/>
      <c r="F525" s="24"/>
    </row>
    <row r="526">
      <c r="A526" s="24"/>
      <c r="B526" s="24"/>
      <c r="C526" s="24"/>
      <c r="D526" s="24"/>
      <c r="E526" s="24"/>
      <c r="F526" s="24"/>
    </row>
    <row r="527">
      <c r="A527" s="24"/>
      <c r="B527" s="24"/>
      <c r="C527" s="24"/>
      <c r="D527" s="24"/>
      <c r="E527" s="24"/>
      <c r="F527" s="24"/>
    </row>
    <row r="528">
      <c r="A528" s="24"/>
      <c r="B528" s="24"/>
      <c r="C528" s="24"/>
      <c r="D528" s="24"/>
      <c r="E528" s="24"/>
      <c r="F528" s="24"/>
    </row>
    <row r="529">
      <c r="A529" s="24"/>
      <c r="B529" s="24"/>
      <c r="C529" s="24"/>
      <c r="D529" s="24"/>
      <c r="E529" s="24"/>
      <c r="F529" s="24"/>
    </row>
    <row r="530">
      <c r="A530" s="24"/>
      <c r="B530" s="24"/>
      <c r="C530" s="24"/>
      <c r="D530" s="24"/>
      <c r="E530" s="24"/>
      <c r="F530" s="24"/>
    </row>
    <row r="531">
      <c r="A531" s="24"/>
      <c r="B531" s="24"/>
      <c r="C531" s="24"/>
      <c r="D531" s="24"/>
      <c r="E531" s="24"/>
      <c r="F531" s="24"/>
    </row>
    <row r="532">
      <c r="A532" s="24"/>
      <c r="B532" s="24"/>
      <c r="C532" s="24"/>
      <c r="D532" s="24"/>
      <c r="E532" s="24"/>
      <c r="F532" s="24"/>
    </row>
    <row r="533">
      <c r="A533" s="24"/>
      <c r="B533" s="24"/>
      <c r="C533" s="24"/>
      <c r="D533" s="24"/>
      <c r="E533" s="24"/>
      <c r="F533" s="24"/>
    </row>
    <row r="534">
      <c r="A534" s="24"/>
      <c r="B534" s="24"/>
      <c r="C534" s="24"/>
      <c r="D534" s="24"/>
      <c r="E534" s="24"/>
      <c r="F534" s="24"/>
    </row>
    <row r="535">
      <c r="A535" s="24"/>
      <c r="B535" s="24"/>
      <c r="C535" s="24"/>
      <c r="D535" s="24"/>
      <c r="E535" s="24"/>
      <c r="F535" s="24"/>
    </row>
    <row r="536">
      <c r="A536" s="24"/>
      <c r="B536" s="24"/>
      <c r="C536" s="24"/>
      <c r="D536" s="24"/>
      <c r="E536" s="24"/>
      <c r="F536" s="24"/>
    </row>
    <row r="537">
      <c r="A537" s="24"/>
      <c r="B537" s="24"/>
      <c r="C537" s="24"/>
      <c r="D537" s="24"/>
      <c r="E537" s="24"/>
      <c r="F537" s="24"/>
    </row>
    <row r="538">
      <c r="A538" s="24"/>
      <c r="B538" s="24"/>
      <c r="C538" s="24"/>
      <c r="D538" s="24"/>
      <c r="E538" s="24"/>
      <c r="F538" s="24"/>
    </row>
    <row r="539">
      <c r="A539" s="24"/>
      <c r="B539" s="24"/>
      <c r="C539" s="24"/>
      <c r="D539" s="24"/>
      <c r="E539" s="24"/>
      <c r="F539" s="24"/>
    </row>
    <row r="540">
      <c r="A540" s="24"/>
      <c r="B540" s="24"/>
      <c r="C540" s="24"/>
      <c r="D540" s="24"/>
      <c r="E540" s="24"/>
      <c r="F540" s="24"/>
    </row>
    <row r="541">
      <c r="A541" s="24"/>
      <c r="B541" s="24"/>
      <c r="C541" s="24"/>
      <c r="D541" s="24"/>
      <c r="E541" s="24"/>
      <c r="F541" s="24"/>
    </row>
    <row r="542">
      <c r="A542" s="24"/>
      <c r="B542" s="24"/>
      <c r="C542" s="24"/>
      <c r="D542" s="24"/>
      <c r="E542" s="24"/>
      <c r="F542" s="24"/>
    </row>
    <row r="543">
      <c r="A543" s="24"/>
      <c r="B543" s="24"/>
      <c r="C543" s="24"/>
      <c r="D543" s="24"/>
      <c r="E543" s="24"/>
      <c r="F543" s="24"/>
    </row>
    <row r="544">
      <c r="A544" s="24"/>
      <c r="B544" s="24"/>
      <c r="C544" s="24"/>
      <c r="D544" s="24"/>
      <c r="E544" s="24"/>
      <c r="F544" s="24"/>
    </row>
    <row r="545">
      <c r="A545" s="24"/>
      <c r="B545" s="24"/>
      <c r="C545" s="24"/>
      <c r="D545" s="24"/>
      <c r="E545" s="24"/>
      <c r="F545" s="24"/>
    </row>
    <row r="546">
      <c r="A546" s="24"/>
      <c r="B546" s="24"/>
      <c r="C546" s="24"/>
      <c r="D546" s="24"/>
      <c r="E546" s="24"/>
      <c r="F546" s="24"/>
    </row>
    <row r="547">
      <c r="A547" s="24"/>
      <c r="B547" s="24"/>
      <c r="C547" s="24"/>
      <c r="D547" s="24"/>
      <c r="E547" s="24"/>
      <c r="F547" s="24"/>
    </row>
    <row r="548">
      <c r="A548" s="24"/>
      <c r="B548" s="24"/>
      <c r="C548" s="24"/>
      <c r="D548" s="24"/>
      <c r="E548" s="24"/>
      <c r="F548" s="24"/>
    </row>
    <row r="549">
      <c r="A549" s="24"/>
      <c r="B549" s="24"/>
      <c r="C549" s="24"/>
      <c r="D549" s="24"/>
      <c r="E549" s="24"/>
      <c r="F549" s="24"/>
    </row>
    <row r="550">
      <c r="A550" s="24"/>
      <c r="B550" s="24"/>
      <c r="C550" s="24"/>
      <c r="D550" s="24"/>
      <c r="E550" s="24"/>
      <c r="F550" s="24"/>
    </row>
    <row r="551">
      <c r="A551" s="24"/>
      <c r="B551" s="24"/>
      <c r="C551" s="24"/>
      <c r="D551" s="24"/>
      <c r="E551" s="24"/>
      <c r="F551" s="24"/>
    </row>
    <row r="552">
      <c r="A552" s="24"/>
      <c r="B552" s="24"/>
      <c r="C552" s="24"/>
      <c r="D552" s="24"/>
      <c r="E552" s="24"/>
      <c r="F552" s="24"/>
    </row>
    <row r="553">
      <c r="A553" s="24"/>
      <c r="B553" s="24"/>
      <c r="C553" s="24"/>
      <c r="D553" s="24"/>
      <c r="E553" s="24"/>
      <c r="F553" s="24"/>
    </row>
    <row r="554">
      <c r="A554" s="24"/>
      <c r="B554" s="24"/>
      <c r="C554" s="24"/>
      <c r="D554" s="24"/>
      <c r="E554" s="24"/>
      <c r="F554" s="24"/>
    </row>
    <row r="555">
      <c r="A555" s="24"/>
      <c r="B555" s="24"/>
      <c r="C555" s="24"/>
      <c r="D555" s="24"/>
      <c r="E555" s="24"/>
      <c r="F555" s="24"/>
    </row>
    <row r="556">
      <c r="A556" s="24"/>
      <c r="B556" s="24"/>
      <c r="C556" s="24"/>
      <c r="D556" s="24"/>
      <c r="E556" s="24"/>
      <c r="F556" s="24"/>
    </row>
    <row r="557">
      <c r="A557" s="24"/>
      <c r="B557" s="24"/>
      <c r="C557" s="24"/>
      <c r="D557" s="24"/>
      <c r="E557" s="24"/>
      <c r="F557" s="24"/>
    </row>
    <row r="558">
      <c r="A558" s="24"/>
      <c r="B558" s="24"/>
      <c r="C558" s="24"/>
      <c r="D558" s="24"/>
      <c r="E558" s="24"/>
      <c r="F558" s="24"/>
    </row>
    <row r="559">
      <c r="A559" s="24"/>
      <c r="B559" s="24"/>
      <c r="C559" s="24"/>
      <c r="D559" s="24"/>
      <c r="E559" s="24"/>
      <c r="F559" s="24"/>
    </row>
    <row r="560">
      <c r="A560" s="24"/>
      <c r="B560" s="24"/>
      <c r="C560" s="24"/>
      <c r="D560" s="24"/>
      <c r="E560" s="24"/>
      <c r="F560" s="24"/>
    </row>
    <row r="561">
      <c r="A561" s="24"/>
      <c r="B561" s="24"/>
      <c r="C561" s="24"/>
      <c r="D561" s="24"/>
      <c r="E561" s="24"/>
      <c r="F561" s="24"/>
    </row>
    <row r="562">
      <c r="A562" s="24"/>
      <c r="B562" s="24"/>
      <c r="C562" s="24"/>
      <c r="D562" s="24"/>
      <c r="E562" s="24"/>
      <c r="F562" s="24"/>
    </row>
    <row r="563">
      <c r="A563" s="24"/>
      <c r="B563" s="24"/>
      <c r="C563" s="24"/>
      <c r="D563" s="24"/>
      <c r="E563" s="24"/>
      <c r="F563" s="24"/>
    </row>
    <row r="564">
      <c r="A564" s="24"/>
      <c r="B564" s="24"/>
      <c r="C564" s="24"/>
      <c r="D564" s="24"/>
      <c r="E564" s="24"/>
      <c r="F564" s="24"/>
    </row>
    <row r="565">
      <c r="A565" s="24"/>
      <c r="B565" s="24"/>
      <c r="C565" s="24"/>
      <c r="D565" s="24"/>
      <c r="E565" s="24"/>
      <c r="F565" s="24"/>
    </row>
    <row r="566">
      <c r="A566" s="24"/>
      <c r="B566" s="24"/>
      <c r="C566" s="24"/>
      <c r="D566" s="24"/>
      <c r="E566" s="24"/>
      <c r="F566" s="24"/>
    </row>
    <row r="567">
      <c r="A567" s="24"/>
      <c r="B567" s="24"/>
      <c r="C567" s="24"/>
      <c r="D567" s="24"/>
      <c r="E567" s="24"/>
      <c r="F567" s="24"/>
    </row>
    <row r="568">
      <c r="A568" s="24"/>
      <c r="B568" s="24"/>
      <c r="C568" s="24"/>
      <c r="D568" s="24"/>
      <c r="E568" s="24"/>
      <c r="F568" s="24"/>
    </row>
    <row r="569">
      <c r="A569" s="24"/>
      <c r="B569" s="24"/>
      <c r="C569" s="24"/>
      <c r="D569" s="24"/>
      <c r="E569" s="24"/>
      <c r="F569" s="24"/>
    </row>
    <row r="570">
      <c r="A570" s="24"/>
      <c r="B570" s="24"/>
      <c r="C570" s="24"/>
      <c r="D570" s="24"/>
      <c r="E570" s="24"/>
      <c r="F570" s="24"/>
    </row>
    <row r="571">
      <c r="A571" s="24"/>
      <c r="B571" s="24"/>
      <c r="C571" s="24"/>
      <c r="D571" s="24"/>
      <c r="E571" s="24"/>
      <c r="F571" s="24"/>
    </row>
    <row r="572">
      <c r="A572" s="24"/>
      <c r="B572" s="24"/>
      <c r="C572" s="24"/>
      <c r="D572" s="24"/>
      <c r="E572" s="24"/>
      <c r="F572" s="24"/>
    </row>
    <row r="573">
      <c r="A573" s="24"/>
      <c r="B573" s="24"/>
      <c r="C573" s="24"/>
      <c r="D573" s="24"/>
      <c r="E573" s="24"/>
      <c r="F573" s="24"/>
    </row>
    <row r="574">
      <c r="A574" s="24"/>
      <c r="B574" s="24"/>
      <c r="C574" s="24"/>
      <c r="D574" s="24"/>
      <c r="E574" s="24"/>
      <c r="F574" s="24"/>
    </row>
    <row r="575">
      <c r="A575" s="24"/>
      <c r="B575" s="24"/>
      <c r="C575" s="24"/>
      <c r="D575" s="24"/>
      <c r="E575" s="24"/>
      <c r="F575" s="24"/>
    </row>
    <row r="576">
      <c r="A576" s="24"/>
      <c r="B576" s="24"/>
      <c r="C576" s="24"/>
      <c r="D576" s="24"/>
      <c r="E576" s="24"/>
      <c r="F576" s="24"/>
    </row>
    <row r="577">
      <c r="A577" s="24"/>
      <c r="B577" s="24"/>
      <c r="C577" s="24"/>
      <c r="D577" s="24"/>
      <c r="E577" s="24"/>
      <c r="F577" s="24"/>
    </row>
    <row r="578">
      <c r="A578" s="24"/>
      <c r="B578" s="24"/>
      <c r="C578" s="24"/>
      <c r="D578" s="24"/>
      <c r="E578" s="24"/>
      <c r="F578" s="24"/>
    </row>
    <row r="579">
      <c r="A579" s="24"/>
      <c r="B579" s="24"/>
      <c r="C579" s="24"/>
      <c r="D579" s="24"/>
      <c r="E579" s="24"/>
      <c r="F579" s="24"/>
    </row>
    <row r="580">
      <c r="A580" s="24"/>
      <c r="B580" s="24"/>
      <c r="C580" s="24"/>
      <c r="D580" s="24"/>
      <c r="E580" s="24"/>
      <c r="F580" s="24"/>
    </row>
    <row r="581">
      <c r="A581" s="24"/>
      <c r="B581" s="24"/>
      <c r="C581" s="24"/>
      <c r="D581" s="24"/>
      <c r="E581" s="24"/>
      <c r="F581" s="24"/>
    </row>
    <row r="582">
      <c r="A582" s="24"/>
      <c r="B582" s="24"/>
      <c r="C582" s="24"/>
      <c r="D582" s="24"/>
      <c r="E582" s="24"/>
      <c r="F582" s="24"/>
    </row>
    <row r="583">
      <c r="A583" s="24"/>
      <c r="B583" s="24"/>
      <c r="C583" s="24"/>
      <c r="D583" s="24"/>
      <c r="E583" s="24"/>
      <c r="F583" s="24"/>
    </row>
    <row r="584">
      <c r="A584" s="24"/>
      <c r="B584" s="24"/>
      <c r="C584" s="24"/>
      <c r="D584" s="24"/>
      <c r="E584" s="24"/>
      <c r="F584" s="24"/>
    </row>
    <row r="585">
      <c r="A585" s="24"/>
      <c r="B585" s="24"/>
      <c r="C585" s="24"/>
      <c r="D585" s="24"/>
      <c r="E585" s="24"/>
      <c r="F585" s="24"/>
    </row>
    <row r="586">
      <c r="A586" s="24"/>
      <c r="B586" s="24"/>
      <c r="C586" s="24"/>
      <c r="D586" s="24"/>
      <c r="E586" s="24"/>
      <c r="F586" s="24"/>
    </row>
    <row r="587">
      <c r="A587" s="24"/>
      <c r="B587" s="24"/>
      <c r="C587" s="24"/>
      <c r="D587" s="24"/>
      <c r="E587" s="24"/>
      <c r="F587" s="24"/>
    </row>
    <row r="588">
      <c r="A588" s="24"/>
      <c r="B588" s="24"/>
      <c r="C588" s="24"/>
      <c r="D588" s="24"/>
      <c r="E588" s="24"/>
      <c r="F588" s="24"/>
    </row>
    <row r="589">
      <c r="A589" s="24"/>
      <c r="B589" s="24"/>
      <c r="C589" s="24"/>
      <c r="D589" s="24"/>
      <c r="E589" s="24"/>
      <c r="F589" s="24"/>
    </row>
    <row r="590">
      <c r="A590" s="24"/>
      <c r="B590" s="24"/>
      <c r="C590" s="24"/>
      <c r="D590" s="24"/>
      <c r="E590" s="24"/>
      <c r="F590" s="24"/>
    </row>
    <row r="591">
      <c r="A591" s="24"/>
      <c r="B591" s="24"/>
      <c r="C591" s="24"/>
      <c r="D591" s="24"/>
      <c r="E591" s="24"/>
      <c r="F591" s="24"/>
    </row>
    <row r="592">
      <c r="A592" s="24"/>
      <c r="B592" s="24"/>
      <c r="C592" s="24"/>
      <c r="D592" s="24"/>
      <c r="E592" s="24"/>
      <c r="F592" s="24"/>
    </row>
    <row r="593">
      <c r="A593" s="24"/>
      <c r="B593" s="24"/>
      <c r="C593" s="24"/>
      <c r="D593" s="24"/>
      <c r="E593" s="24"/>
      <c r="F593" s="24"/>
    </row>
    <row r="594">
      <c r="A594" s="24"/>
      <c r="B594" s="24"/>
      <c r="C594" s="24"/>
      <c r="D594" s="24"/>
      <c r="E594" s="24"/>
      <c r="F594" s="24"/>
    </row>
    <row r="595">
      <c r="A595" s="24"/>
      <c r="B595" s="24"/>
      <c r="C595" s="24"/>
      <c r="D595" s="24"/>
      <c r="E595" s="24"/>
      <c r="F595" s="24"/>
    </row>
    <row r="596">
      <c r="A596" s="24"/>
      <c r="B596" s="24"/>
      <c r="C596" s="24"/>
      <c r="D596" s="24"/>
      <c r="E596" s="24"/>
      <c r="F596" s="24"/>
    </row>
    <row r="597">
      <c r="A597" s="24"/>
      <c r="B597" s="24"/>
      <c r="C597" s="24"/>
      <c r="D597" s="24"/>
      <c r="E597" s="24"/>
      <c r="F597" s="24"/>
    </row>
    <row r="598">
      <c r="A598" s="24"/>
      <c r="B598" s="24"/>
      <c r="C598" s="24"/>
      <c r="D598" s="24"/>
      <c r="E598" s="24"/>
      <c r="F598" s="24"/>
    </row>
    <row r="599">
      <c r="A599" s="24"/>
      <c r="B599" s="24"/>
      <c r="C599" s="24"/>
      <c r="D599" s="24"/>
      <c r="E599" s="24"/>
      <c r="F599" s="24"/>
    </row>
    <row r="600">
      <c r="A600" s="24"/>
      <c r="B600" s="24"/>
      <c r="C600" s="24"/>
      <c r="D600" s="24"/>
      <c r="E600" s="24"/>
      <c r="F600" s="24"/>
    </row>
    <row r="601">
      <c r="A601" s="24"/>
      <c r="B601" s="24"/>
      <c r="C601" s="24"/>
      <c r="D601" s="24"/>
      <c r="E601" s="24"/>
      <c r="F601" s="24"/>
    </row>
    <row r="602">
      <c r="A602" s="24"/>
      <c r="B602" s="24"/>
      <c r="C602" s="24"/>
      <c r="D602" s="24"/>
      <c r="E602" s="24"/>
      <c r="F602" s="24"/>
    </row>
    <row r="603">
      <c r="A603" s="24"/>
      <c r="B603" s="24"/>
      <c r="C603" s="24"/>
      <c r="D603" s="24"/>
      <c r="E603" s="24"/>
      <c r="F603" s="24"/>
    </row>
    <row r="604">
      <c r="A604" s="24"/>
      <c r="B604" s="24"/>
      <c r="C604" s="24"/>
      <c r="D604" s="24"/>
      <c r="E604" s="24"/>
      <c r="F604" s="24"/>
    </row>
    <row r="605">
      <c r="A605" s="24"/>
      <c r="B605" s="24"/>
      <c r="C605" s="24"/>
      <c r="D605" s="24"/>
      <c r="E605" s="24"/>
      <c r="F605" s="24"/>
    </row>
    <row r="606">
      <c r="A606" s="24"/>
      <c r="B606" s="24"/>
      <c r="C606" s="24"/>
      <c r="D606" s="24"/>
      <c r="E606" s="24"/>
      <c r="F606" s="24"/>
    </row>
    <row r="607">
      <c r="A607" s="24"/>
      <c r="B607" s="24"/>
      <c r="C607" s="24"/>
      <c r="D607" s="24"/>
      <c r="E607" s="24"/>
      <c r="F607" s="24"/>
    </row>
    <row r="608">
      <c r="A608" s="24"/>
      <c r="B608" s="24"/>
      <c r="C608" s="24"/>
      <c r="D608" s="24"/>
      <c r="E608" s="24"/>
      <c r="F608" s="24"/>
    </row>
    <row r="609">
      <c r="A609" s="24"/>
      <c r="B609" s="24"/>
      <c r="C609" s="24"/>
      <c r="D609" s="24"/>
      <c r="E609" s="24"/>
      <c r="F609" s="24"/>
    </row>
    <row r="610">
      <c r="A610" s="24"/>
      <c r="B610" s="24"/>
      <c r="C610" s="24"/>
      <c r="D610" s="24"/>
      <c r="E610" s="24"/>
      <c r="F610" s="24"/>
    </row>
    <row r="611">
      <c r="A611" s="24"/>
      <c r="B611" s="24"/>
      <c r="C611" s="24"/>
      <c r="D611" s="24"/>
      <c r="E611" s="24"/>
      <c r="F611" s="24"/>
    </row>
    <row r="612">
      <c r="A612" s="24"/>
      <c r="B612" s="24"/>
      <c r="C612" s="24"/>
      <c r="D612" s="24"/>
      <c r="E612" s="24"/>
      <c r="F612" s="24"/>
    </row>
    <row r="613">
      <c r="A613" s="24"/>
      <c r="B613" s="24"/>
      <c r="C613" s="24"/>
      <c r="D613" s="24"/>
      <c r="E613" s="24"/>
      <c r="F613" s="24"/>
    </row>
    <row r="614">
      <c r="A614" s="24"/>
      <c r="B614" s="24"/>
      <c r="C614" s="24"/>
      <c r="D614" s="24"/>
      <c r="E614" s="24"/>
      <c r="F614" s="24"/>
    </row>
    <row r="615">
      <c r="A615" s="24"/>
      <c r="B615" s="24"/>
      <c r="C615" s="24"/>
      <c r="D615" s="24"/>
      <c r="E615" s="24"/>
      <c r="F615" s="24"/>
    </row>
    <row r="616">
      <c r="A616" s="24"/>
      <c r="B616" s="24"/>
      <c r="C616" s="24"/>
      <c r="D616" s="24"/>
      <c r="E616" s="24"/>
      <c r="F616" s="24"/>
    </row>
    <row r="617">
      <c r="A617" s="24"/>
      <c r="B617" s="24"/>
      <c r="C617" s="24"/>
      <c r="D617" s="24"/>
      <c r="E617" s="24"/>
      <c r="F617" s="24"/>
    </row>
    <row r="618">
      <c r="A618" s="24"/>
      <c r="B618" s="24"/>
      <c r="C618" s="24"/>
      <c r="D618" s="24"/>
      <c r="E618" s="24"/>
      <c r="F618" s="24"/>
    </row>
    <row r="619">
      <c r="A619" s="24"/>
      <c r="B619" s="24"/>
      <c r="C619" s="24"/>
      <c r="D619" s="24"/>
      <c r="E619" s="24"/>
      <c r="F619" s="24"/>
    </row>
    <row r="620">
      <c r="A620" s="24"/>
      <c r="B620" s="24"/>
      <c r="C620" s="24"/>
      <c r="D620" s="24"/>
      <c r="E620" s="24"/>
      <c r="F620" s="24"/>
    </row>
    <row r="621">
      <c r="A621" s="24"/>
      <c r="B621" s="24"/>
      <c r="C621" s="24"/>
      <c r="D621" s="24"/>
      <c r="E621" s="24"/>
      <c r="F621" s="24"/>
    </row>
    <row r="622">
      <c r="A622" s="24"/>
      <c r="B622" s="24"/>
      <c r="C622" s="24"/>
      <c r="D622" s="24"/>
      <c r="E622" s="24"/>
      <c r="F622" s="24"/>
    </row>
    <row r="623">
      <c r="A623" s="24"/>
      <c r="B623" s="24"/>
      <c r="C623" s="24"/>
      <c r="D623" s="24"/>
      <c r="E623" s="24"/>
      <c r="F623" s="24"/>
    </row>
    <row r="624">
      <c r="A624" s="24"/>
      <c r="B624" s="24"/>
      <c r="C624" s="24"/>
      <c r="D624" s="24"/>
      <c r="E624" s="24"/>
      <c r="F624" s="24"/>
    </row>
    <row r="625">
      <c r="A625" s="24"/>
      <c r="B625" s="24"/>
      <c r="C625" s="24"/>
      <c r="D625" s="24"/>
      <c r="E625" s="24"/>
      <c r="F625" s="24"/>
    </row>
    <row r="626">
      <c r="A626" s="24"/>
      <c r="B626" s="24"/>
      <c r="C626" s="24"/>
      <c r="D626" s="24"/>
      <c r="E626" s="24"/>
      <c r="F626" s="24"/>
    </row>
    <row r="627">
      <c r="A627" s="24"/>
      <c r="B627" s="24"/>
      <c r="C627" s="24"/>
      <c r="D627" s="24"/>
      <c r="E627" s="24"/>
      <c r="F627" s="24"/>
    </row>
    <row r="628">
      <c r="A628" s="24"/>
      <c r="B628" s="24"/>
      <c r="C628" s="24"/>
      <c r="D628" s="24"/>
      <c r="E628" s="24"/>
      <c r="F628" s="24"/>
    </row>
    <row r="629">
      <c r="A629" s="24"/>
      <c r="B629" s="24"/>
      <c r="C629" s="24"/>
      <c r="D629" s="24"/>
      <c r="E629" s="24"/>
      <c r="F629" s="24"/>
    </row>
    <row r="630">
      <c r="A630" s="24"/>
      <c r="B630" s="24"/>
      <c r="C630" s="24"/>
      <c r="D630" s="24"/>
      <c r="E630" s="24"/>
      <c r="F630" s="24"/>
    </row>
    <row r="631">
      <c r="A631" s="24"/>
      <c r="B631" s="24"/>
      <c r="C631" s="24"/>
      <c r="D631" s="24"/>
      <c r="E631" s="24"/>
      <c r="F631" s="24"/>
    </row>
    <row r="632">
      <c r="A632" s="24"/>
      <c r="B632" s="24"/>
      <c r="C632" s="24"/>
      <c r="D632" s="24"/>
      <c r="E632" s="24"/>
      <c r="F632" s="24"/>
    </row>
    <row r="633">
      <c r="A633" s="24"/>
      <c r="B633" s="24"/>
      <c r="C633" s="24"/>
      <c r="D633" s="24"/>
      <c r="E633" s="24"/>
      <c r="F633" s="24"/>
    </row>
    <row r="634">
      <c r="A634" s="24"/>
      <c r="B634" s="24"/>
      <c r="C634" s="24"/>
      <c r="D634" s="24"/>
      <c r="E634" s="24"/>
      <c r="F634" s="24"/>
    </row>
    <row r="635">
      <c r="A635" s="24"/>
      <c r="B635" s="24"/>
      <c r="C635" s="24"/>
      <c r="D635" s="24"/>
      <c r="E635" s="24"/>
      <c r="F635" s="24"/>
    </row>
    <row r="636">
      <c r="A636" s="24"/>
      <c r="B636" s="24"/>
      <c r="C636" s="24"/>
      <c r="D636" s="24"/>
      <c r="E636" s="24"/>
      <c r="F636" s="24"/>
    </row>
    <row r="637">
      <c r="A637" s="24"/>
      <c r="B637" s="24"/>
      <c r="C637" s="24"/>
      <c r="D637" s="24"/>
      <c r="E637" s="24"/>
      <c r="F637" s="24"/>
    </row>
    <row r="638">
      <c r="A638" s="24"/>
      <c r="B638" s="24"/>
      <c r="C638" s="24"/>
      <c r="D638" s="24"/>
      <c r="E638" s="24"/>
      <c r="F638" s="24"/>
    </row>
    <row r="639">
      <c r="A639" s="24"/>
      <c r="B639" s="24"/>
      <c r="C639" s="24"/>
      <c r="D639" s="24"/>
      <c r="E639" s="24"/>
      <c r="F639" s="24"/>
    </row>
    <row r="640">
      <c r="A640" s="24"/>
      <c r="B640" s="24"/>
      <c r="C640" s="24"/>
      <c r="D640" s="24"/>
      <c r="E640" s="24"/>
      <c r="F640" s="24"/>
    </row>
    <row r="641">
      <c r="A641" s="24"/>
      <c r="B641" s="24"/>
      <c r="C641" s="24"/>
      <c r="D641" s="24"/>
      <c r="E641" s="24"/>
      <c r="F641" s="24"/>
    </row>
    <row r="642">
      <c r="A642" s="24"/>
      <c r="B642" s="24"/>
      <c r="C642" s="24"/>
      <c r="D642" s="24"/>
      <c r="E642" s="24"/>
      <c r="F642" s="24"/>
    </row>
    <row r="643">
      <c r="A643" s="24"/>
      <c r="B643" s="24"/>
      <c r="C643" s="24"/>
      <c r="D643" s="24"/>
      <c r="E643" s="24"/>
      <c r="F643" s="24"/>
    </row>
    <row r="644">
      <c r="A644" s="24"/>
      <c r="B644" s="24"/>
      <c r="C644" s="24"/>
      <c r="D644" s="24"/>
      <c r="E644" s="24"/>
      <c r="F644" s="24"/>
    </row>
    <row r="645">
      <c r="A645" s="24"/>
      <c r="B645" s="24"/>
      <c r="C645" s="24"/>
      <c r="D645" s="24"/>
      <c r="E645" s="24"/>
      <c r="F645" s="24"/>
    </row>
    <row r="646">
      <c r="A646" s="24"/>
      <c r="B646" s="24"/>
      <c r="C646" s="24"/>
      <c r="D646" s="24"/>
      <c r="E646" s="24"/>
      <c r="F646" s="24"/>
    </row>
    <row r="647">
      <c r="A647" s="24"/>
      <c r="B647" s="24"/>
      <c r="C647" s="24"/>
      <c r="D647" s="24"/>
      <c r="E647" s="24"/>
      <c r="F647" s="24"/>
    </row>
    <row r="648">
      <c r="A648" s="24"/>
      <c r="B648" s="24"/>
      <c r="C648" s="24"/>
      <c r="D648" s="24"/>
      <c r="E648" s="24"/>
      <c r="F648" s="24"/>
    </row>
    <row r="649">
      <c r="A649" s="24"/>
      <c r="B649" s="24"/>
      <c r="C649" s="24"/>
      <c r="D649" s="24"/>
      <c r="E649" s="24"/>
      <c r="F649" s="24"/>
    </row>
    <row r="650">
      <c r="A650" s="24"/>
      <c r="B650" s="24"/>
      <c r="C650" s="24"/>
      <c r="D650" s="24"/>
      <c r="E650" s="24"/>
      <c r="F650" s="24"/>
    </row>
    <row r="651">
      <c r="A651" s="24"/>
      <c r="B651" s="24"/>
      <c r="C651" s="24"/>
      <c r="D651" s="24"/>
      <c r="E651" s="24"/>
      <c r="F651" s="24"/>
    </row>
    <row r="652">
      <c r="A652" s="24"/>
      <c r="B652" s="24"/>
      <c r="C652" s="24"/>
      <c r="D652" s="24"/>
      <c r="E652" s="24"/>
      <c r="F652" s="24"/>
    </row>
    <row r="653">
      <c r="A653" s="24"/>
      <c r="B653" s="24"/>
      <c r="C653" s="24"/>
      <c r="D653" s="24"/>
      <c r="E653" s="24"/>
      <c r="F653" s="24"/>
    </row>
    <row r="654">
      <c r="A654" s="24"/>
      <c r="B654" s="24"/>
      <c r="C654" s="24"/>
      <c r="D654" s="24"/>
      <c r="E654" s="24"/>
      <c r="F654" s="24"/>
    </row>
    <row r="655">
      <c r="A655" s="24"/>
      <c r="B655" s="24"/>
      <c r="C655" s="24"/>
      <c r="D655" s="24"/>
      <c r="E655" s="24"/>
      <c r="F655" s="24"/>
    </row>
    <row r="656">
      <c r="A656" s="24"/>
      <c r="B656" s="24"/>
      <c r="C656" s="24"/>
      <c r="D656" s="24"/>
      <c r="E656" s="24"/>
      <c r="F656" s="24"/>
    </row>
    <row r="657">
      <c r="A657" s="24"/>
      <c r="B657" s="24"/>
      <c r="C657" s="24"/>
      <c r="D657" s="24"/>
      <c r="E657" s="24"/>
      <c r="F657" s="24"/>
    </row>
    <row r="658">
      <c r="A658" s="24"/>
      <c r="B658" s="24"/>
      <c r="C658" s="24"/>
      <c r="D658" s="24"/>
      <c r="E658" s="24"/>
      <c r="F658" s="24"/>
    </row>
    <row r="659">
      <c r="A659" s="24"/>
      <c r="B659" s="24"/>
      <c r="C659" s="24"/>
      <c r="D659" s="24"/>
      <c r="E659" s="24"/>
      <c r="F659" s="24"/>
    </row>
    <row r="660">
      <c r="A660" s="24"/>
      <c r="B660" s="24"/>
      <c r="C660" s="24"/>
      <c r="D660" s="24"/>
      <c r="E660" s="24"/>
      <c r="F660" s="24"/>
    </row>
    <row r="661">
      <c r="A661" s="24"/>
      <c r="B661" s="24"/>
      <c r="C661" s="24"/>
      <c r="D661" s="24"/>
      <c r="E661" s="24"/>
      <c r="F661" s="24"/>
    </row>
    <row r="662">
      <c r="A662" s="24"/>
      <c r="B662" s="24"/>
      <c r="C662" s="24"/>
      <c r="D662" s="24"/>
      <c r="E662" s="24"/>
      <c r="F662" s="24"/>
    </row>
    <row r="663">
      <c r="A663" s="24"/>
      <c r="B663" s="24"/>
      <c r="C663" s="24"/>
      <c r="D663" s="24"/>
      <c r="E663" s="24"/>
      <c r="F663" s="24"/>
    </row>
    <row r="664">
      <c r="A664" s="24"/>
      <c r="B664" s="24"/>
      <c r="C664" s="24"/>
      <c r="D664" s="24"/>
      <c r="E664" s="24"/>
      <c r="F664" s="24"/>
    </row>
    <row r="665">
      <c r="A665" s="24"/>
      <c r="B665" s="24"/>
      <c r="C665" s="24"/>
      <c r="D665" s="24"/>
      <c r="E665" s="24"/>
      <c r="F665" s="24"/>
    </row>
    <row r="666">
      <c r="A666" s="24"/>
      <c r="B666" s="24"/>
      <c r="C666" s="24"/>
      <c r="D666" s="24"/>
      <c r="E666" s="24"/>
      <c r="F666" s="24"/>
    </row>
    <row r="667">
      <c r="A667" s="24"/>
      <c r="B667" s="24"/>
      <c r="C667" s="24"/>
      <c r="D667" s="24"/>
      <c r="E667" s="24"/>
      <c r="F667" s="24"/>
    </row>
    <row r="668">
      <c r="A668" s="24"/>
      <c r="B668" s="24"/>
      <c r="C668" s="24"/>
      <c r="D668" s="24"/>
      <c r="E668" s="24"/>
      <c r="F668" s="24"/>
    </row>
    <row r="669">
      <c r="A669" s="24"/>
      <c r="B669" s="24"/>
      <c r="C669" s="24"/>
      <c r="D669" s="24"/>
      <c r="E669" s="24"/>
      <c r="F669" s="24"/>
    </row>
    <row r="670">
      <c r="A670" s="24"/>
      <c r="B670" s="24"/>
      <c r="C670" s="24"/>
      <c r="D670" s="24"/>
      <c r="E670" s="24"/>
      <c r="F670" s="24"/>
    </row>
    <row r="671">
      <c r="A671" s="24"/>
      <c r="B671" s="24"/>
      <c r="C671" s="24"/>
      <c r="D671" s="24"/>
      <c r="E671" s="24"/>
      <c r="F671" s="24"/>
    </row>
    <row r="672">
      <c r="A672" s="24"/>
      <c r="B672" s="24"/>
      <c r="C672" s="24"/>
      <c r="D672" s="24"/>
      <c r="E672" s="24"/>
      <c r="F672" s="24"/>
    </row>
    <row r="673">
      <c r="A673" s="24"/>
      <c r="B673" s="24"/>
      <c r="C673" s="24"/>
      <c r="D673" s="24"/>
      <c r="E673" s="24"/>
      <c r="F673" s="24"/>
    </row>
    <row r="674">
      <c r="A674" s="24"/>
      <c r="B674" s="24"/>
      <c r="C674" s="24"/>
      <c r="D674" s="24"/>
      <c r="E674" s="24"/>
      <c r="F674" s="24"/>
    </row>
    <row r="675">
      <c r="A675" s="24"/>
      <c r="B675" s="24"/>
      <c r="C675" s="24"/>
      <c r="D675" s="24"/>
      <c r="E675" s="24"/>
      <c r="F675" s="24"/>
    </row>
    <row r="676">
      <c r="A676" s="24"/>
      <c r="B676" s="24"/>
      <c r="C676" s="24"/>
      <c r="D676" s="24"/>
      <c r="E676" s="24"/>
      <c r="F676" s="24"/>
    </row>
    <row r="677">
      <c r="A677" s="24"/>
      <c r="B677" s="24"/>
      <c r="C677" s="24"/>
      <c r="D677" s="24"/>
      <c r="E677" s="24"/>
      <c r="F677" s="24"/>
    </row>
    <row r="678">
      <c r="A678" s="24"/>
      <c r="B678" s="24"/>
      <c r="C678" s="24"/>
      <c r="D678" s="24"/>
      <c r="E678" s="24"/>
      <c r="F678" s="24"/>
    </row>
    <row r="679">
      <c r="A679" s="24"/>
      <c r="B679" s="24"/>
      <c r="C679" s="24"/>
      <c r="D679" s="24"/>
      <c r="E679" s="24"/>
      <c r="F679" s="24"/>
    </row>
    <row r="680">
      <c r="A680" s="24"/>
      <c r="B680" s="24"/>
      <c r="C680" s="24"/>
      <c r="D680" s="24"/>
      <c r="E680" s="24"/>
      <c r="F680" s="24"/>
    </row>
    <row r="681">
      <c r="A681" s="24"/>
      <c r="B681" s="24"/>
      <c r="C681" s="24"/>
      <c r="D681" s="24"/>
      <c r="E681" s="24"/>
      <c r="F681" s="24"/>
    </row>
    <row r="682">
      <c r="A682" s="24"/>
      <c r="B682" s="24"/>
      <c r="C682" s="24"/>
      <c r="D682" s="24"/>
      <c r="E682" s="24"/>
      <c r="F682" s="24"/>
    </row>
    <row r="683">
      <c r="A683" s="24"/>
      <c r="B683" s="24"/>
      <c r="C683" s="24"/>
      <c r="D683" s="24"/>
      <c r="E683" s="24"/>
      <c r="F683" s="24"/>
    </row>
    <row r="684">
      <c r="A684" s="24"/>
      <c r="B684" s="24"/>
      <c r="C684" s="24"/>
      <c r="D684" s="24"/>
      <c r="E684" s="24"/>
      <c r="F684" s="24"/>
    </row>
    <row r="685">
      <c r="A685" s="24"/>
      <c r="B685" s="24"/>
      <c r="C685" s="24"/>
      <c r="D685" s="24"/>
      <c r="E685" s="24"/>
      <c r="F685" s="24"/>
    </row>
    <row r="686">
      <c r="A686" s="24"/>
      <c r="B686" s="24"/>
      <c r="C686" s="24"/>
      <c r="D686" s="24"/>
      <c r="E686" s="24"/>
      <c r="F686" s="24"/>
    </row>
    <row r="687">
      <c r="A687" s="24"/>
      <c r="B687" s="24"/>
      <c r="C687" s="24"/>
      <c r="D687" s="24"/>
      <c r="E687" s="24"/>
      <c r="F687" s="24"/>
    </row>
    <row r="688">
      <c r="A688" s="24"/>
      <c r="B688" s="24"/>
      <c r="C688" s="24"/>
      <c r="D688" s="24"/>
      <c r="E688" s="24"/>
      <c r="F688" s="24"/>
    </row>
    <row r="689">
      <c r="A689" s="24"/>
      <c r="B689" s="24"/>
      <c r="C689" s="24"/>
      <c r="D689" s="24"/>
      <c r="E689" s="24"/>
      <c r="F689" s="24"/>
    </row>
    <row r="690">
      <c r="A690" s="24"/>
      <c r="B690" s="24"/>
      <c r="C690" s="24"/>
      <c r="D690" s="24"/>
      <c r="E690" s="24"/>
      <c r="F690" s="24"/>
    </row>
    <row r="691">
      <c r="A691" s="24"/>
      <c r="B691" s="24"/>
      <c r="C691" s="24"/>
      <c r="D691" s="24"/>
      <c r="E691" s="24"/>
      <c r="F691" s="24"/>
    </row>
    <row r="692">
      <c r="A692" s="24"/>
      <c r="B692" s="24"/>
      <c r="C692" s="24"/>
      <c r="D692" s="24"/>
      <c r="E692" s="24"/>
      <c r="F692" s="24"/>
    </row>
    <row r="693">
      <c r="A693" s="24"/>
      <c r="B693" s="24"/>
      <c r="C693" s="24"/>
      <c r="D693" s="24"/>
      <c r="E693" s="24"/>
      <c r="F693" s="24"/>
    </row>
    <row r="694">
      <c r="A694" s="24"/>
      <c r="B694" s="24"/>
      <c r="C694" s="24"/>
      <c r="D694" s="24"/>
      <c r="E694" s="24"/>
      <c r="F694" s="24"/>
    </row>
    <row r="695">
      <c r="A695" s="24"/>
      <c r="B695" s="24"/>
      <c r="C695" s="24"/>
      <c r="D695" s="24"/>
      <c r="E695" s="24"/>
      <c r="F695" s="24"/>
    </row>
    <row r="696">
      <c r="A696" s="24"/>
      <c r="B696" s="24"/>
      <c r="C696" s="24"/>
      <c r="D696" s="24"/>
      <c r="E696" s="24"/>
      <c r="F696" s="24"/>
    </row>
    <row r="697">
      <c r="A697" s="24"/>
      <c r="B697" s="24"/>
      <c r="C697" s="24"/>
      <c r="D697" s="24"/>
      <c r="E697" s="24"/>
      <c r="F697" s="24"/>
    </row>
    <row r="698">
      <c r="A698" s="24"/>
      <c r="B698" s="24"/>
      <c r="C698" s="24"/>
      <c r="D698" s="24"/>
      <c r="E698" s="24"/>
      <c r="F698" s="24"/>
    </row>
    <row r="699">
      <c r="A699" s="24"/>
      <c r="B699" s="24"/>
      <c r="C699" s="24"/>
      <c r="D699" s="24"/>
      <c r="E699" s="24"/>
      <c r="F699" s="24"/>
    </row>
    <row r="700">
      <c r="A700" s="24"/>
      <c r="B700" s="24"/>
      <c r="C700" s="24"/>
      <c r="D700" s="24"/>
      <c r="E700" s="24"/>
      <c r="F700" s="24"/>
    </row>
    <row r="701">
      <c r="A701" s="24"/>
      <c r="B701" s="24"/>
      <c r="C701" s="24"/>
      <c r="D701" s="24"/>
      <c r="E701" s="24"/>
      <c r="F701" s="24"/>
    </row>
    <row r="702">
      <c r="A702" s="24"/>
      <c r="B702" s="24"/>
      <c r="C702" s="24"/>
      <c r="D702" s="24"/>
      <c r="E702" s="24"/>
      <c r="F702" s="24"/>
    </row>
    <row r="703">
      <c r="A703" s="24"/>
      <c r="B703" s="24"/>
      <c r="C703" s="24"/>
      <c r="D703" s="24"/>
      <c r="E703" s="24"/>
      <c r="F703" s="24"/>
    </row>
    <row r="704">
      <c r="A704" s="24"/>
      <c r="B704" s="24"/>
      <c r="C704" s="24"/>
      <c r="D704" s="24"/>
      <c r="E704" s="24"/>
      <c r="F704" s="24"/>
    </row>
    <row r="705">
      <c r="A705" s="24"/>
      <c r="B705" s="24"/>
      <c r="C705" s="24"/>
      <c r="D705" s="24"/>
      <c r="E705" s="24"/>
      <c r="F705" s="24"/>
    </row>
    <row r="706">
      <c r="A706" s="24"/>
      <c r="B706" s="24"/>
      <c r="C706" s="24"/>
      <c r="D706" s="24"/>
      <c r="E706" s="24"/>
      <c r="F706" s="24"/>
    </row>
    <row r="707">
      <c r="A707" s="24"/>
      <c r="B707" s="24"/>
      <c r="C707" s="24"/>
      <c r="D707" s="24"/>
      <c r="E707" s="24"/>
      <c r="F707" s="24"/>
    </row>
    <row r="708">
      <c r="A708" s="24"/>
      <c r="B708" s="24"/>
      <c r="C708" s="24"/>
      <c r="D708" s="24"/>
      <c r="E708" s="24"/>
      <c r="F708" s="24"/>
    </row>
    <row r="709">
      <c r="A709" s="24"/>
      <c r="B709" s="24"/>
      <c r="C709" s="24"/>
      <c r="D709" s="24"/>
      <c r="E709" s="24"/>
      <c r="F709" s="24"/>
    </row>
    <row r="710">
      <c r="A710" s="24"/>
      <c r="B710" s="24"/>
      <c r="C710" s="24"/>
      <c r="D710" s="24"/>
      <c r="E710" s="24"/>
      <c r="F710" s="24"/>
    </row>
    <row r="711">
      <c r="A711" s="24"/>
      <c r="B711" s="24"/>
      <c r="C711" s="24"/>
      <c r="D711" s="24"/>
      <c r="E711" s="24"/>
      <c r="F711" s="24"/>
    </row>
    <row r="712">
      <c r="A712" s="24"/>
      <c r="B712" s="24"/>
      <c r="C712" s="24"/>
      <c r="D712" s="24"/>
      <c r="E712" s="24"/>
      <c r="F712" s="24"/>
    </row>
    <row r="713">
      <c r="A713" s="24"/>
      <c r="B713" s="24"/>
      <c r="C713" s="24"/>
      <c r="D713" s="24"/>
      <c r="E713" s="24"/>
      <c r="F713" s="24"/>
    </row>
    <row r="714">
      <c r="A714" s="24"/>
      <c r="B714" s="24"/>
      <c r="C714" s="24"/>
      <c r="D714" s="24"/>
      <c r="E714" s="24"/>
      <c r="F714" s="24"/>
    </row>
    <row r="715">
      <c r="A715" s="24"/>
      <c r="B715" s="24"/>
      <c r="C715" s="24"/>
      <c r="D715" s="24"/>
      <c r="E715" s="24"/>
      <c r="F715" s="24"/>
    </row>
    <row r="716">
      <c r="A716" s="24"/>
      <c r="B716" s="24"/>
      <c r="C716" s="24"/>
      <c r="D716" s="24"/>
      <c r="E716" s="24"/>
      <c r="F716" s="24"/>
    </row>
    <row r="717">
      <c r="A717" s="24"/>
      <c r="B717" s="24"/>
      <c r="C717" s="24"/>
      <c r="D717" s="24"/>
      <c r="E717" s="24"/>
      <c r="F717" s="24"/>
    </row>
    <row r="718">
      <c r="A718" s="24"/>
      <c r="B718" s="24"/>
      <c r="C718" s="24"/>
      <c r="D718" s="24"/>
      <c r="E718" s="24"/>
      <c r="F718" s="24"/>
    </row>
    <row r="719">
      <c r="A719" s="24"/>
      <c r="B719" s="24"/>
      <c r="C719" s="24"/>
      <c r="D719" s="24"/>
      <c r="E719" s="24"/>
      <c r="F719" s="24"/>
    </row>
    <row r="720">
      <c r="A720" s="24"/>
      <c r="B720" s="24"/>
      <c r="C720" s="24"/>
      <c r="D720" s="24"/>
      <c r="E720" s="24"/>
      <c r="F720" s="24"/>
    </row>
    <row r="721">
      <c r="A721" s="24"/>
      <c r="B721" s="24"/>
      <c r="C721" s="24"/>
      <c r="D721" s="24"/>
      <c r="E721" s="24"/>
      <c r="F721" s="24"/>
    </row>
    <row r="722">
      <c r="A722" s="24"/>
      <c r="B722" s="24"/>
      <c r="C722" s="24"/>
      <c r="D722" s="24"/>
      <c r="E722" s="24"/>
      <c r="F722" s="24"/>
    </row>
    <row r="723">
      <c r="A723" s="24"/>
      <c r="B723" s="24"/>
      <c r="C723" s="24"/>
      <c r="D723" s="24"/>
      <c r="E723" s="24"/>
      <c r="F723" s="24"/>
    </row>
    <row r="724">
      <c r="A724" s="24"/>
      <c r="B724" s="24"/>
      <c r="C724" s="24"/>
      <c r="D724" s="24"/>
      <c r="E724" s="24"/>
      <c r="F724" s="24"/>
    </row>
    <row r="725">
      <c r="A725" s="24"/>
      <c r="B725" s="24"/>
      <c r="C725" s="24"/>
      <c r="D725" s="24"/>
      <c r="E725" s="24"/>
      <c r="F725" s="24"/>
    </row>
    <row r="726">
      <c r="A726" s="24"/>
      <c r="B726" s="24"/>
      <c r="C726" s="24"/>
      <c r="D726" s="24"/>
      <c r="E726" s="24"/>
      <c r="F726" s="24"/>
    </row>
    <row r="727">
      <c r="A727" s="24"/>
      <c r="B727" s="24"/>
      <c r="C727" s="24"/>
      <c r="D727" s="24"/>
      <c r="E727" s="24"/>
      <c r="F727" s="24"/>
    </row>
    <row r="728">
      <c r="A728" s="24"/>
      <c r="B728" s="24"/>
      <c r="C728" s="24"/>
      <c r="D728" s="24"/>
      <c r="E728" s="24"/>
      <c r="F728" s="24"/>
    </row>
    <row r="729">
      <c r="A729" s="24"/>
      <c r="B729" s="24"/>
      <c r="C729" s="24"/>
      <c r="D729" s="24"/>
      <c r="E729" s="24"/>
      <c r="F729" s="24"/>
    </row>
    <row r="730">
      <c r="A730" s="24"/>
      <c r="B730" s="24"/>
      <c r="C730" s="24"/>
      <c r="D730" s="24"/>
      <c r="E730" s="24"/>
      <c r="F730" s="24"/>
    </row>
    <row r="731">
      <c r="A731" s="24"/>
      <c r="B731" s="24"/>
      <c r="C731" s="24"/>
      <c r="D731" s="24"/>
      <c r="E731" s="24"/>
      <c r="F731" s="24"/>
    </row>
    <row r="732">
      <c r="A732" s="24"/>
      <c r="B732" s="24"/>
      <c r="C732" s="24"/>
      <c r="D732" s="24"/>
      <c r="E732" s="24"/>
      <c r="F732" s="24"/>
    </row>
    <row r="733">
      <c r="A733" s="24"/>
      <c r="B733" s="24"/>
      <c r="C733" s="24"/>
      <c r="D733" s="24"/>
      <c r="E733" s="24"/>
      <c r="F733" s="24"/>
    </row>
    <row r="734">
      <c r="A734" s="24"/>
      <c r="B734" s="24"/>
      <c r="C734" s="24"/>
      <c r="D734" s="24"/>
      <c r="E734" s="24"/>
      <c r="F734" s="24"/>
    </row>
    <row r="735">
      <c r="A735" s="24"/>
      <c r="B735" s="24"/>
      <c r="C735" s="24"/>
      <c r="D735" s="24"/>
      <c r="E735" s="24"/>
      <c r="F735" s="24"/>
    </row>
    <row r="736">
      <c r="A736" s="24"/>
      <c r="B736" s="24"/>
      <c r="C736" s="24"/>
      <c r="D736" s="24"/>
      <c r="E736" s="24"/>
      <c r="F736" s="24"/>
    </row>
    <row r="737">
      <c r="A737" s="24"/>
      <c r="B737" s="24"/>
      <c r="C737" s="24"/>
      <c r="D737" s="24"/>
      <c r="E737" s="24"/>
      <c r="F737" s="24"/>
    </row>
    <row r="738">
      <c r="A738" s="24"/>
      <c r="B738" s="24"/>
      <c r="C738" s="24"/>
      <c r="D738" s="24"/>
      <c r="E738" s="24"/>
      <c r="F738" s="24"/>
    </row>
    <row r="739">
      <c r="A739" s="24"/>
      <c r="B739" s="24"/>
      <c r="C739" s="24"/>
      <c r="D739" s="24"/>
      <c r="E739" s="24"/>
      <c r="F739" s="24"/>
    </row>
    <row r="740">
      <c r="A740" s="24"/>
      <c r="B740" s="24"/>
      <c r="C740" s="24"/>
      <c r="D740" s="24"/>
      <c r="E740" s="24"/>
      <c r="F740" s="24"/>
    </row>
    <row r="741">
      <c r="A741" s="24"/>
      <c r="B741" s="24"/>
      <c r="C741" s="24"/>
      <c r="D741" s="24"/>
      <c r="E741" s="24"/>
      <c r="F741" s="24"/>
    </row>
    <row r="742">
      <c r="A742" s="24"/>
      <c r="B742" s="24"/>
      <c r="C742" s="24"/>
      <c r="D742" s="24"/>
      <c r="E742" s="24"/>
      <c r="F742" s="24"/>
    </row>
    <row r="743">
      <c r="A743" s="24"/>
      <c r="B743" s="24"/>
      <c r="C743" s="24"/>
      <c r="D743" s="24"/>
      <c r="E743" s="24"/>
      <c r="F743" s="24"/>
    </row>
    <row r="744">
      <c r="A744" s="24"/>
      <c r="B744" s="24"/>
      <c r="C744" s="24"/>
      <c r="D744" s="24"/>
      <c r="E744" s="24"/>
      <c r="F744" s="24"/>
    </row>
    <row r="745">
      <c r="A745" s="24"/>
      <c r="B745" s="24"/>
      <c r="C745" s="24"/>
      <c r="D745" s="24"/>
      <c r="E745" s="24"/>
      <c r="F745" s="24"/>
    </row>
    <row r="746">
      <c r="A746" s="24"/>
      <c r="B746" s="24"/>
      <c r="C746" s="24"/>
      <c r="D746" s="24"/>
      <c r="E746" s="24"/>
      <c r="F746" s="24"/>
    </row>
    <row r="747">
      <c r="A747" s="24"/>
      <c r="B747" s="24"/>
      <c r="C747" s="24"/>
      <c r="D747" s="24"/>
      <c r="E747" s="24"/>
      <c r="F747" s="24"/>
    </row>
    <row r="748">
      <c r="A748" s="24"/>
      <c r="B748" s="24"/>
      <c r="C748" s="24"/>
      <c r="D748" s="24"/>
      <c r="E748" s="24"/>
      <c r="F748" s="24"/>
    </row>
    <row r="749">
      <c r="A749" s="24"/>
      <c r="B749" s="24"/>
      <c r="C749" s="24"/>
      <c r="D749" s="24"/>
      <c r="E749" s="24"/>
      <c r="F749" s="24"/>
    </row>
    <row r="750">
      <c r="A750" s="24"/>
      <c r="B750" s="24"/>
      <c r="C750" s="24"/>
      <c r="D750" s="24"/>
      <c r="E750" s="24"/>
      <c r="F750" s="24"/>
    </row>
    <row r="751">
      <c r="A751" s="24"/>
      <c r="B751" s="24"/>
      <c r="C751" s="24"/>
      <c r="D751" s="24"/>
      <c r="E751" s="24"/>
      <c r="F751" s="24"/>
    </row>
    <row r="752">
      <c r="A752" s="24"/>
      <c r="B752" s="24"/>
      <c r="C752" s="24"/>
      <c r="D752" s="24"/>
      <c r="E752" s="24"/>
      <c r="F752" s="24"/>
    </row>
    <row r="753">
      <c r="A753" s="24"/>
      <c r="B753" s="24"/>
      <c r="C753" s="24"/>
      <c r="D753" s="24"/>
      <c r="E753" s="24"/>
      <c r="F753" s="24"/>
    </row>
    <row r="754">
      <c r="A754" s="24"/>
      <c r="B754" s="24"/>
      <c r="C754" s="24"/>
      <c r="D754" s="24"/>
      <c r="E754" s="24"/>
      <c r="F754" s="24"/>
    </row>
    <row r="755">
      <c r="A755" s="24"/>
      <c r="B755" s="24"/>
      <c r="C755" s="24"/>
      <c r="D755" s="24"/>
      <c r="E755" s="24"/>
      <c r="F755" s="24"/>
    </row>
    <row r="756">
      <c r="A756" s="24"/>
      <c r="B756" s="24"/>
      <c r="C756" s="24"/>
      <c r="D756" s="24"/>
      <c r="E756" s="24"/>
      <c r="F756" s="24"/>
    </row>
    <row r="757">
      <c r="A757" s="24"/>
      <c r="B757" s="24"/>
      <c r="C757" s="24"/>
      <c r="D757" s="24"/>
      <c r="E757" s="24"/>
      <c r="F757" s="24"/>
    </row>
    <row r="758">
      <c r="A758" s="24"/>
      <c r="B758" s="24"/>
      <c r="C758" s="24"/>
      <c r="D758" s="24"/>
      <c r="E758" s="24"/>
      <c r="F758" s="24"/>
    </row>
    <row r="759">
      <c r="A759" s="24"/>
      <c r="B759" s="24"/>
      <c r="C759" s="24"/>
      <c r="D759" s="24"/>
      <c r="E759" s="24"/>
      <c r="F759" s="24"/>
    </row>
    <row r="760">
      <c r="A760" s="24"/>
      <c r="B760" s="24"/>
      <c r="C760" s="24"/>
      <c r="D760" s="24"/>
      <c r="E760" s="24"/>
      <c r="F760" s="24"/>
    </row>
    <row r="761">
      <c r="A761" s="24"/>
      <c r="B761" s="24"/>
      <c r="C761" s="24"/>
      <c r="D761" s="24"/>
      <c r="E761" s="24"/>
      <c r="F761" s="24"/>
    </row>
    <row r="762">
      <c r="A762" s="24"/>
      <c r="B762" s="24"/>
      <c r="C762" s="24"/>
      <c r="D762" s="24"/>
      <c r="E762" s="24"/>
      <c r="F762" s="24"/>
    </row>
    <row r="763">
      <c r="A763" s="24"/>
      <c r="B763" s="24"/>
      <c r="C763" s="24"/>
      <c r="D763" s="24"/>
      <c r="E763" s="24"/>
      <c r="F763" s="24"/>
    </row>
    <row r="764">
      <c r="A764" s="24"/>
      <c r="B764" s="24"/>
      <c r="C764" s="24"/>
      <c r="D764" s="24"/>
      <c r="E764" s="24"/>
      <c r="F764" s="24"/>
    </row>
    <row r="765">
      <c r="A765" s="24"/>
      <c r="B765" s="24"/>
      <c r="C765" s="24"/>
      <c r="D765" s="24"/>
      <c r="E765" s="24"/>
      <c r="F765" s="24"/>
    </row>
    <row r="766">
      <c r="A766" s="24"/>
      <c r="B766" s="24"/>
      <c r="C766" s="24"/>
      <c r="D766" s="24"/>
      <c r="E766" s="24"/>
      <c r="F766" s="24"/>
    </row>
    <row r="767">
      <c r="A767" s="24"/>
      <c r="B767" s="24"/>
      <c r="C767" s="24"/>
      <c r="D767" s="24"/>
      <c r="E767" s="24"/>
      <c r="F767" s="24"/>
    </row>
    <row r="768">
      <c r="A768" s="24"/>
      <c r="B768" s="24"/>
      <c r="C768" s="24"/>
      <c r="D768" s="24"/>
      <c r="E768" s="24"/>
      <c r="F768" s="24"/>
    </row>
    <row r="769">
      <c r="A769" s="24"/>
      <c r="B769" s="24"/>
      <c r="C769" s="24"/>
      <c r="D769" s="24"/>
      <c r="E769" s="24"/>
      <c r="F769" s="24"/>
    </row>
    <row r="770">
      <c r="A770" s="24"/>
      <c r="B770" s="24"/>
      <c r="C770" s="24"/>
      <c r="D770" s="24"/>
      <c r="E770" s="24"/>
      <c r="F770" s="24"/>
    </row>
    <row r="771">
      <c r="A771" s="24"/>
      <c r="B771" s="24"/>
      <c r="C771" s="24"/>
      <c r="D771" s="24"/>
      <c r="E771" s="24"/>
      <c r="F771" s="24"/>
    </row>
    <row r="772">
      <c r="A772" s="24"/>
      <c r="B772" s="24"/>
      <c r="C772" s="24"/>
      <c r="D772" s="24"/>
      <c r="E772" s="24"/>
      <c r="F772" s="24"/>
    </row>
    <row r="773">
      <c r="A773" s="24"/>
      <c r="B773" s="24"/>
      <c r="C773" s="24"/>
      <c r="D773" s="24"/>
      <c r="E773" s="24"/>
      <c r="F773" s="24"/>
    </row>
    <row r="774">
      <c r="A774" s="24"/>
      <c r="B774" s="24"/>
      <c r="C774" s="24"/>
      <c r="D774" s="24"/>
      <c r="E774" s="24"/>
      <c r="F774" s="24"/>
    </row>
    <row r="775">
      <c r="A775" s="24"/>
      <c r="B775" s="24"/>
      <c r="C775" s="24"/>
      <c r="D775" s="24"/>
      <c r="E775" s="24"/>
      <c r="F775" s="24"/>
    </row>
    <row r="776">
      <c r="A776" s="24"/>
      <c r="B776" s="24"/>
      <c r="C776" s="24"/>
      <c r="D776" s="24"/>
      <c r="E776" s="24"/>
      <c r="F776" s="24"/>
    </row>
    <row r="777">
      <c r="A777" s="24"/>
      <c r="B777" s="24"/>
      <c r="C777" s="24"/>
      <c r="D777" s="24"/>
      <c r="E777" s="24"/>
      <c r="F777" s="24"/>
    </row>
    <row r="778">
      <c r="A778" s="24"/>
      <c r="B778" s="24"/>
      <c r="C778" s="24"/>
      <c r="D778" s="24"/>
      <c r="E778" s="24"/>
      <c r="F778" s="24"/>
    </row>
    <row r="779">
      <c r="A779" s="24"/>
      <c r="B779" s="24"/>
      <c r="C779" s="24"/>
      <c r="D779" s="24"/>
      <c r="E779" s="24"/>
      <c r="F779" s="24"/>
    </row>
    <row r="780">
      <c r="A780" s="24"/>
      <c r="B780" s="24"/>
      <c r="C780" s="24"/>
      <c r="D780" s="24"/>
      <c r="E780" s="24"/>
      <c r="F780" s="24"/>
    </row>
    <row r="781">
      <c r="A781" s="24"/>
      <c r="B781" s="24"/>
      <c r="C781" s="24"/>
      <c r="D781" s="24"/>
      <c r="E781" s="24"/>
      <c r="F781" s="24"/>
    </row>
    <row r="782">
      <c r="A782" s="24"/>
      <c r="B782" s="24"/>
      <c r="C782" s="24"/>
      <c r="D782" s="24"/>
      <c r="E782" s="24"/>
      <c r="F782" s="24"/>
    </row>
    <row r="783">
      <c r="A783" s="24"/>
      <c r="B783" s="24"/>
      <c r="C783" s="24"/>
      <c r="D783" s="24"/>
      <c r="E783" s="24"/>
      <c r="F783" s="24"/>
    </row>
    <row r="784">
      <c r="A784" s="24"/>
      <c r="B784" s="24"/>
      <c r="C784" s="24"/>
      <c r="D784" s="24"/>
      <c r="E784" s="24"/>
      <c r="F784" s="24"/>
    </row>
    <row r="785">
      <c r="A785" s="24"/>
      <c r="B785" s="24"/>
      <c r="C785" s="24"/>
      <c r="D785" s="24"/>
      <c r="E785" s="24"/>
      <c r="F785" s="24"/>
    </row>
    <row r="786">
      <c r="A786" s="24"/>
      <c r="B786" s="24"/>
      <c r="C786" s="24"/>
      <c r="D786" s="24"/>
      <c r="E786" s="24"/>
      <c r="F786" s="24"/>
    </row>
    <row r="787">
      <c r="A787" s="24"/>
      <c r="B787" s="24"/>
      <c r="C787" s="24"/>
      <c r="D787" s="24"/>
      <c r="E787" s="24"/>
      <c r="F787" s="24"/>
    </row>
    <row r="788">
      <c r="A788" s="24"/>
      <c r="B788" s="24"/>
      <c r="C788" s="24"/>
      <c r="D788" s="24"/>
      <c r="E788" s="24"/>
      <c r="F788" s="24"/>
    </row>
    <row r="789">
      <c r="A789" s="24"/>
      <c r="B789" s="24"/>
      <c r="C789" s="24"/>
      <c r="D789" s="24"/>
      <c r="E789" s="24"/>
      <c r="F789" s="24"/>
    </row>
    <row r="790">
      <c r="A790" s="24"/>
      <c r="B790" s="24"/>
      <c r="C790" s="24"/>
      <c r="D790" s="24"/>
      <c r="E790" s="24"/>
      <c r="F790" s="24"/>
    </row>
    <row r="791">
      <c r="A791" s="24"/>
      <c r="B791" s="24"/>
      <c r="C791" s="24"/>
      <c r="D791" s="24"/>
      <c r="E791" s="24"/>
      <c r="F791" s="24"/>
    </row>
    <row r="792">
      <c r="A792" s="24"/>
      <c r="B792" s="24"/>
      <c r="C792" s="24"/>
      <c r="D792" s="24"/>
      <c r="E792" s="24"/>
      <c r="F792" s="24"/>
    </row>
    <row r="793">
      <c r="A793" s="24"/>
      <c r="B793" s="24"/>
      <c r="C793" s="24"/>
      <c r="D793" s="24"/>
      <c r="E793" s="24"/>
      <c r="F793" s="24"/>
    </row>
    <row r="794">
      <c r="A794" s="24"/>
      <c r="B794" s="24"/>
      <c r="C794" s="24"/>
      <c r="D794" s="24"/>
      <c r="E794" s="24"/>
      <c r="F794" s="24"/>
    </row>
    <row r="795">
      <c r="A795" s="24"/>
      <c r="B795" s="24"/>
      <c r="C795" s="24"/>
      <c r="D795" s="24"/>
      <c r="E795" s="24"/>
      <c r="F795" s="24"/>
    </row>
    <row r="796">
      <c r="A796" s="24"/>
      <c r="B796" s="24"/>
      <c r="C796" s="24"/>
      <c r="D796" s="24"/>
      <c r="E796" s="24"/>
      <c r="F796" s="24"/>
    </row>
    <row r="797">
      <c r="A797" s="24"/>
      <c r="B797" s="24"/>
      <c r="C797" s="24"/>
      <c r="D797" s="24"/>
      <c r="E797" s="24"/>
      <c r="F797" s="24"/>
    </row>
    <row r="798">
      <c r="A798" s="24"/>
      <c r="B798" s="24"/>
      <c r="C798" s="24"/>
      <c r="D798" s="24"/>
      <c r="E798" s="24"/>
      <c r="F798" s="24"/>
    </row>
    <row r="799">
      <c r="A799" s="24"/>
      <c r="B799" s="24"/>
      <c r="C799" s="24"/>
      <c r="D799" s="24"/>
      <c r="E799" s="24"/>
      <c r="F799" s="24"/>
    </row>
    <row r="800">
      <c r="A800" s="24"/>
      <c r="B800" s="24"/>
      <c r="C800" s="24"/>
      <c r="D800" s="24"/>
      <c r="E800" s="24"/>
      <c r="F800" s="24"/>
    </row>
    <row r="801">
      <c r="A801" s="24"/>
      <c r="B801" s="24"/>
      <c r="C801" s="24"/>
      <c r="D801" s="24"/>
      <c r="E801" s="24"/>
      <c r="F801" s="24"/>
    </row>
    <row r="802">
      <c r="A802" s="24"/>
      <c r="B802" s="24"/>
      <c r="C802" s="24"/>
      <c r="D802" s="24"/>
      <c r="E802" s="24"/>
      <c r="F802" s="24"/>
    </row>
    <row r="803">
      <c r="A803" s="24"/>
      <c r="B803" s="24"/>
      <c r="C803" s="24"/>
      <c r="D803" s="24"/>
      <c r="E803" s="24"/>
      <c r="F803" s="24"/>
    </row>
    <row r="804">
      <c r="A804" s="24"/>
      <c r="B804" s="24"/>
      <c r="C804" s="24"/>
      <c r="D804" s="24"/>
      <c r="E804" s="24"/>
      <c r="F804" s="24"/>
    </row>
    <row r="805">
      <c r="A805" s="24"/>
      <c r="B805" s="24"/>
      <c r="C805" s="24"/>
      <c r="D805" s="24"/>
      <c r="E805" s="24"/>
      <c r="F805" s="24"/>
    </row>
    <row r="806">
      <c r="A806" s="24"/>
      <c r="B806" s="24"/>
      <c r="C806" s="24"/>
      <c r="D806" s="24"/>
      <c r="E806" s="24"/>
      <c r="F806" s="24"/>
    </row>
    <row r="807">
      <c r="A807" s="24"/>
      <c r="B807" s="24"/>
      <c r="C807" s="24"/>
      <c r="D807" s="24"/>
      <c r="E807" s="24"/>
      <c r="F807" s="24"/>
    </row>
    <row r="808">
      <c r="A808" s="24"/>
      <c r="B808" s="24"/>
      <c r="C808" s="24"/>
      <c r="D808" s="24"/>
      <c r="E808" s="24"/>
      <c r="F808" s="24"/>
    </row>
    <row r="809">
      <c r="A809" s="24"/>
      <c r="B809" s="24"/>
      <c r="C809" s="24"/>
      <c r="D809" s="24"/>
      <c r="E809" s="24"/>
      <c r="F809" s="24"/>
    </row>
    <row r="810">
      <c r="A810" s="24"/>
      <c r="B810" s="24"/>
      <c r="C810" s="24"/>
      <c r="D810" s="24"/>
      <c r="E810" s="24"/>
      <c r="F810" s="24"/>
    </row>
    <row r="811">
      <c r="A811" s="24"/>
      <c r="B811" s="24"/>
      <c r="C811" s="24"/>
      <c r="D811" s="24"/>
      <c r="E811" s="24"/>
      <c r="F811" s="24"/>
    </row>
    <row r="812">
      <c r="A812" s="24"/>
      <c r="B812" s="24"/>
      <c r="C812" s="24"/>
      <c r="D812" s="24"/>
      <c r="E812" s="24"/>
      <c r="F812" s="24"/>
    </row>
    <row r="813">
      <c r="A813" s="24"/>
      <c r="B813" s="24"/>
      <c r="C813" s="24"/>
      <c r="D813" s="24"/>
      <c r="E813" s="24"/>
      <c r="F813" s="24"/>
    </row>
    <row r="814">
      <c r="A814" s="24"/>
      <c r="B814" s="24"/>
      <c r="C814" s="24"/>
      <c r="D814" s="24"/>
      <c r="E814" s="24"/>
      <c r="F814" s="24"/>
    </row>
    <row r="815">
      <c r="A815" s="24"/>
      <c r="B815" s="24"/>
      <c r="C815" s="24"/>
      <c r="D815" s="24"/>
      <c r="E815" s="24"/>
      <c r="F815" s="24"/>
    </row>
    <row r="816">
      <c r="A816" s="24"/>
      <c r="B816" s="24"/>
      <c r="C816" s="24"/>
      <c r="D816" s="24"/>
      <c r="E816" s="24"/>
      <c r="F816" s="24"/>
    </row>
    <row r="817">
      <c r="A817" s="24"/>
      <c r="B817" s="24"/>
      <c r="C817" s="24"/>
      <c r="D817" s="24"/>
      <c r="E817" s="24"/>
      <c r="F817" s="24"/>
    </row>
    <row r="818">
      <c r="A818" s="24"/>
      <c r="B818" s="24"/>
      <c r="C818" s="24"/>
      <c r="D818" s="24"/>
      <c r="E818" s="24"/>
      <c r="F818" s="24"/>
    </row>
    <row r="819">
      <c r="A819" s="24"/>
      <c r="B819" s="24"/>
      <c r="C819" s="24"/>
      <c r="D819" s="24"/>
      <c r="E819" s="24"/>
      <c r="F819" s="24"/>
    </row>
    <row r="820">
      <c r="A820" s="24"/>
      <c r="B820" s="24"/>
      <c r="C820" s="24"/>
      <c r="D820" s="24"/>
      <c r="E820" s="24"/>
      <c r="F820" s="24"/>
    </row>
    <row r="821">
      <c r="A821" s="24"/>
      <c r="B821" s="24"/>
      <c r="C821" s="24"/>
      <c r="D821" s="24"/>
      <c r="E821" s="24"/>
      <c r="F821" s="24"/>
    </row>
    <row r="822">
      <c r="A822" s="24"/>
      <c r="B822" s="24"/>
      <c r="C822" s="24"/>
      <c r="D822" s="24"/>
      <c r="E822" s="24"/>
      <c r="F822" s="24"/>
    </row>
    <row r="823">
      <c r="A823" s="24"/>
      <c r="B823" s="24"/>
      <c r="C823" s="24"/>
      <c r="D823" s="24"/>
      <c r="E823" s="24"/>
      <c r="F823" s="24"/>
    </row>
    <row r="824">
      <c r="A824" s="24"/>
      <c r="B824" s="24"/>
      <c r="C824" s="24"/>
      <c r="D824" s="24"/>
      <c r="E824" s="24"/>
      <c r="F824" s="24"/>
    </row>
    <row r="825">
      <c r="A825" s="24"/>
      <c r="B825" s="24"/>
      <c r="C825" s="24"/>
      <c r="D825" s="24"/>
      <c r="E825" s="24"/>
      <c r="F825" s="24"/>
    </row>
    <row r="826">
      <c r="A826" s="24"/>
      <c r="B826" s="24"/>
      <c r="C826" s="24"/>
      <c r="D826" s="24"/>
      <c r="E826" s="24"/>
      <c r="F826" s="24"/>
    </row>
    <row r="827">
      <c r="A827" s="24"/>
      <c r="B827" s="24"/>
      <c r="C827" s="24"/>
      <c r="D827" s="24"/>
      <c r="E827" s="24"/>
      <c r="F827" s="24"/>
    </row>
    <row r="828">
      <c r="A828" s="24"/>
      <c r="B828" s="24"/>
      <c r="C828" s="24"/>
      <c r="D828" s="24"/>
      <c r="E828" s="24"/>
      <c r="F828" s="24"/>
    </row>
    <row r="829">
      <c r="A829" s="24"/>
      <c r="B829" s="24"/>
      <c r="C829" s="24"/>
      <c r="D829" s="24"/>
      <c r="E829" s="24"/>
      <c r="F829" s="24"/>
    </row>
    <row r="830">
      <c r="A830" s="24"/>
      <c r="B830" s="24"/>
      <c r="C830" s="24"/>
      <c r="D830" s="24"/>
      <c r="E830" s="24"/>
      <c r="F830" s="24"/>
    </row>
    <row r="831">
      <c r="A831" s="24"/>
      <c r="B831" s="24"/>
      <c r="C831" s="24"/>
      <c r="D831" s="24"/>
      <c r="E831" s="24"/>
      <c r="F831" s="24"/>
    </row>
    <row r="832">
      <c r="A832" s="24"/>
      <c r="B832" s="24"/>
      <c r="C832" s="24"/>
      <c r="D832" s="24"/>
      <c r="E832" s="24"/>
      <c r="F832" s="24"/>
    </row>
    <row r="833">
      <c r="A833" s="24"/>
      <c r="B833" s="24"/>
      <c r="C833" s="24"/>
      <c r="D833" s="24"/>
      <c r="E833" s="24"/>
      <c r="F833" s="24"/>
    </row>
    <row r="834">
      <c r="A834" s="24"/>
      <c r="B834" s="24"/>
      <c r="C834" s="24"/>
      <c r="D834" s="24"/>
      <c r="E834" s="24"/>
      <c r="F834" s="24"/>
    </row>
    <row r="835">
      <c r="A835" s="24"/>
      <c r="B835" s="24"/>
      <c r="C835" s="24"/>
      <c r="D835" s="24"/>
      <c r="E835" s="24"/>
      <c r="F835" s="24"/>
    </row>
    <row r="836">
      <c r="A836" s="24"/>
      <c r="B836" s="24"/>
      <c r="C836" s="24"/>
      <c r="D836" s="24"/>
      <c r="E836" s="24"/>
      <c r="F836" s="24"/>
    </row>
    <row r="837">
      <c r="A837" s="24"/>
      <c r="B837" s="24"/>
      <c r="C837" s="24"/>
      <c r="D837" s="24"/>
      <c r="E837" s="24"/>
      <c r="F837" s="24"/>
    </row>
    <row r="838">
      <c r="A838" s="24"/>
      <c r="B838" s="24"/>
      <c r="C838" s="24"/>
      <c r="D838" s="24"/>
      <c r="E838" s="24"/>
      <c r="F838" s="24"/>
    </row>
    <row r="839">
      <c r="A839" s="24"/>
      <c r="B839" s="24"/>
      <c r="C839" s="24"/>
      <c r="D839" s="24"/>
      <c r="E839" s="24"/>
      <c r="F839" s="24"/>
    </row>
    <row r="840">
      <c r="A840" s="24"/>
      <c r="B840" s="24"/>
      <c r="C840" s="24"/>
      <c r="D840" s="24"/>
      <c r="E840" s="24"/>
      <c r="F840" s="24"/>
    </row>
    <row r="841">
      <c r="A841" s="24"/>
      <c r="B841" s="24"/>
      <c r="C841" s="24"/>
      <c r="D841" s="24"/>
      <c r="E841" s="24"/>
      <c r="F841" s="24"/>
    </row>
    <row r="842">
      <c r="A842" s="24"/>
      <c r="B842" s="24"/>
      <c r="C842" s="24"/>
      <c r="D842" s="24"/>
      <c r="E842" s="24"/>
      <c r="F842" s="24"/>
    </row>
    <row r="843">
      <c r="A843" s="24"/>
      <c r="B843" s="24"/>
      <c r="C843" s="24"/>
      <c r="D843" s="24"/>
      <c r="E843" s="24"/>
      <c r="F843" s="24"/>
    </row>
    <row r="844">
      <c r="A844" s="24"/>
      <c r="B844" s="24"/>
      <c r="C844" s="24"/>
      <c r="D844" s="24"/>
      <c r="E844" s="24"/>
      <c r="F844" s="24"/>
    </row>
    <row r="845">
      <c r="A845" s="24"/>
      <c r="B845" s="24"/>
      <c r="C845" s="24"/>
      <c r="D845" s="24"/>
      <c r="E845" s="24"/>
      <c r="F845" s="24"/>
    </row>
    <row r="846">
      <c r="A846" s="24"/>
      <c r="B846" s="24"/>
      <c r="C846" s="24"/>
      <c r="D846" s="24"/>
      <c r="E846" s="24"/>
      <c r="F846" s="24"/>
    </row>
    <row r="847">
      <c r="A847" s="24"/>
      <c r="B847" s="24"/>
      <c r="C847" s="24"/>
      <c r="D847" s="24"/>
      <c r="E847" s="24"/>
      <c r="F847" s="24"/>
    </row>
    <row r="848">
      <c r="A848" s="24"/>
      <c r="B848" s="24"/>
      <c r="C848" s="24"/>
      <c r="D848" s="24"/>
      <c r="E848" s="24"/>
      <c r="F848" s="24"/>
    </row>
    <row r="849">
      <c r="A849" s="24"/>
      <c r="B849" s="24"/>
      <c r="C849" s="24"/>
      <c r="D849" s="24"/>
      <c r="E849" s="24"/>
      <c r="F849" s="24"/>
    </row>
    <row r="850">
      <c r="A850" s="24"/>
      <c r="B850" s="24"/>
      <c r="C850" s="24"/>
      <c r="D850" s="24"/>
      <c r="E850" s="24"/>
      <c r="F850" s="24"/>
    </row>
    <row r="851">
      <c r="A851" s="24"/>
      <c r="B851" s="24"/>
      <c r="C851" s="24"/>
      <c r="D851" s="24"/>
      <c r="E851" s="24"/>
      <c r="F851" s="24"/>
    </row>
    <row r="852">
      <c r="A852" s="24"/>
      <c r="B852" s="24"/>
      <c r="C852" s="24"/>
      <c r="D852" s="24"/>
      <c r="E852" s="24"/>
      <c r="F852" s="24"/>
    </row>
    <row r="853">
      <c r="A853" s="24"/>
      <c r="B853" s="24"/>
      <c r="C853" s="24"/>
      <c r="D853" s="24"/>
      <c r="E853" s="24"/>
      <c r="F853" s="24"/>
    </row>
    <row r="854">
      <c r="A854" s="24"/>
      <c r="B854" s="24"/>
      <c r="C854" s="24"/>
      <c r="D854" s="24"/>
      <c r="E854" s="24"/>
      <c r="F854" s="24"/>
    </row>
    <row r="855">
      <c r="A855" s="24"/>
      <c r="B855" s="24"/>
      <c r="C855" s="24"/>
      <c r="D855" s="24"/>
      <c r="E855" s="24"/>
      <c r="F855" s="24"/>
    </row>
    <row r="856">
      <c r="A856" s="24"/>
      <c r="B856" s="24"/>
      <c r="C856" s="24"/>
      <c r="D856" s="24"/>
      <c r="E856" s="24"/>
      <c r="F856" s="24"/>
    </row>
    <row r="857">
      <c r="A857" s="24"/>
      <c r="B857" s="24"/>
      <c r="C857" s="24"/>
      <c r="D857" s="24"/>
      <c r="E857" s="24"/>
      <c r="F857" s="24"/>
    </row>
    <row r="858">
      <c r="A858" s="24"/>
      <c r="B858" s="24"/>
      <c r="C858" s="24"/>
      <c r="D858" s="24"/>
      <c r="E858" s="24"/>
      <c r="F858" s="24"/>
    </row>
    <row r="859">
      <c r="A859" s="24"/>
      <c r="B859" s="24"/>
      <c r="C859" s="24"/>
      <c r="D859" s="24"/>
      <c r="E859" s="24"/>
      <c r="F859" s="24"/>
    </row>
    <row r="860">
      <c r="A860" s="24"/>
      <c r="B860" s="24"/>
      <c r="C860" s="24"/>
      <c r="D860" s="24"/>
      <c r="E860" s="24"/>
      <c r="F860" s="24"/>
    </row>
    <row r="861">
      <c r="A861" s="24"/>
      <c r="B861" s="24"/>
      <c r="C861" s="24"/>
      <c r="D861" s="24"/>
      <c r="E861" s="24"/>
      <c r="F861" s="24"/>
    </row>
    <row r="862">
      <c r="A862" s="24"/>
      <c r="B862" s="24"/>
      <c r="C862" s="24"/>
      <c r="D862" s="24"/>
      <c r="E862" s="24"/>
      <c r="F862" s="24"/>
    </row>
    <row r="863">
      <c r="A863" s="24"/>
      <c r="B863" s="24"/>
      <c r="C863" s="24"/>
      <c r="D863" s="24"/>
      <c r="E863" s="24"/>
      <c r="F863" s="24"/>
    </row>
    <row r="864">
      <c r="A864" s="24"/>
      <c r="B864" s="24"/>
      <c r="C864" s="24"/>
      <c r="D864" s="24"/>
      <c r="E864" s="24"/>
      <c r="F864" s="24"/>
    </row>
    <row r="865">
      <c r="A865" s="24"/>
      <c r="B865" s="24"/>
      <c r="C865" s="24"/>
      <c r="D865" s="24"/>
      <c r="E865" s="24"/>
      <c r="F865" s="24"/>
    </row>
    <row r="866">
      <c r="A866" s="24"/>
      <c r="B866" s="24"/>
      <c r="C866" s="24"/>
      <c r="D866" s="24"/>
      <c r="E866" s="24"/>
      <c r="F866" s="24"/>
    </row>
    <row r="867">
      <c r="A867" s="24"/>
      <c r="B867" s="24"/>
      <c r="C867" s="24"/>
      <c r="D867" s="24"/>
      <c r="E867" s="24"/>
      <c r="F867" s="24"/>
    </row>
    <row r="868">
      <c r="A868" s="24"/>
      <c r="B868" s="24"/>
      <c r="C868" s="24"/>
      <c r="D868" s="24"/>
      <c r="E868" s="24"/>
      <c r="F868" s="24"/>
    </row>
    <row r="869">
      <c r="A869" s="24"/>
      <c r="B869" s="24"/>
      <c r="C869" s="24"/>
      <c r="D869" s="24"/>
      <c r="E869" s="24"/>
      <c r="F869" s="24"/>
    </row>
    <row r="870">
      <c r="A870" s="24"/>
      <c r="B870" s="24"/>
      <c r="C870" s="24"/>
      <c r="D870" s="24"/>
      <c r="E870" s="24"/>
      <c r="F870" s="24"/>
    </row>
    <row r="871">
      <c r="A871" s="24"/>
      <c r="B871" s="24"/>
      <c r="C871" s="24"/>
      <c r="D871" s="24"/>
      <c r="E871" s="24"/>
      <c r="F871" s="24"/>
    </row>
    <row r="872">
      <c r="A872" s="24"/>
      <c r="B872" s="24"/>
      <c r="C872" s="24"/>
      <c r="D872" s="24"/>
      <c r="E872" s="24"/>
      <c r="F872" s="24"/>
    </row>
    <row r="873">
      <c r="A873" s="24"/>
      <c r="B873" s="24"/>
      <c r="C873" s="24"/>
      <c r="D873" s="24"/>
      <c r="E873" s="24"/>
      <c r="F873" s="24"/>
    </row>
    <row r="874">
      <c r="A874" s="24"/>
      <c r="B874" s="24"/>
      <c r="C874" s="24"/>
      <c r="D874" s="24"/>
      <c r="E874" s="24"/>
      <c r="F874" s="24"/>
    </row>
    <row r="875">
      <c r="A875" s="24"/>
      <c r="B875" s="24"/>
      <c r="C875" s="24"/>
      <c r="D875" s="24"/>
      <c r="E875" s="24"/>
      <c r="F875" s="24"/>
    </row>
    <row r="876">
      <c r="A876" s="24"/>
      <c r="B876" s="24"/>
      <c r="C876" s="24"/>
      <c r="D876" s="24"/>
      <c r="E876" s="24"/>
      <c r="F876" s="24"/>
    </row>
    <row r="877">
      <c r="A877" s="24"/>
      <c r="B877" s="24"/>
      <c r="C877" s="24"/>
      <c r="D877" s="24"/>
      <c r="E877" s="24"/>
      <c r="F877" s="24"/>
    </row>
    <row r="878">
      <c r="A878" s="24"/>
      <c r="B878" s="24"/>
      <c r="C878" s="24"/>
      <c r="D878" s="24"/>
      <c r="E878" s="24"/>
      <c r="F878" s="24"/>
    </row>
    <row r="879">
      <c r="A879" s="24"/>
      <c r="B879" s="24"/>
      <c r="C879" s="24"/>
      <c r="D879" s="24"/>
      <c r="E879" s="24"/>
      <c r="F879" s="24"/>
    </row>
    <row r="880">
      <c r="A880" s="24"/>
      <c r="B880" s="24"/>
      <c r="C880" s="24"/>
      <c r="D880" s="24"/>
      <c r="E880" s="24"/>
      <c r="F880" s="24"/>
    </row>
    <row r="881">
      <c r="A881" s="24"/>
      <c r="B881" s="24"/>
      <c r="C881" s="24"/>
      <c r="D881" s="24"/>
      <c r="E881" s="24"/>
      <c r="F881" s="24"/>
    </row>
    <row r="882">
      <c r="A882" s="24"/>
      <c r="B882" s="24"/>
      <c r="C882" s="24"/>
      <c r="D882" s="24"/>
      <c r="E882" s="24"/>
      <c r="F882" s="24"/>
    </row>
    <row r="883">
      <c r="A883" s="24"/>
      <c r="B883" s="24"/>
      <c r="C883" s="24"/>
      <c r="D883" s="24"/>
      <c r="E883" s="24"/>
      <c r="F883" s="24"/>
    </row>
    <row r="884">
      <c r="A884" s="24"/>
      <c r="B884" s="24"/>
      <c r="C884" s="24"/>
      <c r="D884" s="24"/>
      <c r="E884" s="24"/>
      <c r="F884" s="24"/>
    </row>
    <row r="885">
      <c r="A885" s="24"/>
      <c r="B885" s="24"/>
      <c r="C885" s="24"/>
      <c r="D885" s="24"/>
      <c r="E885" s="24"/>
      <c r="F885" s="24"/>
    </row>
    <row r="886">
      <c r="A886" s="24"/>
      <c r="B886" s="24"/>
      <c r="C886" s="24"/>
      <c r="D886" s="24"/>
      <c r="E886" s="24"/>
      <c r="F886" s="24"/>
    </row>
    <row r="887">
      <c r="A887" s="24"/>
      <c r="B887" s="24"/>
      <c r="C887" s="24"/>
      <c r="D887" s="24"/>
      <c r="E887" s="24"/>
      <c r="F887" s="24"/>
    </row>
    <row r="888">
      <c r="A888" s="24"/>
      <c r="B888" s="24"/>
      <c r="C888" s="24"/>
      <c r="D888" s="24"/>
      <c r="E888" s="24"/>
      <c r="F888" s="24"/>
    </row>
    <row r="889">
      <c r="A889" s="24"/>
      <c r="B889" s="24"/>
      <c r="C889" s="24"/>
      <c r="D889" s="24"/>
      <c r="E889" s="24"/>
      <c r="F889" s="24"/>
    </row>
    <row r="890">
      <c r="A890" s="24"/>
      <c r="B890" s="24"/>
      <c r="C890" s="24"/>
      <c r="D890" s="24"/>
      <c r="E890" s="24"/>
      <c r="F890" s="24"/>
    </row>
    <row r="891">
      <c r="A891" s="24"/>
      <c r="B891" s="24"/>
      <c r="C891" s="24"/>
      <c r="D891" s="24"/>
      <c r="E891" s="24"/>
      <c r="F891" s="24"/>
    </row>
    <row r="892">
      <c r="A892" s="24"/>
      <c r="B892" s="24"/>
      <c r="C892" s="24"/>
      <c r="D892" s="24"/>
      <c r="E892" s="24"/>
      <c r="F892" s="24"/>
    </row>
    <row r="893">
      <c r="A893" s="24"/>
      <c r="B893" s="24"/>
      <c r="C893" s="24"/>
      <c r="D893" s="24"/>
      <c r="E893" s="24"/>
      <c r="F893" s="24"/>
    </row>
    <row r="894">
      <c r="A894" s="24"/>
      <c r="B894" s="24"/>
      <c r="C894" s="24"/>
      <c r="D894" s="24"/>
      <c r="E894" s="24"/>
      <c r="F894" s="24"/>
    </row>
    <row r="895">
      <c r="A895" s="24"/>
      <c r="B895" s="24"/>
      <c r="C895" s="24"/>
      <c r="D895" s="24"/>
      <c r="E895" s="24"/>
      <c r="F895" s="24"/>
    </row>
    <row r="896">
      <c r="A896" s="24"/>
      <c r="B896" s="24"/>
      <c r="C896" s="24"/>
      <c r="D896" s="24"/>
      <c r="E896" s="24"/>
      <c r="F896" s="24"/>
    </row>
    <row r="897">
      <c r="A897" s="24"/>
      <c r="B897" s="24"/>
      <c r="C897" s="24"/>
      <c r="D897" s="24"/>
      <c r="E897" s="24"/>
      <c r="F897" s="24"/>
    </row>
    <row r="898">
      <c r="A898" s="24"/>
      <c r="B898" s="24"/>
      <c r="C898" s="24"/>
      <c r="D898" s="24"/>
      <c r="E898" s="24"/>
      <c r="F898" s="24"/>
    </row>
    <row r="899">
      <c r="A899" s="24"/>
      <c r="B899" s="24"/>
      <c r="C899" s="24"/>
      <c r="D899" s="24"/>
      <c r="E899" s="24"/>
      <c r="F899" s="24"/>
    </row>
    <row r="900">
      <c r="A900" s="24"/>
      <c r="B900" s="24"/>
      <c r="C900" s="24"/>
      <c r="D900" s="24"/>
      <c r="E900" s="24"/>
      <c r="F900" s="24"/>
    </row>
    <row r="901">
      <c r="A901" s="24"/>
      <c r="B901" s="24"/>
      <c r="C901" s="24"/>
      <c r="D901" s="24"/>
      <c r="E901" s="24"/>
      <c r="F901" s="24"/>
    </row>
    <row r="902">
      <c r="A902" s="24"/>
      <c r="B902" s="24"/>
      <c r="C902" s="24"/>
      <c r="D902" s="24"/>
      <c r="E902" s="24"/>
      <c r="F902" s="24"/>
    </row>
    <row r="903">
      <c r="A903" s="24"/>
      <c r="B903" s="24"/>
      <c r="C903" s="24"/>
      <c r="D903" s="24"/>
      <c r="E903" s="24"/>
      <c r="F903" s="24"/>
    </row>
    <row r="904">
      <c r="A904" s="24"/>
      <c r="B904" s="24"/>
      <c r="C904" s="24"/>
      <c r="D904" s="24"/>
      <c r="E904" s="24"/>
      <c r="F904" s="24"/>
    </row>
    <row r="905">
      <c r="A905" s="24"/>
      <c r="B905" s="24"/>
      <c r="C905" s="24"/>
      <c r="D905" s="24"/>
      <c r="E905" s="24"/>
      <c r="F905" s="24"/>
    </row>
    <row r="906">
      <c r="A906" s="24"/>
      <c r="B906" s="24"/>
      <c r="C906" s="24"/>
      <c r="D906" s="24"/>
      <c r="E906" s="24"/>
      <c r="F906" s="24"/>
    </row>
    <row r="907">
      <c r="A907" s="24"/>
      <c r="B907" s="24"/>
      <c r="C907" s="24"/>
      <c r="D907" s="24"/>
      <c r="E907" s="24"/>
      <c r="F907" s="24"/>
    </row>
    <row r="908">
      <c r="A908" s="24"/>
      <c r="B908" s="24"/>
      <c r="C908" s="24"/>
      <c r="D908" s="24"/>
      <c r="E908" s="24"/>
      <c r="F908" s="24"/>
    </row>
    <row r="909">
      <c r="A909" s="24"/>
      <c r="B909" s="24"/>
      <c r="C909" s="24"/>
      <c r="D909" s="24"/>
      <c r="E909" s="24"/>
      <c r="F909" s="24"/>
    </row>
    <row r="910">
      <c r="A910" s="24"/>
      <c r="B910" s="24"/>
      <c r="C910" s="24"/>
      <c r="D910" s="24"/>
      <c r="E910" s="24"/>
      <c r="F910" s="24"/>
    </row>
    <row r="911">
      <c r="A911" s="24"/>
      <c r="B911" s="24"/>
      <c r="C911" s="24"/>
      <c r="D911" s="24"/>
      <c r="E911" s="24"/>
      <c r="F911" s="24"/>
    </row>
    <row r="912">
      <c r="A912" s="24"/>
      <c r="B912" s="24"/>
      <c r="C912" s="24"/>
      <c r="D912" s="24"/>
      <c r="E912" s="24"/>
      <c r="F912" s="24"/>
    </row>
    <row r="913">
      <c r="A913" s="24"/>
      <c r="B913" s="24"/>
      <c r="C913" s="24"/>
      <c r="D913" s="24"/>
      <c r="E913" s="24"/>
      <c r="F913" s="24"/>
    </row>
    <row r="914">
      <c r="A914" s="24"/>
      <c r="B914" s="24"/>
      <c r="C914" s="24"/>
      <c r="D914" s="24"/>
      <c r="E914" s="24"/>
      <c r="F914" s="24"/>
    </row>
    <row r="915">
      <c r="A915" s="24"/>
      <c r="B915" s="24"/>
      <c r="C915" s="24"/>
      <c r="D915" s="24"/>
      <c r="E915" s="24"/>
      <c r="F915" s="24"/>
    </row>
    <row r="916">
      <c r="A916" s="24"/>
      <c r="B916" s="24"/>
      <c r="C916" s="24"/>
      <c r="D916" s="24"/>
      <c r="E916" s="24"/>
      <c r="F916" s="24"/>
    </row>
    <row r="917">
      <c r="A917" s="24"/>
      <c r="B917" s="24"/>
      <c r="C917" s="24"/>
      <c r="D917" s="24"/>
      <c r="E917" s="24"/>
      <c r="F917" s="24"/>
    </row>
    <row r="918">
      <c r="A918" s="24"/>
      <c r="B918" s="24"/>
      <c r="C918" s="24"/>
      <c r="D918" s="24"/>
      <c r="E918" s="24"/>
      <c r="F918" s="24"/>
    </row>
    <row r="919">
      <c r="A919" s="24"/>
      <c r="B919" s="24"/>
      <c r="C919" s="24"/>
      <c r="D919" s="24"/>
      <c r="E919" s="24"/>
      <c r="F919" s="24"/>
    </row>
    <row r="920">
      <c r="A920" s="24"/>
      <c r="B920" s="24"/>
      <c r="C920" s="24"/>
      <c r="D920" s="24"/>
      <c r="E920" s="24"/>
      <c r="F920" s="24"/>
    </row>
    <row r="921">
      <c r="A921" s="24"/>
      <c r="B921" s="24"/>
      <c r="C921" s="24"/>
      <c r="D921" s="24"/>
      <c r="E921" s="24"/>
      <c r="F921" s="24"/>
    </row>
    <row r="922">
      <c r="A922" s="24"/>
      <c r="B922" s="24"/>
      <c r="C922" s="24"/>
      <c r="D922" s="24"/>
      <c r="E922" s="24"/>
      <c r="F922" s="24"/>
    </row>
    <row r="923">
      <c r="A923" s="24"/>
      <c r="B923" s="24"/>
      <c r="C923" s="24"/>
      <c r="D923" s="24"/>
      <c r="E923" s="24"/>
      <c r="F923" s="24"/>
    </row>
    <row r="924">
      <c r="A924" s="24"/>
      <c r="B924" s="24"/>
      <c r="C924" s="24"/>
      <c r="D924" s="24"/>
      <c r="E924" s="24"/>
      <c r="F924" s="24"/>
    </row>
    <row r="925">
      <c r="A925" s="24"/>
      <c r="B925" s="24"/>
      <c r="C925" s="24"/>
      <c r="D925" s="24"/>
      <c r="E925" s="24"/>
      <c r="F925" s="24"/>
    </row>
    <row r="926">
      <c r="A926" s="24"/>
      <c r="B926" s="24"/>
      <c r="C926" s="24"/>
      <c r="D926" s="24"/>
      <c r="E926" s="24"/>
      <c r="F926" s="24"/>
    </row>
    <row r="927">
      <c r="A927" s="24"/>
      <c r="B927" s="24"/>
      <c r="C927" s="24"/>
      <c r="D927" s="24"/>
      <c r="E927" s="24"/>
      <c r="F927" s="24"/>
    </row>
    <row r="928">
      <c r="A928" s="24"/>
      <c r="B928" s="24"/>
      <c r="C928" s="24"/>
      <c r="D928" s="24"/>
      <c r="E928" s="24"/>
      <c r="F928" s="24"/>
    </row>
    <row r="929">
      <c r="A929" s="24"/>
      <c r="B929" s="24"/>
      <c r="C929" s="24"/>
      <c r="D929" s="24"/>
      <c r="E929" s="24"/>
      <c r="F929" s="24"/>
    </row>
    <row r="930">
      <c r="A930" s="24"/>
      <c r="B930" s="24"/>
      <c r="C930" s="24"/>
      <c r="D930" s="24"/>
      <c r="E930" s="24"/>
      <c r="F930" s="24"/>
    </row>
    <row r="931">
      <c r="A931" s="24"/>
      <c r="B931" s="24"/>
      <c r="C931" s="24"/>
      <c r="D931" s="24"/>
      <c r="E931" s="24"/>
      <c r="F931" s="24"/>
    </row>
    <row r="932">
      <c r="A932" s="24"/>
      <c r="B932" s="24"/>
      <c r="C932" s="24"/>
      <c r="D932" s="24"/>
      <c r="E932" s="24"/>
      <c r="F932" s="24"/>
    </row>
    <row r="933">
      <c r="A933" s="24"/>
      <c r="B933" s="24"/>
      <c r="C933" s="24"/>
      <c r="D933" s="24"/>
      <c r="E933" s="24"/>
      <c r="F933" s="24"/>
    </row>
    <row r="934">
      <c r="A934" s="24"/>
      <c r="B934" s="24"/>
      <c r="C934" s="24"/>
      <c r="D934" s="24"/>
      <c r="E934" s="24"/>
      <c r="F934" s="24"/>
    </row>
    <row r="935">
      <c r="A935" s="24"/>
      <c r="B935" s="24"/>
      <c r="C935" s="24"/>
      <c r="D935" s="24"/>
      <c r="E935" s="24"/>
      <c r="F935" s="24"/>
    </row>
    <row r="936">
      <c r="A936" s="24"/>
      <c r="B936" s="24"/>
      <c r="C936" s="24"/>
      <c r="D936" s="24"/>
      <c r="E936" s="24"/>
      <c r="F936" s="24"/>
    </row>
    <row r="937">
      <c r="A937" s="24"/>
      <c r="B937" s="24"/>
      <c r="C937" s="24"/>
      <c r="D937" s="24"/>
      <c r="E937" s="24"/>
      <c r="F937" s="24"/>
    </row>
    <row r="938">
      <c r="A938" s="24"/>
      <c r="B938" s="24"/>
      <c r="C938" s="24"/>
      <c r="D938" s="24"/>
      <c r="E938" s="24"/>
      <c r="F938" s="24"/>
    </row>
    <row r="939">
      <c r="A939" s="24"/>
      <c r="B939" s="24"/>
      <c r="C939" s="24"/>
      <c r="D939" s="24"/>
      <c r="E939" s="24"/>
      <c r="F939" s="24"/>
    </row>
    <row r="940">
      <c r="A940" s="24"/>
      <c r="B940" s="24"/>
      <c r="C940" s="24"/>
      <c r="D940" s="24"/>
      <c r="E940" s="24"/>
      <c r="F940" s="24"/>
    </row>
    <row r="941">
      <c r="A941" s="24"/>
      <c r="B941" s="24"/>
      <c r="C941" s="24"/>
      <c r="D941" s="24"/>
      <c r="E941" s="24"/>
      <c r="F941" s="24"/>
    </row>
    <row r="942">
      <c r="A942" s="24"/>
      <c r="B942" s="24"/>
      <c r="C942" s="24"/>
      <c r="D942" s="24"/>
      <c r="E942" s="24"/>
      <c r="F942" s="24"/>
    </row>
    <row r="943">
      <c r="A943" s="24"/>
      <c r="B943" s="24"/>
      <c r="C943" s="24"/>
      <c r="D943" s="24"/>
      <c r="E943" s="24"/>
      <c r="F943" s="24"/>
    </row>
    <row r="944">
      <c r="A944" s="24"/>
      <c r="B944" s="24"/>
      <c r="C944" s="24"/>
      <c r="D944" s="24"/>
      <c r="E944" s="24"/>
      <c r="F944" s="24"/>
    </row>
    <row r="945">
      <c r="A945" s="24"/>
      <c r="B945" s="24"/>
      <c r="C945" s="24"/>
      <c r="D945" s="24"/>
      <c r="E945" s="24"/>
      <c r="F945" s="24"/>
    </row>
    <row r="946">
      <c r="A946" s="24"/>
      <c r="B946" s="24"/>
      <c r="C946" s="24"/>
      <c r="D946" s="24"/>
      <c r="E946" s="24"/>
      <c r="F946" s="24"/>
    </row>
    <row r="947">
      <c r="A947" s="24"/>
      <c r="B947" s="24"/>
      <c r="C947" s="24"/>
      <c r="D947" s="24"/>
      <c r="E947" s="24"/>
      <c r="F947" s="24"/>
    </row>
    <row r="948">
      <c r="A948" s="24"/>
      <c r="B948" s="24"/>
      <c r="C948" s="24"/>
      <c r="D948" s="24"/>
      <c r="E948" s="24"/>
      <c r="F948" s="24"/>
    </row>
    <row r="949">
      <c r="A949" s="24"/>
      <c r="B949" s="24"/>
      <c r="C949" s="24"/>
      <c r="D949" s="24"/>
      <c r="E949" s="24"/>
      <c r="F949" s="24"/>
    </row>
    <row r="950">
      <c r="A950" s="24"/>
      <c r="B950" s="24"/>
      <c r="C950" s="24"/>
      <c r="D950" s="24"/>
      <c r="E950" s="24"/>
      <c r="F950" s="24"/>
    </row>
    <row r="951">
      <c r="A951" s="24"/>
      <c r="B951" s="24"/>
      <c r="C951" s="24"/>
      <c r="D951" s="24"/>
      <c r="E951" s="24"/>
      <c r="F951" s="24"/>
    </row>
    <row r="952">
      <c r="A952" s="24"/>
      <c r="B952" s="24"/>
      <c r="C952" s="24"/>
      <c r="D952" s="24"/>
      <c r="E952" s="24"/>
      <c r="F952" s="24"/>
    </row>
    <row r="953">
      <c r="A953" s="24"/>
      <c r="B953" s="24"/>
      <c r="C953" s="24"/>
      <c r="D953" s="24"/>
      <c r="E953" s="24"/>
      <c r="F953" s="24"/>
    </row>
    <row r="954">
      <c r="A954" s="24"/>
      <c r="B954" s="24"/>
      <c r="C954" s="24"/>
      <c r="D954" s="24"/>
      <c r="E954" s="24"/>
      <c r="F954" s="24"/>
    </row>
    <row r="955">
      <c r="A955" s="24"/>
      <c r="B955" s="24"/>
      <c r="C955" s="24"/>
      <c r="D955" s="24"/>
      <c r="E955" s="24"/>
      <c r="F955" s="24"/>
    </row>
    <row r="956">
      <c r="A956" s="24"/>
      <c r="B956" s="24"/>
      <c r="C956" s="24"/>
      <c r="D956" s="24"/>
      <c r="E956" s="24"/>
      <c r="F956" s="24"/>
    </row>
    <row r="957">
      <c r="A957" s="24"/>
      <c r="B957" s="24"/>
      <c r="C957" s="24"/>
      <c r="D957" s="24"/>
      <c r="E957" s="24"/>
      <c r="F957" s="24"/>
    </row>
    <row r="958">
      <c r="A958" s="24"/>
      <c r="B958" s="24"/>
      <c r="C958" s="24"/>
      <c r="D958" s="24"/>
      <c r="E958" s="24"/>
      <c r="F958" s="24"/>
    </row>
    <row r="959">
      <c r="A959" s="24"/>
      <c r="B959" s="24"/>
      <c r="C959" s="24"/>
      <c r="D959" s="24"/>
      <c r="E959" s="24"/>
      <c r="F959" s="24"/>
    </row>
    <row r="960">
      <c r="A960" s="24"/>
      <c r="B960" s="24"/>
      <c r="C960" s="24"/>
      <c r="D960" s="24"/>
      <c r="E960" s="24"/>
      <c r="F960" s="24"/>
    </row>
    <row r="961">
      <c r="A961" s="24"/>
      <c r="B961" s="24"/>
      <c r="C961" s="24"/>
      <c r="D961" s="24"/>
      <c r="E961" s="24"/>
      <c r="F961" s="24"/>
    </row>
    <row r="962">
      <c r="A962" s="24"/>
      <c r="B962" s="24"/>
      <c r="C962" s="24"/>
      <c r="D962" s="24"/>
      <c r="E962" s="24"/>
      <c r="F962" s="24"/>
    </row>
    <row r="963">
      <c r="A963" s="24"/>
      <c r="B963" s="24"/>
      <c r="C963" s="24"/>
      <c r="D963" s="24"/>
      <c r="E963" s="24"/>
      <c r="F963" s="24"/>
    </row>
    <row r="964">
      <c r="A964" s="24"/>
      <c r="B964" s="24"/>
      <c r="C964" s="24"/>
      <c r="D964" s="24"/>
      <c r="E964" s="24"/>
      <c r="F964" s="24"/>
    </row>
    <row r="965">
      <c r="A965" s="24"/>
      <c r="B965" s="24"/>
      <c r="C965" s="24"/>
      <c r="D965" s="24"/>
      <c r="E965" s="24"/>
      <c r="F965" s="24"/>
    </row>
    <row r="966">
      <c r="A966" s="24"/>
      <c r="B966" s="24"/>
      <c r="C966" s="24"/>
      <c r="D966" s="24"/>
      <c r="E966" s="24"/>
      <c r="F966" s="24"/>
    </row>
    <row r="967">
      <c r="A967" s="24"/>
      <c r="B967" s="24"/>
      <c r="C967" s="24"/>
      <c r="D967" s="24"/>
      <c r="E967" s="24"/>
      <c r="F967" s="24"/>
    </row>
    <row r="968">
      <c r="A968" s="24"/>
      <c r="B968" s="24"/>
      <c r="C968" s="24"/>
      <c r="D968" s="24"/>
      <c r="E968" s="24"/>
      <c r="F968" s="24"/>
    </row>
    <row r="969">
      <c r="A969" s="24"/>
      <c r="B969" s="24"/>
      <c r="C969" s="24"/>
      <c r="D969" s="24"/>
      <c r="E969" s="24"/>
      <c r="F969" s="24"/>
    </row>
    <row r="970">
      <c r="A970" s="24"/>
      <c r="B970" s="24"/>
      <c r="C970" s="24"/>
      <c r="D970" s="24"/>
      <c r="E970" s="24"/>
      <c r="F970" s="24"/>
    </row>
    <row r="971">
      <c r="A971" s="24"/>
      <c r="B971" s="24"/>
      <c r="C971" s="24"/>
      <c r="D971" s="24"/>
      <c r="E971" s="24"/>
      <c r="F971" s="24"/>
    </row>
    <row r="972">
      <c r="A972" s="24"/>
      <c r="B972" s="24"/>
      <c r="C972" s="24"/>
      <c r="D972" s="24"/>
      <c r="E972" s="24"/>
      <c r="F972" s="24"/>
    </row>
    <row r="973">
      <c r="A973" s="24"/>
      <c r="B973" s="24"/>
      <c r="C973" s="24"/>
      <c r="D973" s="24"/>
      <c r="E973" s="24"/>
      <c r="F973" s="24"/>
    </row>
    <row r="974">
      <c r="A974" s="24"/>
      <c r="B974" s="24"/>
      <c r="C974" s="24"/>
      <c r="D974" s="24"/>
      <c r="E974" s="24"/>
      <c r="F974" s="24"/>
    </row>
    <row r="975">
      <c r="A975" s="24"/>
      <c r="B975" s="24"/>
      <c r="C975" s="24"/>
      <c r="D975" s="24"/>
      <c r="E975" s="24"/>
      <c r="F975" s="24"/>
    </row>
    <row r="976">
      <c r="A976" s="24"/>
      <c r="B976" s="24"/>
      <c r="C976" s="24"/>
      <c r="D976" s="24"/>
      <c r="E976" s="24"/>
      <c r="F976" s="24"/>
    </row>
    <row r="977">
      <c r="A977" s="24"/>
      <c r="B977" s="24"/>
      <c r="C977" s="24"/>
      <c r="D977" s="24"/>
      <c r="E977" s="24"/>
      <c r="F977" s="24"/>
    </row>
    <row r="978">
      <c r="A978" s="24"/>
      <c r="B978" s="24"/>
      <c r="C978" s="24"/>
      <c r="D978" s="24"/>
      <c r="E978" s="24"/>
      <c r="F978" s="24"/>
    </row>
    <row r="979">
      <c r="A979" s="24"/>
      <c r="B979" s="24"/>
      <c r="C979" s="24"/>
      <c r="D979" s="24"/>
      <c r="E979" s="24"/>
      <c r="F979" s="24"/>
    </row>
    <row r="980">
      <c r="A980" s="24"/>
      <c r="B980" s="24"/>
      <c r="C980" s="24"/>
      <c r="D980" s="24"/>
      <c r="E980" s="24"/>
      <c r="F980" s="24"/>
    </row>
    <row r="981">
      <c r="A981" s="24"/>
      <c r="B981" s="24"/>
      <c r="C981" s="24"/>
      <c r="D981" s="24"/>
      <c r="E981" s="24"/>
      <c r="F981" s="24"/>
    </row>
    <row r="982">
      <c r="A982" s="24"/>
      <c r="B982" s="24"/>
      <c r="C982" s="24"/>
      <c r="D982" s="24"/>
      <c r="E982" s="24"/>
      <c r="F982" s="24"/>
    </row>
    <row r="983">
      <c r="A983" s="24"/>
      <c r="B983" s="24"/>
      <c r="C983" s="24"/>
      <c r="D983" s="24"/>
      <c r="E983" s="24"/>
      <c r="F983" s="24"/>
    </row>
    <row r="984">
      <c r="A984" s="24"/>
      <c r="B984" s="24"/>
      <c r="C984" s="24"/>
      <c r="D984" s="24"/>
      <c r="E984" s="24"/>
      <c r="F984" s="24"/>
    </row>
    <row r="985">
      <c r="A985" s="24"/>
      <c r="B985" s="24"/>
      <c r="C985" s="24"/>
      <c r="D985" s="24"/>
      <c r="E985" s="24"/>
      <c r="F985" s="24"/>
    </row>
    <row r="986">
      <c r="A986" s="24"/>
      <c r="B986" s="24"/>
      <c r="C986" s="24"/>
      <c r="D986" s="24"/>
      <c r="E986" s="24"/>
      <c r="F986" s="24"/>
    </row>
    <row r="987">
      <c r="A987" s="24"/>
      <c r="B987" s="24"/>
      <c r="C987" s="24"/>
      <c r="D987" s="24"/>
      <c r="E987" s="24"/>
      <c r="F987" s="24"/>
    </row>
    <row r="988">
      <c r="A988" s="24"/>
      <c r="B988" s="24"/>
      <c r="C988" s="24"/>
      <c r="D988" s="24"/>
      <c r="E988" s="24"/>
      <c r="F988" s="24"/>
    </row>
    <row r="989">
      <c r="A989" s="24"/>
      <c r="B989" s="24"/>
      <c r="C989" s="24"/>
      <c r="D989" s="24"/>
      <c r="E989" s="24"/>
      <c r="F989" s="24"/>
    </row>
    <row r="990">
      <c r="A990" s="24"/>
      <c r="B990" s="24"/>
      <c r="C990" s="24"/>
      <c r="D990" s="24"/>
      <c r="E990" s="24"/>
      <c r="F990" s="24"/>
    </row>
    <row r="991">
      <c r="A991" s="24"/>
      <c r="B991" s="24"/>
      <c r="C991" s="24"/>
      <c r="D991" s="24"/>
      <c r="E991" s="24"/>
      <c r="F991" s="24"/>
    </row>
    <row r="992">
      <c r="A992" s="24"/>
      <c r="B992" s="24"/>
      <c r="C992" s="24"/>
      <c r="D992" s="24"/>
      <c r="E992" s="24"/>
      <c r="F992" s="24"/>
    </row>
    <row r="993">
      <c r="A993" s="24"/>
      <c r="B993" s="24"/>
      <c r="C993" s="24"/>
      <c r="D993" s="24"/>
      <c r="E993" s="24"/>
      <c r="F993" s="24"/>
    </row>
    <row r="994">
      <c r="A994" s="24"/>
      <c r="B994" s="24"/>
      <c r="C994" s="24"/>
      <c r="D994" s="24"/>
      <c r="E994" s="24"/>
      <c r="F994" s="24"/>
    </row>
    <row r="995">
      <c r="A995" s="24"/>
      <c r="B995" s="24"/>
      <c r="C995" s="24"/>
      <c r="D995" s="24"/>
      <c r="E995" s="24"/>
      <c r="F995" s="24"/>
    </row>
    <row r="996">
      <c r="A996" s="24"/>
      <c r="B996" s="24"/>
      <c r="C996" s="24"/>
      <c r="D996" s="24"/>
      <c r="E996" s="24"/>
      <c r="F996" s="24"/>
    </row>
    <row r="997">
      <c r="A997" s="24"/>
      <c r="B997" s="24"/>
      <c r="C997" s="24"/>
      <c r="D997" s="24"/>
      <c r="E997" s="24"/>
      <c r="F997" s="24"/>
    </row>
    <row r="998">
      <c r="A998" s="24"/>
      <c r="B998" s="24"/>
      <c r="C998" s="24"/>
      <c r="D998" s="24"/>
      <c r="E998" s="24"/>
      <c r="F998" s="24"/>
    </row>
    <row r="999">
      <c r="A999" s="24"/>
      <c r="B999" s="24"/>
      <c r="C999" s="24"/>
      <c r="D999" s="24"/>
      <c r="E999" s="24"/>
      <c r="F999" s="24"/>
    </row>
    <row r="1000">
      <c r="A1000" s="24"/>
      <c r="B1000" s="24"/>
      <c r="C1000" s="24"/>
      <c r="D1000" s="24"/>
      <c r="E1000" s="24"/>
      <c r="F1000"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tr">
        <f>IFERROR(__xludf.DUMMYFUNCTION("IMPORTRANGE(""https://docs.google.com/spreadsheets/d/15BGXNt_1joKuBa0aL71netvs8ZZPCSIEX8SQB8YiUUg/edit?gid=725750569#gid=725750569"", ""Serving - Screening!A:F"")"),"Article Title")</f>
        <v>Article Title</v>
      </c>
      <c r="B1" s="24" t="str">
        <f>IFERROR(__xludf.DUMMYFUNCTION("""COMPUTED_VALUE"""),"Abstract")</f>
        <v>Abstract</v>
      </c>
      <c r="C1" s="24" t="str">
        <f>IFERROR(__xludf.DUMMYFUNCTION("""COMPUTED_VALUE"""),"DOI")</f>
        <v>DOI</v>
      </c>
      <c r="D1" s="24" t="str">
        <f>IFERROR(__xludf.DUMMYFUNCTION("""COMPUTED_VALUE"""),"source")</f>
        <v>source</v>
      </c>
      <c r="E1" s="24" t="str">
        <f>IFERROR(__xludf.DUMMYFUNCTION("""COMPUTED_VALUE"""),"UT (Unique WOS ID)")</f>
        <v>UT (Unique WOS ID)</v>
      </c>
      <c r="F1" s="24" t="str">
        <f>IFERROR(__xludf.DUMMYFUNCTION("""COMPUTED_VALUE"""),"eligbility")</f>
        <v>eligbility</v>
      </c>
    </row>
    <row r="2">
      <c r="A2" s="24" t="str">
        <f>IFERROR(__xludf.DUMMYFUNCTION("""COMPUTED_VALUE"""),"Effects of agricultural fragmentation on the bird community in sagebrush shrubsteppe")</f>
        <v>Effects of agricultural fragmentation on the bird community in sagebrush shrubsteppe</v>
      </c>
      <c r="B2" s="24" t="str">
        <f>IFERROR(__xludf.DUMMYFUNCTION("""COMPUTED_VALUE"""),"Habitat fragmentation can change the community composition of species in remnant habitat patches. We studied the impacts of fragmentation by agriculture on the bird community in heavily fragmented areas of the sagebrush shrubsteppe in western North Americ"&amp;"a. We examined whether bird communities in sagebrush habitat near orchards and vineyards were different from the community in interior sagebrush habitat, and evaluated whether observed differences could be explained by predator abundance, local vegetation"&amp;", the presence of the habitat edge, or the proportion of land cover in the surrounding landscape. The bird community near agricultural edges differed from interior habitat: edge habitats had higher species diversity and were dominated by generalist bird s"&amp;"pecies, while Vesper Sparrows, which are sagebrush-associated in this region, were strong indicators of interior habitat. The bird community also differed between orchard edge habitat and vineyard edge habitat, although the difference was small. Edge effe"&amp;"cts on species composition were associated with differences in the local vegetation, rather than the predator community or the proportion of urban, agricultural, and sagebrush cover on the surrounding landscape. We suggest that differences in the bird com"&amp;"munity within edge and interior habitat are the result of multiple mechanisms: avoidance of exotic grasses and attraction to high shrub cover in edge habitat, attraction to resources in adjacent habitats, and spill-over of generalist birds from the adjace"&amp;"nt agriculture. The results of this study suggest that sagebrush bird conservation areas should be placed away from agricultural development. (C) 2016 Elsevier B.V. All rights reserved.")</f>
        <v>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v>
      </c>
      <c r="C2" s="24" t="str">
        <f>IFERROR(__xludf.DUMMYFUNCTION("""COMPUTED_VALUE"""),"10.1016/j.agee.2016.03.011")</f>
        <v>10.1016/j.agee.2016.03.011</v>
      </c>
      <c r="D2" s="24" t="str">
        <f>IFERROR(__xludf.DUMMYFUNCTION("""COMPUTED_VALUE"""),"Keck et al")</f>
        <v>Keck et al</v>
      </c>
      <c r="E2" s="24" t="str">
        <f>IFERROR(__xludf.DUMMYFUNCTION("""COMPUTED_VALUE"""),"WOS:000375337400029")</f>
        <v>WOS:000375337400029</v>
      </c>
      <c r="F2" s="24" t="str">
        <f>IFERROR(__xludf.DUMMYFUNCTION("""COMPUTED_VALUE"""),"[""ELIGIBLE""]")</f>
        <v>["ELIGIBLE"]</v>
      </c>
    </row>
    <row r="3">
      <c r="A3" s="24" t="str">
        <f>IFERROR(__xludf.DUMMYFUNCTION("""COMPUTED_VALUE"""),"Long-term change in the avifauna of undisturbed Amazonian rainforest: ground-foraging birds disappear and the baseline shifts")</f>
        <v>Long-term change in the avifauna of undisturbed Amazonian rainforest: ground-foraging birds disappear and the baseline shifts</v>
      </c>
      <c r="B3" s="24" t="str">
        <f>IFERROR(__xludf.DUMMYFUNCTION("""COMPUTED_VALUE"""),"How are rainforest birds faring in the Anthropocene? We use bird captures spanning &gt; 35 years from 55 sites within a vast area of intact Amazonian rainforest to reveal reduced abundance of terrestrial and near-ground insectivores in the absence of defores"&amp;"tation, edge effects or other direct anthropogenic landscape change. Because undisturbed forest includes far fewer terrestrial and near-ground insectivores than it did historically, today's fragments and second growth are more impoverished than shown by c"&amp;"omparisons with modern 'control' sites. Any goals for bird community recovery in Amazonian second growth should recognise that a modern bird community will inevitably differ from a baseline from &gt; 35 years ago. Abundance patterns driven by landscape chang"&amp;"e may be the most conspicuous manifestation of human activity, but biodiversity declines in undisturbed forest represent hidden losses, possibly driven by climate change, that may be pervasive in intact Amazonian forests and other systems considered to be"&amp;" undisturbed.")</f>
        <v>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v>
      </c>
      <c r="C3" s="24" t="str">
        <f>IFERROR(__xludf.DUMMYFUNCTION("""COMPUTED_VALUE"""),"10.1111/ele.13628")</f>
        <v>10.1111/ele.13628</v>
      </c>
      <c r="D3" s="24" t="str">
        <f>IFERROR(__xludf.DUMMYFUNCTION("""COMPUTED_VALUE"""),"Keck et al")</f>
        <v>Keck et al</v>
      </c>
      <c r="E3" s="24" t="str">
        <f>IFERROR(__xludf.DUMMYFUNCTION("""COMPUTED_VALUE"""),"WOS:000582442300001")</f>
        <v>WOS:000582442300001</v>
      </c>
      <c r="F3" s="24" t="str">
        <f>IFERROR(__xludf.DUMMYFUNCTION("""COMPUTED_VALUE"""),"[""ELIGIBLE""]")</f>
        <v>["ELIGIBLE"]</v>
      </c>
    </row>
    <row r="4">
      <c r="A4" s="24" t="str">
        <f>IFERROR(__xludf.DUMMYFUNCTION("""COMPUTED_VALUE"""),"Human-Induced Landscape Changes Homogenize Atlantic Forest Bird Assemblages through Nested Species Loss")</f>
        <v>Human-Induced Landscape Changes Homogenize Atlantic Forest Bird Assemblages through Nested Species Loss</v>
      </c>
      <c r="B4" s="24" t="str">
        <f>IFERROR(__xludf.DUMMYFUNCTION("""COMPUTED_VALUE"""),"The increasing number of quantitative assessments of homogenization using citizen science data is particularly important in the Neotropics, given its high biodiversity and ecological peculiarity, and whose communities may react differently to landscape ch"&amp;"anges. We looked for evidence of taxonomic homogenization in terrestrial birds by investigating patterns of beta diversity along a gradient of human-altered landscapes (HAL), trying to identify species associated with this process. We analyzed bird data f"&amp;"rom 87 sites sampled in a citizen science program in the south Brazilian Atlantic Forest. Regional-scale taxonomic homogenization was assessed by comparing beta diversity among sites in different HALs (natural, rural or urban landscapes) accounting for va"&amp;"riation derived from geographical distance and zoogeographical affinities by georeferencing sites and determining their position in a phytogeographical domain. Beta diversity was calculated by multivariate dispersion and by testing compositional changes d"&amp;"ue to turnover and nestedness among HALs and phytogeographical domains. Finally, we assessed which species were typical for each group using indicator species analysis. Bird homogenization was indicated by decreases in beta diversity following landscape c"&amp;"hanges. Beta diversity of rural sites was roughly half that of natural habitats, while urban sites held less than 10% of the natural areas' beta diversity. Species composition analysis revealed that the turnover component was important in differentiating "&amp;"sites depending on HAL and phytogeography; the nestedness component was important among HALs, where directional species loss is maintained even considering effects of sampling effort. A similar result was obtained among phytogeographical domains, indicati"&amp;"ng nested-pattern dissimilarity among compositions of overlapping communities. As expected, a few native generalists and non-native urban specialists were characteristic of rural and urban sites. We generated strong evidence that taxonomic homogenization "&amp;"occurs in the south Brazilian Atlantic Forest as a result of a directional and nested species loss, with the resultant assemblages composed of few disturbance-tolerant birds.")</f>
        <v>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v>
      </c>
      <c r="C4" s="24" t="str">
        <f>IFERROR(__xludf.DUMMYFUNCTION("""COMPUTED_VALUE"""),"10.1371/journal.pone.0147058")</f>
        <v>10.1371/journal.pone.0147058</v>
      </c>
      <c r="D4" s="24" t="str">
        <f>IFERROR(__xludf.DUMMYFUNCTION("""COMPUTED_VALUE"""),"Keck et al")</f>
        <v>Keck et al</v>
      </c>
      <c r="E4" s="24" t="str">
        <f>IFERROR(__xludf.DUMMYFUNCTION("""COMPUTED_VALUE"""),"WOS:000369550200023")</f>
        <v>WOS:000369550200023</v>
      </c>
      <c r="F4" s="24" t="str">
        <f>IFERROR(__xludf.DUMMYFUNCTION("""COMPUTED_VALUE"""),"[""ELIGIBLE""]")</f>
        <v>["ELIGIBLE"]</v>
      </c>
    </row>
    <row r="5">
      <c r="A5" s="24" t="str">
        <f>IFERROR(__xludf.DUMMYFUNCTION("""COMPUTED_VALUE"""),"Soil Mesofauna Community Changes in Response to the Environmental Gradients of Urbanization in Guangzhou City")</f>
        <v>Soil Mesofauna Community Changes in Response to the Environmental Gradients of Urbanization in Guangzhou City</v>
      </c>
      <c r="B5" s="24" t="str">
        <f>IFERROR(__xludf.DUMMYFUNCTION("""COMPUTED_VALUE"""),"There has been a recent increase in interest on how urbanization affects soil fauna communities. However, previous studies primarily focused on some limited land use types or line transects of urban-rural gradients. At family and higher taxonomic levels, "&amp;"we investigated the changes of soil mesofauna communities (abundance, species richness, and community structure) with urbanization intensity along different disturbance features in 47 sites evenly located in downtown Guangzhou and adjacent regions. The 47"&amp;" research sites were classified into four ecosystem types mainly according to the location (rural/urban), vegetation cover, and management intensity. In turn, the four types with increasing urbanization intensity were rural forest, urban forest, urban woo"&amp;"dland, and urban park. Firstly, the role of urban soil property (soil physicochemical characteristic and soil heavy metal content) in regulating soil mesofauna community was investigated. The results showed that soil mesofauna abundance and diversity decr"&amp;"eased with increasing soil pH, total nitrogen content (TN), and heavy metal comprehensive index (CPI). Soil Pb decreased soil mesofauna species richness (taxa number) and regulated soil mesofauna community structure. Secondly, we examined the effects of l"&amp;"andscape changes on the soil mesofauna community. We found impervious surface (IS) ratio did not predict changes in soil mesofauna abundance, species richness, or community structure. Instead, IS ratio was positively correlated with soil pH, soil TN, and "&amp;"CPI. After excluding sites that belonged to rural forests and urban parks, site area was positively correlated with soil mesofauna abundance. Thirdly, our results revealed significant differences in soil property, landscape trait, and soil mesofauna commu"&amp;"nity among the four ecosystem types. Interestingly, urban forest, the one lightly disturbed by urbanization, but not rural forest, had the highest soil mesofauna abundance. Soil mesofauna abundance in urban woodlands was similar to that in urban parks, wh"&amp;"ich was about half of that in urban forests. Species richness in urban parks was 21% lower than that in rural forests. Our results also showed that urban woodland and urban parks had distinct mesofauna community structures compared to those in rural fores"&amp;"ts and urban forests. In conclusion, the present study suggested that (1) soil property changes due to urbanization, such as increased pH and heavy metal enrichment in urban soil, decreased soil mesofauna abundance and species richness, changed community "&amp;"structure, and mediated the effect of landscape change on soil mesofauna community; (2) however, soil and landscape changes could not explain the increase of abundance in urban forests, which supported the intermediate disturbance hypothesis.")</f>
        <v>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v>
      </c>
      <c r="C5" s="24" t="str">
        <f>IFERROR(__xludf.DUMMYFUNCTION("""COMPUTED_VALUE"""),"10.3389/fevo.2020.546433")</f>
        <v>10.3389/fevo.2020.546433</v>
      </c>
      <c r="D5" s="24" t="str">
        <f>IFERROR(__xludf.DUMMYFUNCTION("""COMPUTED_VALUE"""),"Keck et al")</f>
        <v>Keck et al</v>
      </c>
      <c r="E5" s="24" t="str">
        <f>IFERROR(__xludf.DUMMYFUNCTION("""COMPUTED_VALUE"""),"WOS:000612325400001")</f>
        <v>WOS:000612325400001</v>
      </c>
      <c r="F5" s="24" t="str">
        <f>IFERROR(__xludf.DUMMYFUNCTION("""COMPUTED_VALUE"""),"[""ELIGIBLE""]")</f>
        <v>["ELIGIBLE"]</v>
      </c>
    </row>
    <row r="6">
      <c r="A6" s="24" t="str">
        <f>IFERROR(__xludf.DUMMYFUNCTION("""COMPUTED_VALUE"""),"Consequences of Replacing Native Savannahs With Acacia Plantations for the Taxonomic, Functional, and Phylogenetic α- and β-Diversity of Bats in the Northern Brazilian Amazon")</f>
        <v>Consequences of Replacing Native Savannahs With Acacia Plantations for the Taxonomic, Functional, and Phylogenetic α- and β-Diversity of Bats in the Northern Brazilian Amazon</v>
      </c>
      <c r="B6" s="24" t="str">
        <f>IFERROR(__xludf.DUMMYFUNCTION("""COMPUTED_VALUE"""),"Across the globe, millions of hectares of native vegetation have been replaced by commercial plantations, with negative consequences for biodiversity. The effects of the replacement of native vegetation with commercial plantations on the functional and ph"&amp;"ylogenetic diversity of bat assemblages remain understudied, and most studies have focused exclusively on the taxonomic component of diversity. Here, we investigate how the replacement of natural savannahs by acacia plantations affects the alpha- and beta"&amp;"-diversity of bat assemblages. We sampled bats, using mist-nets at ground level, in natural forest, savannah areas and acacia plantations, in the Lavrados de Roraima in the northern Brazilian Amazon. Our results show that, in general, acacia is less diver"&amp;"se than native forests in terms of taxonomic and functional diversity, and is also less taxonomically diverse than the savannah matrix which it substitutes. The observed patterns of alpha- and beta-diversity found in the present study are in large part dr"&amp;"iven by the superabundance of one generalist and opportunistic species, Carollia perspicillata, in the acacia plantations. Taken together, our results show that the replacement of areas of natural savannah by acacia plantations causes a regional loss in d"&amp;"iversity across all diversity dimensions: taxonomic, functional and phylogenetic. However, further studies are required to fully understand the ecological and conservation implications of this landscape change.")</f>
        <v>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v>
      </c>
      <c r="C6" s="24" t="str">
        <f>IFERROR(__xludf.DUMMYFUNCTION("""COMPUTED_VALUE"""),"10.3389/fevo.2020.609214")</f>
        <v>10.3389/fevo.2020.609214</v>
      </c>
      <c r="D6" s="24" t="str">
        <f>IFERROR(__xludf.DUMMYFUNCTION("""COMPUTED_VALUE"""),"Keck et al")</f>
        <v>Keck et al</v>
      </c>
      <c r="E6" s="24" t="str">
        <f>IFERROR(__xludf.DUMMYFUNCTION("""COMPUTED_VALUE"""),"WOS:000602615400001")</f>
        <v>WOS:000602615400001</v>
      </c>
      <c r="F6" s="24" t="str">
        <f>IFERROR(__xludf.DUMMYFUNCTION("""COMPUTED_VALUE"""),"[""ELIGIBLE""]")</f>
        <v>["ELIGIBLE"]</v>
      </c>
    </row>
    <row r="7">
      <c r="A7" s="24" t="str">
        <f>IFERROR(__xludf.DUMMYFUNCTION("""COMPUTED_VALUE"""),"Trophic groups of soil fauna in semiarid: Impacts of land use change, climatic seasonality and environmental variables")</f>
        <v>Trophic groups of soil fauna in semiarid: Impacts of land use change, climatic seasonality and environmental variables</v>
      </c>
      <c r="B7" s="24" t="str">
        <f>IFERROR(__xludf.DUMMYFUNCTION("""COMPUTED_VALUE"""),"Soil fauna performs several functions in native and anthropized ecosystems, being affected by spatiotemporal variation and by environmental resource availability. However, there is still a gap in knowledge of how land use change, climatic seasonality, and"&amp;" soil and climate variables impact trophic groups of soil fauna in semiarid environments. We investigated the abundance of detritivores, herbivores, microbivores and predators in three land uses (native forest, pasture and irrigated agriculture), during t"&amp;"he dry and wet season, using two collection methods (manually separated soil monoliths and pitfalls) and the effects of soil and climate variables on soil fauna. Detritivore and predator activity was predominant in the 0-20 cm layer (monoliths), while her"&amp;"bivores and microbivores abundance were greater on the soil surface (pitfalls). Irrigated agricultural areas had higher abundance of soil fauna and a different community structure from native forest and pasture, due to continuous water availability. Clima"&amp;"tic seasonal variables (temperature, air humidity, solar radiation and wind speed), soil characteristics (Macronutrients, C, C:N ratio, pH and CEC) and land use change impacted all trophic groups. Irrigated agriculture in semiarid regions can serve as a r"&amp;"efuge for soil fauna, bringing light to a new community structure that can be shaped to shelter the highest possible biodiversity.")</f>
        <v>Soil fauna performs several functions in native and anthropized ecosystems, being affected by spatiotemporal variation and by environmental resource availability. However, there is still a gap in knowledge of how land use change, climatic seasonality, and soil and climate variables impact trophic groups of soil fauna in semiarid environments. We investigated the abundance of detritivores, herbivores, microbivores and predators in three land uses (native forest, pasture and irrigated agriculture), during the dry and wet season, using two collection methods (manually separated soil monoliths and pitfalls) and the effects of soil and climate variables on soil fauna. Detritivore and predator activity was predominant in the 0-20 cm layer (monoliths), while herbivores and microbivores abundance were greater on the soil surface (pitfalls). Irrigated agricultural areas had higher abundance of soil fauna and a different community structure from native forest and pasture, due to continuous water availability. Climatic seasonal variables (temperature, air humidity, solar radiation and wind speed), soil characteristics (Macronutrients, C, C:N ratio, pH and CEC) and land use change impacted all trophic groups. Irrigated agriculture in semiarid regions can serve as a refuge for soil fauna, bringing light to a new community structure that can be shaped to shelter the highest possible biodiversity.</v>
      </c>
      <c r="C7" s="24" t="str">
        <f>IFERROR(__xludf.DUMMYFUNCTION("""COMPUTED_VALUE"""),"10.1016/j.pedobi.2021.150774")</f>
        <v>10.1016/j.pedobi.2021.150774</v>
      </c>
      <c r="D7" s="24" t="str">
        <f>IFERROR(__xludf.DUMMYFUNCTION("""COMPUTED_VALUE"""),"Keck et al")</f>
        <v>Keck et al</v>
      </c>
      <c r="E7" s="24" t="str">
        <f>IFERROR(__xludf.DUMMYFUNCTION("""COMPUTED_VALUE"""),"WOS:000711410000001")</f>
        <v>WOS:000711410000001</v>
      </c>
      <c r="F7" s="24" t="str">
        <f>IFERROR(__xludf.DUMMYFUNCTION("""COMPUTED_VALUE"""),"[""ELIGIBLE""]")</f>
        <v>["ELIGIBLE"]</v>
      </c>
    </row>
    <row r="8">
      <c r="A8" s="24" t="str">
        <f>IFERROR(__xludf.DUMMYFUNCTION("""COMPUTED_VALUE"""),"Landscape-scale vegetation homogenization in Central European sub-montane forests over the past 50years")</f>
        <v>Landscape-scale vegetation homogenization in Central European sub-montane forests over the past 50years</v>
      </c>
      <c r="B8" s="24" t="str">
        <f>IFERROR(__xludf.DUMMYFUNCTION("""COMPUTED_VALUE"""),"QuestionsHow did plant species richness and spatial heterogeneity of the vegetation change across sub-montane forests over the past 50years? Did the vegetation changes reflect eutrophication, acidification and management changes, which the area underwent "&amp;"during the second half of the 20th century? LocationOrdinary managed forests sampled across 2500 km(2) of a typical Central European sub-montane landscape in the southern part of the Czech Republic. MethodsWe resampled 156 quasi-permanent plots sampled in"&amp;" the 1950s-1970s and covering the whole range of forest vegetation in the region. We compared understorey plant species richness and community composition between the surveys and tested for temporal changes in the spatial heterogeneity (-diversity) of veg"&amp;"etation. ResultsSpecies richness and dissimilarity in species composition among plots decreased significantly between the surveys. The vegetation of the plots also changed significantly, but there were no clear directional changes across all plots. The ve"&amp;"getation homogenization was driven by local extinctions of specialist species, especially competitively weak species adapted to nutrient-poor conditions. Few generalist species expanded between the surveys. ConclusionsWe found evidence of taxonomic homoge"&amp;"nization of forest understoreys across a large sub-montane region. This vegetation homogenization was probably driven by complex landscape changes that took place in the last century. Varied traditional management regimes were replaced with largely unifor"&amp;"m management, and the once spatially diverse landscape mosaic has become simpler. The resulting transition to species-poor and less variable vegetation was probably further accelerated by environmental eutrophication. Our results thus complement previous "&amp;"forest herb layer resurveys, which focused mostly on lowland forests and small nature reserves, and suggest that landscape-scale taxonomic homogenization is occurring across Central European forests.")</f>
        <v>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v>
      </c>
      <c r="C8" s="24" t="str">
        <f>IFERROR(__xludf.DUMMYFUNCTION("""COMPUTED_VALUE"""),"10.1111/avsc.12372")</f>
        <v>10.1111/avsc.12372</v>
      </c>
      <c r="D8" s="24" t="str">
        <f>IFERROR(__xludf.DUMMYFUNCTION("""COMPUTED_VALUE"""),"Keck et al")</f>
        <v>Keck et al</v>
      </c>
      <c r="E8" s="24" t="str">
        <f>IFERROR(__xludf.DUMMYFUNCTION("""COMPUTED_VALUE"""),"WOS:000442660900003")</f>
        <v>WOS:000442660900003</v>
      </c>
      <c r="F8" s="24" t="str">
        <f>IFERROR(__xludf.DUMMYFUNCTION("""COMPUTED_VALUE"""),"[""ELIGIBLE""]")</f>
        <v>["ELIGIBLE"]</v>
      </c>
    </row>
    <row r="9">
      <c r="A9" s="24" t="str">
        <f>IFERROR(__xludf.DUMMYFUNCTION("""COMPUTED_VALUE"""),"Diverse land-uses shape new bird communities in a changing rural region")</f>
        <v>Diverse land-uses shape new bird communities in a changing rural region</v>
      </c>
      <c r="B9" s="24" t="str">
        <f>IFERROR(__xludf.DUMMYFUNCTION("""COMPUTED_VALUE"""),"Rural landscape change as a consequence of human population growth is a major challenge for nature conservation in the twenty-first century. Rural regions are globally experiencing change driven by diverse factors, including agricultural intensification, "&amp;"new agricultural commodities, residential development, and land abandonment. Understanding how different land-use trajectories affect biodiversity is critical for making informed decisions for the conservation of species in modified environments. We exami"&amp;"ned the impact of different land-uses on bird communities in the western Strzelecki Ranges, a formerly forested but now rural region in south-east Australia. We selected 25 study landscapes, each 1 km(2), representing seven land-uses typical of rural regi"&amp;"ons: townships, lifestyle properties (low-density acreages or hobby farms), dairy farming, beef grazing, horticulture, tree plantation and natural forest. Terrestrial birds were systematically surveyed at 10 sites in each study landscape and the results p"&amp;"ooled to represent the whole landscape. We recorded 80 native and 8 exotic species of birds, of which 46 species were classified a priori as forest species typical of the region. Different trajectories of land-use have generated variation in landscape str"&amp;"ucture, with a primary gradient of change from forest to rural townships. The composition of bird communities and the richness of four species-response groups showed marked differences across land-use types. The mean richness of forest species, for exampl"&amp;"e, was greatest in natural forest land-use (30.0 species) and lowest in dairy farming land-use (14.5 species). Key lessons from this study include: (1) these diverse land-uses, typical of rural regions, are creating novel assemblages of birds that differ "&amp;"from that of the former forested environment; (2) land-use in this region is dynamic and so further re-assortment of bird communities can be expected through time; (3) despite such change, a component of the original forest avifauna persists, even in high"&amp;"ly modified landscapes; and (4) each land-use type offers opportunities for nature conservation while also meeting the needs of people and agricultural production.")</f>
        <v>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v>
      </c>
      <c r="C9" s="24" t="str">
        <f>IFERROR(__xludf.DUMMYFUNCTION("""COMPUTED_VALUE"""),"10.1007/s10531-019-01833-5")</f>
        <v>10.1007/s10531-019-01833-5</v>
      </c>
      <c r="D9" s="24" t="str">
        <f>IFERROR(__xludf.DUMMYFUNCTION("""COMPUTED_VALUE"""),"Keck et al")</f>
        <v>Keck et al</v>
      </c>
      <c r="E9" s="24" t="str">
        <f>IFERROR(__xludf.DUMMYFUNCTION("""COMPUTED_VALUE"""),"WOS:000488929900006")</f>
        <v>WOS:000488929900006</v>
      </c>
      <c r="F9" s="24" t="str">
        <f>IFERROR(__xludf.DUMMYFUNCTION("""COMPUTED_VALUE"""),"[""ELIGIBLE""]")</f>
        <v>["ELIGIBLE"]</v>
      </c>
    </row>
    <row r="10">
      <c r="A10" s="24" t="str">
        <f>IFERROR(__xludf.DUMMYFUNCTION("""COMPUTED_VALUE"""),"Agriculture erases climate constraints on soil nematode communities across large spatial scales")</f>
        <v>Agriculture erases climate constraints on soil nematode communities across large spatial scales</v>
      </c>
      <c r="B10" s="24" t="str">
        <f>IFERROR(__xludf.DUMMYFUNCTION("""COMPUTED_VALUE"""),"Anthropogenic conversion of natural to agricultural land reduces aboveground biodiversity. Yet, the overall consequences of land-use changes on belowground biodiversity at large scales remain insufficiently explored. Furthermore, the effects of conversion"&amp;" on different organism groups are usually determined at the taxonomic level, while an integrated investigation that includes functional and phylogenetic levels is rare and absent for belowground organisms. Here, we studied the Earth's most abundant metazo"&amp;"a-nematodes-to examine the effects of conversion from natural to agricultural habitats on soil biodiversity across a large spatial scale. To this aim, we investigated the diversity and composition of nematode communities at the taxonomic, functional, and "&amp;"phylogenetic level in 16 assemblage pairs (32 sites in total with 16 in each habitat type) in mainland China. While the overall alpha and beta diversity did not differ between natural and agricultural systems, all three alpha diversity facets decreased wi"&amp;"th latitude in natural habitats. Both alpha and beta diversity levels were driven by climatic differences in natural habitats, while none of the diversity levels changed in agricultural systems. This indicates that land conversion affects soil biodiversit"&amp;"y in a geographically dependent manner and that agriculture could erase climatic constraints on soil biodiversity at such a scale. Additionally, the functional composition of nematode communities was more dissimilar in agricultural than in natural habitat"&amp;"s, while the phylogenetic composition was more similar, indicating that changes among different biodiversity facets are asynchronous. Our study deepens the understanding of land-use effects on soil nematode diversity across large spatial scales. Moreover,"&amp;" the detected asynchrony of taxonomic, functional, and phylogenetic diversity highlights the necessity to monitor multiple facets of soil biodiversity in ecological studies such as those investigating environmental changes.")</f>
        <v>Anthropogenic conversion of natural to agricultural land reduces aboveground biodiversity. Yet, the overall consequences of land-use changes on belowground biodiversity at large scales remain insufficiently explored. Furthermore, the effects of conversion on different organism groups are usually determined at the taxonomic level, while an integrated investigation that includes functional and phylogenetic levels is rare and absent for belowground organisms. Here, we studied the Earth's most abundant metazoa-nematodes-to examine the effects of conversion from natural to agricultural habitats on soil biodiversity across a large spatial scale. To this aim, we investigated the diversity and composition of nematode communities at the taxonomic, functional, and phylogenetic level in 16 assemblage pairs (32 sites in total with 16 in each habitat type) in mainland China. While the overall alpha and beta diversity did not differ between natural and agricultural systems, all three alpha diversity facets decreased with latitude in natural habitats. Both alpha and beta diversity levels were driven by climatic differences in natural habitats, while none of the diversity levels changed in agricultural systems. This indicates that land conversion affects soil biodiversity in a geographically dependent manner and that agriculture could erase climatic constraints on soil biodiversity at such a scale. Additionally, the functional composition of nematode communities was more dissimilar in agricultural than in natural habitats, while the phylogenetic composition was more similar, indicating that changes among different biodiversity facets are asynchronous. Our study deepens the understanding of land-use effects on soil nematode diversity across large spatial scales. Moreover, the detected asynchrony of taxonomic, functional, and phylogenetic diversity highlights the necessity to monitor multiple facets of soil biodiversity in ecological studies such as those investigating environmental changes.</v>
      </c>
      <c r="C10" s="24" t="str">
        <f>IFERROR(__xludf.DUMMYFUNCTION("""COMPUTED_VALUE"""),"10.1111/gcb.14821")</f>
        <v>10.1111/gcb.14821</v>
      </c>
      <c r="D10" s="24" t="str">
        <f>IFERROR(__xludf.DUMMYFUNCTION("""COMPUTED_VALUE"""),"Keck et al")</f>
        <v>Keck et al</v>
      </c>
      <c r="E10" s="24" t="str">
        <f>IFERROR(__xludf.DUMMYFUNCTION("""COMPUTED_VALUE"""),"WOS:000487894500001")</f>
        <v>WOS:000487894500001</v>
      </c>
      <c r="F10" s="24" t="str">
        <f>IFERROR(__xludf.DUMMYFUNCTION("""COMPUTED_VALUE"""),"[""ELIGIBLE""]")</f>
        <v>["ELIGIBLE"]</v>
      </c>
    </row>
    <row r="11">
      <c r="A11" s="24" t="str">
        <f>IFERROR(__xludf.DUMMYFUNCTION("""COMPUTED_VALUE"""),"Connectivity and management enables fast recovery of plant diversity in new linear grassland elements")</f>
        <v>Connectivity and management enables fast recovery of plant diversity in new linear grassland elements</v>
      </c>
      <c r="B11" s="24" t="str">
        <f>IFERROR(__xludf.DUMMYFUNCTION("""COMPUTED_VALUE"""),"QuestionsHow does small linear grassland elements (paddy levees and road verges) contribute to plant diversity patterns in sites with modern or traditional management? Which factors determine small-scale plant species richness of small linear grassland el"&amp;"ements in a Japanese agricultural landscape? LocationShiga Prefecture, Japan. MethodsAerial photos from 1963, 1985, 1995 and 2008 were used to investigate landscape changes and to measure landscape structures within a typical agricultural landscape (25km("&amp;"2)). Plant diversity was investigated in ten paddy levees and ten road verges in each of four traditional (barely any land cover alterations after 1963) and five modern (almost completely changed after 1985) sites. -diversity (mean number of species per p"&amp;"lot) and -diversity (total number of species) for all species, specialist and invasive species, respectively, were analysed in relation to site history types and landscape structures. Plot species richness was analysed in relation to site history type, pa"&amp;"tch age and width, proximity to forest and litter removal. ResultsIn total, 204 plant species were found, 55 species unique to traditional sites and 13 unique to modern sites. - and -diversity of paddy levees and road verges was significantly higher in tr"&amp;"aditional sites. Number of specialist species on paddy levees and number of invasive species in road verges was also higher in traditional sites. Age was the strongest predictor of plot species richness on levees; older levees supported higher species ric"&amp;"hness than younger ones. Litter removal was the strongest predictor (positive effect) of plot species richness in road verges. ConclusionsThese results suggest that the colonization credit of new levees in modern sites is decreasing quite rapidly as speci"&amp;"es quickly establish, approaching almost the same richness values as in traditional sites. However, long continuity of traditional management is still one of the most important contributors to plant diversity and crucial for many species. But small grassl"&amp;"and elements can still be of great significance for preserving and enhancing plant diversity in otherwise depleted landscapes, as long as they are managed and connected throughout the landscape.")</f>
        <v>QuestionsHow does small linear grassland elements (paddy levees and road verges) contribute to plant diversity patterns in sites with modern or traditional management? Which factors determine small-scale plant species richness of small linear grassland elements in a Japanese agricultural landscape? LocationShiga Prefecture, Japan. MethodsAerial photos from 1963, 1985, 1995 and 2008 were used to investigate landscape changes and to measure landscape structures within a typical agricultural landscape (25km(2)). Plant diversity was investigated in ten paddy levees and ten road verges in each of four traditional (barely any land cover alterations after 1963) and five modern (almost completely changed after 1985) sites. -diversity (mean number of species per plot) and -diversity (total number of species) for all species, specialist and invasive species, respectively, were analysed in relation to site history types and landscape structures. Plot species richness was analysed in relation to site history type, patch age and width, proximity to forest and litter removal. ResultsIn total, 204 plant species were found, 55 species unique to traditional sites and 13 unique to modern sites. - and -diversity of paddy levees and road verges was significantly higher in traditional sites. Number of specialist species on paddy levees and number of invasive species in road verges was also higher in traditional sites. Age was the strongest predictor of plot species richness on levees; older levees supported higher species richness than younger ones. Litter removal was the strongest predictor (positive effect) of plot species richness in road verges. ConclusionsThese results suggest that the colonization credit of new levees in modern sites is decreasing quite rapidly as species quickly establish, approaching almost the same richness values as in traditional sites. However, long continuity of traditional management is still one of the most important contributors to plant diversity and crucial for many species. But small grassland elements can still be of great significance for preserving and enhancing plant diversity in otherwise depleted landscapes, as long as they are managed and connected throughout the landscape.</v>
      </c>
      <c r="C11" s="24" t="str">
        <f>IFERROR(__xludf.DUMMYFUNCTION("""COMPUTED_VALUE"""),"10.1111/jvs.12344")</f>
        <v>10.1111/jvs.12344</v>
      </c>
      <c r="D11" s="24" t="str">
        <f>IFERROR(__xludf.DUMMYFUNCTION("""COMPUTED_VALUE"""),"Keck et al")</f>
        <v>Keck et al</v>
      </c>
      <c r="E11" s="24" t="str">
        <f>IFERROR(__xludf.DUMMYFUNCTION("""COMPUTED_VALUE"""),"WOS:000367816400005")</f>
        <v>WOS:000367816400005</v>
      </c>
      <c r="F11" s="24" t="str">
        <f>IFERROR(__xludf.DUMMYFUNCTION("""COMPUTED_VALUE"""),"[""ELIGIBLE""]")</f>
        <v>["ELIGIBLE"]</v>
      </c>
    </row>
    <row r="12">
      <c r="A12" s="24" t="str">
        <f>IFERROR(__xludf.DUMMYFUNCTION("""COMPUTED_VALUE"""),"Dung beetle communities as biological indicators of riparian forest widths in southern Brazil")</f>
        <v>Dung beetle communities as biological indicators of riparian forest widths in southern Brazil</v>
      </c>
      <c r="B12" s="24" t="str">
        <f>IFERROR(__xludf.DUMMYFUNCTION("""COMPUTED_VALUE"""),"Riparian forests provide important habitat for many wildlife species and are sensitive to landscape change. Among terrestrial invertebrates, dung beetles have been used to investigate the effects of environmental disturbances on forest structure and diver"&amp;"sity. Since many studies demonstrated a negative response of dung beetle communities to increasing forest fragmentation, and that most dung beetle species had a more pronounced occurrence during warmest seasons, three hypotheses were tested: (1) Scarabaei"&amp;"nae richness, abundance, diversity and evenness are lower in thinner riparian zone widths than in wider widths during the warmest seasons; (2) Scarabaeinae richness and abundance are positively influenced by leaf litter coverage and height and canopy cove"&amp;"r; and (3) Scarabaeinae composition varies with the reduction in riparian vegetation and among annual seasons. We selected four fragments with different riparian zone widths in three secondary streams in southern Brazil. In each fragment, four sampling pe"&amp;"riods were carried out seasonally between spring 2010 and winter 2011. We collected dung beetles using pitfall traps with two types of bait. We collected 1289 specimens distributed among 29 species. In spring and summer, dung beetle richness was higher in"&amp;" fragments with the widest riparian zone than in those with a thinner riparian zone, and it did not vary between fragments in fall and winter seasons. Dung beetle abundance did not differ among fragments with different riparian zone widths, but it was hig"&amp;"her in spring and summer than fall and winter. Richness and abundance were positively influenced by leaf litter. While dung beetle diversity was higher in fragments with wider riparian zone widths than in those with thinner widths, the evenness was simila"&amp;"r among fragments. Dung beetle composition differed between the fragments with the widest and thinnest riparian zones, and it also varied among the seasons. Our results suggest that decreased riparian zones affect negatively to dung beetle community struc"&amp;"ture in southern Brazil. Fragments with thinner riparian zones had lower beetle richness in warmest seasons and an altered community composition. In this sense, the dung beetles are potentially good indicators of riparian forest fragmentation since some s"&amp;"pecies were indicators of a particular riparian zone width. From a conservation perspective, our results demonstrate that the new Brazilian Forest Code will greatly jeopardize not only the terrestrial and aquatic biodiversity of these ecosystems, but also"&amp;" countless other ecological functions. (C) 2013 Elsevier Ltd. All rights reserved.")</f>
        <v>Riparian forests provide important habitat for many wildlife species and are sensitive to landscape change. Among terrestrial invertebrates, dung beetles have been used to investigate the effects of environmental disturbances on forest structure and diversity. Since many studies demonstrated a negative response of dung beetle communities to increasing forest fragmentation, and that most dung beetle species had a more pronounced occurrence during warmest seasons, three hypotheses were tested: (1) Scarabaeinae richness, abundance, diversity and evenness are lower in thinner riparian zone widths than in wider widths during the warmest seasons; (2) Scarabaeinae richness and abundance are positively influenced by leaf litter coverage and height and canopy cover; and (3) Scarabaeinae composition varies with the reduction in riparian vegetation and among annual seasons. We selected four fragments with different riparian zone widths in three secondary streams in southern Brazil. In each fragment, four sampling periods were carried out seasonally between spring 2010 and winter 2011. We collected dung beetles using pitfall traps with two types of bait. We collected 1289 specimens distributed among 29 species. In spring and summer, dung beetle richness was higher in fragments with the widest riparian zone than in those with a thinner riparian zone, and it did not vary between fragments in fall and winter seasons. Dung beetle abundance did not differ among fragments with different riparian zone widths, but it was higher in spring and summer than fall and winter. Richness and abundance were positively influenced by leaf litter. While dung beetle diversity was higher in fragments with wider riparian zone widths than in those with thinner widths, the evenness was similar among fragments. Dung beetle composition differed between the fragments with the widest and thinnest riparian zones, and it also varied among the seasons. Our results suggest that decreased riparian zones affect negatively to dung beetle community structure in southern Brazil. Fragments with thinner riparian zones had lower beetle richness in warmest seasons and an altered community composition. In this sense, the dung beetles are potentially good indicators of riparian forest fragmentation since some species were indicators of a particular riparian zone width. From a conservation perspective, our results demonstrate that the new Brazilian Forest Code will greatly jeopardize not only the terrestrial and aquatic biodiversity of these ecosystems, but also countless other ecological functions. (C) 2013 Elsevier Ltd. All rights reserved.</v>
      </c>
      <c r="C12" s="24" t="str">
        <f>IFERROR(__xludf.DUMMYFUNCTION("""COMPUTED_VALUE"""),"10.1016/j.ecolind.2013.09.036")</f>
        <v>10.1016/j.ecolind.2013.09.036</v>
      </c>
      <c r="D12" s="24" t="str">
        <f>IFERROR(__xludf.DUMMYFUNCTION("""COMPUTED_VALUE"""),"Keck et al")</f>
        <v>Keck et al</v>
      </c>
      <c r="E12" s="24" t="str">
        <f>IFERROR(__xludf.DUMMYFUNCTION("""COMPUTED_VALUE"""),"WOS:000329081100076")</f>
        <v>WOS:000329081100076</v>
      </c>
      <c r="F12" s="24" t="str">
        <f>IFERROR(__xludf.DUMMYFUNCTION("""COMPUTED_VALUE"""),"[""ELIGIBLE""]")</f>
        <v>["ELIGIBLE"]</v>
      </c>
    </row>
    <row r="13">
      <c r="A13" s="24" t="str">
        <f>IFERROR(__xludf.DUMMYFUNCTION("""COMPUTED_VALUE"""),"Are primary forests irreplaceable for sustaining Neotropical landscapes' biodiversity and functioning? Contributions for restoration using ecological indicators")</f>
        <v>Are primary forests irreplaceable for sustaining Neotropical landscapes' biodiversity and functioning? Contributions for restoration using ecological indicators</v>
      </c>
      <c r="B13" s="24" t="str">
        <f>IFERROR(__xludf.DUMMYFUNCTION("""COMPUTED_VALUE"""),"Changes in biodiversity and ecosystem services are usually evaluated using taxonomic indicators or, to a lesser extent, functional indicators. The present work adds new insights on the links between taxonomic indicators and functional indicators within a "&amp;"disturbance gradient in the Brazilian Amazon. Ground dwelling beetles' functional groups were used to complement taxonomic diversity in indicating disturbance and/or ecosystem restoration. Significant correlations were found between taxonomic and function"&amp;"al indicators. Our results show that increasingly disturbed ecosystems are related with reductions in functional redundancy with probable detrimental effects on the future landscape resilience. Moreover, results highlight that even species-rich Neotropica"&amp;"l forest landscapes may be highly vulnerable to the removal of keystone diversity. Remarkably, secondary forests support equivalent functional diversity and, partially, taxonomic diversity to primary forests. Overall, disturbance indicators supported on c"&amp;"omplementary measures such as composition, species diversity and functionality were sensitive to the ecosystems' gradient and could be used for assessing the extent of landscape change but also to guide restoration and management practices in Neotropical "&amp;"forest landscapes.")</f>
        <v>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v>
      </c>
      <c r="C13" s="24" t="str">
        <f>IFERROR(__xludf.DUMMYFUNCTION("""COMPUTED_VALUE"""),"10.1002/ldr.3467")</f>
        <v>10.1002/ldr.3467</v>
      </c>
      <c r="D13" s="24" t="str">
        <f>IFERROR(__xludf.DUMMYFUNCTION("""COMPUTED_VALUE"""),"Keck et al")</f>
        <v>Keck et al</v>
      </c>
      <c r="E13" s="24" t="str">
        <f>IFERROR(__xludf.DUMMYFUNCTION("""COMPUTED_VALUE"""),"WOS:000499603300001")</f>
        <v>WOS:000499603300001</v>
      </c>
      <c r="F13" s="24" t="str">
        <f>IFERROR(__xludf.DUMMYFUNCTION("""COMPUTED_VALUE"""),"[""ELIGIBLE""]")</f>
        <v>["ELIGIBLE"]</v>
      </c>
    </row>
    <row r="14">
      <c r="A14" s="24" t="str">
        <f>IFERROR(__xludf.DUMMYFUNCTION("""COMPUTED_VALUE"""),"Assessing Ecological Disturbance in Neotropical Forest Landscapes Using High-Level Diversity and High-Level Functionality: Surprising Outcomes from a Case Study with Spider Assemblages")</f>
        <v>Assessing Ecological Disturbance in Neotropical Forest Landscapes Using High-Level Diversity and High-Level Functionality: Surprising Outcomes from a Case Study with Spider Assemblages</v>
      </c>
      <c r="B14" s="24" t="str">
        <f>IFERROR(__xludf.DUMMYFUNCTION("""COMPUTED_VALUE"""),"Spiders have been increasingly used as environmental and ecological indicators in conservation and ecosystem management. In the Neotropics, there is a shortage of information regarding spiders' taxonomies and ecological responses to anthropogenic disturba"&amp;"nces. To unravel these hitches, we tested the possibility of using high-level diversity and high-level functionality indicators to evaluate spider assemblages' sensitivity to landscape changes. This approach, if proven informative, might overcome the rele"&amp;"vant limitations of taxonomic derived indexes, which are considered time-consuming, cost-demanding and dependent on the (few) expert taxonomists' availability. Our results highlight the pertinence of both indicators' responses to the structural changes in"&amp;"duced by increasing anthropogenic disturbance, and are associated with reductions in ecosystem complexity, microclimates, and microhabitats. Overall, both indicators were sensitive to structural changes induced by anthropogenic disturbance and should be c"&amp;"onsidered a useful resource for assessing the extent of ecosystems' disruptions in the Neotropics, and also to guide managers in landscapes' restoration.")</f>
        <v>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v>
      </c>
      <c r="C14" s="24" t="str">
        <f>IFERROR(__xludf.DUMMYFUNCTION("""COMPUTED_VALUE"""),"10.3390/land10070758")</f>
        <v>10.3390/land10070758</v>
      </c>
      <c r="D14" s="24" t="str">
        <f>IFERROR(__xludf.DUMMYFUNCTION("""COMPUTED_VALUE"""),"Keck et al")</f>
        <v>Keck et al</v>
      </c>
      <c r="E14" s="24" t="str">
        <f>IFERROR(__xludf.DUMMYFUNCTION("""COMPUTED_VALUE"""),"WOS:000676869600001")</f>
        <v>WOS:000676869600001</v>
      </c>
      <c r="F14" s="24" t="str">
        <f>IFERROR(__xludf.DUMMYFUNCTION("""COMPUTED_VALUE"""),"[""ELIGIBLE""]")</f>
        <v>["ELIGIBLE"]</v>
      </c>
    </row>
    <row r="15">
      <c r="A15" s="24" t="str">
        <f>IFERROR(__xludf.DUMMYFUNCTION("""COMPUTED_VALUE"""),"Warming and land use change concurrently erode ecosystem services in Tibet")</f>
        <v>Warming and land use change concurrently erode ecosystem services in Tibet</v>
      </c>
      <c r="B15" s="24" t="str">
        <f>IFERROR(__xludf.DUMMYFUNCTION("""COMPUTED_VALUE"""),"Alpine meadows on the Tibetan Plateau comprise the largest alpine ecosystem in the world and provide critical ecosystem services, including forage production and carbon sequestration, on which people depend from local to global scales. However, the provis"&amp;"ion of these services may be threatened by climate warming combined with land use policies that are altering if and how pastoralists can continue to graze livestock, the dominant livelihood practice in this region for millennia. We synthesized findings fr"&amp;"om a climate warming and yak grazing experiment with landscape-level observations in central Tibet to gain insight into the trajectories of change that Tibet's alpine meadows will undergo in response to expected changes in climate and land use. We show th"&amp;"at within 5 years, experimental warming drove an alpine community with intact, sedge-dominated turfs into a degraded state. With removal of livestock, consistent with policy intended to reverse degradation, a longer-term shift to a more shrub-dominated co"&amp;"mmunity will likely occur. Neither degraded nor shrub meadows produce forage or sequester carbon to the same degree as intact meadows, indicating that climate warming and drying will reduce the ability of Tibet's alpine meadows to provide key ecosystem se"&amp;"rvices, and that livestock reduction policies intended to counteract trajectories of land degradation instead endanger contemporary livelihoods on the Tibetan Plateau.")</f>
        <v>Alpine meadows on the Tibetan Plateau comprise the largest alpine ecosystem in the world and provide critical ecosystem services, including forage production and carbon sequestration, on which people depend from local to global scales. However, the provision of these services may be threatened by climate warming combined with land use policies that are altering if and how pastoralists can continue to graze livestock, the dominant livelihood practice in this region for millennia. We synthesized findings from a climate warming and yak grazing experiment with landscape-level observations in central Tibet to gain insight into the trajectories of change that Tibet's alpine meadows will undergo in response to expected changes in climate and land use. We show that within 5 years, experimental warming drove an alpine community with intact, sedge-dominated turfs into a degraded state. With removal of livestock, consistent with policy intended to reverse degradation, a longer-term shift to a more shrub-dominated community will likely occur. Neither degraded nor shrub meadows produce forage or sequester carbon to the same degree as intact meadows, indicating that climate warming and drying will reduce the ability of Tibet's alpine meadows to provide key ecosystem services, and that livestock reduction policies intended to counteract trajectories of land degradation instead endanger contemporary livelihoods on the Tibetan Plateau.</v>
      </c>
      <c r="C15" s="24" t="str">
        <f>IFERROR(__xludf.DUMMYFUNCTION("""COMPUTED_VALUE"""),"10.1111/gcb.14417")</f>
        <v>10.1111/gcb.14417</v>
      </c>
      <c r="D15" s="24" t="str">
        <f>IFERROR(__xludf.DUMMYFUNCTION("""COMPUTED_VALUE"""),"Keck et al")</f>
        <v>Keck et al</v>
      </c>
      <c r="E15" s="24" t="str">
        <f>IFERROR(__xludf.DUMMYFUNCTION("""COMPUTED_VALUE"""),"WOS:000447760300040")</f>
        <v>WOS:000447760300040</v>
      </c>
      <c r="F15" s="24" t="str">
        <f>IFERROR(__xludf.DUMMYFUNCTION("""COMPUTED_VALUE"""),"[""ELIGIBLE""]")</f>
        <v>["ELIGIBLE"]</v>
      </c>
    </row>
    <row r="16">
      <c r="A16" s="24" t="str">
        <f>IFERROR(__xludf.DUMMYFUNCTION("""COMPUTED_VALUE"""),"Contrasting landscape effects on species diversity and invasion success within a predator community")</f>
        <v>Contrasting landscape effects on species diversity and invasion success within a predator community</v>
      </c>
      <c r="B16" s="24" t="str">
        <f>IFERROR(__xludf.DUMMYFUNCTION("""COMPUTED_VALUE"""),"Aim The role of landscape variation in shaping invasion success remains unclear, particularly for exotic predators. We examined whether native and exotic predators responded similarly or differently to ecological change at the landscape scale. Location Vi"&amp;"neyards and surrounding natural habitat in the Napa Valley, California, USA. Methods We surveyed spider communities in vineyards throughout the Napa Valley and used regression analysis to examine the effects of landscape context (proportion of vineyard mo"&amp;"noculture and proportion of developed land surrounding vineyards) on spider species richness and on numbers and proportions of exotic spiders. We also compared spider composition and dominance of exotic spiders between vineyards and surrounding natural ha"&amp;"bitat using non-metric multidimensional scaling (NMDS). Results The success of the dominant exotic spider Cheiracanthium mildei was contingent on landscape context, and increased with proportions of vineyard and developed land in the surrounding landscape"&amp;". Spider species richness and native spider abundance followed an opposing pattern. Cheiracanthium mildei was relatively unsuccessful near and in oak woodland, the primary type of natural habitat surrounding vineyards. Main Conclusions Results show that a"&amp;"nthropogenic landscape change can have contrasting effects on native and exotic predators and that landscape context can influence the relationship between habitat modification and invasion success. Results suggest that it may be possible to limit the spr"&amp;"ead of invasions by increasing the availability of habitat for native species.")</f>
        <v>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v>
      </c>
      <c r="C16" s="24" t="str">
        <f>IFERROR(__xludf.DUMMYFUNCTION("""COMPUTED_VALUE"""),"10.1111/j.1472-4642.2012.00935.x")</f>
        <v>10.1111/j.1472-4642.2012.00935.x</v>
      </c>
      <c r="D16" s="24" t="str">
        <f>IFERROR(__xludf.DUMMYFUNCTION("""COMPUTED_VALUE"""),"Keck et al")</f>
        <v>Keck et al</v>
      </c>
      <c r="E16" s="24" t="str">
        <f>IFERROR(__xludf.DUMMYFUNCTION("""COMPUTED_VALUE"""),"WOS:000315404100004")</f>
        <v>WOS:000315404100004</v>
      </c>
      <c r="F16" s="24" t="str">
        <f>IFERROR(__xludf.DUMMYFUNCTION("""COMPUTED_VALUE"""),"[""ELIGIBLE""]")</f>
        <v>["ELIGIBLE"]</v>
      </c>
    </row>
    <row r="17">
      <c r="A17" s="24" t="str">
        <f>IFERROR(__xludf.DUMMYFUNCTION("""COMPUTED_VALUE"""),"Current vegetation structure and composition of woody species in community-derived categories of land degradation in a semiarid rangeland in Kunene region, Namibia")</f>
        <v>Current vegetation structure and composition of woody species in community-derived categories of land degradation in a semiarid rangeland in Kunene region, Namibia</v>
      </c>
      <c r="B17" s="24" t="str">
        <f>IFERROR(__xludf.DUMMYFUNCTION("""COMPUTED_VALUE"""),"Land degradation has put the world's rangelands under intense pressure and reduced their capacity to provide vital services to those who solely depend on them for survival. With the current pressures on rangelands, worldwide, there is an urgent need to su"&amp;"rvey the present condition of rangelands. Such detailed surveys can identify where improvement programmes can be emphasised; whether it be reseeding, stock control, sociological restraints or other actions. To combat rangeland degradation, management syst"&amp;"ems are more effective when they account for community perceptions and practices. This study aims to assess the current status of woody plants in different categories of degradation as perceived by herders in Kunene, Namibia. Furthermore, we wished to com"&amp;"pare the perception of degradation by herders with the measured ecological condition. With the help of herders, sites representing different categories of degradation (low, moderate, high and protected) were identified and 10 plots of 400m(2)each were est"&amp;"ablished in each category. Species diversity, density, basal area and regeneration of woody plants increased sequentially along the degradation gradient (high to low). Vegetation attributes such as species diversity, seedling density and standing basal ar"&amp;"ea increased with increasing distances from the villages. Although the herders' perception of degradation, for high and moderate degradation, matches the ecological results, the low degradation sites show signs of bush encroachment, a type of degradation "&amp;"that the herders did not perceive as degradation.Colophospermum mopane, a known encroacher species across Namibia, was the dominant species in the moderate and low degradation sites.Pechuel-loeschea leubnitziae, which is also known to be an indicator of d"&amp;"egradation, was the dominant species in the high degradation sites. The findings highlight the present and future threats the study area is facing and form the basis for current restoration research.")</f>
        <v>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v>
      </c>
      <c r="C17" s="24" t="str">
        <f>IFERROR(__xludf.DUMMYFUNCTION("""COMPUTED_VALUE"""),"10.1002/ldr.3688")</f>
        <v>10.1002/ldr.3688</v>
      </c>
      <c r="D17" s="24" t="str">
        <f>IFERROR(__xludf.DUMMYFUNCTION("""COMPUTED_VALUE"""),"Keck et al")</f>
        <v>Keck et al</v>
      </c>
      <c r="E17" s="24" t="str">
        <f>IFERROR(__xludf.DUMMYFUNCTION("""COMPUTED_VALUE"""),"WOS:000552347700001")</f>
        <v>WOS:000552347700001</v>
      </c>
      <c r="F17" s="24" t="str">
        <f>IFERROR(__xludf.DUMMYFUNCTION("""COMPUTED_VALUE"""),"[""ELIGIBLE""]")</f>
        <v>["ELIGIBLE"]</v>
      </c>
    </row>
    <row r="18">
      <c r="A18" s="24" t="str">
        <f>IFERROR(__xludf.DUMMYFUNCTION("""COMPUTED_VALUE"""),"Conservation of small and medium-sized mammals following native woodland regrowth: A case study in a long-term UNESCO Biosphere Reserve, Argentina")</f>
        <v>Conservation of small and medium-sized mammals following native woodland regrowth: A case study in a long-term UNESCO Biosphere Reserve, Argentina</v>
      </c>
      <c r="B18" s="24" t="str">
        <f>IFERROR(__xludf.DUMMYFUNCTION("""COMPUTED_VALUE"""),"Land uses such as cattle ranching require important decisions concerning the protection of habitats and species. This is especially true in arid lands and typically involves habitat regrowth as well as the establishment of protected areas. However, the ma"&amp;"nner in which species respond to the protected area or to the surrounding matrix may vary depending on their ecology, particularly habitat requirements. The objective of this study was to evaluate the role of one such protected dryland area (MaB Reserve o"&amp;"f Nacunan) and adjacent rangelands in the central Monte Desert of Argentina. More specifically, how effective it is in ensuring the conservation of small and medium-sized mammals. Mammal richness and abundance estimated from both trapping and indirect sig"&amp;"ns were compared in different habitats inside and outside the Reserve. After over 50 years of livestock exclusion in Nacunan, our results showed significant changes in habitat structure and mammal diversity between protected and unprotected areas. Species"&amp;" associated with high plant cover were found inside the Reserve, while the surrounding areas were occupied by those adapted to open habitats. The presence of the endangered Dolichotis patagonum in rangelands outside the Reserve demonstrates that unprotect"&amp;"ed areas play a major role in conserving species diversity. (c) 2012 Elsevier Ltd. All rights reserved.")</f>
        <v>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v>
      </c>
      <c r="C18" s="24" t="str">
        <f>IFERROR(__xludf.DUMMYFUNCTION("""COMPUTED_VALUE"""),"10.1016/j.jaridenv.2012.07.003")</f>
        <v>10.1016/j.jaridenv.2012.07.003</v>
      </c>
      <c r="D18" s="24" t="str">
        <f>IFERROR(__xludf.DUMMYFUNCTION("""COMPUTED_VALUE"""),"Keck et al")</f>
        <v>Keck et al</v>
      </c>
      <c r="E18" s="24" t="str">
        <f>IFERROR(__xludf.DUMMYFUNCTION("""COMPUTED_VALUE"""),"WOS:000313392900032")</f>
        <v>WOS:000313392900032</v>
      </c>
      <c r="F18" s="24" t="str">
        <f>IFERROR(__xludf.DUMMYFUNCTION("""COMPUTED_VALUE"""),"[""ELIGIBLE""]")</f>
        <v>["ELIGIBLE"]</v>
      </c>
    </row>
    <row r="19">
      <c r="A19" s="24" t="str">
        <f>IFERROR(__xludf.DUMMYFUNCTION("""COMPUTED_VALUE"""),"Effects of local land-use on riparian vegetation, water quality, and the functional organization of macroinvertebrate assemblages")</f>
        <v>Effects of local land-use on riparian vegetation, water quality, and the functional organization of macroinvertebrate assemblages</v>
      </c>
      <c r="B19" s="24" t="str">
        <f>IFERROR(__xludf.DUMMYFUNCTION("""COMPUTED_VALUE"""),"Land-use change is a principal factor affecting riparian vegetation and river biodiversity. In Chile, land-use change has drastically intensified over the last decade, with native forests converted to exotic forest plantations and agricultural land. Howev"&amp;"er, the effects thereof on aquatic ecosystems are not well understood. Closing this knowledge gap first requires understanding how human perturbations affect riparian and stream biota. Identified biological indicators could then be applied to determine th"&amp;"e health of fluvial ecosystems. Therefore, this study investigated the effects of land-use change on the health of riparian and aquatic ecosystems by assessing riparian vegetation, water quality, benthic macroinvertebrate assemblages, and functional feedi"&amp;"ng groups. Twenty-one sites in catchment areas with different land-uses (i.e. pristine forests, native forests, exotic forest plantations, and agricultural land) were selected and sampled during the 2010 to 2012 dry seasons. Riparian vegetation quality-wa"&amp;"s highest in pristine forests. Per the modified Macroinvertebrate Family Biotic Index for Chilean species, the best conditions existed in native forests and the worst in agricultural catchments. Water quality and macroinvertebrate assemblages significantl"&amp;"y varied across land-use areas, with forest plantations and agricultural land having high nutrient concentrations, conductivity, suspended solids, and apparent color. Macroinvertebrate assemblage diversity was lowest for agricultural and exotic forest pla"&amp;"ntation catchments, with notable non-insect representation. Collector-gatherers were the most abundant functional feeding group, suggesting importance independent of land-use. Land-use areas showed no significant differences in functional feeding groups. "&amp;"In conclusion, anthropogenic land-use changes were detectable through riparian quality, water quality, and macroinvertebrate assemblages, but not through functional feeding groups. These data, particularly the riparian vegetation and macroinvertebrate ass"&amp;"emblage parameters, could be applied towards the conservation and management of riparian ecosystems through land-use change studies. (C) 2017 Elsevier B.V. All rights reserved.")</f>
        <v>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v>
      </c>
      <c r="C19" s="24" t="str">
        <f>IFERROR(__xludf.DUMMYFUNCTION("""COMPUTED_VALUE"""),"10.1016/j.scitotenv.2017.07.197")</f>
        <v>10.1016/j.scitotenv.2017.07.197</v>
      </c>
      <c r="D19" s="24" t="str">
        <f>IFERROR(__xludf.DUMMYFUNCTION("""COMPUTED_VALUE"""),"Keck et al")</f>
        <v>Keck et al</v>
      </c>
      <c r="E19" s="24" t="str">
        <f>IFERROR(__xludf.DUMMYFUNCTION("""COMPUTED_VALUE"""),"WOS:000410352900077")</f>
        <v>WOS:000410352900077</v>
      </c>
      <c r="F19" s="24" t="str">
        <f>IFERROR(__xludf.DUMMYFUNCTION("""COMPUTED_VALUE"""),"[""ELIGIBLE""]")</f>
        <v>["ELIGIBLE"]</v>
      </c>
    </row>
    <row r="20">
      <c r="A20" s="24" t="str">
        <f>IFERROR(__xludf.DUMMYFUNCTION("""COMPUTED_VALUE"""),"Consequences of agroindustrial sugarcane production to freshwater biodiversity")</f>
        <v>Consequences of agroindustrial sugarcane production to freshwater biodiversity</v>
      </c>
      <c r="B20" s="24" t="str">
        <f>IFERROR(__xludf.DUMMYFUNCTION("""COMPUTED_VALUE"""),"The environmental benefits of a broad-scale adoption of biofuels are critically contingent on what current land uses will be converted for feedstock expansion and how converted land will be managed. We assessed the consequences of land use and land manage"&amp;"ment for the agroindustrial production of sugarcane to the physical, chemical, and biological properties of freshwater systems. We surveyed 16 environmental variables and algae, tadpoles, predatory invertebrates, and fish in lentic water bodies distribute"&amp;"d across a gradient in land-use intensity ranging from seasonal Atlantic Forest and cerrado to pastures to sugarcane plantations in SE Brazil, the most important sugarcane-producing region in the world. The gradient in land-use intensity was not only an a"&amp;"xis of native habitat loss but also of ecosystem productivity, as indicated by increased conductivity, turbidity, and phytoplankton biomass. Land use had a clear signal on community and metacommunity organization, with converted land being impoverished in"&amp;" biodiversity relative to native habitats. However, frequency of occurrence, density, biomass, and alpha diversity of tadpoles and their predators were not affected by land use. These results suggest that sugarcane fields function as habitat to a fraction"&amp;" of aquatic biodiversity. Within sugarcane fields, larger wetlands surrounded by buffer strips as required by law appeared comparatively buffered against land management practices and housed a disproportional fraction of animal biomass, likely acting as s"&amp;"ources of migrants to other water bodies in the landscape. Conversion of pastures to sugarcane fields, suggested as a strategy to reduce competition for land with food production and biodiversity conservation, does not appear to have strong consequences t"&amp;"o lentic freshwater systems, provided that wetlands and surrounding buffer strips are preserved. These observations emphasize the importance of enforcement of legislation regulating land use (i.e. the Forest Code') and certification systems verifying comp"&amp;"liance and rewarding the voluntary adoption of better land management practices.")</f>
        <v>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v>
      </c>
      <c r="C20" s="24" t="str">
        <f>IFERROR(__xludf.DUMMYFUNCTION("""COMPUTED_VALUE"""),"10.1111/gcbb.12279")</f>
        <v>10.1111/gcbb.12279</v>
      </c>
      <c r="D20" s="24" t="str">
        <f>IFERROR(__xludf.DUMMYFUNCTION("""COMPUTED_VALUE"""),"Keck et al")</f>
        <v>Keck et al</v>
      </c>
      <c r="E20" s="24" t="str">
        <f>IFERROR(__xludf.DUMMYFUNCTION("""COMPUTED_VALUE"""),"WOS:000374060500011")</f>
        <v>WOS:000374060500011</v>
      </c>
      <c r="F20" s="24" t="str">
        <f>IFERROR(__xludf.DUMMYFUNCTION("""COMPUTED_VALUE"""),"[""ELIGIBLE""]")</f>
        <v>["ELIGIBLE"]</v>
      </c>
    </row>
    <row r="21">
      <c r="A21" s="24" t="str">
        <f>IFERROR(__xludf.DUMMYFUNCTION("""COMPUTED_VALUE"""),"Comparing assemblages of Asteraceae and their insect herbivores under different land-use regimens")</f>
        <v>Comparing assemblages of Asteraceae and their insect herbivores under different land-use regimens</v>
      </c>
      <c r="B21" s="24" t="str">
        <f>IFERROR(__xludf.DUMMYFUNCTION("""COMPUTED_VALUE"""),"Accelerated tropical landscape changes occurring over recent decades have produced environmental mosaics comprising remaining isolated green areas and mixed land-use types. Our objective was to study the effects of alterations in the natural landscape on "&amp;"the species composition and structure of assemblages of Asteraceae and their endophagous insects through comparisons between cerrado (savanna), pastures and Eucalyptus stands. We first investigated whether similarities between assemblages of Asteraceae an"&amp;"d their insects varied among land uses or localities. Secondly, we asked whether assemblages of Eucalyptus stands and pastures are subsets of those within the cerrado. We sampled within randomly deployed transects in 15 areas. Land use was found to be an "&amp;"important factor in determining plant composition similarity; however, locality did not exert any significant influence. Pastures were less similar to one another, suggesting high beta diversity. Similarities among insect assemblages were correlated with "&amp;"plant assemblage composition, but not with land use or locality. Species of Tephritidae were distributed along localities independently of land use. High beta diversity in Asteraceae assemblages among cerrados and pastures was supported by nestedness anal"&amp;"ysis. Plant assemblages in Eucalyptus stands were subsets of cerrado, but pasture assemblages were only partial subsets. A higher degree of nestedness in insect assemblages than in plant assemblages indicated lower beta diversity within these herbivores. "&amp;"Our data indicate that many herbivores are specialized on widely distributed plant genera. Conservation of Asteraceae species and their flower head insects depends not only on maintenance of landscape fragments but also on the correct matching of manageme"&amp;"nt form and land use. Such management may contribute to reducing isolation of plant and insect species by increasing the connectivity of remaining cerrado tracts, allowing population maintenance even at low abundances.")</f>
        <v>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v>
      </c>
      <c r="C21" s="24" t="str">
        <f>IFERROR(__xludf.DUMMYFUNCTION("""COMPUTED_VALUE"""),"10.1111/j.1442-9993.2011.02294.x")</f>
        <v>10.1111/j.1442-9993.2011.02294.x</v>
      </c>
      <c r="D21" s="24" t="str">
        <f>IFERROR(__xludf.DUMMYFUNCTION("""COMPUTED_VALUE"""),"Keck et al")</f>
        <v>Keck et al</v>
      </c>
      <c r="E21" s="24" t="str">
        <f>IFERROR(__xludf.DUMMYFUNCTION("""COMPUTED_VALUE"""),"WOS:000304389700002")</f>
        <v>WOS:000304389700002</v>
      </c>
      <c r="F21" s="24" t="str">
        <f>IFERROR(__xludf.DUMMYFUNCTION("""COMPUTED_VALUE"""),"[""ELIGIBLE""]")</f>
        <v>["ELIGIBLE"]</v>
      </c>
    </row>
    <row r="22">
      <c r="A22" s="24" t="str">
        <f>IFERROR(__xludf.DUMMYFUNCTION("""COMPUTED_VALUE"""),"Succession of macrofaunal communities and environmental properties along a gradient of smooth cordgrass Spartina alterniflora invasion stages")</f>
        <v>Succession of macrofaunal communities and environmental properties along a gradient of smooth cordgrass Spartina alterniflora invasion stages</v>
      </c>
      <c r="B22" s="24" t="str">
        <f>IFERROR(__xludf.DUMMYFUNCTION("""COMPUTED_VALUE"""),"The exotic species smooth cordgrass (Spartina alternifiora) is recognized as an important invasive species in China, introduced about 40 years ago. The consistent smooth cordgrass invasion significantly modified the coastal ecosystem. Understanding the ec"&amp;"ological succession and mechanisms of wetland soil ecosystems is essential for biological conservation after the landscape change resulting from the smooth cordgrass invasion. In this study, five different invasion stages of a 16-year smooth cordgrass inv"&amp;"asion sequence were identified in a coastal wetland as no invasion, initial invasion, young invasion, mature invasion, and senescing invasion. The succession of macrofaunal communities and environments were investigated along the gradient of invasion stag"&amp;"es. The infauna decreased, and the epifauna increased along the invasion sequence. The significant differences of the communities were detected among the mud flats experiencing different invasion stages. The initial and young invasion stages of smooth cor"&amp;"dgrass possibly promote the macrofaunal biodiversity, but biodiversity decreased at mature and senescing invasion stages. The ecological effect of smooth cordgrass invasion on macrofauna depended on the species' traits and the invasion stage. The environm"&amp;"ental properties co-varied with invasion stages, and varied significantly among selected habitats. Total organic carbon (TOC), total nitrogen, and the carbon-nitrogen ratio (C/N) strongly related to the smooth cordgrass coverage, stem density, and height."&amp;" C/N was identified as the key factor for shaping the environment by principal components analysis, and TOC for regulating the macrofaunal community by canonical correspondence analysis. The succession of macrofaunal communities should be considered as a "&amp;"comprehensive response to the variations on environmental properties co-varying with smooth cordgrass invasion in coastal wetlands.")</f>
        <v>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v>
      </c>
      <c r="C22" s="24" t="str">
        <f>IFERROR(__xludf.DUMMYFUNCTION("""COMPUTED_VALUE"""),"10.1016/j.marenvres.2019.104862")</f>
        <v>10.1016/j.marenvres.2019.104862</v>
      </c>
      <c r="D22" s="24" t="str">
        <f>IFERROR(__xludf.DUMMYFUNCTION("""COMPUTED_VALUE"""),"Keck et al")</f>
        <v>Keck et al</v>
      </c>
      <c r="E22" s="24" t="str">
        <f>IFERROR(__xludf.DUMMYFUNCTION("""COMPUTED_VALUE"""),"WOS:000528612000001")</f>
        <v>WOS:000528612000001</v>
      </c>
      <c r="F22" s="24" t="str">
        <f>IFERROR(__xludf.DUMMYFUNCTION("""COMPUTED_VALUE"""),"[""ELIGIBLE""]")</f>
        <v>["ELIGIBLE"]</v>
      </c>
    </row>
    <row r="23">
      <c r="A23" s="24" t="str">
        <f>IFERROR(__xludf.DUMMYFUNCTION("""COMPUTED_VALUE"""),"Diversity and composition of Amazonian moths in primary, secondary and plantation forests")</f>
        <v>Diversity and composition of Amazonian moths in primary, secondary and plantation forests</v>
      </c>
      <c r="B23" s="24" t="str">
        <f>IFERROR(__xludf.DUMMYFUNCTION("""COMPUTED_VALUE"""),"The response of tropical fauna to landscape-level habitat change is poorly understood. Increased conversion of native primary forest to alternative land-uses, including secondary forest and exotic tree plantations, highlights the importance of assessing d"&amp;"iversity patterns within these forest types. We sampled 1848 moths from 3 35 species of Arctiidae, Saturniidae and Sphingidae, over a total of 30 trap-nights. Sampling was conducted during the wet season 2005, using three light-traps at 15 sites within ar"&amp;"eas of primary forest, secondary forest and Eucalyptus urograndis plantations in northern Brazilian Amazonia. The Jari study region provides one of the best opportunities to investigate the ecological consequences of land-use change, and this study is one"&amp;" of the first to example patterns of diversity for it neotropical moth assemblage in a human-dominated landscape in lowland Amazonia. We found that the three moth families responded consistently to disturbance in terms of abundance and community structure"&amp;" but variably in terms of species richness, in a manner apparently supporting a life-history hypothesis. Our results suggest that secondary forests and Eucalyptus plantations call support it substantial level of moth diversity but also show that these for"&amp;"est types hold assemblages with significantly community structures and composition from primary forest. In addition, the ability of these converted land-uses to support primary forest species may be enhanced by proximity to surrounding primary forest, an "&amp;"issue which requires consideration when assessing the diversity and composition of mobile taxa in human-dominated landscapes.")</f>
        <v>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v>
      </c>
      <c r="C23" s="24" t="str">
        <f>IFERROR(__xludf.DUMMYFUNCTION("""COMPUTED_VALUE"""),"10.1017/S0266467409006038")</f>
        <v>10.1017/S0266467409006038</v>
      </c>
      <c r="D23" s="24" t="str">
        <f>IFERROR(__xludf.DUMMYFUNCTION("""COMPUTED_VALUE"""),"Keck et al")</f>
        <v>Keck et al</v>
      </c>
      <c r="E23" s="24" t="str">
        <f>IFERROR(__xludf.DUMMYFUNCTION("""COMPUTED_VALUE"""),"WOS:000265504100006")</f>
        <v>WOS:000265504100006</v>
      </c>
      <c r="F23" s="24" t="str">
        <f>IFERROR(__xludf.DUMMYFUNCTION("""COMPUTED_VALUE"""),"[""ELIGIBLE""]")</f>
        <v>["ELIGIBLE"]</v>
      </c>
    </row>
    <row r="24">
      <c r="A24" s="24" t="str">
        <f>IFERROR(__xludf.DUMMYFUNCTION("""COMPUTED_VALUE"""),"Structural landscape changes in urban and peri-urban agricultural systems of two West African cities and their relations to ecosystem services provided by woody plant communities")</f>
        <v>Structural landscape changes in urban and peri-urban agricultural systems of two West African cities and their relations to ecosystem services provided by woody plant communities</v>
      </c>
      <c r="B24" s="24" t="str">
        <f>IFERROR(__xludf.DUMMYFUNCTION("""COMPUTED_VALUE"""),"High urbanization pressure in Sub-Saharan Africa led to changes in the composition and configuration of rural and peri-urban agricultural production systems and to the establishment of highly market-oriented urban farming systems. Trees and shrubs, as a k"&amp;"ey component of agroecosystems, provide ecosystem services that support food security and agricultural productivity. However, the relationship between landscape structure, land use intensification, species diversity and functional diversity of woody plant"&amp;" communities particularly within the semi-arid environment of West Africa has received little attention. We combined GIS analyses and field sampling of woody plant communities of 72 agricultural systems located in rural, peri-urban and urban areas of Tama"&amp;"le (Ghana) and Ouagadougou (Burkina Faso). From a landscape perspective, peri-urban systems in Ouagadougou formed a transition or interacting zone between rural and urban systems and were shaped by urban growth dynamics whereas in Tamale peri-urban system"&amp;"s constituted a simplification of the rural parkland habitats and was mainly determined by agricultural intensification. Woody plant communities showed a high functional richness along the rural-urban gradient and provided a variety of ecosystem services,"&amp;" with food provisioning as main good. A trade-off between two regulating services, bio-control of pests and pollination services, could be observed within urban and in part within peri-urban farming systems. Hence, obtaining a holistic understanding of ho"&amp;"w landscape structure that is shaped by city growth and agricultural intensification affects ecosystem services is fundamental if West African urban farmers are to be politically supported in their efforts to manage landscapes effectively and to ensure ag"&amp;"ro-ecosystem multi-functionality and productivity.")</f>
        <v>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v>
      </c>
      <c r="C24" s="24" t="str">
        <f>IFERROR(__xludf.DUMMYFUNCTION("""COMPUTED_VALUE"""),"10.1007/s11252-018-0811-5")</f>
        <v>10.1007/s11252-018-0811-5</v>
      </c>
      <c r="D24" s="24" t="str">
        <f>IFERROR(__xludf.DUMMYFUNCTION("""COMPUTED_VALUE"""),"Keck et al")</f>
        <v>Keck et al</v>
      </c>
      <c r="E24" s="24" t="str">
        <f>IFERROR(__xludf.DUMMYFUNCTION("""COMPUTED_VALUE"""),"WOS:000462225000016")</f>
        <v>WOS:000462225000016</v>
      </c>
      <c r="F24" s="24" t="str">
        <f>IFERROR(__xludf.DUMMYFUNCTION("""COMPUTED_VALUE"""),"[""ELIGIBLE""]")</f>
        <v>["ELIGIBLE"]</v>
      </c>
    </row>
    <row r="25">
      <c r="A25" s="24" t="str">
        <f>IFERROR(__xludf.DUMMYFUNCTION("""COMPUTED_VALUE"""),"Soil communities (Acari Oribatida; Hexapoda Collembola) in a clay pigeon shooting range")</f>
        <v>Soil communities (Acari Oribatida; Hexapoda Collembola) in a clay pigeon shooting range</v>
      </c>
      <c r="B25" s="24" t="str">
        <f>IFERROR(__xludf.DUMMYFUNCTION("""COMPUTED_VALUE"""),"Clay pigeon shooting ranges can be an important source of heavy metal contamination in terrestrial ecosystems. The pellets contained in spent ammunition are mainly composed of lead (Pb) and antimony (Sb). Total concentrations of these metals were measured"&amp;" in soils from seven sampling sites within a clay pigeon shooting range and compared with two controls to investigate the effects of their increased levels on the oribatid mites and Collembola community. We found that the spatial distribution of Pb and Sb"&amp;" contamination in the fall-out area is strongly related to the flight path of pellets. Oribatid and Collembola communities are able to survive at levels of heavy metals far higher than the lethal concentration for the most tolerant plants but oribatid mit"&amp;"es seem to be affected by heavy metals more than springtails. Collembola and oribatid mites exhibit a wide range of responses to disturbance and many species are more strongly influenced by microhabitat characteristics than Levels of pollution. The effect"&amp;"s of annual cultivations conducted in the shooting range and those of heavy metal pollution result in a simplification and homogeneity of community composition. Among arthropods, oribatid mites and springtails have a great potential as bioindicators of en"&amp;"vironmental conditions; the issue remains as to whether differences in population structure can be used to determine the type of disturbance. (C) 2004 Elsevier GmbH. All rights reserved.")</f>
        <v>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v>
      </c>
      <c r="C25" s="24" t="str">
        <f>IFERROR(__xludf.DUMMYFUNCTION("""COMPUTED_VALUE"""),"10.1016/j.pedobi.2004.06.009")</f>
        <v>10.1016/j.pedobi.2004.06.009</v>
      </c>
      <c r="D25" s="24" t="str">
        <f>IFERROR(__xludf.DUMMYFUNCTION("""COMPUTED_VALUE"""),"Keck et al")</f>
        <v>Keck et al</v>
      </c>
      <c r="E25" s="24" t="str">
        <f>IFERROR(__xludf.DUMMYFUNCTION("""COMPUTED_VALUE"""),"WOS:000227238400001")</f>
        <v>WOS:000227238400001</v>
      </c>
      <c r="F25" s="24" t="str">
        <f>IFERROR(__xludf.DUMMYFUNCTION("""COMPUTED_VALUE"""),"[""ELIGIBLE""]")</f>
        <v>["ELIGIBLE"]</v>
      </c>
    </row>
    <row r="26">
      <c r="A26" s="24" t="str">
        <f>IFERROR(__xludf.DUMMYFUNCTION("""COMPUTED_VALUE"""),"Impacts of an Amazonian hydroelectric dam on frog assemblages")</f>
        <v>Impacts of an Amazonian hydroelectric dam on frog assemblages</v>
      </c>
      <c r="B26" s="24" t="str">
        <f>IFERROR(__xludf.DUMMYFUNCTION("""COMPUTED_VALUE"""),"About 90% of the Amazon's energy potential remains unexploited, with many large hydroelectric dams yet to be built, so it is important to understand how terrestrial vertebrates are affected by reservoir formation and habitat loss. We investigated the infl"&amp;"uence of the construction of the Santo Antonio Hydroelectric dam on the Madeira River in southwestern Amazonia on the structure of frog assemblages based on samples collected in two years before the dam flooded (pre-stage) and one (post1-stage) and four y"&amp;"ears (post2-stage) after its construction. We surveyed five 500-ha plot systems three times during each stage; in the pre-stage we sampled 19 plots in low-lying areas that would be flooded by the dam, (from now called flooded pre-stage plots) and 45 plots"&amp;" in terra-firme forest (from now called unflooded pre-stage plots). At the post1-stage we sampled the 45 unflooded plots and in the post2-stage we sampled the remaining 39 unflooded plots. We detected frogs by active visual and acoustic searches standardi"&amp;"zed by both time and sampling area. Few species recorded in the pre-stage flooded plots were not found in the pre-stage unflooded plots or in stages after flooding. However, the composition of frog assemblages based on relative densities in flooded pre-st"&amp;"age plots did not re-establish in plots on the new river margins. In unflooded areas, frog assemblages were distinct among the flooding stages with no tendency to return to the original assemblage compositions even four years after the dam was filled. For"&amp;" the areas that were not flooded, there was an increase in species richness in 82% of the plots between the surveys before dam construction and the first surveys after dam completion, and 65% between the pre-stage and surveys four years after dam completi"&amp;"on. Lack of understanding by the controlling authorities of the long-term effects of landscape changes, such as water-table rises, means that studies covering appropriate periods post construction are not required in legislation, but the data from Santo A"&amp;"ntonio indicate that changes due to dam construction are either long-term or difficult to distinguish from natural fluctuations. Future environmental-impact studies should follow strict BACI designs.")</f>
        <v>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v>
      </c>
      <c r="C26" s="24" t="str">
        <f>IFERROR(__xludf.DUMMYFUNCTION("""COMPUTED_VALUE"""),"10.1371/journal.pone.0244580")</f>
        <v>10.1371/journal.pone.0244580</v>
      </c>
      <c r="D26" s="24" t="str">
        <f>IFERROR(__xludf.DUMMYFUNCTION("""COMPUTED_VALUE"""),"Keck et al")</f>
        <v>Keck et al</v>
      </c>
      <c r="E26" s="24" t="str">
        <f>IFERROR(__xludf.DUMMYFUNCTION("""COMPUTED_VALUE"""),"WOS:000671690200036")</f>
        <v>WOS:000671690200036</v>
      </c>
      <c r="F26" s="24" t="str">
        <f>IFERROR(__xludf.DUMMYFUNCTION("""COMPUTED_VALUE"""),"[""ELIGIBLE""]")</f>
        <v>["ELIGIBLE"]</v>
      </c>
    </row>
    <row r="27">
      <c r="A27" s="24" t="str">
        <f>IFERROR(__xludf.DUMMYFUNCTION("""COMPUTED_VALUE"""),"Species interactions are disrupted by habitat degradation in the highly threatened Tumbesian region of Ecuador")</f>
        <v>Species interactions are disrupted by habitat degradation in the highly threatened Tumbesian region of Ecuador</v>
      </c>
      <c r="B27" s="24" t="str">
        <f>IFERROR(__xludf.DUMMYFUNCTION("""COMPUTED_VALUE"""),"Interactions between species in groups are often ignored in studies of the effects of anthropogenic change on species' persistence, and yet, given their global ubiquity, mixed-species groups have the potential to be models for community ecology. In this p"&amp;"aper we examine the impacts of rural community activities that are pervasive in tropical regions on mixed-species flocks of birds in a unique coastal tropical dry forest ecosystem, with the aim of advancing both our understanding of mixed-species associat"&amp;"ions and how best to conserve them. We examined the effects of small-scale clearing of trees and livestock grazing on mixed flocks in two vegetation types in the highly threatened Tumbesian region of Ecuador. Because the fitness benefits of flocking come "&amp;"from a reduced risk of predation or enhanced feeding efficiencies, or both, habitat degradation could lead to changes in the benefits of flocking and thus flock characteristics. We predicted that, in more disturbed vegetation, flocks would have fewer spec"&amp;"ies and individuals and that species would show lower flocking propensities and feeding efficiencies. Based on observations of 431 flocks, we found that these predictions were supported in tropical dry forest but not always in arid scrub vegetation. Less "&amp;"disturbed tropical dry forest had greater mean species richness per flock than more disturbed tropical dry forest, but mean species richness per flock did not differ between more and less disturbed arid scrub. Flock species richness and composition differ"&amp;"ed across the disturbance levels in tropical dry forest, but not in arid scrub. Many species had their highest flocking propensities and greatest foraging efficiencies in less disturbed, compared to more disturbed, vegetation. We show that existing park m"&amp;"anagement, which allows community development and livestock grazing within national park borders, leads to degradation of the vegetation and disrupts species' interactions in tropical dry forest. We provide specific conservation recommendations to mitigat"&amp;"e these disruptive influences. Examining intraspecific associations across diverse communities is of the utmost importance to both answering basic theoretical questions in community ecology and conserving species diversity in the face of anthropogenic lan"&amp;"dscape change.")</f>
        <v>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v>
      </c>
      <c r="C27" s="24" t="str">
        <f>IFERROR(__xludf.DUMMYFUNCTION("""COMPUTED_VALUE"""),"10.1890/10-1886.1")</f>
        <v>10.1890/10-1886.1</v>
      </c>
      <c r="D27" s="24" t="str">
        <f>IFERROR(__xludf.DUMMYFUNCTION("""COMPUTED_VALUE"""),"Keck et al")</f>
        <v>Keck et al</v>
      </c>
      <c r="E27" s="24" t="str">
        <f>IFERROR(__xludf.DUMMYFUNCTION("""COMPUTED_VALUE"""),"WOS:000299166300011")</f>
        <v>WOS:000299166300011</v>
      </c>
      <c r="F27" s="24" t="str">
        <f>IFERROR(__xludf.DUMMYFUNCTION("""COMPUTED_VALUE"""),"[""ELIGIBLE""]")</f>
        <v>["ELIGIBLE"]</v>
      </c>
    </row>
    <row r="28">
      <c r="A28" s="24" t="str">
        <f>IFERROR(__xludf.DUMMYFUNCTION("""COMPUTED_VALUE"""),"Effectiveness of ant communities to detect anthropogenic disturbance in Neotropical forest landscapes: a case study in the Brazilian Amazon")</f>
        <v>Effectiveness of ant communities to detect anthropogenic disturbance in Neotropical forest landscapes: a case study in the Brazilian Amazon</v>
      </c>
      <c r="B28" s="24" t="str">
        <f>IFERROR(__xludf.DUMMYFUNCTION("""COMPUTED_VALUE"""),"Understanding how communities respond to anthropogenic disturbance is considered a stepping-stone to support decision-making by environmental managers and restoration ecology. In endangered biodiverse regions, such as the Neotropics, ecological indicators"&amp;" are particularly useful, by enlighten possible diversity trends and functional shifts. Our objectives were to deepen our understanding on the soil ant assemblages/habitat relationships in the Brazilian Amazon, particularly relevant for a data-deficient a"&amp;"nd fast changing region, and evaluate if regional ant assemblages, collected within a gradient of disturbance, could fulfill the surrogate role. A sampling effort of 630 pitfall traps and litter collection were used for monitoring ant communities within t"&amp;"he gradient of habitats considered. Sequential reductions in ant richness, abundance and simplification of assemblage compositions were detected along the disturbance gradient comprising pristine forests, secondary forests, agriculture and pastures. Addit"&amp;"ionally, indicator species identified could be used to assess the disturbance level but also to guide restoration efforts in this region. Finally, even though late secondary forests displayed diverse assemblages, old-growth/pristine forests support distin"&amp;"ct communities, highlighting its critical contribution for the conservation of ants.")</f>
        <v>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v>
      </c>
      <c r="C28" s="24" t="str">
        <f>IFERROR(__xludf.DUMMYFUNCTION("""COMPUTED_VALUE"""),"10.1007/s10531-021-02329-x")</f>
        <v>10.1007/s10531-021-02329-x</v>
      </c>
      <c r="D28" s="24" t="str">
        <f>IFERROR(__xludf.DUMMYFUNCTION("""COMPUTED_VALUE"""),"Keck et al")</f>
        <v>Keck et al</v>
      </c>
      <c r="E28" s="24" t="str">
        <f>IFERROR(__xludf.DUMMYFUNCTION("""COMPUTED_VALUE"""),"WOS:000717888600002")</f>
        <v>WOS:000717888600002</v>
      </c>
      <c r="F28" s="24" t="str">
        <f>IFERROR(__xludf.DUMMYFUNCTION("""COMPUTED_VALUE"""),"[""ELIGIBLE""]")</f>
        <v>["ELIGIBLE"]</v>
      </c>
    </row>
    <row r="29">
      <c r="A29" s="24" t="str">
        <f>IFERROR(__xludf.DUMMYFUNCTION("""COMPUTED_VALUE"""),"Warming and imidacloprid pulses determine macroinvertebrate community dynamics in experimental streams")</f>
        <v>Warming and imidacloprid pulses determine macroinvertebrate community dynamics in experimental streams</v>
      </c>
      <c r="B29" s="24" t="str">
        <f>IFERROR(__xludf.DUMMYFUNCTION("""COMPUTED_VALUE"""),"Sustainable management of freshwater and pesticide use is essential for mitigating the impacts of intensive agriculture in the context of a changing climate. To better understand how climate change will affect the vulnerability of freshwater ecosystems to"&amp;" chemical pollutants, more empirical evidence is needed on the combined effects of climatic and chemical stressors in environmentally realistic conditions. Our experiment provides the first empirical evaluation of stream macroinvertebrate community dynami"&amp;"cs in response to one of the world's most widely used insecticides, imidacloprid, and increased water temperature. In a 7-week streamside experiment using 128 flow-through circular mesocosms, we investigated the effects of pulsed imidacloprid exposure (fo"&amp;"ur environmentally relevant levels between 0 and 4.6 mu g/L) and raised water temperature (ambient, 3 degrees C above) on invertebrate communities representative of fast- and slow-flowing microhabitats. Invertebrate drift and insect emergence were monitor"&amp;"ed during three pesticide pulses (10 days apart), and benthic invertebrate communities were sampled after 24 days of heating and pesticide manipulations. All three manipulated factors strongly affected drift community composition. The first imidacloprid p"&amp;"ulse and increased temperature had a greater impact on communities in fast-flowing mesocosms, which contained more pollution-sensitive EPT taxa (mayflies, stoneflies and caddisflies). Heating and imidacloprid caused increased emigration by drift, weak red"&amp;"uctions in emergence, and negatively affected the benthic community. The combined effect of stressor manipulations and a 10-day natural heatwave drastically reduced relative abundances of EPT and insects overall and caused a shift to oligochaete-, crustac"&amp;"ean- and gastropod-dominated communities. Contrary to our hypothesis, the very high yet realistic water temperatures reached in our experiment meant the negative effects of imidacloprid were clearest at ambient temperatures and fast flow. These findings d"&amp;"emonstrate the potential combined impacts of imidacloprid contamination and heatwaves on freshwater invertebrate communities under future climate scenarios and highlight the need for more countries to take regulatory action to control neonicotinoid use.")</f>
        <v>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v>
      </c>
      <c r="C29" s="24" t="str">
        <f>IFERROR(__xludf.DUMMYFUNCTION("""COMPUTED_VALUE"""),"10.1111/gcb.15856")</f>
        <v>10.1111/gcb.15856</v>
      </c>
      <c r="D29" s="24" t="str">
        <f>IFERROR(__xludf.DUMMYFUNCTION("""COMPUTED_VALUE"""),"Keck et al")</f>
        <v>Keck et al</v>
      </c>
      <c r="E29" s="24" t="str">
        <f>IFERROR(__xludf.DUMMYFUNCTION("""COMPUTED_VALUE"""),"WOS:000692163100001")</f>
        <v>WOS:000692163100001</v>
      </c>
      <c r="F29" s="24" t="str">
        <f>IFERROR(__xludf.DUMMYFUNCTION("""COMPUTED_VALUE"""),"[""ELIGIBLE""]")</f>
        <v>["ELIGIBLE"]</v>
      </c>
    </row>
    <row r="30">
      <c r="A30" s="24" t="str">
        <f>IFERROR(__xludf.DUMMYFUNCTION("""COMPUTED_VALUE"""),"Elevation shapes the reassembly of Anthropocene lizard communities")</f>
        <v>Elevation shapes the reassembly of Anthropocene lizard communities</v>
      </c>
      <c r="B30" s="24" t="str">
        <f>IFERROR(__xludf.DUMMYFUNCTION("""COMPUTED_VALUE"""),"Human impacts, especially land-use change, are precipitating biodiversity loss. Yet anthropogenic drivers are layered atop natural biogeographic gradients. We ask whether the effects of anthropogenic habitat conversion depend on climatic context. We studi"&amp;"ed the structure of Anolis lizard communities in intact and human-modified habitats across natural climate gradients in the northern Dominican Republic. Using community-wide mark-resight methods to control for detection bias, we show that the effects of h"&amp;"abitat conversion reverse with elevation (and thus macroclimate temperature). Deforestation reduces abundance and biomass in lowland communities but has no such effect at high elevations. In contrast, forest loss results in no compositional change in the "&amp;"lowlands, but complete community turnover between habitats in the highlands. These contrasting community-level patterns emerge from consistent responses of individual species based on their thermal niches. Community reorganization in the highlands stems f"&amp;"rom thermal niche tracking and habitat switching by abundant lowland species. We find no support for the hypothesis that climate generalists outperform specialists to succeed in anthropogenic habitats. Instead, warm-climate specialists dominate anthropoge"&amp;"nic habitats, even in cool macroclimates. Human impacts interact with preexisting environmental gradients to reorganize biodiversity. Leveraging a biogeographic perspective will provide insight into the future communities of life on Earth.")</f>
        <v>Human impacts, especially land-use change, are precipitating biodiversity loss. Yet anthropogenic drivers are layered atop natural biogeographic gradients. We ask whether the effects of anthropogenic habitat conversion depend on climatic context. We studied the structure of Anolis lizard communities in intact and human-modified habitats across natural climate gradients in the northern Dominican Republic. Using community-wide mark-resight methods to control for detection bias, we show that the effects of habitat conversion reverse with elevation (and thus macroclimate temperature). Deforestation reduces abundance and biomass in lowland communities but has no such effect at high elevations. In contrast, forest loss results in no compositional change in the lowlands, but complete community turnover between habitats in the highlands. These contrasting community-level patterns emerge from consistent responses of individual species based on their thermal niches. Community reorganization in the highlands stems from thermal niche tracking and habitat switching by abundant lowland species. We find no support for the hypothesis that climate generalists outperform specialists to succeed in anthropogenic habitats. Instead, warm-climate specialists dominate anthropogenic habitats, even in cool macroclimates. Human impacts interact with preexisting environmental gradients to reorganize biodiversity. Leveraging a biogeographic perspective will provide insight into the future communities of life on Earth.</v>
      </c>
      <c r="C30" s="24" t="str">
        <f>IFERROR(__xludf.DUMMYFUNCTION("""COMPUTED_VALUE"""),"10.1038/s41559-019-0819-0")</f>
        <v>10.1038/s41559-019-0819-0</v>
      </c>
      <c r="D30" s="24" t="str">
        <f>IFERROR(__xludf.DUMMYFUNCTION("""COMPUTED_VALUE"""),"Keck et al")</f>
        <v>Keck et al</v>
      </c>
      <c r="E30" s="24" t="str">
        <f>IFERROR(__xludf.DUMMYFUNCTION("""COMPUTED_VALUE"""),"WOS:000462542100027")</f>
        <v>WOS:000462542100027</v>
      </c>
      <c r="F30" s="24" t="str">
        <f>IFERROR(__xludf.DUMMYFUNCTION("""COMPUTED_VALUE"""),"[""ELIGIBLE""]")</f>
        <v>["ELIGIBLE"]</v>
      </c>
    </row>
    <row r="31">
      <c r="A31" s="24" t="str">
        <f>IFERROR(__xludf.DUMMYFUNCTION("""COMPUTED_VALUE"""),"Influence of shifting cultivation practices on soil-plant-beetle interactions")</f>
        <v>Influence of shifting cultivation practices on soil-plant-beetle interactions</v>
      </c>
      <c r="B31" s="24" t="str">
        <f>IFERROR(__xludf.DUMMYFUNCTION("""COMPUTED_VALUE"""),"Shifting cultivation (jhum) is a major land use practice in Mizoram. It was considered as an eco-friendly and efficient method when the cycle duration was long (15-30 years), but it poses the problem of land degradation and threat to ecology when shortene"&amp;"d (4-5 years) due to increased intensification of farming systems. Studying beetle community structure is very helpful in understanding how shifting cultivation affects the biodiversity features compared to natural forest system. The present study examine"&amp;"s the beetle species diversity and estimates the effects of shifting cultivation practices on the beetle assemblages in relation to change in tree species composition and soil nutrients. Scarabaeidae and Carabidae were observed to be the dominant families"&amp;" in the land use systems studied. Shifting cultivation practice significantly (P &lt; 0.05) affected the beetle and tree species diversity as well as the soil nutrients as shown by univariate (one-way analysis of variance (ANOVA), correlation and regression,"&amp;" diversity indices) and multivariate (cluster analysis, principal component analysis (PCA), detrended correspondence analysis (DCA), canonical variate analysis (CVA), permutational multivariate analysis of variance (PERMANOVA), permutational multivariate "&amp;"analysis of dispersion (PERMDISP)) statistical analyses. Besides changing the tree species composition and affecting the soil fertility, shifting cultivation provides less suitable habitat conditions for the beetle species. Bioindicator analysis categoriz"&amp;"ed the beetle species into forest specialists, anthropogenic specialists (shifting cultivation habitat specialist), and habitat generalists. Molecular analysis of bioindicator beetle species was done using mitochondrial cytochrome oxidase subunit I (COI) "&amp;"marker to validate the beetle species and describe genetic variation among them in relation to heterogeneity, transition/transversion bias, codon usage bias, evolutionary distance, and substitution pattern. The present study revealed the fact that shiftin"&amp;"g cultivation practice significantly affects the beetle species in terms of biodiversity pattern as well as evolutionary features. Spatiotemporal assessment of soil-plant-beetle interactions in shifting cultivation system and their influence in land degra"&amp;"dation and ecology will be helpful in making biodiversity conservation decisions in the near future.")</f>
        <v>Shifting cultivation (jhum) is a major land use practice in Mizoram. It was considered as an eco-friendly and efficient method when the cycle duration was long (15-30 years), but it poses the problem of land degradation and threat to ecology when shortened (4-5 years) due to increased intensification of farming systems. Studying beetle community structure is very helpful in understanding how shifting cultivation affects the biodiversity features compared to natural forest system. The present study examines the beetle species diversity and estimates the effects of shifting cultivation practices on the beetle assemblages in relation to change in tree species composition and soil nutrients. Scarabaeidae and Carabidae were observed to be the dominant families in the land use systems studied. Shifting cultivation practice significantly (P &lt; 0.05) affected the beetle and tree species diversity as well as the soil nutrients as shown by univariate (one-way analysis of variance (ANOVA), correlation and regression, diversity indices) and multivariate (cluster analysis, principal component analysis (PCA), detrended correspondence analysis (DCA), canonical variate analysis (CVA), permutational multivariate analysis of variance (PERMANOVA), permutational multivariate analysis of dispersion (PERMDISP)) statistical analyses. Besides changing the tree species composition and affecting the soil fertility, shifting cultivation provides less suitable habitat conditions for the beetle species. Bioindicator analysis categorized the beetle species into forest specialists, anthropogenic specialists (shifting cultivation habitat specialist), and habitat generalists. Molecular analysis of bioindicator beetle species was done using mitochondrial cytochrome oxidase subunit I (COI) marker to validate the beetle species and describe genetic variation among them in relation to heterogeneity, transition/transversion bias, codon usage bias, evolutionary distance, and substitution pattern. The present study revealed the fact that shifting cultivation practice significantly affects the beetle species in terms of biodiversity pattern as well as evolutionary features. Spatiotemporal assessment of soil-plant-beetle interactions in shifting cultivation system and their influence in land degradation and ecology will be helpful in making biodiversity conservation decisions in the near future.</v>
      </c>
      <c r="C31" s="24" t="str">
        <f>IFERROR(__xludf.DUMMYFUNCTION("""COMPUTED_VALUE"""),"10.1007/s11356-016-6782-2")</f>
        <v>10.1007/s11356-016-6782-2</v>
      </c>
      <c r="D31" s="24" t="str">
        <f>IFERROR(__xludf.DUMMYFUNCTION("""COMPUTED_VALUE"""),"Keck et al")</f>
        <v>Keck et al</v>
      </c>
      <c r="E31" s="24" t="str">
        <f>IFERROR(__xludf.DUMMYFUNCTION("""COMPUTED_VALUE"""),"WOS:000381156600040")</f>
        <v>WOS:000381156600040</v>
      </c>
      <c r="F31" s="24" t="str">
        <f>IFERROR(__xludf.DUMMYFUNCTION("""COMPUTED_VALUE"""),"[""ELIGIBLE""]")</f>
        <v>["ELIGIBLE"]</v>
      </c>
    </row>
    <row r="32">
      <c r="A32" s="24" t="str">
        <f>IFERROR(__xludf.DUMMYFUNCTION("""COMPUTED_VALUE"""),"Effects of land-use change on herbaceous vegetation in a semi-arid Mopaneveld savanna")</f>
        <v>Effects of land-use change on herbaceous vegetation in a semi-arid Mopaneveld savanna</v>
      </c>
      <c r="B32" s="24" t="str">
        <f>IFERROR(__xludf.DUMMYFUNCTION("""COMPUTED_VALUE"""),"Background: Low altitude Mopaneveld savanna in the northeastern parts of South Africa is generally well conserved. However, extensive copper mining, agricultural practices and urbanisation in the Phalaborwa region prompted research on the possible effects"&amp;" of land-use change on plant community diversity and function. Species diversity measures are usually considered adequate to assess disturbance effects to inform conservation efforts and management practices. However, diversity measures based on species l"&amp;"evel accounts often limit the outcomes of these studies as this approach fails to quantify how disturbances affect ecosystem functioning when community assembly, and not species diversity alone, is altered by land-use change. Objectives: The aim of this s"&amp;"tudy was to apply both species and functional diversity measures to a data set derived from various land-use types (i.e. areas exposed to strip mining activities, communal farming practices and conservation) in the Phalaborwa region to examine the effects"&amp;" of land-use change on the community ecology of the herbaceous layer. Results: Land-use change, particularly severe top-soil disturbances through strip mining activities, had a significant filtering effect on all measures of species diversity, though func"&amp;"tional evenness was maintained across land-use types. Conclusion: These results suggest that, despite initial species loss, this particular savanna ecosystem is buffered against anthropogenic disturbances through functional stability. Indicator species an"&amp;"alyses, as well as relationships between plant functional types and land-use change, revealed that forb species are largely responsible for ecosystem stability in areas exposed to anthropogenic disturbances.")</f>
        <v>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v>
      </c>
      <c r="C32" s="24" t="str">
        <f>IFERROR(__xludf.DUMMYFUNCTION("""COMPUTED_VALUE"""),"10.38201/btha.abc.v51.i1.8")</f>
        <v>10.38201/btha.abc.v51.i1.8</v>
      </c>
      <c r="D32" s="24" t="str">
        <f>IFERROR(__xludf.DUMMYFUNCTION("""COMPUTED_VALUE"""),"Keck et al")</f>
        <v>Keck et al</v>
      </c>
      <c r="E32" s="24" t="str">
        <f>IFERROR(__xludf.DUMMYFUNCTION("""COMPUTED_VALUE"""),"WOS:000648571100008")</f>
        <v>WOS:000648571100008</v>
      </c>
      <c r="F32" s="24" t="str">
        <f>IFERROR(__xludf.DUMMYFUNCTION("""COMPUTED_VALUE"""),"[""ELIGIBLE""]")</f>
        <v>["ELIGIBLE"]</v>
      </c>
    </row>
    <row r="33">
      <c r="A33" s="24" t="str">
        <f>IFERROR(__xludf.DUMMYFUNCTION("""COMPUTED_VALUE"""),"Land use change in the Amazon rain forest favours generalist fungi")</f>
        <v>Land use change in the Amazon rain forest favours generalist fungi</v>
      </c>
      <c r="B33" s="24" t="str">
        <f>IFERROR(__xludf.DUMMYFUNCTION("""COMPUTED_VALUE"""),"Land use change is a significant threat to biodiversity, particularly within tropical ecosystems, but the responses of microbial communities remain poorly understood. We used long-term plots established in multiple land use types in the Brazilian Amazon t"&amp;"o examine the effect of land use change on soil fungal communities. We measured fungal richness and composition and identified factors associated with shifts in community composition across multiple land use types, including primary forest, two secondary "&amp;"forests and a chronosequence of differently aged pastures. Additionally, we used distribution patterns to estimate the niche breadth of fungal taxa in order to quantify changes in the relative abundance of generalists, or fungi with broad environmental to"&amp;"lerance, in response to land use change. Conversion of primary forest to pasture resulted in large reductions in fungal richness coupled with substantial changes in community composition. Generalist fungi were strongly favoured in all pasture sites, regar"&amp;"dless of time since conversion. Distance to primary forests was the strongest correlate of community composition in pastures, indicating that primary forests can act as reservoirs for recolonization by forest-associated fungi. The two secondary forests sh"&amp;"owed variable patterns of richness, composition and the overall abundance of generalist fungi, suggesting that community recovery is stochastic. Fungal community response to land use change mirrors patterns observed in macroscopic organisms, which indicat"&amp;"es that the increased prevalence of generalist taxa is a consistent response to disturbance across broad taxonomic groups.")</f>
        <v>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v>
      </c>
      <c r="C33" s="24" t="str">
        <f>IFERROR(__xludf.DUMMYFUNCTION("""COMPUTED_VALUE"""),"10.1111/1365-2435.12651")</f>
        <v>10.1111/1365-2435.12651</v>
      </c>
      <c r="D33" s="24" t="str">
        <f>IFERROR(__xludf.DUMMYFUNCTION("""COMPUTED_VALUE"""),"Keck et al")</f>
        <v>Keck et al</v>
      </c>
      <c r="E33" s="24" t="str">
        <f>IFERROR(__xludf.DUMMYFUNCTION("""COMPUTED_VALUE"""),"WOS:000387362600012")</f>
        <v>WOS:000387362600012</v>
      </c>
      <c r="F33" s="24" t="str">
        <f>IFERROR(__xludf.DUMMYFUNCTION("""COMPUTED_VALUE"""),"[""ELIGIBLE""]")</f>
        <v>["ELIGIBLE"]</v>
      </c>
    </row>
    <row r="34">
      <c r="A34" s="24" t="str">
        <f>IFERROR(__xludf.DUMMYFUNCTION("""COMPUTED_VALUE"""),"Functional losses in ground spider communities due to habitat structure degradation under tropical land-use change")</f>
        <v>Functional losses in ground spider communities due to habitat structure degradation under tropical land-use change</v>
      </c>
      <c r="B34" s="24" t="str">
        <f>IFERROR(__xludf.DUMMYFUNCTION("""COMPUTED_VALUE"""),"Deforestation and land-use change in tropical regions result in habitat loss and extinction of species that are unable to adapt to the conditions in agricultural landscapes. If the associated loss of functional diversity is not compensated by species colo"&amp;"nizing the converted habitats, extinctions might be followed by a reduction or loss of ecosystem functions including biological control. To date, little is known about how land-use change in the tropics alters the functional diversity of invertebrate pred"&amp;"ators and which key environmental factors may mitigate the decline in functional diversity and predation in litter and soil communities. We applied litter sieving and heat extraction to study ground spider communities and assessed structural characteristi"&amp;"cs of vegetation and parameters of litter in rainforest and agricultural land-use systems (jungle rubber, rubber, and oil palm monocultures) in a Southeast Asian hotspot of rainforest conversion: Sumatra, Indonesia. We found that (1) spider density, speci"&amp;"es richness, functional diversity, and community predation (energy flux to spiders) were reduced by 57-98% from rainforest to oil palm monoculture; (2) jungle rubber and rubber monoculture sustained relatively high diversity and predation in ground spider"&amp;"s, but small cryptic spider species strongly declined; (3) high species turnover compensated losses of some functional trait combinations, but did not compensate for the overall loss of functional diversity and predation per unit area; (4) spider diversit"&amp;"y was related to habitat structure such as amount of litter, understory density, and understory height, while spider predation was better explained by plant diversity. Management practices that increase habitat-structural complexity and plant diversity su"&amp;"ch as mulching, reduced weeding, and intercropping monocultures with other plants may contribute to maintaining functional diversity of and predation services provided by ground invertebrate communities in plantations.")</f>
        <v>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v>
      </c>
      <c r="C34" s="24" t="str">
        <f>IFERROR(__xludf.DUMMYFUNCTION("""COMPUTED_VALUE"""),"10.1002/ecy.2957")</f>
        <v>10.1002/ecy.2957</v>
      </c>
      <c r="D34" s="24" t="str">
        <f>IFERROR(__xludf.DUMMYFUNCTION("""COMPUTED_VALUE"""),"Keck et al")</f>
        <v>Keck et al</v>
      </c>
      <c r="E34" s="24" t="str">
        <f>IFERROR(__xludf.DUMMYFUNCTION("""COMPUTED_VALUE"""),"WOS:000513288600001")</f>
        <v>WOS:000513288600001</v>
      </c>
      <c r="F34" s="24" t="str">
        <f>IFERROR(__xludf.DUMMYFUNCTION("""COMPUTED_VALUE"""),"[""ELIGIBLE""]")</f>
        <v>["ELIGIBLE"]</v>
      </c>
    </row>
    <row r="35">
      <c r="A35" s="24" t="str">
        <f>IFERROR(__xludf.DUMMYFUNCTION("""COMPUTED_VALUE"""),"Elevated Temperature May Affect Nectar Microbes, Nectar Sugars, and Bumble Bee Foraging Preference")</f>
        <v>Elevated Temperature May Affect Nectar Microbes, Nectar Sugars, and Bumble Bee Foraging Preference</v>
      </c>
      <c r="B35" s="24" t="str">
        <f>IFERROR(__xludf.DUMMYFUNCTION("""COMPUTED_VALUE"""),"Floral nectar, an important resource for pollinators, is inhabited by microbes such as yeasts and bacteria, which have been shown to influence pollinator preference. Dynamic and complex plant-pollinator-microbe interactions are likely to be affected by a "&amp;"rapidly changing climate, as each player has their own optimal growth temperatures and phenological responses to environmental triggers, such as temperature. To understand how warming due to climate change is influencing nectar microbial communities, we i"&amp;"ncubated a natural nectar microbial community at different temperatures and assessed the subsequent nectar chemistry and preference of the common eastern bumble bee, Bombus impatiens. The microbial community in floral nectar is often species-poor, and the"&amp;" cultured Brassica rapa nectar community was dominated by the bacterium Fructobacillus. Temperature increased the abundance of bacteria in the warmer treatment. Bumble bees preferred nectar inoculated with microbes, but only at the lower, ambient temperat"&amp;"ure. Warming therefore induced an increase in bacterial abundance which altered nectar sugars and led to significant differences in pollinator preference.")</f>
        <v>Floral nectar, an important resource for pollinators, is inhabited by microbes such as yeasts and bacteria, which have been shown to influence pollinator preference. Dynamic and complex plant-pollinator-microbe interactions are likely to be affected by a rapidly changing climate, as each player has their own optimal growth temperatures and phenological responses to environmental triggers, such as temperature. To understand how warming due to climate change is influencing nectar microbial communities, we incubated a natural nectar microbial community at different temperatures and assessed the subsequent nectar chemistry and preference of the common eastern bumble bee, Bombus impatiens. The microbial community in floral nectar is often species-poor, and the cultured Brassica rapa nectar community was dominated by the bacterium Fructobacillus. Temperature increased the abundance of bacteria in the warmer treatment. Bumble bees preferred nectar inoculated with microbes, but only at the lower, ambient temperature. Warming therefore induced an increase in bacterial abundance which altered nectar sugars and led to significant differences in pollinator preference.</v>
      </c>
      <c r="C35" s="24" t="str">
        <f>IFERROR(__xludf.DUMMYFUNCTION("""COMPUTED_VALUE"""),"10.1007/s00248-021-01881-x")</f>
        <v>10.1007/s00248-021-01881-x</v>
      </c>
      <c r="D35" s="24" t="str">
        <f>IFERROR(__xludf.DUMMYFUNCTION("""COMPUTED_VALUE"""),"Keck et al")</f>
        <v>Keck et al</v>
      </c>
      <c r="E35" s="24" t="str">
        <f>IFERROR(__xludf.DUMMYFUNCTION("""COMPUTED_VALUE"""),"WOS:000702611300001")</f>
        <v>WOS:000702611300001</v>
      </c>
      <c r="F35" s="24" t="str">
        <f>IFERROR(__xludf.DUMMYFUNCTION("""COMPUTED_VALUE"""),"[""ELIGIBLE""]")</f>
        <v>["ELIGIBLE"]</v>
      </c>
    </row>
    <row r="36">
      <c r="A36" s="24" t="str">
        <f>IFERROR(__xludf.DUMMYFUNCTION("""COMPUTED_VALUE"""),"Landscape properties mediate the homogenization of bird assemblages during climatic extremes")</f>
        <v>Landscape properties mediate the homogenization of bird assemblages during climatic extremes</v>
      </c>
      <c r="B36" s="24" t="str">
        <f>IFERROR(__xludf.DUMMYFUNCTION("""COMPUTED_VALUE"""),"Extreme weather events, such as drought, have marked impacts on biotic communities. In many regions, a predicted increase in occurrence of such events will be imposed on landscapes already heavily modified by human land use. There is an urgency, therefore"&amp;", to understand the way in which the effects of such events may be exacerbated, or moderated, by different patterns of landscape change. We used empirical data on woodland-dependent birds in southeast Australia, collected during and after a severe drought"&amp;", to document temporal change in the composition of bird assemblages in 24 landscapes (each 100 km(2)) representing a gradient in the cover of native wooded vegetation (from 60% to &lt;2%). We examined (a) whether drought caused region-wide homogenization of"&amp;" the composition of landscape bird assemblages, and (b) whether landscape properties influenced the way assemblages changed in response to drought. To quantify change, we used pairwise indices of assemblage dissimilarity, partitioned into components that "&amp;"represented change in the richness of assemblages and change in the identity of constituent species (turnover). There was widespread loss of woodland birds in response to drought, with only partial recovery following drought-breaking rains. Region-wide, t"&amp;"he composition of landscape assemblages became more different over time, primarily caused by turnover-related differentiation. The response of bird assemblages to drought varied between landscapes and was strongly associated with landscape properties. The"&amp;" extent of wooded vegetation had the greatest influence on assemblage change: landscapes with more native vegetation had more stable bird assemblages over time. However, for the component processes of richness- and turnover-related compositional change, m"&amp;"easures of landscape productivity had a stronger effect. For example, landscapes with more riparian vegetation maintained more stable assemblages in terms of richness. These results emphasize the importance of the total extent of native vegetation, both o"&amp;"verall cover and that occurring in productive parts of the landscape, for maintaining bird communities whose composition is resistant to severe drought. While extreme climatic events cannot be prevented, their effects can be ameliorated by managing the pa"&amp;"ttern of native vegetation in anthropogenic landscapes, with associated benefits for maintaining ecological processes and human well-being.")</f>
        <v>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v>
      </c>
      <c r="C36" s="24" t="str">
        <f>IFERROR(__xludf.DUMMYFUNCTION("""COMPUTED_VALUE"""),"10.1890/14-2447.1")</f>
        <v>10.1890/14-2447.1</v>
      </c>
      <c r="D36" s="24" t="str">
        <f>IFERROR(__xludf.DUMMYFUNCTION("""COMPUTED_VALUE"""),"Keck et al")</f>
        <v>Keck et al</v>
      </c>
      <c r="E36" s="24" t="str">
        <f>IFERROR(__xludf.DUMMYFUNCTION("""COMPUTED_VALUE"""),"WOS:000367287900005")</f>
        <v>WOS:000367287900005</v>
      </c>
      <c r="F36" s="24" t="str">
        <f>IFERROR(__xludf.DUMMYFUNCTION("""COMPUTED_VALUE"""),"[""ELIGIBLE""]")</f>
        <v>["ELIGIBLE"]</v>
      </c>
    </row>
    <row r="37">
      <c r="A37" s="24" t="str">
        <f>IFERROR(__xludf.DUMMYFUNCTION("""COMPUTED_VALUE"""),"Decreasing predation rates and shifting predator compositions along a land-use gradient in Madagascar's vanilla landscapes")</f>
        <v>Decreasing predation rates and shifting predator compositions along a land-use gradient in Madagascar's vanilla landscapes</v>
      </c>
      <c r="B37" s="24" t="str">
        <f>IFERROR(__xludf.DUMMYFUNCTION("""COMPUTED_VALUE"""),"Land-use change is the main driver of deforestation and land degradation resulting in the loss of biodiversity and ecosystem functioning in north-eastern Madagascar. Vanilla, the region's main cash crop, is grown in agroforestry systems and may provide an"&amp;" opportunity for the conservation of biodiversity and ecosystem functioning. We used dummy caterpillars to assess predation rates and predator communities along a land-use gradient including unburned old-growth and forest fragments, herbaceous and woody f"&amp;"allows after shifting cultivation with fire usage, as well as rice paddies. The studied vanilla agroforests were either forest-derived or fallow-derived. Besides land-use type, we considered the effects of land-use history (unburned/burned), plot-level pa"&amp;"rameters and the landscape composition to conclude on management recommendations. Old-growth forest and forest fragments exhibited highest predation rates, which decreased with land-use intensity. Overall, predation was higher in unburned land-use types t"&amp;"han in more open, previously burned habitats and rice paddies. High stem and vegetation densities were positively related to predation rates, but decreased with land-use intensity. High forest cover in the surrounding landscape led to higher predation rat"&amp;"es, while local structural parameters remained more important. The predator community was arthropod-dominated across all land-use types with ants responsible for between 33% and 69% of all predation events. Overall predator composition in old-growth and f"&amp;"orest fragments differed from all other land-use types. Predation by Gryllacrididae (Orthoptera) was lower in all land-use types, including forest-derived vanilla, than in old-growth forest and forest fragments, where they were important contributors to t"&amp;"otal predation. Vertebrate predation was low throughout. Synthesis and applications. Forested habitats feature higher predation rates and different predator compositions than other land-use systems. Maintaining or restoring tree- and understorey-rich vani"&amp;"lla agroforestry represents a viable tool in landscape conservation programmes as it has the potential to contribute to the conservation of predation as an important ecosystem function in both forest- and fallow-derived agroforests. However, vanilla agrof"&amp;"orestry has limited value in conserving forest-specialized predator communities. While the establishment of tree-rich agroforests on former fallow land is favourable for conservation ecosystem functioning, further forest transformation should be avoided.")</f>
        <v>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v>
      </c>
      <c r="C37" s="24" t="str">
        <f>IFERROR(__xludf.DUMMYFUNCTION("""COMPUTED_VALUE"""),"10.1111/1365-2664.13766")</f>
        <v>10.1111/1365-2664.13766</v>
      </c>
      <c r="D37" s="24" t="str">
        <f>IFERROR(__xludf.DUMMYFUNCTION("""COMPUTED_VALUE"""),"Keck et al")</f>
        <v>Keck et al</v>
      </c>
      <c r="E37" s="24" t="str">
        <f>IFERROR(__xludf.DUMMYFUNCTION("""COMPUTED_VALUE"""),"WOS:000579736300001")</f>
        <v>WOS:000579736300001</v>
      </c>
      <c r="F37" s="24" t="str">
        <f>IFERROR(__xludf.DUMMYFUNCTION("""COMPUTED_VALUE"""),"[""ELIGIBLE""]")</f>
        <v>["ELIGIBLE"]</v>
      </c>
    </row>
    <row r="38">
      <c r="A38" s="24" t="str">
        <f>IFERROR(__xludf.DUMMYFUNCTION("""COMPUTED_VALUE"""),"Habitat fragmentation is associated with dietary shifts and microbiota variability in common vampire bats")</f>
        <v>Habitat fragmentation is associated with dietary shifts and microbiota variability in common vampire bats</v>
      </c>
      <c r="B38" s="24" t="str">
        <f>IFERROR(__xludf.DUMMYFUNCTION("""COMPUTED_VALUE"""),"Host ecological factors and external environmental factors are known to influence the structure of gut microbial communities, but few studies have examined the impacts of environmental changes on microbiotas in free-ranging animals. Rapid land-use change "&amp;"has the potential to shift gut microbial communities in wildlife through exposure to novel bacteria and/or by changing the availability or quality of local food resources. The consequences of such changes to host health and fitness remain unknown and may "&amp;"have important implications for pathogen spillover between humans and wildlife. To better understand the consequences of land-use change on wildlife microbiotas, we analyzed long-term dietary trends, gut microbiota composition, and innate immune function "&amp;"in common vampire bats (Desmodus rotundus) in two nearby sites in Belize that vary in landscape structure. We found that vampire bats living in a small forest fragment had more homogenous diets indicative of feeding on livestock and shifts in microbiota h"&amp;"eterogeneity, but not overall composition, compared to those living in an intact forest reserve. We also found that irrespective of sampling site, vampire bats which consumed relatively more livestock showed shifts in some core bacteria compared with vamp"&amp;"ire bats which consumed relatively less livestock. The relative abundance of some core microbiota members was associated with innate immune function, suggesting that future research should consider the role of the host microbiota in immune defense and its"&amp;" relationship to zoonotic infection dynamics. We suggest that subsequent homogenization of diet and habitat loss through livestock rearing in the Neotropics may lead to disruption to the microbiota that could have downstream impacts on host immunity and c"&amp;"ross-species pathogen transmission.")</f>
        <v>Host ecological factors and external environmental factors are known to influence the structure of gut microbial communities, but few studies have examined the impacts of environmental changes on microbiotas in free-ranging animals. Rapid land-use change has the potential to shift gut microbial communities in wildlife through exposure to novel bacteria and/or by changing the availability or quality of local food resources. The consequences of such changes to host health and fitness remain unknown and may have important implications for pathogen spillover between humans and wildlife. To better understand the consequences of land-use change on wildlife microbiotas, we analyzed long-term dietary trends, gut microbiota composition, and innate immune function in common vampire bats (Desmodus rotundus) in two nearby sites in Belize that vary in landscape structure. We found that vampire bats living in a small forest fragment had more homogenous diets indicative of feeding on livestock and shifts in microbiota heterogeneity, but not overall composition, compared to those living in an intact forest reserve. We also found that irrespective of sampling site, vampire bats which consumed relatively more livestock showed shifts in some core bacteria compared with vampire bats which consumed relatively less livestock. The relative abundance of some core microbiota members was associated with innate immune function, suggesting that future research should consider the role of the host microbiota in immune defense and its relationship to zoonotic infection dynamics. We suggest that subsequent homogenization of diet and habitat loss through livestock rearing in the Neotropics may lead to disruption to the microbiota that could have downstream impacts on host immunity and cross-species pathogen transmission.</v>
      </c>
      <c r="C38" s="24" t="str">
        <f>IFERROR(__xludf.DUMMYFUNCTION("""COMPUTED_VALUE"""),"10.1002/ece3.5228")</f>
        <v>10.1002/ece3.5228</v>
      </c>
      <c r="D38" s="24" t="str">
        <f>IFERROR(__xludf.DUMMYFUNCTION("""COMPUTED_VALUE"""),"Keck et al")</f>
        <v>Keck et al</v>
      </c>
      <c r="E38" s="24" t="str">
        <f>IFERROR(__xludf.DUMMYFUNCTION("""COMPUTED_VALUE"""),"WOS:000472622400031")</f>
        <v>WOS:000472622400031</v>
      </c>
      <c r="F38" s="24" t="str">
        <f>IFERROR(__xludf.DUMMYFUNCTION("""COMPUTED_VALUE"""),"[""ELIGIBLE""]")</f>
        <v>["ELIGIBLE"]</v>
      </c>
    </row>
    <row r="39">
      <c r="A39" s="24" t="str">
        <f>IFERROR(__xludf.DUMMYFUNCTION("""COMPUTED_VALUE"""),"Habitat attribute similarities reduce impacts of land-use conversion on seed removal")</f>
        <v>Habitat attribute similarities reduce impacts of land-use conversion on seed removal</v>
      </c>
      <c r="B39" s="24" t="str">
        <f>IFERROR(__xludf.DUMMYFUNCTION("""COMPUTED_VALUE"""),"Changes in land use strongly influence habitat attributes (e.g., herbaceous ground cover and tree richness) and can consequently affect ecological functions. Most studies have focused on the response of these ecological functions to land-use changes withi"&amp;"n only a single vegetation type. These studies have often focused solely on agricultural conversion of forests, making it nearly impossible to draw general conclusions across other vegetation types or with other land-use changes (e.g., afforestation). We "&amp;"examined the consequences of agricultural conversion for seed removal by ants in native grassland, savanna, and savanna-forest habitats that had been transformed to planted pastures (Brachiaria decumbens) and tree plantations (Eucalyptus spp.) and explore"&amp;"d if changes in seed removal were correlated with differences in habitat attributes between habitat types. We found that land-use changes affected seed removal across the tree cover gradient and that the magnitude of impact was influenced by similarity in"&amp;" habitat attributes between native and converted habitats, being greater where there was afforestation (Eucalyptus spp in grassland and savanna). Herbaceous ground cover, soil hardness, and tree richness were the most important habitat attributes that cor"&amp;"related with differences in seed removal. Our results reveal that the magnitude of impact of land-use changes on seed removal varies depending on native vegetation type and is associated with the type of habitat attribute change. Our findings have implica"&amp;"tions for biodiversity in tropical grassy systems: afforestation can have a greater detrimental impact on ecological function than tree loss.")</f>
        <v>Changes in land use strongly influence habitat attributes (e.g., herbaceous ground cover and tree richness) and can consequently affect ecological functions. Most studies have focused on the response of these ecological functions to land-use changes within only a single vegetation type. These studies have often focused solely on agricultural conversion of forests, making it nearly impossible to draw general conclusions across other vegetation types or with other land-use changes (e.g., afforestation). We examined the consequences of agricultural conversion for seed removal by ants in native grassland, savanna, and savanna-forest habitats that had been transformed to planted pastures (Brachiaria decumbens) and tree plantations (Eucalyptus spp.) and explored if changes in seed removal were correlated with differences in habitat attributes between habitat types. We found that land-use changes affected seed removal across the tree cover gradient and that the magnitude of impact was influenced by similarity in habitat attributes between native and converted habitats, being greater where there was afforestation (Eucalyptus spp in grassland and savanna). Herbaceous ground cover, soil hardness, and tree richness were the most important habitat attributes that correlated with differences in seed removal. Our results reveal that the magnitude of impact of land-use changes on seed removal varies depending on native vegetation type and is associated with the type of habitat attribute change. Our findings have implications for biodiversity in tropical grassy systems: afforestation can have a greater detrimental impact on ecological function than tree loss.</v>
      </c>
      <c r="C39" s="24" t="str">
        <f>IFERROR(__xludf.DUMMYFUNCTION("""COMPUTED_VALUE"""),"10.1111/btp.12506")</f>
        <v>10.1111/btp.12506</v>
      </c>
      <c r="D39" s="24" t="str">
        <f>IFERROR(__xludf.DUMMYFUNCTION("""COMPUTED_VALUE"""),"Keck et al")</f>
        <v>Keck et al</v>
      </c>
      <c r="E39" s="24" t="str">
        <f>IFERROR(__xludf.DUMMYFUNCTION("""COMPUTED_VALUE"""),"WOS:000419881900004")</f>
        <v>WOS:000419881900004</v>
      </c>
      <c r="F39" s="24" t="str">
        <f>IFERROR(__xludf.DUMMYFUNCTION("""COMPUTED_VALUE"""),"[""ELIGIBLE""]")</f>
        <v>["ELIGIBLE"]</v>
      </c>
    </row>
    <row r="40">
      <c r="A40" s="24" t="str">
        <f>IFERROR(__xludf.DUMMYFUNCTION("""COMPUTED_VALUE"""),"A decade of irrigation transforms the soil microbiome of a semi-arid pine forest")</f>
        <v>A decade of irrigation transforms the soil microbiome of a semi-arid pine forest</v>
      </c>
      <c r="B40" s="24" t="str">
        <f>IFERROR(__xludf.DUMMYFUNCTION("""COMPUTED_VALUE"""),"The impact of climate change on the soil microbiome potentially alters the biogeochemical cycle of terrestrial ecosystems. In semi-arid environments, water availability is a major constraint on biogeochemical cycles due to the combination of high summer t"&amp;"emperatures and low rainfall. Here, we explored how 10 years of irrigation of a water-limited pine forest in the central European Alps altered the soil microbiome and associated ecosystem functioning. A decade of irrigation stimulated tree growth, resulti"&amp;"ng in higher crown cover, larger yearly increments of tree biomass, increased litter fall and greater root biomass. Greater amounts of plant-derived inputs associated with increased primary production in the irrigated forest stands stimulated soil microbi"&amp;"al activity coupled with pronounced shifts in the microbiome from largely oligotrophic to more copiotrophic lifestyles. Microbial groups benefitting from increased resource availabilities (litter, rhizodeposits) thrived under irrigation, leading to enhanc"&amp;"ed soil organic matter mineralization and carbon respired from irrigated soils. This unique long-term study provides new insights into the impact of precipitation changes on the soil microbiome and associated ecosystem functioning in a water-limited pine "&amp;"forest ecosystem and improves our understanding of the persistency of long-term soil carbon stocks in a changing climate.")</f>
        <v>The impact of climate change on the soil microbiome potentially alters the biogeochemical cycle of terrestrial ecosystems. In semi-arid environments, water availability is a major constraint on biogeochemical cycles due to the combination of high summer temperatures and low rainfall. Here, we explored how 10 years of irrigation of a water-limited pine forest in the central European Alps altered the soil microbiome and associated ecosystem functioning. A decade of irrigation stimulated tree growth, resulting in higher crown cover, larger yearly increments of tree biomass, increased litter fall and greater root biomass. Greater amounts of plant-derived inputs associated with increased primary production in the irrigated forest stands stimulated soil microbial activity coupled with pronounced shifts in the microbiome from largely oligotrophic to more copiotrophic lifestyles. Microbial groups benefitting from increased resource availabilities (litter, rhizodeposits) thrived under irrigation, leading to enhanced soil organic matter mineralization and carbon respired from irrigated soils. This unique long-term study provides new insights into the impact of precipitation changes on the soil microbiome and associated ecosystem functioning in a water-limited pine forest ecosystem and improves our understanding of the persistency of long-term soil carbon stocks in a changing climate.</v>
      </c>
      <c r="C40" s="24" t="str">
        <f>IFERROR(__xludf.DUMMYFUNCTION("""COMPUTED_VALUE"""),"10.1111/mec.13995")</f>
        <v>10.1111/mec.13995</v>
      </c>
      <c r="D40" s="24" t="str">
        <f>IFERROR(__xludf.DUMMYFUNCTION("""COMPUTED_VALUE"""),"Keck et al")</f>
        <v>Keck et al</v>
      </c>
      <c r="E40" s="24" t="str">
        <f>IFERROR(__xludf.DUMMYFUNCTION("""COMPUTED_VALUE"""),"WOS:000394999200018")</f>
        <v>WOS:000394999200018</v>
      </c>
      <c r="F40" s="24" t="str">
        <f>IFERROR(__xludf.DUMMYFUNCTION("""COMPUTED_VALUE"""),"[""ELIGIBLE""]")</f>
        <v>["ELIGIBLE"]</v>
      </c>
    </row>
    <row r="41">
      <c r="A41" s="24" t="str">
        <f>IFERROR(__xludf.DUMMYFUNCTION("""COMPUTED_VALUE"""),"Annual temperature variation influences the vulnerability of montane bird communities to land-use change")</f>
        <v>Annual temperature variation influences the vulnerability of montane bird communities to land-use change</v>
      </c>
      <c r="B41" s="24" t="str">
        <f>IFERROR(__xludf.DUMMYFUNCTION("""COMPUTED_VALUE"""),"Understanding how and why species respond to land-use change is one of the central challenges in conservation biology, yet the causes of variation in the responses of species to land-use change remain unclear. We tested whether adaptation to different abi"&amp;"otic environments influenced the vulnerability of bird communities to agricultural expansion in the Himalayan mountain range, which exhibits a strong east-west gradient in annual temperature variation. We did so by surveying bird communities in forest and"&amp;" agriculture at opposite ends of that gradient. We contrasted metrics of species richness, diversity, community composition and forest dependency across land-use types and regions, and tested whether species' thermal sensitivity influenced their response "&amp;"to the replacement of forest with agriculture. Agricultural land in the relatively aseasonal east harboured significantly fewer bird species than did forests, a pattern that is starkly reversed in the highly seasonal west. For species common to both regio"&amp;"ns, eastern populations used forest similar to 35% more than did western populations. While western species were less constrained by temperature than eastern species, western species with narrow thermal tolerances were also more forest dependent. Selectio"&amp;"n across a stark environmental gradient on a common species pool appears to have altered the vulnerability of Himalayan birds to forest loss, with communities in the relatively aseasonal east much more sensitive to forest conversion than those in the west"&amp;". Adaptation to local environmental conditions appears to mediate species' responses to land use change, with thermal specialists more vulnerable to forest loss than species with greater thermal tolerances. Species' responses to global change may differ p"&amp;"redictably along abiotic gradients even within a single region or biodiversity hotspot, and such variation must be addressed in conservation planning.")</f>
        <v>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v>
      </c>
      <c r="C41" s="24" t="str">
        <f>IFERROR(__xludf.DUMMYFUNCTION("""COMPUTED_VALUE"""),"10.1111/ecog.04611")</f>
        <v>10.1111/ecog.04611</v>
      </c>
      <c r="D41" s="24" t="str">
        <f>IFERROR(__xludf.DUMMYFUNCTION("""COMPUTED_VALUE"""),"Keck et al")</f>
        <v>Keck et al</v>
      </c>
      <c r="E41" s="24" t="str">
        <f>IFERROR(__xludf.DUMMYFUNCTION("""COMPUTED_VALUE"""),"WOS:000488801500001")</f>
        <v>WOS:000488801500001</v>
      </c>
      <c r="F41" s="24" t="str">
        <f>IFERROR(__xludf.DUMMYFUNCTION("""COMPUTED_VALUE"""),"[""ELIGIBLE""]")</f>
        <v>["ELIGIBLE"]</v>
      </c>
    </row>
    <row r="42">
      <c r="A42" s="24" t="str">
        <f>IFERROR(__xludf.DUMMYFUNCTION("""COMPUTED_VALUE"""),"Epigaeic ant diversity and distribution in the Sandstone Sourveld in KwaZulu-Natal, South Africa")</f>
        <v>Epigaeic ant diversity and distribution in the Sandstone Sourveld in KwaZulu-Natal, South Africa</v>
      </c>
      <c r="B42" s="24" t="str">
        <f>IFERROR(__xludf.DUMMYFUNCTION("""COMPUTED_VALUE"""),"Ants are sensitive to habitat change and may be affected by disturbances, such as alien plant invasion. Alien plant invasion is associated with negative effects on the functioning of ecosystems and may have adverse impacts on biodiversity. The aim of this"&amp;" study was to determine the diversity of ground-dwelling ants in Tanglewood and Giba Gorge Reserves in KwaZulu-Natal Province, South Africa. Ants were sampled in the wet and dry seasons. Pitfall trap sampling was carried out in an intact grassland, forest"&amp;" and a disturbed grassland. We collected 360 samples resulting in a total of 2,577 occurrences comprising of 54 species. We found that diversity of ants in the two sites was influenced by vegetation type. The intact grassland in the two reserves had great"&amp;"er diversity (40 +/- 4.45) of ants compared with forest (22 +/- 4.86) and disturbed grassland (27 +/- 1.15); however, the disturbed grassland supported higher ant occurrences (50.03 +/- 31.6). Opportunists represented the most diverse functional group wit"&amp;"h 17 species followed by specialist predators with 13 species and generalised Myrmicinae with 10 species. These results suggest that grassland disturbance by alien plant invasion provides suitable environmental conditions that may increase ant occurrences"&amp;" but decrease ant diversity.")</f>
        <v>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v>
      </c>
      <c r="C42" s="24" t="str">
        <f>IFERROR(__xludf.DUMMYFUNCTION("""COMPUTED_VALUE"""),"10.1111/aje.12615")</f>
        <v>10.1111/aje.12615</v>
      </c>
      <c r="D42" s="24" t="str">
        <f>IFERROR(__xludf.DUMMYFUNCTION("""COMPUTED_VALUE"""),"Keck et al")</f>
        <v>Keck et al</v>
      </c>
      <c r="E42" s="24" t="str">
        <f>IFERROR(__xludf.DUMMYFUNCTION("""COMPUTED_VALUE"""),"WOS:000480296300011")</f>
        <v>WOS:000480296300011</v>
      </c>
      <c r="F42" s="24" t="str">
        <f>IFERROR(__xludf.DUMMYFUNCTION("""COMPUTED_VALUE"""),"[""ELIGIBLE""]")</f>
        <v>["ELIGIBLE"]</v>
      </c>
    </row>
    <row r="43">
      <c r="A43" s="24" t="str">
        <f>IFERROR(__xludf.DUMMYFUNCTION("""COMPUTED_VALUE"""),"Severely degraded rangeland: Implications for plant diversity from a case study in Succulent Karoo, South Africa")</f>
        <v>Severely degraded rangeland: Implications for plant diversity from a case study in Succulent Karoo, South Africa</v>
      </c>
      <c r="B43" s="24" t="str">
        <f>IFERROR(__xludf.DUMMYFUNCTION("""COMPUTED_VALUE"""),"This study aimed to quantify and understand the impact of severe land degradation on plant diversity in part of the Succulent Karoo. Although total number of species declined with heavy grazing, greater evenness resulted in an increase in species diversit"&amp;"y. Annuals and geophytes increased while protective nurse plants were decimated and their dependent beneficiary plant species consequently became locally extinct with heavy grazing. The rich biological soil crust dominated by mosses and liverworts with li"&amp;"ght grazing gave way to brittle physical-chemical or cyanobacterial crusts after heavy grazing. Although heavy grazing can result in extreme levels of degradation in the context of agricultural rangeland use, the implications for plant diversity per se ne"&amp;"ed not be as severe. There appear to be disturbance-dependent indigenous species which may become locally extinct under good rangeland conditions. Our results support the notion of two different species pools, a grazing resistant pool and a grazing benefi"&amp;"ciary pool, where changes in grazing intensity can cause substantial changes in composition and some local extinction of species with little or sometimes even positive change in diversity. Beta diversity across the disturbance contrast substantially raise"&amp;"d the gamma diversity and hence landscape species diversity. (C) 2009 Elsevier Ltd. All rights reserved.")</f>
        <v>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v>
      </c>
      <c r="C43" s="24" t="str">
        <f>IFERROR(__xludf.DUMMYFUNCTION("""COMPUTED_VALUE"""),"10.1016/j.jaridenv.2009.10.013")</f>
        <v>10.1016/j.jaridenv.2009.10.013</v>
      </c>
      <c r="D43" s="24" t="str">
        <f>IFERROR(__xludf.DUMMYFUNCTION("""COMPUTED_VALUE"""),"Keck et al")</f>
        <v>Keck et al</v>
      </c>
      <c r="E43" s="24" t="str">
        <f>IFERROR(__xludf.DUMMYFUNCTION("""COMPUTED_VALUE"""),"WOS:000276652700010")</f>
        <v>WOS:000276652700010</v>
      </c>
      <c r="F43" s="24" t="str">
        <f>IFERROR(__xludf.DUMMYFUNCTION("""COMPUTED_VALUE"""),"[""ELIGIBLE""]")</f>
        <v>["ELIGIBLE"]</v>
      </c>
    </row>
    <row r="44">
      <c r="A44" s="24" t="str">
        <f>IFERROR(__xludf.DUMMYFUNCTION("""COMPUTED_VALUE"""),"Temperature and surface runoff affect the community of periphytic diatoms and have distinct effects on functional groups: evidence of a mesocosms experiment")</f>
        <v>Temperature and surface runoff affect the community of periphytic diatoms and have distinct effects on functional groups: evidence of a mesocosms experiment</v>
      </c>
      <c r="B44" s="24" t="str">
        <f>IFERROR(__xludf.DUMMYFUNCTION("""COMPUTED_VALUE"""),"In response to climate change it is expected an increase in temperature and precipitation in subtropical regions of South America. Precipitation increases surface runoff, which leads to an increased input of nutrients and suspended solids in freshwater ec"&amp;"osystems, resulting in changes in turbidity and water color. We analyzed the effects of increased temperature and surface runoff (simulated by soil addition) on freshwater periphytic diatom communities through a bi-factorial (temperature: ambient and incr"&amp;"eased in 2.5 degrees C; runoff: present and absent) experiment, simulating lentic waters in mesocosms of polyethylene. Diatom species richness was reduced by increased temperature. Further, runoff reduced species richness of high-profile and motile diatom"&amp;"s, while the interaction between temperature and runoff explained differences in relative abundances of the high-profile and planktonic (occurring occasionally entangled in the periphyton matrix) functional groups. The low-profile group was positively aff"&amp;"ected by soil addition. Temperature and runoff also affected the composition of all functional groups (low-profile, high-profile, motile, and planktonic diatoms). These results indicated different responses of diatom functional groups to temperature incre"&amp;"ase and surface runoff, showing the importance of considering ecological differences among functional groups to evaluate the possible consequences of climate change.")</f>
        <v>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v>
      </c>
      <c r="C44" s="24" t="str">
        <f>IFERROR(__xludf.DUMMYFUNCTION("""COMPUTED_VALUE"""),"10.1007/s10750-019-03992-6")</f>
        <v>10.1007/s10750-019-03992-6</v>
      </c>
      <c r="D44" s="24" t="str">
        <f>IFERROR(__xludf.DUMMYFUNCTION("""COMPUTED_VALUE"""),"Keck et al")</f>
        <v>Keck et al</v>
      </c>
      <c r="E44" s="24" t="str">
        <f>IFERROR(__xludf.DUMMYFUNCTION("""COMPUTED_VALUE"""),"WOS:000476499300003")</f>
        <v>WOS:000476499300003</v>
      </c>
      <c r="F44" s="24" t="str">
        <f>IFERROR(__xludf.DUMMYFUNCTION("""COMPUTED_VALUE"""),"[""ELIGIBLE""]")</f>
        <v>["ELIGIBLE"]</v>
      </c>
    </row>
    <row r="45">
      <c r="A45" s="24" t="str">
        <f>IFERROR(__xludf.DUMMYFUNCTION("""COMPUTED_VALUE"""),"Tropical land use drives endemic versus exotic ant communities in a global biodiversity hotspot")</f>
        <v>Tropical land use drives endemic versus exotic ant communities in a global biodiversity hotspot</v>
      </c>
      <c r="B45" s="24" t="str">
        <f>IFERROR(__xludf.DUMMYFUNCTION("""COMPUTED_VALUE"""),"Understanding how land-use change affects biodiversity is a fundamental step to develop effective conservation strategies in human-modified tropical landscapes. Here, we analyzed how land-use change through tropical small-scale agriculture affects endemic"&amp;", exotic, and non-endemic native ant communities, focusing on vanilla landscapes in north-eastern Madagascar, a global biodiversity hotspot. First, we compared ant species richness and species composition across seven land-use types: old-growth forest, fo"&amp;"rest fragment, forest-derived vanilla agroforest, fallow-derived vanilla agroforest, woody fallow, herbaceous fallow, and rice paddy. Second, we assessed how environmental factors drive ant species richness in the agricultural matrix to identify managemen"&amp;"t options that promote endemic and non-endemic native while controlling exotic ant species. We found that old-growth forest, forest fragment, and forest-derived vanilla agroforest supported the highest endemic ant species richness. Exotic ant species rich"&amp;"ness, by contrast, was lowest in old-growth forest but highest in herbaceous fallows, woody fallows, and rice paddy. Rice paddy had the lowest non-endemic native ant species richness. Ant species composition differed among land-use types, highlighting the"&amp;" uniqueness of old-growth forest in harboring endemic ant species which are more sensitive to disturbance. In the agricultural matrix, higher canopy closure and landscape forest cover were associated with an increase of endemic ant species richness but a "&amp;"decrease of exotic ant species richness. We conclude that preserving remnant forest fragments and promoting vanilla agroforests with a greater canopy closure in the agricultural matrix are important management strategies to complement the role of old-grow"&amp;"th forests for endemic ant conservation in north-eastern Madagascar.")</f>
        <v>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v>
      </c>
      <c r="C45" s="24" t="str">
        <f>IFERROR(__xludf.DUMMYFUNCTION("""COMPUTED_VALUE"""),"10.1007/s10531-021-02314-4")</f>
        <v>10.1007/s10531-021-02314-4</v>
      </c>
      <c r="D45" s="24" t="str">
        <f>IFERROR(__xludf.DUMMYFUNCTION("""COMPUTED_VALUE"""),"Keck et al")</f>
        <v>Keck et al</v>
      </c>
      <c r="E45" s="24" t="str">
        <f>IFERROR(__xludf.DUMMYFUNCTION("""COMPUTED_VALUE"""),"WOS:000709646600001")</f>
        <v>WOS:000709646600001</v>
      </c>
      <c r="F45" s="24" t="str">
        <f>IFERROR(__xludf.DUMMYFUNCTION("""COMPUTED_VALUE"""),"[""ELIGIBLE""]")</f>
        <v>["ELIGIBLE"]</v>
      </c>
    </row>
    <row r="46">
      <c r="A46" s="24" t="str">
        <f>IFERROR(__xludf.DUMMYFUNCTION("""COMPUTED_VALUE"""),"Logged peat swamp forest supports greater macrofungal biodiversity than large-scale oil palm plantations and smallholdings")</f>
        <v>Logged peat swamp forest supports greater macrofungal biodiversity than large-scale oil palm plantations and smallholdings</v>
      </c>
      <c r="B46" s="24" t="str">
        <f>IFERROR(__xludf.DUMMYFUNCTION("""COMPUTED_VALUE"""),"Intensive land expansion of commercial oil palm agricultural lands results in reducing the size of peat swamp forests, particularly in Southeast Asia. The effect of this land conversion on macrofungal biodiversity is, however, understudied. We quantified "&amp;"macrofungal biodiversity by identifying mushroom sporocarps throughout four different habitats; logged peat swamp forest, large-scale oil palm plantation, monoculture, and polyculture smallholdings. We recorded a total of 757 clusters of macrofungi belong"&amp;"ing to 127 morphospecies and found that substrates forgrowing macrofungi were abundant in peat swamp forest; hence, morphospecies richness and macrofungal clusters were significantly greater in logged peat swamp forest than converted oil palm agriculture "&amp;"lands. Environmental factors that influence macrofungi in logged peat swamp forests such as air temperature, humidity, wind speed, soil pH, and soil moisture were different from those in oil palm plantations and smallholdings. We conclude that peat swamp "&amp;"forests are irreplaceable with respect to macrofungal biodiversity. They host much greater macrofungal biodiversity than any of the oil palm agricultural lands. It is imperative that further expansion of oil palm plantation into remaining peat swamp fores"&amp;"ts should be prohibited in palm oil producing countries. These results imply that macrofungal distribution reflects changes in microclimate between habitats and reduced macrofungal biodiversity may adversely affect decomposition in human-modified landscap"&amp;"es.")</f>
        <v>Intensive land expansion of commercial oil palm agricultural lands results in reducing the size of peat swamp forests, particularly in Southeast Asia. The effect of this land conversion on macrofungal biodiversity is, however, understudied. We quantified macrofungal biodiversity by identifying mushroom sporocarps throughout four different habitats; logged peat swamp forest, large-scale oil palm plantation, monoculture, and polyculture smallholdings. We recorded a total of 757 clusters of macrofungi belonging to 127 morphospecies and found that substrates forgrowing macrofungi were abundant in peat swamp forest; hence, morphospecies richness and macrofungal clusters were significantly greater in logged peat swamp forest than converted oil palm agriculture lands. Environmental factors that influence macrofungi in logged peat swamp forests such as air temperature, humidity, wind speed, soil pH, and soil moisture were different from those in oil palm plantations and smallholdings. We conclude that peat swamp forests are irreplaceable with respect to macrofungal biodiversity. They host much greater macrofungal biodiversity than any of the oil palm agricultural lands. It is imperative that further expansion of oil palm plantation into remaining peat swamp forests should be prohibited in palm oil producing countries. These results imply that macrofungal distribution reflects changes in microclimate between habitats and reduced macrofungal biodiversity may adversely affect decomposition in human-modified landscapes.</v>
      </c>
      <c r="C46" s="24" t="str">
        <f>IFERROR(__xludf.DUMMYFUNCTION("""COMPUTED_VALUE"""),"10.1002/ece3.3273")</f>
        <v>10.1002/ece3.3273</v>
      </c>
      <c r="D46" s="24" t="str">
        <f>IFERROR(__xludf.DUMMYFUNCTION("""COMPUTED_VALUE"""),"Keck et al")</f>
        <v>Keck et al</v>
      </c>
      <c r="E46" s="24" t="str">
        <f>IFERROR(__xludf.DUMMYFUNCTION("""COMPUTED_VALUE"""),"WOS:000411341800006")</f>
        <v>WOS:000411341800006</v>
      </c>
      <c r="F46" s="24" t="str">
        <f>IFERROR(__xludf.DUMMYFUNCTION("""COMPUTED_VALUE"""),"[""ELIGIBLE""]")</f>
        <v>["ELIGIBLE"]</v>
      </c>
    </row>
    <row r="47">
      <c r="A47" s="24" t="str">
        <f>IFERROR(__xludf.DUMMYFUNCTION("""COMPUTED_VALUE"""),"Biodiversity and land-use change: understanding the complex responses of an endemic-rich bird assemblage")</f>
        <v>Biodiversity and land-use change: understanding the complex responses of an endemic-rich bird assemblage</v>
      </c>
      <c r="B47" s="24" t="str">
        <f>IFERROR(__xludf.DUMMYFUNCTION("""COMPUTED_VALUE"""),"Aim Anthropogenic land-use change is a major driver of the current extinction crisis, but the processes through which it acts on biodiversity are complex and still poorly understood. Here, we use several biodiversity metrics to make a comprehensive assess"&amp;"ment of the response of an endemic-rich bird assemblage to land-use change. Location SAo Tome Island (SAo Tome and Principe, Africa). Methods We sampled bird assemblages in 220 point counts, stratified across three regions and four land-use types. Species"&amp;" richness was examined using accumulation curves and generalized linear mixed-effect models. Compositional and structural changes were analysed with ordination techniques. We used correlations and model selection to identify species traits and environment"&amp;"al variables associated with such changes. Results At the point level, there was a slight decrease of species richness in more intensive land uses. However, higher dissimilarities within these land uses led them to have higher overall species richness. En"&amp;"demics dominated forest environments and, although most preferred less-disturbed land uses, many persisted across all land uses. Non-endemics were virtually absent from forests, but became very abundant in the more intensive land uses. Canopy cover was th"&amp;"e best predictor of the shift between endemic and non-endemic species, and allowed identifying regional differences in the local responses of bird assemblages to land-use change. Main conclusions To better understand biodiversity, it is crucial to use sev"&amp;"eral metrics simultaneously. In SAo Tome, simply using species richness, the single most used biodiversity metric, could have been misleading as it concealed major shifts in the bird assemblage structure towards an endemism impoverished avifauna. Despite "&amp;"scarce data on land-use cover, we demonstrate how landscape context can be vital to understand biodiversity patterns and that highly forested surroundings might overestimate the strict value of more intensive land uses. Our results raise concerns about th"&amp;"e long-term persistence of endemic species restricted to islands where forested land uses are being lost.")</f>
        <v>Aim Anthropogenic land-use change is a major driver of the current extinction crisis, but the processes through which it acts on biodiversity are complex and still poorly understood. Here, we use several biodiversity metrics to make a comprehensive assessment of the response of an endemic-rich bird assemblage to land-use change. Location SAo Tome Island (SAo Tome and Principe, Africa). Methods We sampled bird assemblages in 220 point counts, stratified across three regions and four land-use types. Species richness was examined using accumulation curves and generalized linear mixed-effect models. Compositional and structural changes were analysed with ordination techniques. We used correlations and model selection to identify species traits and environmental variables associated with such changes. Results At the point level, there was a slight decrease of species richness in more intensive land uses. However, higher dissimilarities within these land uses led them to have higher overall species richness. Endemics dominated forest environments and, although most preferred less-disturbed land uses, many persisted across all land uses. Non-endemics were virtually absent from forests, but became very abundant in the more intensive land uses. Canopy cover was the best predictor of the shift between endemic and non-endemic species, and allowed identifying regional differences in the local responses of bird assemblages to land-use change. Main conclusions To better understand biodiversity, it is crucial to use several metrics simultaneously. In SAo Tome, simply using species richness, the single most used biodiversity metric, could have been misleading as it concealed major shifts in the bird assemblage structure towards an endemism impoverished avifauna. Despite scarce data on land-use cover, we demonstrate how landscape context can be vital to understand biodiversity patterns and that highly forested surroundings might overestimate the strict value of more intensive land uses. Our results raise concerns about the long-term persistence of endemic species restricted to islands where forested land uses are being lost.</v>
      </c>
      <c r="C47" s="24" t="str">
        <f>IFERROR(__xludf.DUMMYFUNCTION("""COMPUTED_VALUE"""),"10.1111/ddi.12015")</f>
        <v>10.1111/ddi.12015</v>
      </c>
      <c r="D47" s="24" t="str">
        <f>IFERROR(__xludf.DUMMYFUNCTION("""COMPUTED_VALUE"""),"Keck et al")</f>
        <v>Keck et al</v>
      </c>
      <c r="E47" s="24" t="str">
        <f>IFERROR(__xludf.DUMMYFUNCTION("""COMPUTED_VALUE"""),"WOS:000316324800005")</f>
        <v>WOS:000316324800005</v>
      </c>
      <c r="F47" s="24" t="str">
        <f>IFERROR(__xludf.DUMMYFUNCTION("""COMPUTED_VALUE"""),"[""ELIGIBLE""]")</f>
        <v>["ELIGIBLE"]</v>
      </c>
    </row>
    <row r="48">
      <c r="A48" s="24" t="str">
        <f>IFERROR(__xludf.DUMMYFUNCTION("""COMPUTED_VALUE"""),"Dry and wet periods drive rapid shifts in community assembly in an estuarine ecosystem")</f>
        <v>Dry and wet periods drive rapid shifts in community assembly in an estuarine ecosystem</v>
      </c>
      <c r="B48" s="24" t="str">
        <f>IFERROR(__xludf.DUMMYFUNCTION("""COMPUTED_VALUE"""),"The impacts of changing climate regimes on emergent processes controlling the assembly of ecological communities remain poorly understood. Human alterations to the water cycle in the western United States have resulted in greater interannual variability a"&amp;"nd more frequent and severe extremes in freshwater flow. The specific mechanisms through which such extremes and climate regime shifts may alter ecological communities have rarely been demonstrated, and baseline information on current impacts of environme"&amp;"ntal variation is widely lacking for many habitats and communities. Here, we used observations and experiments to show that interannual variation in winter salinity levels in San Francisco Bay controls the mechanisms determining sessile invertebrate commu"&amp;"nity composition during the following summer. We found consistent community changes in response to decadal-scale dry and wet extremes during a 13-year period, producing strikingly different communities. Our results match theoretical predictions of major s"&amp;"hifts in species composition in response to environmental forcing up to a threshold, beyond which we observed mass mortality and wholesale replacement of the former community. These results provide a window into potential future community changes, with en"&amp;"vironmental forcing altering communities by shifting the relative influences of the mechanisms controlling species distributions and abundances. We place these results in the context of historical and projected future environmental variation in the San Fr"&amp;"ancisco Bay Estuary.")</f>
        <v>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v>
      </c>
      <c r="C48" s="24" t="str">
        <f>IFERROR(__xludf.DUMMYFUNCTION("""COMPUTED_VALUE"""),"10.1111/gcb.13972")</f>
        <v>10.1111/gcb.13972</v>
      </c>
      <c r="D48" s="24" t="str">
        <f>IFERROR(__xludf.DUMMYFUNCTION("""COMPUTED_VALUE"""),"Keck et al")</f>
        <v>Keck et al</v>
      </c>
      <c r="E48" s="24" t="str">
        <f>IFERROR(__xludf.DUMMYFUNCTION("""COMPUTED_VALUE"""),"WOS:000423994700021")</f>
        <v>WOS:000423994700021</v>
      </c>
      <c r="F48" s="24" t="str">
        <f>IFERROR(__xludf.DUMMYFUNCTION("""COMPUTED_VALUE"""),"[""ELIGIBLE""]")</f>
        <v>["ELIGIBLE"]</v>
      </c>
    </row>
    <row r="49">
      <c r="A49" s="24" t="str">
        <f>IFERROR(__xludf.DUMMYFUNCTION("""COMPUTED_VALUE"""),"Mature non-native black-locust (Robinia pseudoacacia L.) forest does not regain the lichen diversity of the natural forest")</f>
        <v>Mature non-native black-locust (Robinia pseudoacacia L.) forest does not regain the lichen diversity of the natural forest</v>
      </c>
      <c r="B49" s="24" t="str">
        <f>IFERROR(__xludf.DUMMYFUNCTION("""COMPUTED_VALUE"""),"The responses of lichens to habitat changes caused by invasive trees are poorly understood. Invasive forest trees may impact epiphytic lichens by altering both substrate and stand conditions. Previous research has demonstrated that black locust invasion, "&amp;"associated with intensive exploitation of native oak forests, led to dramatic shifts in lichen composition. However, it is not clear if, along with stand aging, black locust formations regain forest species. The main aim of this study was to test whether "&amp;"the succession of black locust stands promotes a lichen succession leading to assemblages h mature black locust stands which are similar to those of native forests. To test the influence of macro-environmental conditions, we performed the study in two bio"&amp;"climatically different areas of Italy. The epiphytic lichen biota of native oak and chestnut stands was compared with that of black locust stands of different successional stages. In both regions we did not find a lichen succession in black locust stands "&amp;"of different age, ani mature black-locust stands did not recover the diversity of epiphytic species, which are lost by the replacement of the native forests by black locust. The absence of this pattern may be caused by factors related to the management: o"&amp;"f black locust stands, and to bark features. The different bioclimatic conditions between the two study areas may explain differences in the lichen biota of native forests, while that of black locust stands tend to be similar between regions, suggesting t"&amp;"hat forest habitat changes associated with the spread of black locust could decrease lichen diversity among bioclimatically different regions. (C) 2012 Elsevier B V. All rights reserved.")</f>
        <v>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v>
      </c>
      <c r="C49" s="24" t="str">
        <f>IFERROR(__xludf.DUMMYFUNCTION("""COMPUTED_VALUE"""),"10.1016/j.scitotenv.2012.01.051")</f>
        <v>10.1016/j.scitotenv.2012.01.051</v>
      </c>
      <c r="D49" s="24" t="str">
        <f>IFERROR(__xludf.DUMMYFUNCTION("""COMPUTED_VALUE"""),"Keck et al")</f>
        <v>Keck et al</v>
      </c>
      <c r="E49" s="24" t="str">
        <f>IFERROR(__xludf.DUMMYFUNCTION("""COMPUTED_VALUE"""),"WOS:000302832500020")</f>
        <v>WOS:000302832500020</v>
      </c>
      <c r="F49" s="24" t="str">
        <f>IFERROR(__xludf.DUMMYFUNCTION("""COMPUTED_VALUE"""),"[""ELIGIBLE""]")</f>
        <v>["ELIGIBLE"]</v>
      </c>
    </row>
    <row r="50">
      <c r="A50" s="24" t="str">
        <f>IFERROR(__xludf.DUMMYFUNCTION("""COMPUTED_VALUE"""),"Morphological traits mediate fish occurrences in oil palm-impacted tropical streams")</f>
        <v>Morphological traits mediate fish occurrences in oil palm-impacted tropical streams</v>
      </c>
      <c r="B50" s="24" t="str">
        <f>IFERROR(__xludf.DUMMYFUNCTION("""COMPUTED_VALUE"""),"Land-use change is a leading driver of biodiversity loss, especially in tropical fresh waters where the conversion of natural forest to monoculture plantations impacts freshwater fish assemblages. The environmental pathways underpinning shifts in fish ass"&amp;"emblages, however, are poorly understood, but could potentially be inferred from trait-environment relationships. We addressed this knowledge gap using eco-morphological traits to explain fish occurrences in oil palm-impacted streams of the Endau drainage"&amp;" in Peninsular Malaysia. We also investigated how traits relate to differences in environmental conditions associated with land-use change. We then integrate findings from the above to test how potential pathways of land-use driven environmental changes c"&amp;"an impact species occurrences through effects on life history, feeding habits, and mobility. Mixed-effects models show that fishes with superior (upward-facing) mouths and low body mass were more likely to occur in oil palm streams than forest streams, an"&amp;"d these traits were associated with grass-dominated riparian zones and reduced woody debris in oil palm streams, respectively. Structural equation models show that mouth positions statistically mediated the effect of riparian vegetation on fish species oc"&amp;"currences in oil palm streams. Specifically, fishes with superior mouths were more likely to feed on terrestrial invertebrates. Our analysis of easily measurable traits revealed pathways of land-use impact that are potentially more widely applicable than "&amp;"conventional taxa-based approaches. Fishes with superior mouths tended to occur in oil palm streams as they were able to more effectively exploit inputs of terrestrial invertebrates that are potentially associated with grass-dominated riparian vegetation."&amp;" Moreover, shifts in traits may suggest land-use driven changes in stream ecosystem functioning (e.g. in terms of the role of terrestrial subsidies), thereby informing targeted management actions in land-use impacted habitats (e.g. retention/restoration o"&amp;"f riparian trees).")</f>
        <v>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v>
      </c>
      <c r="C50" s="24" t="str">
        <f>IFERROR(__xludf.DUMMYFUNCTION("""COMPUTED_VALUE"""),"10.1111/fwb.13500")</f>
        <v>10.1111/fwb.13500</v>
      </c>
      <c r="D50" s="24" t="str">
        <f>IFERROR(__xludf.DUMMYFUNCTION("""COMPUTED_VALUE"""),"Keck et al")</f>
        <v>Keck et al</v>
      </c>
      <c r="E50" s="24" t="str">
        <f>IFERROR(__xludf.DUMMYFUNCTION("""COMPUTED_VALUE"""),"WOS:000533444100011")</f>
        <v>WOS:000533444100011</v>
      </c>
      <c r="F50" s="24" t="str">
        <f>IFERROR(__xludf.DUMMYFUNCTION("""COMPUTED_VALUE"""),"[""ELIGIBLE""]")</f>
        <v>["ELIGIBLE"]</v>
      </c>
    </row>
    <row r="51">
      <c r="A51" s="24" t="str">
        <f>IFERROR(__xludf.DUMMYFUNCTION("""COMPUTED_VALUE"""),"Conversion of the Amazon rainforest to agriculture results in biotic homogenization of soil bacterial communities")</f>
        <v>Conversion of the Amazon rainforest to agriculture results in biotic homogenization of soil bacterial communities</v>
      </c>
      <c r="B51" s="24" t="str">
        <f>IFERROR(__xludf.DUMMYFUNCTION("""COMPUTED_VALUE"""),"The Amazon rainforest is the Earth's largest reservoir of plant and animal diversity, and it has been subjected to especially high rates of land use change, primarily to cattle pasture. This conversion has had a strongly negative effect on biological dive"&amp;"rsity, reducing the number of plant and animal species and homogenizing communities. We report here that microbial biodiversity also responds strongly to conversion of the Amazon rainforest, but in a manner different from plants and animals. Local taxonom"&amp;"ic and phylogenetic diversity of soil bacteria increases after conversion, but communities become more similar across space. This homogenization is driven by the loss of forest soil bacteria with restricted ranges (endemics) and results in a net loss of d"&amp;"iversity. This study shows homogenization of microbial communities in response to human activities. Given that soil microbes represent the majority of biodiversity in terrestrial ecosystems and are intimately involved in ecosystem functions, we argue that"&amp;" microbial biodiversity loss should be taken into account when assessing the impact of land use change in tropical forests.")</f>
        <v>The Amazon rainforest is the Earth's largest reservoir of plant and animal diversity, and it has been subjected to especially high rates of land use change, primarily to cattle pasture. This conversion has had a strongly negative effect on biological diversity, reducing the number of plant and animal species and homogenizing communities. We report here that microbial biodiversity also responds strongly to conversion of the Amazon rainforest, but in a manner different from plants and animals. Local taxonomic and phylogenetic diversity of soil bacteria increases after conversion, but communities become more similar across space. This homogenization is driven by the loss of forest soil bacteria with restricted ranges (endemics) and results in a net loss of diversity. This study shows homogenization of microbial communities in response to human activities. Given that soil microbes represent the majority of biodiversity in terrestrial ecosystems and are intimately involved in ecosystem functions, we argue that microbial biodiversity loss should be taken into account when assessing the impact of land use change in tropical forests.</v>
      </c>
      <c r="C51" s="24" t="str">
        <f>IFERROR(__xludf.DUMMYFUNCTION("""COMPUTED_VALUE"""),"10.1073/pnas.1220608110")</f>
        <v>10.1073/pnas.1220608110</v>
      </c>
      <c r="D51" s="24" t="str">
        <f>IFERROR(__xludf.DUMMYFUNCTION("""COMPUTED_VALUE"""),"Keck et al")</f>
        <v>Keck et al</v>
      </c>
      <c r="E51" s="24" t="str">
        <f>IFERROR(__xludf.DUMMYFUNCTION("""COMPUTED_VALUE"""),"WOS:000313909100047")</f>
        <v>WOS:000313909100047</v>
      </c>
      <c r="F51" s="24" t="str">
        <f>IFERROR(__xludf.DUMMYFUNCTION("""COMPUTED_VALUE"""),"[""ELIGIBLE""]")</f>
        <v>["ELIGIBLE"]</v>
      </c>
    </row>
    <row r="52">
      <c r="A52" s="24" t="str">
        <f>IFERROR(__xludf.DUMMYFUNCTION("""COMPUTED_VALUE"""),"The effects of reed canary grass (Phalaris arundinacea L.) on wetland habitat and arthropod community composition in an urban freshwater wetland")</f>
        <v>The effects of reed canary grass (Phalaris arundinacea L.) on wetland habitat and arthropod community composition in an urban freshwater wetland</v>
      </c>
      <c r="B52" s="24" t="str">
        <f>IFERROR(__xludf.DUMMYFUNCTION("""COMPUTED_VALUE"""),"Reed canary grass (Phalaris arundinacea L.) is an aggressive invader that dominates wetlands throughout the US. We examined the effects of reed canary grass on wetland habitat, both vegetation canopy architecture and soil environment, and its impacts the "&amp;"arthropod community in an urban wetland in Portland, OR, USA. Reed canary grass dominance resulted in reduced vegetation canopy complexity through reductions in native vegetation diversity and canopy height. In addition, reed canary grass dominance signif"&amp;"icantly changed the wetland soil environment, decreasing soil organic content and increasing soil moisture. The arthropod community responded to these habitat changes, being distinct between plots dominated by reed canary grass and those dominated by nati"&amp;"ve vegetation. In addition, diversity measures were significantly lower in plots dominated by reed canary grass. Variables describing both vegetation canopy complexity and soil environment were more important predictors than relative abundance of reed can"&amp;"ary grass in multiple regression models developed for dominant arthropod taxa and community metrics. Our results suggest that the mechanism by which reed canary grass affects the wetland arthropod community is primarily indirect, through habitat changes, "&amp;"rather than by directly altering its food source.")</f>
        <v>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v>
      </c>
      <c r="C52" s="24" t="str">
        <f>IFERROR(__xludf.DUMMYFUNCTION("""COMPUTED_VALUE"""),"10.1007/s11273-016-9507-x")</f>
        <v>10.1007/s11273-016-9507-x</v>
      </c>
      <c r="D52" s="24" t="str">
        <f>IFERROR(__xludf.DUMMYFUNCTION("""COMPUTED_VALUE"""),"Keck et al")</f>
        <v>Keck et al</v>
      </c>
      <c r="E52" s="24" t="str">
        <f>IFERROR(__xludf.DUMMYFUNCTION("""COMPUTED_VALUE"""),"WOS:000398185800003")</f>
        <v>WOS:000398185800003</v>
      </c>
      <c r="F52" s="24" t="str">
        <f>IFERROR(__xludf.DUMMYFUNCTION("""COMPUTED_VALUE"""),"[""ELIGIBLE""]")</f>
        <v>["ELIGIBLE"]</v>
      </c>
    </row>
    <row r="53">
      <c r="A53" s="24" t="str">
        <f>IFERROR(__xludf.DUMMYFUNCTION("""COMPUTED_VALUE"""),"The effects of different management interventions on degraded rangelands in Iceland")</f>
        <v>The effects of different management interventions on degraded rangelands in Iceland</v>
      </c>
      <c r="B53" s="24" t="str">
        <f>IFERROR(__xludf.DUMMYFUNCTION("""COMPUTED_VALUE"""),"Loss of vegetation and soil erosion are symptoms of widespread rangeland degradation across most of the Icelandic highlands. Areas at different stages of degradation coexist as a mosaic that includes both vegetated heathlands, and exposed gravelly deserts"&amp;". Revegetation efforts have included fertilizer applications and grazing exclusion to increase plant biomass and reduce bare ground, but their effectiveness is predicted to differ depending on the stage of degradation for a certain area. In this study, we"&amp;" used a 4-year field experiment to test the predictions of a state-and-transition model for the Icelandic highlands. We measured the combined effects of grazing exclusion and factorial applications of nitrogen (N), phosphorus (P), and potassium (K) fertil"&amp;"izers, on plant biomass, species richness, amount of exposed bare ground and plant community composition in a dwarf-shrub heathland and a gravelly desert habitat. After 4 years: (1) grazing exclusion alone had no effect in either habitat; (2) fertilizers "&amp;"increased biomass in both habitats, especially in plots treated with NP or NK; (3) the combination of fertilizers and grazing exclusion produced the greatest amount of aboveground biomass, predominantly of forb and graminoid species. In the dwarf-shrub he"&amp;"ath, the increase in biomass in fertilized and fenced plots also corresponded to a loss in species richness, whereas in the gravelly desert, increased biomass reduced the amount of bare ground without reducing species richness. Our results reinforce the i"&amp;"mportance in understanding the effects of different management interventions across ecological conditions to determine the most effective revegetation approach.")</f>
        <v>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v>
      </c>
      <c r="C53" s="24" t="str">
        <f>IFERROR(__xludf.DUMMYFUNCTION("""COMPUTED_VALUE"""),"10.1002/ldr.4057")</f>
        <v>10.1002/ldr.4057</v>
      </c>
      <c r="D53" s="24" t="str">
        <f>IFERROR(__xludf.DUMMYFUNCTION("""COMPUTED_VALUE"""),"Keck et al")</f>
        <v>Keck et al</v>
      </c>
      <c r="E53" s="24" t="str">
        <f>IFERROR(__xludf.DUMMYFUNCTION("""COMPUTED_VALUE"""),"WOS:000685679300001")</f>
        <v>WOS:000685679300001</v>
      </c>
      <c r="F53" s="24" t="str">
        <f>IFERROR(__xludf.DUMMYFUNCTION("""COMPUTED_VALUE"""),"[""ELIGIBLE""]")</f>
        <v>["ELIGIBLE"]</v>
      </c>
    </row>
    <row r="54">
      <c r="A54" s="24" t="str">
        <f>IFERROR(__xludf.DUMMYFUNCTION("""COMPUTED_VALUE"""),"Cocoa agroforestry and tree diversity in relation to past land use in the Northern Ecuadorian Amazon")</f>
        <v>Cocoa agroforestry and tree diversity in relation to past land use in the Northern Ecuadorian Amazon</v>
      </c>
      <c r="B54" s="24" t="str">
        <f>IFERROR(__xludf.DUMMYFUNCTION("""COMPUTED_VALUE"""),"Shifting agriculture (SA) involving fallow intervals between crop cycles is common in tropical areas. It allows the recovery of soil fertility for subsequent crops. However, the diminishing of fallow intervals (referred here as intensification of SA) is a"&amp;" main cause of forest degradation. Agroforestry systems (AFSs) based on modification of mature forests may play an important role in buffering adverse environmental outcomes caused by short fallow intervals in SA. We investigated whether AFSs reverse the "&amp;"effect of intensification of SA in cocoa (Theobroma cacao) agrosystems and aimed to (1) characterize species diversity in cocoa agroecosystem under SA with short fallow periods; (2) predict the ecological impact of intensification of SA on floristic compo"&amp;"sition, particularly in endangered endemic species; and (3) identify whether changes in floristic composition and species diversity in agroecosystems under different fallow intervals are localized in certain strata or whether structural changes occur thro"&amp;"ughout the plant community. Our study revealed that shortened SA's fallow periods on cocoa AFSs have drastic effects on levels of diversity. Tree species assembly decreases across cocoa agroforest established in reduced fallow periods. Also, absence of fa"&amp;"llow intervals of SA affects tree conservation rates in AFSs by changing floristic composition. Nevertheless, the use of AFSs with complex arboreal structures under SA preserves and protects higher rates of native and endangered endemic species and delays"&amp;" forest degradation rates. The conservation of native species in this agricultural model may meet the requirements to reverse the cycle of land degradation and social deprivation.")</f>
        <v>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v>
      </c>
      <c r="C54" s="24" t="str">
        <f>IFERROR(__xludf.DUMMYFUNCTION("""COMPUTED_VALUE"""),"10.1007/s11056-019-09707-y")</f>
        <v>10.1007/s11056-019-09707-y</v>
      </c>
      <c r="D54" s="24" t="str">
        <f>IFERROR(__xludf.DUMMYFUNCTION("""COMPUTED_VALUE"""),"Keck et al")</f>
        <v>Keck et al</v>
      </c>
      <c r="E54" s="24" t="str">
        <f>IFERROR(__xludf.DUMMYFUNCTION("""COMPUTED_VALUE"""),"WOS:000491493800002")</f>
        <v>WOS:000491493800002</v>
      </c>
      <c r="F54" s="24" t="str">
        <f>IFERROR(__xludf.DUMMYFUNCTION("""COMPUTED_VALUE"""),"[""ELIGIBLE""]")</f>
        <v>["ELIGIBLE"]</v>
      </c>
    </row>
    <row r="55">
      <c r="A55" s="24" t="str">
        <f>IFERROR(__xludf.DUMMYFUNCTION("""COMPUTED_VALUE"""),"What land use better preserves taxonomic and functional diversity of birds in a grassland biome?")</f>
        <v>What land use better preserves taxonomic and functional diversity of birds in a grassland biome?</v>
      </c>
      <c r="B55" s="24" t="str">
        <f>IFERROR(__xludf.DUMMYFUNCTION("""COMPUTED_VALUE"""),"The Pampean grassland in South America has been almost completely transformed by human activities and is one of the biomes at the highest conservation risk. Although several land uses are developed in temperate grasslands, studies comparing their impact o"&amp;"n bird taxonomic and functional diversity are still missing. We determined what habitat type resulting from human land uses better preserves the assemblage of birds and their functional traits that occur in protected grasslands. We compared taxonomic and "&amp;"functional diversity between protected grasslands and cattle pastures, crop fields, tree plantations, and urban settlements. We surveyed birds and environmental variables in the 5 habitat types using point counts and selected 11 traits to estimate functio"&amp;"nal diversity. We performed principal component analysis to explore environmental differences between habitat types, ANOVA to compare taxonomic and functional diversity, nonmetric multidimensional scaling to explore relationships between habitat type char"&amp;"acteristics and species traits, and similarity percentage analysis to find the bird functional traits that contributed the most to differentiate habitat types. Bird composition and functional diversity in cattle pastures was the most similar to that of pr"&amp;"otected areas but showed no significant differences with crop fields. In cattle pastures, crop fields, and protected areas, the most frequent species traits were related to narrow ranges and high vulnerability to extinction, whereas urban settlements incl"&amp;"uded traits covering wide ranges or related to impervious areas. When compared with protected areas, land conversion into cattle pastures and some types of agricultural lands resulted in a lower loss of bird species and functional diversity than conversio"&amp;"n into tree plantations or urbanized areas. Approximately 35% of species found in protected areas were not recorded in any of the other habitat types. Therefore, we emphasize the need to protect the native habitat. Our findings help with land use planning"&amp;" in the Pampas and other temperate grasslands.")</f>
        <v>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v>
      </c>
      <c r="C55" s="24" t="str">
        <f>IFERROR(__xludf.DUMMYFUNCTION("""COMPUTED_VALUE"""),"10.5751/ACE-01293-140101")</f>
        <v>10.5751/ACE-01293-140101</v>
      </c>
      <c r="D55" s="24" t="str">
        <f>IFERROR(__xludf.DUMMYFUNCTION("""COMPUTED_VALUE"""),"Keck et al")</f>
        <v>Keck et al</v>
      </c>
      <c r="E55" s="24" t="str">
        <f>IFERROR(__xludf.DUMMYFUNCTION("""COMPUTED_VALUE"""),"WOS:000478087900001")</f>
        <v>WOS:000478087900001</v>
      </c>
      <c r="F55" s="24" t="str">
        <f>IFERROR(__xludf.DUMMYFUNCTION("""COMPUTED_VALUE"""),"[""ELIGIBLE""]")</f>
        <v>["ELIGIBLE"]</v>
      </c>
    </row>
    <row r="56">
      <c r="A56" s="24" t="str">
        <f>IFERROR(__xludf.DUMMYFUNCTION("""COMPUTED_VALUE"""),"Differentiating microbial taxonomic and functional responses to physical disturbance in bulk and rhizosphere soils")</f>
        <v>Differentiating microbial taxonomic and functional responses to physical disturbance in bulk and rhizosphere soils</v>
      </c>
      <c r="B56" s="24" t="str">
        <f>IFERROR(__xludf.DUMMYFUNCTION("""COMPUTED_VALUE"""),"The rhizosphere is an important hotspot of soil microbial activity, diversity, and functions. Despite being a microbial hotspot, studies have seldom addressed the differences in the response of the microbial community in bulk and rhizosphere soils to dome"&amp;"stic animal disturbance. Here, we investigated grassland disturbance by physical uprooting behaviours of Tibetan pigs (Sus scrofa domesticus) on bacterial taxonomy and functions in three soil types: Histosols, Fluvisols, and Gleysols which are dominant on"&amp;" the Qinghai-Tibet Plateau. We found that after 8 years of continued disturbance, compared to the undisturbed sites, disturbance consistently reduced rhizosphere bacterial alpha diversity (by 34.6% on average), restructured taxonomic communities, and weak"&amp;"ened their carbon substrate utilization capacities in all soil types. The relative abundance of the phyla Proteobacteria, Actinobacteria, and Bacteriodetes increased, but the relative abundance of Acidobacteria, Chloroflexi, and Nitrospirae decreased in t"&amp;"he rhizosphere under disturbance. In contrast, most detected taxonomic changes in bulk soils were minor, and their changing directions were divergent among studied soil types. Compared to the undisturbed, carbon utilization potential by rhizosphere microb"&amp;"es decreased under disturbance and the decrease extent was stronger (by 30.4% on average) than that in bulk soil. The strengthened environmental filtering, imposed by the significant reduction of soil water-holding capacity and nutrient contents as well a"&amp;"s the physical destruction of soil aggregates after disturbance, provided mechanistic insight into the extensive microbial restructuring within the rhizosphere. These results may have implications for recognizing changed root-microbe interactions and ecol"&amp;"ogical processes in disturbed soils for better understanding soil ecology under intensified herding activities.")</f>
        <v>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v>
      </c>
      <c r="C56" s="24" t="str">
        <f>IFERROR(__xludf.DUMMYFUNCTION("""COMPUTED_VALUE"""),"10.1002/ldr.3679")</f>
        <v>10.1002/ldr.3679</v>
      </c>
      <c r="D56" s="24" t="str">
        <f>IFERROR(__xludf.DUMMYFUNCTION("""COMPUTED_VALUE"""),"Keck et al")</f>
        <v>Keck et al</v>
      </c>
      <c r="E56" s="24" t="str">
        <f>IFERROR(__xludf.DUMMYFUNCTION("""COMPUTED_VALUE"""),"WOS:000545377000001")</f>
        <v>WOS:000545377000001</v>
      </c>
      <c r="F56" s="24" t="str">
        <f>IFERROR(__xludf.DUMMYFUNCTION("""COMPUTED_VALUE"""),"[""ELIGIBLE""]")</f>
        <v>["ELIGIBLE"]</v>
      </c>
    </row>
    <row r="57">
      <c r="A57" s="24" t="str">
        <f>IFERROR(__xludf.DUMMYFUNCTION("""COMPUTED_VALUE"""),"Are Small Dung Beetles (Aphodiinae) useful for monitoring neotropical forests' ecological status? Lessons from a preliminary case study in the Brazilian Amazon")</f>
        <v>Are Small Dung Beetles (Aphodiinae) useful for monitoring neotropical forests' ecological status? Lessons from a preliminary case study in the Brazilian Amazon</v>
      </c>
      <c r="B57" s="24" t="str">
        <f>IFERROR(__xludf.DUMMYFUNCTION("""COMPUTED_VALUE"""),"Neotropical forests are extremely diverse ecosystems, listed within the biological hotspots of our planet. However, species from these forests are threatened by diverse anthropogenic activities. Small dung beetles (Scarabaeidae, Aphodiinae) assemblages we"&amp;"re studied within different habitats of the Brazilian Amazon. The monitored habitats encompassed the main gradients of disturbance, from pristine to highly anthropogenic situations, with the aim of supporting their use as indicators of neotropical forests"&amp;"' ecological status. Additionally, seasonal patterns and bait attractiveness were evaluated in the scope of more effective monitoring studies. Our main results demonstrate that the diversity and distribution of small dung beetles along disturbance gradien"&amp;"ts, represented by the monitored locations, is associated with particular habitats within the forest landscape. Although spatially and temporally restricted, the results of this study highlight the potential of using small dung beetles, due to their sensi"&amp;"tivity and habitat specificity, as ecological indicators for assessing the extent of disturbance in neotropical forest landscapes. We also suggest specific techniques and periods to be used in order to increase captures of small dung beetles within the di"&amp;"fferent habitats.")</f>
        <v>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v>
      </c>
      <c r="C57" s="24" t="str">
        <f>IFERROR(__xludf.DUMMYFUNCTION("""COMPUTED_VALUE"""),"10.1016/j.foreco.2018.07.005")</f>
        <v>10.1016/j.foreco.2018.07.005</v>
      </c>
      <c r="D57" s="24" t="str">
        <f>IFERROR(__xludf.DUMMYFUNCTION("""COMPUTED_VALUE"""),"Keck et al")</f>
        <v>Keck et al</v>
      </c>
      <c r="E57" s="24" t="str">
        <f>IFERROR(__xludf.DUMMYFUNCTION("""COMPUTED_VALUE"""),"WOS:000447103700012")</f>
        <v>WOS:000447103700012</v>
      </c>
      <c r="F57" s="24" t="str">
        <f>IFERROR(__xludf.DUMMYFUNCTION("""COMPUTED_VALUE"""),"[""ELIGIBLE""]")</f>
        <v>["ELIGIBLE"]</v>
      </c>
    </row>
    <row r="58">
      <c r="A58" s="24" t="str">
        <f>IFERROR(__xludf.DUMMYFUNCTION("""COMPUTED_VALUE"""),"Land use change alters functional gene diversity, composition and abundance in Amazon forest soil microbial communities")</f>
        <v>Land use change alters functional gene diversity, composition and abundance in Amazon forest soil microbial communities</v>
      </c>
      <c r="B58" s="24" t="str">
        <f>IFERROR(__xludf.DUMMYFUNCTION("""COMPUTED_VALUE"""),"Land use change in the Amazon rainforest alters the taxonomic structure of soil microbial communities, but whether it alters their functional gene composition is unknown. We used the highly parallel microarray technology GeoChip 4.0, which contains 83992 "&amp;"probes specific for genes linked nutrient cycling and other processes, to evaluate how the diversity, abundance and similarity of the targeted genes responded to forest-to-pasture conversion. We also evaluated whether these parameters were reestablished w"&amp;"ith secondary forest growth. A spatially nested scheme was employed to sample a primary forest, two pastures (6 and 38years old) and a secondary forest. Both pastures had significantly lower microbial functional genes richness and diversity when compared "&amp;"to the primary forest. Gene composition and turnover were also significantly modified with land use change. Edaphic traits associated with soil acidity, iron availability, soil texture and organic matter concentration were correlated with these gene chang"&amp;"es. Although primary and secondary forests showed similar functional gene richness and diversity, there were differences in gene composition and turnover, suggesting that community recovery was not complete in the secondary forest. Gene association analys"&amp;"is revealed that response to ecosystem conversion varied significantly across functional gene groups, with genes linked to carbon and nitrogen cycling mostly altered. This study indicates that diversity and abundance of numerous environmentally important "&amp;"genes respond to forest-to-pasture conversion and hence have the potential to affect the related processes at an ecosystem scale.")</f>
        <v>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v>
      </c>
      <c r="C58" s="24" t="str">
        <f>IFERROR(__xludf.DUMMYFUNCTION("""COMPUTED_VALUE"""),"10.1111/mec.12786")</f>
        <v>10.1111/mec.12786</v>
      </c>
      <c r="D58" s="24" t="str">
        <f>IFERROR(__xludf.DUMMYFUNCTION("""COMPUTED_VALUE"""),"Keck et al")</f>
        <v>Keck et al</v>
      </c>
      <c r="E58" s="24" t="str">
        <f>IFERROR(__xludf.DUMMYFUNCTION("""COMPUTED_VALUE"""),"WOS:000337610600009")</f>
        <v>WOS:000337610600009</v>
      </c>
      <c r="F58" s="24" t="str">
        <f>IFERROR(__xludf.DUMMYFUNCTION("""COMPUTED_VALUE"""),"[""ELIGIBLE""]")</f>
        <v>["ELIGIBLE"]</v>
      </c>
    </row>
    <row r="59">
      <c r="A59" s="24" t="str">
        <f>IFERROR(__xludf.DUMMYFUNCTION("""COMPUTED_VALUE"""),"Bird community responses to afforested eucalyptus plantations in the Argentine pampas")</f>
        <v>Bird community responses to afforested eucalyptus plantations in the Argentine pampas</v>
      </c>
      <c r="B59" s="24" t="str">
        <f>IFERROR(__xludf.DUMMYFUNCTION("""COMPUTED_VALUE"""),"Land-use change driven by human population growth and economic activity will continue to impact both natural habitats and land currently being used for food, fiber, and fuel production. The effects of this conversion on economically important ecological s"&amp;"ervices will in large part depend on how native biodiversity responds to these changes. We investigated how agriculture-related land use change influences the avian community in northeastern Argentina by examining common agricultural land uses (pasture/an"&amp;"nual crops, young and mature large-scale eucalyptus plantations, mixed-use farms with citrus, blueberry and small stands of eucalyptus) and remnant native espinal savannas. In this region, afforested eucalyptus plantations represent a new land-use change "&amp;"from the land cover of pasture with intermixed annual crops that has dominated the region. In this mosaic, we used point counts to assess how avian diversity and community structure differed between land uses. Bird species richness was lowest in older pla"&amp;"ntations and highest in the espinal savanna, with the other land uses having intermediate richness. Abundance trends followed the same pattern, with low overall abundance in the plantations, intermediate levels for pasture/annual crops, and highest abunda"&amp;"nce in the espinal. Distinct bird community assemblages were strongly associated with each land use, and between young and mature eucalyptus stands. Birds can be useful indicators for biodiversity as a whole, and the depopulated and depauperate avian comm"&amp;"unity within the eucalyptus plantations will likely lead to reduced provision of many ecosystem services in this region if the spatial extent of plantations continues to expand.")</f>
        <v>Land-use change driven by human population growth and economic activity will continue to impact both natural habitats and land currently being used for food, fiber, and fuel production. The effects of this conversion on economically important ecological services will in large part depend on how native biodiversity responds to these changes. We investigated how agriculture-related land use change influences the avian community in northeastern Argentina by examining common agricultural land uses (pasture/annual crops, young and mature large-scale eucalyptus plantations, mixed-use farms with citrus, blueberry and small stands of eucalyptus) and remnant native espinal savannas. In this region, afforested eucalyptus plantations represent a new land-use change from the land cover of pasture with intermixed annual crops that has dominated the region. In this mosaic, we used point counts to assess how avian diversity and community structure differed between land uses. Bird species richness was lowest in older plantations and highest in the espinal savanna, with the other land uses having intermediate richness. Abundance trends followed the same pattern, with low overall abundance in the plantations, intermediate levels for pasture/annual crops, and highest abundance in the espinal. Distinct bird community assemblages were strongly associated with each land use, and between young and mature eucalyptus stands. Birds can be useful indicators for biodiversity as a whole, and the depopulated and depauperate avian community within the eucalyptus plantations will likely lead to reduced provision of many ecosystem services in this region if the spatial extent of plantations continues to expand.</v>
      </c>
      <c r="C59" s="24" t="str">
        <f>IFERROR(__xludf.DUMMYFUNCTION("""COMPUTED_VALUE"""),"10.1007/s10531-016-1126-6")</f>
        <v>10.1007/s10531-016-1126-6</v>
      </c>
      <c r="D59" s="24" t="str">
        <f>IFERROR(__xludf.DUMMYFUNCTION("""COMPUTED_VALUE"""),"Keck et al")</f>
        <v>Keck et al</v>
      </c>
      <c r="E59" s="24" t="str">
        <f>IFERROR(__xludf.DUMMYFUNCTION("""COMPUTED_VALUE"""),"WOS:000415281200004")</f>
        <v>WOS:000415281200004</v>
      </c>
      <c r="F59" s="24" t="str">
        <f>IFERROR(__xludf.DUMMYFUNCTION("""COMPUTED_VALUE"""),"[""ELIGIBLE""]")</f>
        <v>["ELIGIBLE"]</v>
      </c>
    </row>
    <row r="60">
      <c r="A60" s="24" t="str">
        <f>IFERROR(__xludf.DUMMYFUNCTION("""COMPUTED_VALUE"""),"Differential responses of amphibians and reptiles to land-use change in the biodiversity hotspot of north-eastern Madagascar")</f>
        <v>Differential responses of amphibians and reptiles to land-use change in the biodiversity hotspot of north-eastern Madagascar</v>
      </c>
      <c r="B60" s="24" t="str">
        <f>IFERROR(__xludf.DUMMYFUNCTION("""COMPUTED_VALUE"""),"Large expanses of tropical rainforest have been converted into agricultural landscapes cultivated by smallholder farmers. This is also the case in north-eastern Madagascar; a region that retains significant proportions of forest cover despite slash-and-bu"&amp;"rn shifting hill rice cultivation and vanilla agroforestry expansion. The region is also a global hotspot for herpetofauna diversity, but how amphibians and reptiles are affected by land-use change remains largely unknown. Using a space-for-time study des"&amp;"ign, we compared species diversity and community composition across seven prevalent land uses: unburned (old-growth forest, forest fragment, and forest-derived vanilla agroforest) and burned (fallow-derived vanilla agroforest, woody fallow, and herbaceous"&amp;" fallow) land-use types, and rice paddy. We conducted six comprehensive, time-standardized searches across at least 10 replicates per land-use type and applied genetic barcoding to confirm species identification. We documented an exceptional diversity of "&amp;"herpetofauna (119 species; 91% endemic). Observed plot-level amphibian species richness was significantly higher in old-growth forest than in all other land-use types. Plot-level reptile species richness was significantly higher in unburned land-use types"&amp;" compared with burned land-use types. For both amphibians and reptiles, the less-disturbed land-use types showed more uneven communities and the species composition in old-growth forest differed significantly from all other land-use types. Amphibians had "&amp;"higher forest dependency (38% of species occurred exclusively in old-growth forest) than reptiles (26%). Our analyses thus revealed that the two groups respond differently to land-use change: we found less pronounced losses of reptile species richness esp"&amp;"ecially in unburned agricultural habitats, suggesting that reptiles are less susceptible to land-use change than amphibians, possibly due to their ability to cope with hotter and drier microclimates. In conclusion, our findings emphasize existing conserva"&amp;"tion opportunities - especially for reptiles - in extensive agricultural landscapes while highlighting the precarious situation of amphibians in disappearing old-growth forests.")</f>
        <v>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v>
      </c>
      <c r="C60" s="24" t="str">
        <f>IFERROR(__xludf.DUMMYFUNCTION("""COMPUTED_VALUE"""),"10.1111/acv.12760")</f>
        <v>10.1111/acv.12760</v>
      </c>
      <c r="D60" s="24" t="str">
        <f>IFERROR(__xludf.DUMMYFUNCTION("""COMPUTED_VALUE"""),"Keck et al")</f>
        <v>Keck et al</v>
      </c>
      <c r="E60" s="24" t="str">
        <f>IFERROR(__xludf.DUMMYFUNCTION("""COMPUTED_VALUE"""),"WOS:000729468200001")</f>
        <v>WOS:000729468200001</v>
      </c>
      <c r="F60" s="24" t="str">
        <f>IFERROR(__xludf.DUMMYFUNCTION("""COMPUTED_VALUE"""),"[""ELIGIBLE""]")</f>
        <v>["ELIGIBLE"]</v>
      </c>
    </row>
    <row r="61">
      <c r="A61" s="24" t="str">
        <f>IFERROR(__xludf.DUMMYFUNCTION("""COMPUTED_VALUE"""),"Land use changes in an afrotropical biodiversity hotspot affect stream alpha and beta diversity")</f>
        <v>Land use changes in an afrotropical biodiversity hotspot affect stream alpha and beta diversity</v>
      </c>
      <c r="B61" s="24" t="str">
        <f>IFERROR(__xludf.DUMMYFUNCTION("""COMPUTED_VALUE"""),"Land use changes such as deforestation and agricultural expansion strongly affect stream biodiversity, with several studies demonstrating negative impacts on stream alpha diversity. Effects of forest conversion on stream beta diversity are much harder to "&amp;"predict, both because empirical studies are few and because competing theories suggest opposite responses. Moreover, almost no data exist for tropical Africa, a region that is paradoxically a hotspot of both current deforestation and freshwater biodiversi"&amp;"ty. Here, we compared environmental variables, invertebrate community composition, and alpha and beta diversity of forested and deforested (agricultural) streams in and around Kibale National Park, Uganda. We found that forest conversion strongly influenc"&amp;"ed stream environmental variables and invertebrate community composition, and that agricultural land use reduced stream alpha diversity. However, among-stream beta diversity was greater across the agricultural landscape than inside the forest. Decomposing"&amp;" beta diversity into taxa replacement and richness differences demonstrated that replacement contributed a similar proportion to total beta diversity in both land use classes. Because of this greater beta diversity, the agricultural landscape had similar "&amp;"gamma diversity as the forested landscape despite its lower alpha diversity. We discuss conservation implications of these land use-associated biodiversity changes in a highly diverse yet little-studied deforestation hotspot.")</f>
        <v>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v>
      </c>
      <c r="C61" s="24" t="str">
        <f>IFERROR(__xludf.DUMMYFUNCTION("""COMPUTED_VALUE"""),"10.1002/ecs2.1355")</f>
        <v>10.1002/ecs2.1355</v>
      </c>
      <c r="D61" s="24" t="str">
        <f>IFERROR(__xludf.DUMMYFUNCTION("""COMPUTED_VALUE"""),"Keck et al")</f>
        <v>Keck et al</v>
      </c>
      <c r="E61" s="24" t="str">
        <f>IFERROR(__xludf.DUMMYFUNCTION("""COMPUTED_VALUE"""),"WOS:000382158500008")</f>
        <v>WOS:000382158500008</v>
      </c>
      <c r="F61" s="24" t="str">
        <f>IFERROR(__xludf.DUMMYFUNCTION("""COMPUTED_VALUE"""),"[""ELIGIBLE""]")</f>
        <v>["ELIGIBLE"]</v>
      </c>
    </row>
    <row r="62">
      <c r="A62" s="24" t="str">
        <f>IFERROR(__xludf.DUMMYFUNCTION("""COMPUTED_VALUE"""),"Combined effects of temperature, inorganic nutrients and organic matter on ecosystem processes in intertidal sediments")</f>
        <v>Combined effects of temperature, inorganic nutrients and organic matter on ecosystem processes in intertidal sediments</v>
      </c>
      <c r="B62" s="24" t="str">
        <f>IFERROR(__xludf.DUMMYFUNCTION("""COMPUTED_VALUE"""),"Multiple anthropogenic stressors can interact, making it difficult to predict their combined impacts on ecosystem processes. Interactions between localised stressors can be further modified by variations in environmental conditions, such as those arising "&amp;"through climate change. This study investigated the individual and combined effects of increased temperature and nutrients and organic enrichment on ecosystem processes in intertidal sedimentary systems. Three levels of nutrient addition (0, 100 and 200 g"&amp;" m(-2)) were crossed with two levels of organic matter (0 and 200 g m(-2)) under two temperature regimes (10.0 and 16.5 degrees C) in laboratory tanks. The influence of organic matter on ecosystem processes moderated by macrofauna did not vary with concen"&amp;"tration of inorganic nutrients or temperature. Oxygen consumption, which has repeatedly been shown to increase with increased temperature, was in this case significantly increased by organic matter across all levels of temperature and nutrient enrichment."&amp;" In addition, temperature affected nutrient cycling regardless of the addition of nutrients or organic matter. Understanding how the combined impacts of multiple stressors may vary depending on environmental conditions is essential for the development of "&amp;"strategies to sustainably manage ecosystems and conserve the delivery of ecosystem services. (C) 2011 Elsevier B.V. All rights reserved.")</f>
        <v>Multiple anthropogenic stressors can interact, making it difficult to predict their combined impacts on ecosystem processes. Interactions between localised stressors can be further modified by variations in environmental conditions, such as those arising through climate change. This study investigated the individual and combined effects of increased temperature and nutrients and organic enrichment on ecosystem processes in intertidal sedimentary systems. Three levels of nutrient addition (0, 100 and 200 g m(-2)) were crossed with two levels of organic matter (0 and 200 g m(-2)) under two temperature regimes (10.0 and 16.5 degrees C) in laboratory tanks. The influence of organic matter on ecosystem processes moderated by macrofauna did not vary with concentration of inorganic nutrients or temperature. Oxygen consumption, which has repeatedly been shown to increase with increased temperature, was in this case significantly increased by organic matter across all levels of temperature and nutrient enrichment. In addition, temperature affected nutrient cycling regardless of the addition of nutrients or organic matter. Understanding how the combined impacts of multiple stressors may vary depending on environmental conditions is essential for the development of strategies to sustainably manage ecosystems and conserve the delivery of ecosystem services. (C) 2011 Elsevier B.V. All rights reserved.</v>
      </c>
      <c r="C62" s="24" t="str">
        <f>IFERROR(__xludf.DUMMYFUNCTION("""COMPUTED_VALUE"""),"10.1016/j.jembe.2011.02.005")</f>
        <v>10.1016/j.jembe.2011.02.005</v>
      </c>
      <c r="D62" s="24" t="str">
        <f>IFERROR(__xludf.DUMMYFUNCTION("""COMPUTED_VALUE"""),"Keck et al")</f>
        <v>Keck et al</v>
      </c>
      <c r="E62" s="24" t="str">
        <f>IFERROR(__xludf.DUMMYFUNCTION("""COMPUTED_VALUE"""),"WOS:000291143900024")</f>
        <v>WOS:000291143900024</v>
      </c>
      <c r="F62" s="24" t="str">
        <f>IFERROR(__xludf.DUMMYFUNCTION("""COMPUTED_VALUE"""),"[""ELIGIBLE""]")</f>
        <v>["ELIGIBLE"]</v>
      </c>
    </row>
    <row r="63">
      <c r="A63" s="24" t="str">
        <f>IFERROR(__xludf.DUMMYFUNCTION("""COMPUTED_VALUE"""),"Epigeic fauna (with emphasis on ant community) response to land-use change for sugarcane expansion in Brazil")</f>
        <v>Epigeic fauna (with emphasis on ant community) response to land-use change for sugarcane expansion in Brazil</v>
      </c>
      <c r="B63" s="24" t="str">
        <f>IFERROR(__xludf.DUMMYFUNCTION("""COMPUTED_VALUE"""),"The epigeic fauna, ground surface-dwelling invertebrates that inhabit leaf-litter, acts on multiple soil processes and key ecosystem services and is threatened by global land-use change (LUC). In Brazil, LUC for sugarcane expansion over extensive pasture "&amp;"has been taking place for promoting bioenergy production; however, conventional sugarcane cultivation includes monoculture, periodic soil tillage and agrochemicals may alter the quantity and quality of crop residue inputs, soil habitats and communities of"&amp;" soil fauna. Thus, a field study at three sites in central southern Brazil was conducted to evaluate if the expansion of sugarcane cultivation affects soil epigeic fauna. In each site, we sampled epigeic fauna in areas under LUC from native vegetation to "&amp;"extensive pasture, and from that to sugarcane. The epigeic fauna was collected using pitfall traps and then quantified and classified in taxonomic groups (Order, Class, Family). In addition, as a focal organism group, ants were classified at the species l"&amp;"evel. Overall, 13 taxonomic groups were identified, in which the Formicidae family was the most abundant group (i.e., 67% of individuals), followed by Diptera (13%), Araneae (5%) and Coleoptera (4%). Land transition from native vegetation to pasture incre"&amp;"ased fauna abundance by 27% but reduced the diversity of epigeic fauna community by 43%. In contrast, sugarcane expansion over extensive pasture reduced fauna abundance (22%), did not alter the diversity of the invertebrate community at a broad taxonomic "&amp;"level, but decreased species richness of the dominant taxa (ants) by 55%. Ant individuals were classified into 37 species, allowing to verify that sugarcane cultivation over pastures decreased both the abundance and richness of ants and altered community "&amp;"composition. Ant species Ectatomma brunneum were more sensitive to LUC and, therefore, could be characterized as potential indicators of disturbed environments. We demonstrate that sugarcane expansion over pasturelands reduces the total abundance of the s"&amp;"oil epigeic fauna, and that effects on fauna diversity vary from broad to fine taxonomic resolutions. Further studies are needed to evaluate if the declines in fauna abundance and ant species richness impair specific soil functions and soil-related ecosys"&amp;"tem services.")</f>
        <v>The epigeic fauna, ground surface-dwelling invertebrates that inhabit leaf-litter, acts on multiple soil processes and key ecosystem services and is threatened by global land-use change (LUC). In Brazil, LUC for sugarcane expansion over extensive pasture has been taking place for promoting bioenergy production; however, conventional sugarcane cultivation includes monoculture, periodic soil tillage and agrochemicals may alter the quantity and quality of crop residue inputs, soil habitats and communities of soil fauna. Thus, a field study at three sites in central southern Brazil was conducted to evaluate if the expansion of sugarcane cultivation affects soil epigeic fauna. In each site, we sampled epigeic fauna in areas under LUC from native vegetation to extensive pasture, and from that to sugarcane. The epigeic fauna was collected using pitfall traps and then quantified and classified in taxonomic groups (Order, Class, Family). In addition, as a focal organism group, ants were classified at the species level. Overall, 13 taxonomic groups were identified, in which the Formicidae family was the most abundant group (i.e., 67% of individuals), followed by Diptera (13%), Araneae (5%) and Coleoptera (4%). Land transition from native vegetation to pasture increased fauna abundance by 27% but reduced the diversity of epigeic fauna community by 43%. In contrast, sugarcane expansion over extensive pasture reduced fauna abundance (22%), did not alter the diversity of the invertebrate community at a broad taxonomic level, but decreased species richness of the dominant taxa (ants) by 55%. Ant individuals were classified into 37 species, allowing to verify that sugarcane cultivation over pastures decreased both the abundance and richness of ants and altered community composition. Ant species Ectatomma brunneum were more sensitive to LUC and, therefore, could be characterized as potential indicators of disturbed environments. We demonstrate that sugarcane expansion over pasturelands reduces the total abundance of the soil epigeic fauna, and that effects on fauna diversity vary from broad to fine taxonomic resolutions. Further studies are needed to evaluate if the declines in fauna abundance and ant species richness impair specific soil functions and soil-related ecosystem services.</v>
      </c>
      <c r="C63" s="24" t="str">
        <f>IFERROR(__xludf.DUMMYFUNCTION("""COMPUTED_VALUE"""),"10.1016/j.actao.2021.103702")</f>
        <v>10.1016/j.actao.2021.103702</v>
      </c>
      <c r="D63" s="24" t="str">
        <f>IFERROR(__xludf.DUMMYFUNCTION("""COMPUTED_VALUE"""),"Keck et al")</f>
        <v>Keck et al</v>
      </c>
      <c r="E63" s="24" t="str">
        <f>IFERROR(__xludf.DUMMYFUNCTION("""COMPUTED_VALUE"""),"WOS:000641035900025")</f>
        <v>WOS:000641035900025</v>
      </c>
      <c r="F63" s="24" t="str">
        <f>IFERROR(__xludf.DUMMYFUNCTION("""COMPUTED_VALUE"""),"[""ELIGIBLE""]")</f>
        <v>["ELIGIBLE"]</v>
      </c>
    </row>
    <row r="64">
      <c r="A64" s="24" t="str">
        <f>IFERROR(__xludf.DUMMYFUNCTION("""COMPUTED_VALUE"""),"Climate and land cover shape the fungal community structure in topsoil")</f>
        <v>Climate and land cover shape the fungal community structure in topsoil</v>
      </c>
      <c r="B64" s="24" t="str">
        <f>IFERROR(__xludf.DUMMYFUNCTION("""COMPUTED_VALUE"""),"Globally, soils are subject to radical changes in their biogeochemistry as rampant deforestation and other forms of land use and climate change continue to transform planet Earth. To better understand soil ecosystem functioning, it is necessary to underst"&amp;"and the responses of soil microbial diversity and community structure to changing climate, land cover, and associated environmental variables. With next-generation sequencing, we investigated changes in topsoil fungi community structure among different la"&amp;"nd cover types (from Forest to Cropland) and climate zones (from Hot to Cold zones) in the Western Pacific Region. We demonstrated that climate zones substantially (P = 0.001) altered the soil fungal beta-diversity (change in community composition), but n"&amp;"ot alpha-diversity (taxonomical diversity). In particular, precipitation, temperature, and also latitude were the best predictors of beta-diversity. Individual fungal classes displayed divergent but strong responses to climate variables and latitude, sugg"&amp;"esting niche differentiation at lower taxonomic levels. We also demonstrated that fungal taxonomic diversity differentially responded to latitude across land covers: fungal diversity increased towards lower latitudes in the Forest and Cropland (R-2 = 0.19"&amp;") but increased towards both lower and higher latitudes in Fallow land (R-2 = 0.45). Further, alpha-diversity was significantly influenced by soil pH in Forest (P = 0.02), and by diurnal temperature range in Fallow land and mean annual precipitation in Cr"&amp;"opland. Collectively, various land cover types had differential influence on the latitude diversity gradient, while climate, and to some extent, edaphic variables, were crucial in shaping soil fungal community structure. Our results can also serve as a ba"&amp;"seline for estimating global change impacts on fungal community structure in the Western Pacific Region. (C) 2020 Elsevier B.V. All rights reserved.")</f>
        <v>Globally, soils are subject to radical changes in their biogeochemistry as rampant deforestation and other forms of land use and climate change continue to transform planet Earth. To better understand soil ecosystem functioning, it is necessary to understand the responses of soil microbial diversity and community structure to changing climate, land cover, and associated environmental variables. With next-generation sequencing, we investigated changes in topsoil fungi community structure among different land cover types (from Forest to Cropland) and climate zones (from Hot to Cold zones) in the Western Pacific Region. We demonstrated that climate zones substantially (P = 0.001) altered the soil fungal beta-diversity (change in community composition), but not alpha-diversity (taxonomical diversity). In particular, precipitation, temperature, and also latitude were the best predictors of beta-diversity. Individual fungal classes displayed divergent but strong responses to climate variables and latitude, suggesting niche differentiation at lower taxonomic levels. We also demonstrated that fungal taxonomic diversity differentially responded to latitude across land covers: fungal diversity increased towards lower latitudes in the Forest and Cropland (R-2 = 0.19) but increased towards both lower and higher latitudes in Fallow land (R-2 = 0.45). Further, alpha-diversity was significantly influenced by soil pH in Forest (P = 0.02), and by diurnal temperature range in Fallow land and mean annual precipitation in Cropland. Collectively, various land cover types had differential influence on the latitude diversity gradient, while climate, and to some extent, edaphic variables, were crucial in shaping soil fungal community structure. Our results can also serve as a baseline for estimating global change impacts on fungal community structure in the Western Pacific Region. (C) 2020 Elsevier B.V. All rights reserved.</v>
      </c>
      <c r="C64" s="24" t="str">
        <f>IFERROR(__xludf.DUMMYFUNCTION("""COMPUTED_VALUE"""),"10.1016/j.scitotenv.2020.141721")</f>
        <v>10.1016/j.scitotenv.2020.141721</v>
      </c>
      <c r="D64" s="24" t="str">
        <f>IFERROR(__xludf.DUMMYFUNCTION("""COMPUTED_VALUE"""),"Keck et al")</f>
        <v>Keck et al</v>
      </c>
      <c r="E64" s="24" t="str">
        <f>IFERROR(__xludf.DUMMYFUNCTION("""COMPUTED_VALUE"""),"WOS:000587300800057")</f>
        <v>WOS:000587300800057</v>
      </c>
      <c r="F64" s="24" t="str">
        <f>IFERROR(__xludf.DUMMYFUNCTION("""COMPUTED_VALUE"""),"[""ELIGIBLE""]")</f>
        <v>["ELIGIBLE"]</v>
      </c>
    </row>
    <row r="65">
      <c r="A65" s="24" t="str">
        <f>IFERROR(__xludf.DUMMYFUNCTION("""COMPUTED_VALUE"""),"Effects of deforestation from cattle ranching over time on protected rainforest streams in the Rama-Kriol Territory, Nicaragua")</f>
        <v>Effects of deforestation from cattle ranching over time on protected rainforest streams in the Rama-Kriol Territory, Nicaragua</v>
      </c>
      <c r="B65" s="24" t="str">
        <f>IFERROR(__xludf.DUMMYFUNCTION("""COMPUTED_VALUE"""),"Recent waves of illegal deforestation for cattle pasture are damaging the Indio Maiz Biological Reserve and Rama-Kriol Territory of Nicaragua, with negative consequences to aquatic ecosystems and the people they support. This study creates a framework for"&amp;" how deforestation from cattle ranching causes shifts in stream community structure, mediated by changes in stream habitat over time. It integrates temporally explicit land use information with stream habitat, macroinvertebrate, freshwater shrimp, and fis"&amp;"h community data to assess impacts of cattle ranching on 15 headwater streams. The deforestation history measure (DHM), a product of deforestation amount and time since deforestation for each catchment, strongly predicted stream habitat and biotic respons"&amp;"es. Delayed effects of land-use change such as decreased allochthonous inputs (large wood, debris) and increased bank destabilization, sedimentation, flashiness, and the scouring effect were apparent in longer deforested catchments, causing lower richness"&amp;" and density and higher evenness of macroinvertebrates; lower shrimp abundance; and distinct changes in fish and invertebrate community composition. Both recently and longer deforested catchments had degraded riparia and smaller sized game fish. Otherwise"&amp;", recently deforested catchments were more similar to forested catchments. Nicaragua's understudied primary rainforest ecosystems should be high priority for research and conservation before they are lost.")</f>
        <v>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v>
      </c>
      <c r="C65" s="24" t="str">
        <f>IFERROR(__xludf.DUMMYFUNCTION("""COMPUTED_VALUE"""),"10.1007/s10750-021-04684-w")</f>
        <v>10.1007/s10750-021-04684-w</v>
      </c>
      <c r="D65" s="24" t="str">
        <f>IFERROR(__xludf.DUMMYFUNCTION("""COMPUTED_VALUE"""),"Keck et al")</f>
        <v>Keck et al</v>
      </c>
      <c r="E65" s="24" t="str">
        <f>IFERROR(__xludf.DUMMYFUNCTION("""COMPUTED_VALUE"""),"WOS:000698050200001")</f>
        <v>WOS:000698050200001</v>
      </c>
      <c r="F65" s="24" t="str">
        <f>IFERROR(__xludf.DUMMYFUNCTION("""COMPUTED_VALUE"""),"[""ELIGIBLE""]")</f>
        <v>["ELIGIBLE"]</v>
      </c>
    </row>
    <row r="66">
      <c r="A66" s="24" t="str">
        <f>IFERROR(__xludf.DUMMYFUNCTION("""COMPUTED_VALUE"""),"Effect of catchment urbanization on ant diversity in remnant riparian corridors")</f>
        <v>Effect of catchment urbanization on ant diversity in remnant riparian corridors</v>
      </c>
      <c r="B66" s="24" t="str">
        <f>IFERROR(__xludf.DUMMYFUNCTION("""COMPUTED_VALUE"""),"The conversion of rural land to residential use is occurring rapidly as the global trend of city expansion continues. The impact of this land use change on riparian biodiversity was investigated by examining ant communities from 12 remnant riparian corrid"&amp;"ors in northwest Sydney, Australia. Ants were sampled from rural and urban catchments using pitfall traps. Data on vegetation floristics, habitat structure and stream water quality were also collected. No significant differences in ant diversity metrics o"&amp;"r assemblage structure were found between urban and rural sites. Similarly, very few environmental variables revealed significant differences between land use types. One exception, however, was the percentage cover of exotic plants, which was related to a"&amp;"nt assemblage structure. Small-leaved and broad-leaved privet (Ligustrum spp.) were highly correlated with total weed cover. The results suggest that ants respond mostly to small-scale habitat characteristics, especially those related to the dominance of "&amp;"exotic plants. As all sites had experienced some level of human impact, it is possible that all the sites have already transgressed an ecological threshold due to the earlier catchment land use change from natural to agricultural use. This apparent sensit"&amp;"ivity may explain the failure to observe any significant differences between the urban and rural catchments examined in this study. It is recommended that managers looking to protect the integrity of riparian invertebrate communities should focus on addre"&amp;"ssing local habitat pressures in human-modified catchments. (C) 2012 Elsevier B.V. All rights reserved.")</f>
        <v>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v>
      </c>
      <c r="C66" s="24" t="str">
        <f>IFERROR(__xludf.DUMMYFUNCTION("""COMPUTED_VALUE"""),"10.1016/j.landurbplan.2012.11.005")</f>
        <v>10.1016/j.landurbplan.2012.11.005</v>
      </c>
      <c r="D66" s="24" t="str">
        <f>IFERROR(__xludf.DUMMYFUNCTION("""COMPUTED_VALUE"""),"Keck et al")</f>
        <v>Keck et al</v>
      </c>
      <c r="E66" s="24" t="str">
        <f>IFERROR(__xludf.DUMMYFUNCTION("""COMPUTED_VALUE"""),"WOS:000314189600016")</f>
        <v>WOS:000314189600016</v>
      </c>
      <c r="F66" s="24" t="str">
        <f>IFERROR(__xludf.DUMMYFUNCTION("""COMPUTED_VALUE"""),"[""ELIGIBLE""]")</f>
        <v>["ELIGIBLE"]</v>
      </c>
    </row>
    <row r="67">
      <c r="A67" s="24" t="str">
        <f>IFERROR(__xludf.DUMMYFUNCTION("""COMPUTED_VALUE"""),"Terrestrial birds as indicators of agricultural-induced changes and associated loss in conservation value of Mediterranean wetlands")</f>
        <v>Terrestrial birds as indicators of agricultural-induced changes and associated loss in conservation value of Mediterranean wetlands</v>
      </c>
      <c r="B67" s="24" t="str">
        <f>IFERROR(__xludf.DUMMYFUNCTION("""COMPUTED_VALUE"""),"During the last decades, agricultural intensification has modified the hydrology of Mediterranean wetlands, as has occurred in the Mar Menor coastal lagoon (SE Spain). Salt-steppe dominated wetlands, characteristic of transitional areas surrounding this l"&amp;"agoon and rich in biodiversity values, are threatened by changes in their water regime originated by land-use changes in the watershed. Traditional dryland cultures have also been replaced by irrigated ones. We assess the direct and indirect changes induc"&amp;"ed by agriculture on a terrestrial vertebrate community (steppe birds) especially sensitive to these ecosystem changes. This is made on the basis of several surveys of terrestrial birds (excluding aerial feeders and raptors) carried out between 1984 and 2"&amp;"008 in a representative wetland of the lagoon's continental margin (Marina del Carmoli). The changes in this bird assemblage reflect the hydrological modifications induced by agriculture at the watershed scale, which have significant effects on the relati"&amp;"ve representation of wetland habitats. Bird metrics and indices (species abundance, taxonomic composition, conservation value) describe these community changes as the combination of early declines in some species and families, and transient or late increa"&amp;"ses in other. In the long term, the family Alaudidae (and particularly species like Melanocorypha calandra) have lost importance to the benefit of Turdidae and Fringillidae. The area of salt-steppe explains a large part of the variation in the abundance o"&amp;"f Alaudidae, while most variation of Turdidae and Fringillidae respond to the area of saltmarsh. Some Alaudidae seem to take advantage of the intermediate stages of saltmarsh expansion (Calandrella rufescens), or from the marginal irrigated crops fringing"&amp;" the wetland (Calandrella brachydactyla) that could compensate the loss of original agricultural habitats. Habitat changes in the wetland have occurred in three differentiated stages, and modify the steppe bird community towards a more heterogeneous assem"&amp;"blage including scrubland and palustrine species. Among three indices of ornithological value, only that based on the EU Bird's Directive Annex I species was negatively affected, but since the wetland has been designated a Specially Protected Area under t"&amp;"his regulation, this represents a management failure. There exists some chance, however, to manage peripheral cropland in favour of biodiversity. The importance of monitoring in conservation evaluation and management is also stressed, since the terrestria"&amp;"l bird community of this wetland has not been regularly surveyed. In fact, its evaluation against the Bird's Directive criteria was made in a period of quick departure from the original, good ecological state of the wetland. (C) 2009 Elsevier Ltd. All rig"&amp;"hts reserved.")</f>
        <v>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v>
      </c>
      <c r="C67" s="24" t="str">
        <f>IFERROR(__xludf.DUMMYFUNCTION("""COMPUTED_VALUE"""),"10.1016/j.ecolind.2009.05.006")</f>
        <v>10.1016/j.ecolind.2009.05.006</v>
      </c>
      <c r="D67" s="24" t="str">
        <f>IFERROR(__xludf.DUMMYFUNCTION("""COMPUTED_VALUE"""),"Keck et al")</f>
        <v>Keck et al</v>
      </c>
      <c r="E67" s="24" t="str">
        <f>IFERROR(__xludf.DUMMYFUNCTION("""COMPUTED_VALUE"""),"WOS:000272431700022")</f>
        <v>WOS:000272431700022</v>
      </c>
      <c r="F67" s="24" t="str">
        <f>IFERROR(__xludf.DUMMYFUNCTION("""COMPUTED_VALUE"""),"[""ELIGIBLE""]")</f>
        <v>["ELIGIBLE"]</v>
      </c>
    </row>
    <row r="68">
      <c r="A68" s="24" t="str">
        <f>IFERROR(__xludf.DUMMYFUNCTION("""COMPUTED_VALUE"""),"Biodiversity consequences of land-use change and forest disturbance in the Amazon: A multi-scale assessment using ant communities")</f>
        <v>Biodiversity consequences of land-use change and forest disturbance in the Amazon: A multi-scale assessment using ant communities</v>
      </c>
      <c r="B68" s="24" t="str">
        <f>IFERROR(__xludf.DUMMYFUNCTION("""COMPUTED_VALUE"""),"Quantifying and understanding the main drivers of biodiversity responses to human disturbances at multiple scales is key to foster effective conservation plans and management systems. Here we report on a detailed regional assessment of the response of ant"&amp;" communities to land-use change and forest disturbance in the Brazilian Amazon. We aimed to explore the effects of land-use intensification at both site and landscape scales, examining variation in ant species richness and composition, and asking which se"&amp;"t of environmental variables best predict observed patterns of diversity. We sampled 192 sites distributed across 18 landscapes (each 50 km(2)) in Paragominas, eastern Brazilian Amazon, covering ca. 20,000 km(2). We sampled from undisturbed primary forest"&amp;" through varyingly disturbed primary forests, secondary forests, pastures and mechanised agriculture, following a gradient of decreasing total aboveground biomass. Irrespective of forest disturbance class, ant species richness was almost twice as high in "&amp;"forests when compared to production areas. In contrast, ant species composition showed continuous variation from primary forest to intensive agriculture, following a gradient of aboveground biomass. Ant species richness at all spatial scales increased wit"&amp;"h primary forest cover in the surrounding landscapes. We highlight the limited value of species richness as an indicator of changes in habitat quality, reinforcing calls to consider species composition in assessments of forest disturbance. Taken together,"&amp;" our results reveal the unique biodiversity value of undisturbed primary forests, but also show that disturbed primary forests and secondary forests have high conservation value, and thus play an important role in regional conservation planning. (C) 2016 "&amp;"Elsevier Ltd. All rights reserved.")</f>
        <v>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v>
      </c>
      <c r="C68" s="24" t="str">
        <f>IFERROR(__xludf.DUMMYFUNCTION("""COMPUTED_VALUE"""),"10.1016/j.biocon.2016.03.005")</f>
        <v>10.1016/j.biocon.2016.03.005</v>
      </c>
      <c r="D68" s="24" t="str">
        <f>IFERROR(__xludf.DUMMYFUNCTION("""COMPUTED_VALUE"""),"Keck et al")</f>
        <v>Keck et al</v>
      </c>
      <c r="E68" s="24" t="str">
        <f>IFERROR(__xludf.DUMMYFUNCTION("""COMPUTED_VALUE"""),"WOS:000376798800013")</f>
        <v>WOS:000376798800013</v>
      </c>
      <c r="F68" s="24" t="str">
        <f>IFERROR(__xludf.DUMMYFUNCTION("""COMPUTED_VALUE"""),"[""ELIGIBLE""]")</f>
        <v>["ELIGIBLE"]</v>
      </c>
    </row>
    <row r="69">
      <c r="A69" s="24" t="str">
        <f>IFERROR(__xludf.DUMMYFUNCTION("""COMPUTED_VALUE"""),"Intensification of shifting cultivation reduces forest resilience in the northern Amazon")</f>
        <v>Intensification of shifting cultivation reduces forest resilience in the northern Amazon</v>
      </c>
      <c r="B69" s="24" t="str">
        <f>IFERROR(__xludf.DUMMYFUNCTION("""COMPUTED_VALUE"""),"Shifting cultivation is a traditional land-use system to ensure livelihood in the Northern Amazon. Here, we evaluated how intensification of shifting cultivation (SC) affects secondary forest recovery in the northern Amazon forest. To measure intensity of"&amp;" shifting cultivation, we used the number of previous SC cycles. We selected three study sites containing second-growth forest (SG) with different stand ages (5 and 10 years) after one, three or six SC cycles. Furthermore, we selected old-growth forest (O"&amp;"G) in each study site. In each selected SG and OG, three plots of 20 x 50 m were established, totalizing 63 plots in the study area. In each plot, all trees, palms and lianas with diameter at breast height &gt;= 5 cm were tagged and identified to species lev"&amp;"el. We analyzed the effects of SC intensification and soil fertility on woody species richness, species composition and basal area using mixed effect models. Species richness and basal area, lower in SG than in OG, increased with regeneration time after a"&amp;"bandonment, but reduced with intensification of SC. Community dissimilarities (Bray-Curtis distances) between OG and SG increased with the number of shifting cultivation cycles. Soil fertility differed between SG with different regeneration stages and red"&amp;"uced with number of SC cycles. We found that soil fertility and management intensity, i.e., number of previous SC cycles, explained pattern observed in richness, species composition and basal area equally good. Due to nutrient exports with crops and incre"&amp;"asing nutrient leaching, soil fertility is expected to reduce with SC intensity. Therefore, our data indicate that intensification of SC reduces recovery of species richness, composition and basal area of SGs following productive periods. Thus, the intens"&amp;"ification of SC reduces the resilience of SGs, turning this ancient form of land-use unsustainable. Environmental sustainability of SC may be achieved by extending fallow periods, limiting the maximum yield. To attend growing demands of indigenous and non"&amp;"-indigenous communities, we propose other alternatives of land-use such as permanent agroforestry systems.")</f>
        <v>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v>
      </c>
      <c r="C69" s="24" t="str">
        <f>IFERROR(__xludf.DUMMYFUNCTION("""COMPUTED_VALUE"""),"10.1016/j.foreco.2018.08.014")</f>
        <v>10.1016/j.foreco.2018.08.014</v>
      </c>
      <c r="D69" s="24" t="str">
        <f>IFERROR(__xludf.DUMMYFUNCTION("""COMPUTED_VALUE"""),"Keck et al")</f>
        <v>Keck et al</v>
      </c>
      <c r="E69" s="24" t="str">
        <f>IFERROR(__xludf.DUMMYFUNCTION("""COMPUTED_VALUE"""),"WOS:000449137300031")</f>
        <v>WOS:000449137300031</v>
      </c>
      <c r="F69" s="24" t="str">
        <f>IFERROR(__xludf.DUMMYFUNCTION("""COMPUTED_VALUE"""),"[""ELIGIBLE""]")</f>
        <v>["ELIGIBLE"]</v>
      </c>
    </row>
    <row r="70">
      <c r="A70" s="24" t="str">
        <f>IFERROR(__xludf.DUMMYFUNCTION("""COMPUTED_VALUE"""),"Effects of wetting frequency and afforestation on carbon, nitrogen and the microbial community in soil")</f>
        <v>Effects of wetting frequency and afforestation on carbon, nitrogen and the microbial community in soil</v>
      </c>
      <c r="B70" s="24" t="str">
        <f>IFERROR(__xludf.DUMMYFUNCTION("""COMPUTED_VALUE"""),"Afforestation of agricultural land is increasing, partly because it is an important biological method for reducing the concentration of atmospheric CO2 and potentially mitigating climate change. Rainfall patterns are changing and prolonged dry periods are"&amp;" predicted for many regions of the world, including southern Australia. To accurately predict land-use change potential for mitigating climate change, we need to have a better understanding of how changes in land-use (Le. afforestation of pastures) may ch"&amp;"ange the soils response to prolonged dry periods. We present results of an incubation study characterising C and N dynamics and the microbial community composition in soil collected from two tree plantings and their adjacent pastures under a baseline and "&amp;"reduced frequency. While the concentration of soil C was similar in pasture and tree planting soils, heterotrophic respiration was significantly lower in soil from pastures than tree plantings. Although there was little difference in the composition of th"&amp;"e soil microbial community among any of the soils or treatments, differences in N cycling could indicate a difference in microbial activity, which may explain the differences in heterotrophic respiration between pastures and tree plantings. Soils from pas"&amp;"tures and tree plantings responded similarly to a reduction in wetting frequency, with a decrease in microbial biomass (measured as total PLFA), and a similar reduction in heterotrophic respiration from the soil. This suggests that the responses to change"&amp;"s in future wetting cycles may be less dependent on land-use type than expected. (C) 2016 Elsevier B.V. All rights reserved.")</f>
        <v>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v>
      </c>
      <c r="C70" s="24" t="str">
        <f>IFERROR(__xludf.DUMMYFUNCTION("""COMPUTED_VALUE"""),"10.1016/j.agee.2016.06.024")</f>
        <v>10.1016/j.agee.2016.06.024</v>
      </c>
      <c r="D70" s="24" t="str">
        <f>IFERROR(__xludf.DUMMYFUNCTION("""COMPUTED_VALUE"""),"Keck et al")</f>
        <v>Keck et al</v>
      </c>
      <c r="E70" s="24" t="str">
        <f>IFERROR(__xludf.DUMMYFUNCTION("""COMPUTED_VALUE"""),"WOS:000382592700004")</f>
        <v>WOS:000382592700004</v>
      </c>
      <c r="F70" s="24" t="str">
        <f>IFERROR(__xludf.DUMMYFUNCTION("""COMPUTED_VALUE"""),"[""ELIGIBLE""]")</f>
        <v>["ELIGIBLE"]</v>
      </c>
    </row>
    <row r="71">
      <c r="A71" s="24" t="str">
        <f>IFERROR(__xludf.DUMMYFUNCTION("""COMPUTED_VALUE"""),"Distinct Soil Bacterial Communities Revealed under a Diversely Managed Agroecosystem")</f>
        <v>Distinct Soil Bacterial Communities Revealed under a Diversely Managed Agroecosystem</v>
      </c>
      <c r="B71" s="24" t="str">
        <f>IFERROR(__xludf.DUMMYFUNCTION("""COMPUTED_VALUE"""),"Land-use change and management practices are normally enacted to manipulate environments to improve conditions that relate to production, remediation, and accommodation. However, their effect on the soil microbial community and their subsequent influence "&amp;"on soil function is still difficult to quantify. Recent applications of molecular techniques to soil biology, especially the use of 16S rRNA, are helping to bridge this gap. In this study, the influence of three land-use systems within a demonstration far"&amp;"m were evaluated with a view to further understand how these practices may impact observed soil bacterial communities. Replicate soil samples collected from the three land-use systems (grazed pine forest, cultivated crop, and grazed pasture) on a single s"&amp;"oil type. High throughput 16S rRNA gene pyrosequencing was used to generate sequence datasets. The different land use systems showed distinction in the structure of their bacterial communities with respect to the differences detected in cluster analysis a"&amp;"s well as diversity indices. Specific taxa, particularly Actinobacteria, Acidobacteria, and classes of Proteobacteria, showed significant shifts across the land-use strata. Families belonging to these taxa broke with notions of copio- and oligotrphy at th"&amp;"e class level, as many of the less abundant groups of families of Actinobacteria showed a propensity for soil environments with reduced carbon/nutrient availability. Orders Actinomycetales and Solirubrobacterales showed their highest abundance in the heav"&amp;"ily disturbed cultivated system despite the lowest soil organic carbon (SOC) values across the site. Selected soil properties ([SOC], total nitrogen [TN], soil texture, phosphodiesterase [PD], alkaline phosphatase [APA], acid phosphatase [ACP] activity, a"&amp;"nd pH) also differed significantly across land-use regimes, with SOM, PD, and pH showing variation consistent with shifts in community structure and composition. These results suggest that use of pyrosequencing along with traditional analysis of soil phys"&amp;"iochemical properties may provide insight into the ecology of descending taxonomic groups in bacterial communities.")</f>
        <v>Land-use change and management practices are normally enacted to manipulate environments to improve conditions that relate to production, remediation, and accommodation. However, their effect on the soil microbial community and their subsequent influence on soil function is still difficult to quantify. Recent applications of molecular techniques to soil biology, especially the use of 16S rRNA, are helping to bridge this gap. In this study, the influence of three land-use systems within a demonstration farm were evaluated with a view to further understand how these practices may impact observed soil bacterial communities. Replicate soil samples collected from the three land-use systems (grazed pine forest, cultivated crop, and grazed pasture) on a single soil type. High throughput 16S rRNA gene pyrosequencing was used to generate sequence datasets. The different land use systems showed distinction in the structure of their bacterial communities with respect to the differences detected in cluster analysis as well as diversity indices. Specific taxa, particularly Actinobacteria, Acidobacteria, and classes of Proteobacteria, showed significant shifts across the land-use strata. Families belonging to these taxa broke with notions of copio- and oligotrphy at the class level, as many of the less abundant groups of families of Actinobacteria showed a propensity for soil environments with reduced carbon/nutrient availability. Orders Actinomycetales and Solirubrobacterales showed their highest abundance in the heavily disturbed cultivated system despite the lowest soil organic carbon (SOC) values across the site. Selected soil properties ([SOC], total nitrogen [TN], soil texture, phosphodiesterase [PD], alkaline phosphatase [APA], acid phosphatase [ACP] activity, and pH) also differed significantly across land-use regimes, with SOM, PD, and pH showing variation consistent with shifts in community structure and composition. These results suggest that use of pyrosequencing along with traditional analysis of soil physiochemical properties may provide insight into the ecology of descending taxonomic groups in bacterial communities.</v>
      </c>
      <c r="C71" s="24" t="str">
        <f>IFERROR(__xludf.DUMMYFUNCTION("""COMPUTED_VALUE"""),"10.1371/journal.pone.0040338")</f>
        <v>10.1371/journal.pone.0040338</v>
      </c>
      <c r="D71" s="24" t="str">
        <f>IFERROR(__xludf.DUMMYFUNCTION("""COMPUTED_VALUE"""),"Keck et al")</f>
        <v>Keck et al</v>
      </c>
      <c r="E71" s="24" t="str">
        <f>IFERROR(__xludf.DUMMYFUNCTION("""COMPUTED_VALUE"""),"WOS:000306687700011")</f>
        <v>WOS:000306687700011</v>
      </c>
      <c r="F71" s="24" t="str">
        <f>IFERROR(__xludf.DUMMYFUNCTION("""COMPUTED_VALUE"""),"[""ELIGIBLE""]")</f>
        <v>["ELIGIBLE"]</v>
      </c>
    </row>
    <row r="72">
      <c r="A72" s="24" t="str">
        <f>IFERROR(__xludf.DUMMYFUNCTION("""COMPUTED_VALUE"""),"DEFORESTATION AND CULTIVATION WITH MAIZE (Zea mays L.) HAS A PROFOUND EFFECT ON THE BACTERIAL COMMUNITY STRUCTURE IN SOIL")</f>
        <v>DEFORESTATION AND CULTIVATION WITH MAIZE (Zea mays L.) HAS A PROFOUND EFFECT ON THE BACTERIAL COMMUNITY STRUCTURE IN SOIL</v>
      </c>
      <c r="B72" s="24" t="str">
        <f>IFERROR(__xludf.DUMMYFUNCTION("""COMPUTED_VALUE"""),"In this study, the effect of deforestation and cultivation of maize (Zea mays L.) on the physicochemical characteristics and the bacterial community structure in soil were studied at the national park Area de Proteccion de Flora y Fauna Nevado de Toluca i"&amp;"n Mexico. Soil was sampled from three forested areas in the national park, from three deforested areas grazed by animals and from three areas cultivated with maize. The soil was characterized chemically and biologically, whilst the bacterial community str"&amp;"ucture was investigated through 454 pyrosequencing of the 16S rRNA gene. The pH in the forest soil decreased from 6.1 to 5.3 in the maize-cultivated soil, whilst the soil organic C content decreased 1.4 times in the arable soil compared with the forest so"&amp;"il. The microbial biomass C decreased 2.9 times in the arable soil compared with the forest soil, but the metabolic quotient qCO(2) (ratio basal respiration to microbial biomass C) nearly doubled. Deforestation and maize cultivation reduced the abundance "&amp;"of Proteobacteria, Actinobacteria and Bacteroidetes, whereas Acidobacteria, Chloroflexi, Gemmatimonadetes and Firmicutes were resistant to these changes. It was found that soil characteristics were affected negatively by deforestation and nearly half of t"&amp;"he organic matter was lost, and on these sloped fields, erosion will be high, further decreasing soil fertility. Although the relative abundance of a number of bacterial groups was reduced by deforestation, others were not affected by land-use change. Cop"&amp;"yright (C) 2014 John Wiley &amp; Sons, Ltd.")</f>
        <v>In this study, the effect of deforestation and cultivation of maize (Zea mays L.) on the physicochemical characteristics and the bacterial community structure in soil were studied at the national park Area de Proteccion de Flora y Fauna Nevado de Toluca in Mexico. Soil was sampled from three forested areas in the national park, from three deforested areas grazed by animals and from three areas cultivated with maize. The soil was characterized chemically and biologically, whilst the bacterial community structure was investigated through 454 pyrosequencing of the 16S rRNA gene. The pH in the forest soil decreased from 6.1 to 5.3 in the maize-cultivated soil, whilst the soil organic C content decreased 1.4 times in the arable soil compared with the forest soil. The microbial biomass C decreased 2.9 times in the arable soil compared with the forest soil, but the metabolic quotient qCO(2) (ratio basal respiration to microbial biomass C) nearly doubled. Deforestation and maize cultivation reduced the abundance of Proteobacteria, Actinobacteria and Bacteroidetes, whereas Acidobacteria, Chloroflexi, Gemmatimonadetes and Firmicutes were resistant to these changes. It was found that soil characteristics were affected negatively by deforestation and nearly half of the organic matter was lost, and on these sloped fields, erosion will be high, further decreasing soil fertility. Although the relative abundance of a number of bacterial groups was reduced by deforestation, others were not affected by land-use change. Copyright (C) 2014 John Wiley &amp; Sons, Ltd.</v>
      </c>
      <c r="C72" s="24" t="str">
        <f>IFERROR(__xludf.DUMMYFUNCTION("""COMPUTED_VALUE"""),"10.1002/ldr.2328")</f>
        <v>10.1002/ldr.2328</v>
      </c>
      <c r="D72" s="24" t="str">
        <f>IFERROR(__xludf.DUMMYFUNCTION("""COMPUTED_VALUE"""),"Keck et al")</f>
        <v>Keck et al</v>
      </c>
      <c r="E72" s="24" t="str">
        <f>IFERROR(__xludf.DUMMYFUNCTION("""COMPUTED_VALUE"""),"WOS:000380963900022")</f>
        <v>WOS:000380963900022</v>
      </c>
      <c r="F72" s="24" t="str">
        <f>IFERROR(__xludf.DUMMYFUNCTION("""COMPUTED_VALUE"""),"[""ELIGIBLE""]")</f>
        <v>["ELIGIBLE"]</v>
      </c>
    </row>
    <row r="73">
      <c r="A73" s="24" t="str">
        <f>IFERROR(__xludf.DUMMYFUNCTION("""COMPUTED_VALUE"""),"Echolocation and roosting ecology determine sensitivity of forest-dependent bats to coffee agriculture")</f>
        <v>Echolocation and roosting ecology determine sensitivity of forest-dependent bats to coffee agriculture</v>
      </c>
      <c r="B73" s="24" t="str">
        <f>IFERROR(__xludf.DUMMYFUNCTION("""COMPUTED_VALUE"""),"Species differ in vulnerability to anthropogenic land use changes. Knowledge of the mechanisms driving differential sensitivity can inform conservation strategies but is generally lacking for species-rich taxa in the tropics. The diverse bat fauna of Sout"&amp;"heast Asia is threatened by rapid loss of forest and expanding agricultural activities, but the associations between species, traits, vulnerability to agriculture, and the underlying drivers have yet to be elucidated. We studied the responses of speciose "&amp;"insectivorous bat assemblages to robusta coffee cultivation in Sumatra, Indonesia. We compared abundance, species richness, and assemblage structures of bats between forests and coffee farms based on trapping data and evaluated the influence of vegetation"&amp;" complexity on assemblage composition and species-level reactions. Bat abundance and species richness were significantly lower in coffee farms than in forests. Bat assemblage structure differed between land uses, and the overall variation can be largely e"&amp;"xplained by vegetation simplification. Species sensitive to coffee agriculture were associated with more complex vegetation structure, whereas tolerant species were associated with simpler vegetation structure. Sensitive and tolerant species differed in t"&amp;"he type, frequency, and bandwidth of echolocation calls and roost use. Species sensitive to coffee use broadband and high-pitched frequency-modulated calls, which are efficient at detecting insects in complex vegetation, and roost in plant structures that"&amp;" may be lost as vegetation is simplified. In contrast, tolerant species used lower pitched constant-frequency calls and roost in caves. We advocate for greater use of trait analyses in studies seeking to clarify the influence of agriculture on diverse tro"&amp;"pical bat faunas. in Indonesian is available with online material.")</f>
        <v>Species differ in vulnerability to anthropogenic land use changes. Knowledge of the mechanisms driving differential sensitivity can inform conservation strategies but is generally lacking for species-rich taxa in the tropics. The diverse bat fauna of Southeast Asia is threatened by rapid loss of forest and expanding agricultural activities, but the associations between species, traits, vulnerability to agriculture, and the underlying drivers have yet to be elucidated. We studied the responses of speciose insectivorous bat assemblages to robusta coffee cultivation in Sumatra, Indonesia. We compared abundance, species richness, and assemblage structures of bats between forests and coffee farms based on trapping data and evaluated the influence of vegetation complexity on assemblage composition and species-level reactions. Bat abundance and species richness were significantly lower in coffee farms than in forests. Bat assemblage structure differed between land uses, and the overall variation can be largely explained by vegetation simplification. Species sensitive to coffee agriculture were associated with more complex vegetation structure, whereas tolerant species were associated with simpler vegetation structure. Sensitive and tolerant species differed in the type, frequency, and bandwidth of echolocation calls and roost use. Species sensitive to coffee use broadband and high-pitched frequency-modulated calls, which are efficient at detecting insects in complex vegetation, and roost in plant structures that may be lost as vegetation is simplified. In contrast, tolerant species used lower pitched constant-frequency calls and roost in caves. We advocate for greater use of trait analyses in studies seeking to clarify the influence of agriculture on diverse tropical bat faunas. in Indonesian is available with online material.</v>
      </c>
      <c r="C73" s="24" t="str">
        <f>IFERROR(__xludf.DUMMYFUNCTION("""COMPUTED_VALUE"""),"10.1111/btp.12694")</f>
        <v>10.1111/btp.12694</v>
      </c>
      <c r="D73" s="24" t="str">
        <f>IFERROR(__xludf.DUMMYFUNCTION("""COMPUTED_VALUE"""),"Keck et al")</f>
        <v>Keck et al</v>
      </c>
      <c r="E73" s="24" t="str">
        <f>IFERROR(__xludf.DUMMYFUNCTION("""COMPUTED_VALUE"""),"WOS:000484746900001")</f>
        <v>WOS:000484746900001</v>
      </c>
      <c r="F73" s="24" t="str">
        <f>IFERROR(__xludf.DUMMYFUNCTION("""COMPUTED_VALUE"""),"[""ELIGIBLE""]")</f>
        <v>["ELIGIBLE"]</v>
      </c>
    </row>
    <row r="74">
      <c r="A74" s="24" t="str">
        <f>IFERROR(__xludf.DUMMYFUNCTION("""COMPUTED_VALUE"""),"Widespread Pig Farming Practice Linked to Shifts in Skin Microbiomes and Disease in Pond-Breeding Amphibians")</f>
        <v>Widespread Pig Farming Practice Linked to Shifts in Skin Microbiomes and Disease in Pond-Breeding Amphibians</v>
      </c>
      <c r="B74" s="24" t="str">
        <f>IFERROR(__xludf.DUMMYFUNCTION("""COMPUTED_VALUE"""),"Farming practices may reshape the structure of watersheds, water quality, and the health of aquatic organisms. Nutrient enrichment from agricultural pollution increases disease pressure in many host-pathogen systems, but the mechanisms underlying this pat"&amp;"tern are not always resolved. For example, nutrient enrichment should strongly influence pools of aquatic environmental bacteria, which has the potential to alter microbiome composition of aquatic animals and their vulnerability to disease. However, shift"&amp;"s in the host microbiome have received little attention as a link between nutrient enrichment and diseases of aquatic organisms. We examined nutrient enrichment through the widespread practice of integrated pig-fish farming and its effects on microbiome c"&amp;"omposition of Brazilian amphibians and prevalence of the globally distributed amphibian skin pathogen Batrachochytrium dendrobatidis (Bd). This farming system drove surges in fecal coliform bacteria, disturbing amphibian skin bacterial communities such th"&amp;"at hosts recruited higher proportions of Bd-facilitative bacteria and carried higher Bd prevalence. Our results highlight previously overlooked connections between global trends in land use change, microbiome dysbiosis, and wildlife disease. These interac"&amp;"tions may be particularly important for disease management in the tropics, a region with both high biodiversity and continually intensifying anthropogenic pressures on aquatic wildlife habitats.")</f>
        <v>Farming practices may reshape the structure of watersheds, water quality, and the health of aquatic organisms. Nutrient enrichment from agricultural pollution increases disease pressure in many host-pathogen systems, but the mechanisms underlying this pattern are not always resolved. For example, nutrient enrichment should strongly influence pools of aquatic environmental bacteria, which has the potential to alter microbiome composition of aquatic animals and their vulnerability to disease. However, shifts in the host microbiome have received little attention as a link between nutrient enrichment and diseases of aquatic organisms. We examined nutrient enrichment through the widespread practice of integrated pig-fish farming and its effects on microbiome composition of Brazilian amphibians and prevalence of the globally distributed amphibian skin pathogen Batrachochytrium dendrobatidis (Bd). This farming system drove surges in fecal coliform bacteria, disturbing amphibian skin bacterial communities such that hosts recruited higher proportions of Bd-facilitative bacteria and carried higher Bd prevalence. Our results highlight previously overlooked connections between global trends in land use change, microbiome dysbiosis, and wildlife disease. These interactions may be particularly important for disease management in the tropics, a region with both high biodiversity and continually intensifying anthropogenic pressures on aquatic wildlife habitats.</v>
      </c>
      <c r="C74" s="24" t="str">
        <f>IFERROR(__xludf.DUMMYFUNCTION("""COMPUTED_VALUE"""),"10.1021/acs.est.0c03219")</f>
        <v>10.1021/acs.est.0c03219</v>
      </c>
      <c r="D74" s="24" t="str">
        <f>IFERROR(__xludf.DUMMYFUNCTION("""COMPUTED_VALUE"""),"Keck et al")</f>
        <v>Keck et al</v>
      </c>
      <c r="E74" s="24" t="str">
        <f>IFERROR(__xludf.DUMMYFUNCTION("""COMPUTED_VALUE"""),"WOS:000572834700033")</f>
        <v>WOS:000572834700033</v>
      </c>
      <c r="F74" s="24" t="str">
        <f>IFERROR(__xludf.DUMMYFUNCTION("""COMPUTED_VALUE"""),"[""ELIGIBLE""]")</f>
        <v>["ELIGIBLE"]</v>
      </c>
    </row>
    <row r="75">
      <c r="A75" s="24" t="str">
        <f>IFERROR(__xludf.DUMMYFUNCTION("""COMPUTED_VALUE"""),"The role of habitat and daily activity patterns in explaining the diversity of mountain Neotropical dung beetle assemblages")</f>
        <v>The role of habitat and daily activity patterns in explaining the diversity of mountain Neotropical dung beetle assemblages</v>
      </c>
      <c r="B75" s="24" t="str">
        <f>IFERROR(__xludf.DUMMYFUNCTION("""COMPUTED_VALUE"""),"The interaction between land use and climate change is expected to strongly affect species distributions along high elevation landscapes. We aimed to test the effect of climatic variables on community metrics among five types of land use in a high elevati"&amp;"on landscape. We described dung beetle spatial and temporal taxonomic and functional diversity patterns, and partitioned -diversity into turnover and nestedness components. The interaction between land use and daily period of activity mostly drives abunda"&amp;"nce, functional richness and functional diversity, but not dung beetle species richness. Unlike Neotropical lowlands, species richness and abundance in open environments are similar to those existing in forests. Temperature is an important predictor of ab"&amp;"undance and functional divergence. There is a higher spatial component of the taxonomic -diversity, which is highly driven by species turnover. The temporal component of the taxonomic -diversity was strongly driven by nestedness, where night assemblages a"&amp;"re sub-sets, although not entirely, of diurnal assemblages. For functional diversity, the temporal -diversity was much higher than the spatial -diversity, but both were similarly represented by functional group turnover and nestedness. The composition of "&amp;"nocturnal and diurnal assemblages is clearly different, even more than the differences observed between habitats. However, taxonomic turnover is the dominant force between sampling sites while nestedness dominates the daily pattern. This means that forest"&amp;" habitats are unlikely to act as shelters for grassland species under a scenario of rising temperature.")</f>
        <v>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v>
      </c>
      <c r="C75" s="24" t="str">
        <f>IFERROR(__xludf.DUMMYFUNCTION("""COMPUTED_VALUE"""),"10.1111/aec.12675")</f>
        <v>10.1111/aec.12675</v>
      </c>
      <c r="D75" s="24" t="str">
        <f>IFERROR(__xludf.DUMMYFUNCTION("""COMPUTED_VALUE"""),"Keck et al")</f>
        <v>Keck et al</v>
      </c>
      <c r="E75" s="24" t="str">
        <f>IFERROR(__xludf.DUMMYFUNCTION("""COMPUTED_VALUE"""),"WOS:000462095600012")</f>
        <v>WOS:000462095600012</v>
      </c>
      <c r="F75" s="24" t="str">
        <f>IFERROR(__xludf.DUMMYFUNCTION("""COMPUTED_VALUE"""),"[""ELIGIBLE""]")</f>
        <v>["ELIGIBLE"]</v>
      </c>
    </row>
    <row r="76">
      <c r="A76" s="24" t="str">
        <f>IFERROR(__xludf.DUMMYFUNCTION("""COMPUTED_VALUE"""),"Time-scales of hydrological forcing on the geochemistry and bacterial community structure of temperate peat soils")</f>
        <v>Time-scales of hydrological forcing on the geochemistry and bacterial community structure of temperate peat soils</v>
      </c>
      <c r="B76" s="24" t="str">
        <f>IFERROR(__xludf.DUMMYFUNCTION("""COMPUTED_VALUE"""),"Peatlands are an important global carbon reservoir. The continued accumulation of carbon in peatlands depends on the persistence of anoxic conditions, in part induced by water saturation, which prevents oxidation of organic matter, and slows down decompos"&amp;"ition. Here we investigate how and over what time scales the hydrological regime impacts the geochemistry and the bacterial community structure of temperate peat soils. Peat cores from two sites having contrasting groundwater budgets were subjected to fou"&amp;"r controlled drought-rewetting cycles. Pore water geochemistry and metagenomic profiling of bacterial communities showed that frequent water table drawdown induced lower concentrations of dissolved carbon, higher concentrations of sulfate and iron and red"&amp;"uced bacterial richness and diversity in the peat soil and water. Short-term drought cycles (3-9 day frequency) resulted in different communities from continuously saturated environments. Furthermore, the site that has more frequently experienced water ta"&amp;"ble drawdown during the last two decades presented the most striking shifts in bacterial community structure, altering biogeochemical functioning of peat soils. Our results suggest that the increase in frequency and duration of drought conditions under ch"&amp;"anging climatic conditions or water resource use can induce profound changes in bacterial communities, with potentially severe consequences for carbon storage in temperate peatlands.")</f>
        <v>Peatlands are an important global carbon reservoir. The continued accumulation of carbon in peatlands depends on the persistence of anoxic conditions, in part induced by water saturation, which prevents oxidation of organic matter, and slows down decomposition. Here we investigate how and over what time scales the hydrological regime impacts the geochemistry and the bacterial community structure of temperate peat soils. Peat cores from two sites having contrasting groundwater budgets were subjected to four controlled drought-rewetting cycles. Pore water geochemistry and metagenomic profiling of bacterial communities showed that frequent water table drawdown induced lower concentrations of dissolved carbon, higher concentrations of sulfate and iron and reduced bacterial richness and diversity in the peat soil and water. Short-term drought cycles (3-9 day frequency) resulted in different communities from continuously saturated environments. Furthermore, the site that has more frequently experienced water table drawdown during the last two decades presented the most striking shifts in bacterial community structure, altering biogeochemical functioning of peat soils. Our results suggest that the increase in frequency and duration of drought conditions under changing climatic conditions or water resource use can induce profound changes in bacterial communities, with potentially severe consequences for carbon storage in temperate peatlands.</v>
      </c>
      <c r="C76" s="24" t="str">
        <f>IFERROR(__xludf.DUMMYFUNCTION("""COMPUTED_VALUE"""),"10.1038/srep14612")</f>
        <v>10.1038/srep14612</v>
      </c>
      <c r="D76" s="24" t="str">
        <f>IFERROR(__xludf.DUMMYFUNCTION("""COMPUTED_VALUE"""),"Keck et al")</f>
        <v>Keck et al</v>
      </c>
      <c r="E76" s="24" t="str">
        <f>IFERROR(__xludf.DUMMYFUNCTION("""COMPUTED_VALUE"""),"WOS:000362254700001")</f>
        <v>WOS:000362254700001</v>
      </c>
      <c r="F76" s="24" t="str">
        <f>IFERROR(__xludf.DUMMYFUNCTION("""COMPUTED_VALUE"""),"[""ELIGIBLE""]")</f>
        <v>["ELIGIBLE"]</v>
      </c>
    </row>
    <row r="77">
      <c r="A77" s="24" t="str">
        <f>IFERROR(__xludf.DUMMYFUNCTION("""COMPUTED_VALUE"""),"Does non-native black locust afforestation affect soil biodiversity at the regional scale? Case study of soil macroinvertebrates across the Chinese Loess Plateau")</f>
        <v>Does non-native black locust afforestation affect soil biodiversity at the regional scale? Case study of soil macroinvertebrates across the Chinese Loess Plateau</v>
      </c>
      <c r="B77" s="24" t="str">
        <f>IFERROR(__xludf.DUMMYFUNCTION("""COMPUTED_VALUE"""),"Land-use changes have a profound impact on species diversity and distribution. Although soil fauna contribute substantially to global biodiversity and ecosystem functioning, the responses of soil fauna to land-use changes at the regional scale remain poor"&amp;"ly understood. Non-native Robinia pseudoacacia (black locust, BL) has been widely planted on abandoned cropland to control soil erosion on the Chinese Loess Plateau (CLP). Here, we investigated the effects of BL plantations (&lt;15 years, 15-25 years, &gt;25 ye"&amp;"ars) on the abundance, richness and community composition of soil macminvertebrates at six sites along a 500-km transect across the CLP. Overall, the mean abundance and richness of macroinvertebrates were greater in the BL plots than in the control plots,"&amp;" regardless of the plantation age. These differences were mainly attributed to the changes in the abundance and richness of predators and phytophages but not of detritivores and omnivores. We also found that the abundance and richness of overall macminver"&amp;"tebrates decreased with latitude in the BL plots, while no latitudinal trend was found in the control plots, which led to a decrease in the afforestation-induced positive effect with latitude. Additionally, the community composition of macroinvertebrates "&amp;"was similar between the control and BL plots but significantly varied with latitude, which was explained by climate factors and geographic distance. The results indicated that the positive effects of BL afforestation on macroinvertebrate diversity depend "&amp;"on functional groups and the community composition at a large spatial scale was shaped by climate factors and geographic distance rather than BL afforestation. If afforestation has biodiversity objectives, then BL afforestation is more suitable in the sou"&amp;"th than in the north of the CLP because of the decrease in afforestation-induced positive effects with latitude.")</f>
        <v>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v>
      </c>
      <c r="C77" s="24" t="str">
        <f>IFERROR(__xludf.DUMMYFUNCTION("""COMPUTED_VALUE"""),"10.1016/j.catena.2021.105171")</f>
        <v>10.1016/j.catena.2021.105171</v>
      </c>
      <c r="D77" s="24" t="str">
        <f>IFERROR(__xludf.DUMMYFUNCTION("""COMPUTED_VALUE"""),"Keck et al")</f>
        <v>Keck et al</v>
      </c>
      <c r="E77" s="24" t="str">
        <f>IFERROR(__xludf.DUMMYFUNCTION("""COMPUTED_VALUE"""),"WOS:000620777400033")</f>
        <v>WOS:000620777400033</v>
      </c>
      <c r="F77" s="24" t="str">
        <f>IFERROR(__xludf.DUMMYFUNCTION("""COMPUTED_VALUE"""),"[""ELIGIBLE""]")</f>
        <v>["ELIGIBLE"]</v>
      </c>
    </row>
    <row r="78">
      <c r="A78" s="24" t="str">
        <f>IFERROR(__xludf.DUMMYFUNCTION("""COMPUTED_VALUE"""),"Invertebrate communities of Prairie-Pothole wetlands in the age of the aquatic Homogenocene")</f>
        <v>Invertebrate communities of Prairie-Pothole wetlands in the age of the aquatic Homogenocene</v>
      </c>
      <c r="B78" s="24" t="str">
        <f>IFERROR(__xludf.DUMMYFUNCTION("""COMPUTED_VALUE"""),"Simplification of communities is a common consequence of anthropogenic modification. However, the prevalence and mechanisms of biotic homogenization among wetland systems require further examination. Biota of wetlands in the North American Prairie Pothole"&amp;" Region are adapted to high spatial and temporal variability in ponded-water duration and salinity. Recent climate change, however, has resulted in decreased hydrologic variability. Land-use changes have exacerbated this loss of variability. We used aquat"&amp;"ic-macroinvertebrate data from 16 prairie-pothole wetlands sampled between 1992 and 2015 to explore homogenization of wetland communities. Macroinvertebrate communities of small wetlands that continued to cycle between wet and dry phases experienced great"&amp;"er turnover and supported unique taxa compared to larger wetlands that shifted towards less dynamic permanently ponded, lake-like regimes. Temporal turnover in beta-diversity was lowest in these permanently ponded wetlands. Additionally, wetlands that shi"&amp;"fted to permanently ponded regimes also experienced a shift from palustrine to lacustrine communities. While increased pond permanence can increase species and overall beta-diversity in local areas previously lacking lake communities, homogenization of we"&amp;"tland communities at a larger, landscape scale can result in an overall loss of biodiversity as the diverse communities of many wetland systems become increasingly similar to those of lakes.")</f>
        <v>Simplification of communities is a common consequence of anthropogenic modification. However, the prevalence and mechanisms of biotic homogenization among wetland systems require further examination. Biota of wetlands in the North American Prairie Pothole Region are adapted to high spatial and temporal variability in ponded-water duration and salinity. Recent climate change, however, has resulted in decreased hydrologic variability. Land-use changes have exacerbated this loss of variability. We used aquatic-macroinvertebrate data from 16 prairie-pothole wetlands sampled between 1992 and 2015 to explore homogenization of wetland communities. Macroinvertebrate communities of small wetlands that continued to cycle between wet and dry phases experienced greater turnover and supported unique taxa compared to larger wetlands that shifted towards less dynamic permanently ponded, lake-like regimes. Temporal turnover in beta-diversity was lowest in these permanently ponded wetlands. Additionally, wetlands that shifted to permanently ponded regimes also experienced a shift from palustrine to lacustrine communities. While increased pond permanence can increase species and overall beta-diversity in local areas previously lacking lake communities, homogenization of wetland communities at a larger, landscape scale can result in an overall loss of biodiversity as the diverse communities of many wetland systems become increasingly similar to those of lakes.</v>
      </c>
      <c r="C78" s="24" t="str">
        <f>IFERROR(__xludf.DUMMYFUNCTION("""COMPUTED_VALUE"""),"10.1007/s10750-019-04154-4")</f>
        <v>10.1007/s10750-019-04154-4</v>
      </c>
      <c r="D78" s="24" t="str">
        <f>IFERROR(__xludf.DUMMYFUNCTION("""COMPUTED_VALUE"""),"Keck et al")</f>
        <v>Keck et al</v>
      </c>
      <c r="E78" s="24" t="str">
        <f>IFERROR(__xludf.DUMMYFUNCTION("""COMPUTED_VALUE"""),"WOS:000507094100001")</f>
        <v>WOS:000507094100001</v>
      </c>
      <c r="F78" s="24" t="str">
        <f>IFERROR(__xludf.DUMMYFUNCTION("""COMPUTED_VALUE"""),"[""ELIGIBLE""]")</f>
        <v>["ELIGIBLE"]</v>
      </c>
    </row>
    <row r="79">
      <c r="A79" s="24" t="str">
        <f>IFERROR(__xludf.DUMMYFUNCTION("""COMPUTED_VALUE"""),"Leaf traits and phylogeny explain plant survival and community dynamics in response to extreme drought in a restored coastal grassland")</f>
        <v>Leaf traits and phylogeny explain plant survival and community dynamics in response to extreme drought in a restored coastal grassland</v>
      </c>
      <c r="B79" s="24" t="str">
        <f>IFERROR(__xludf.DUMMYFUNCTION("""COMPUTED_VALUE"""),"1. Climate change will increase uncertainty in restoration outcomes due to greater water stress and other abiotic filters that limit plant survival. Drought-related plant functional traits can help species withstand filters in a semi-arid environment. Our"&amp;" objective was to provide guidance for selecting species to improve restoration success in a changing climate. 2. We planted 12 native species in ambient rainfall and under 60% rain-out shelters in an invaded coastal grassland in central California. We me"&amp;"asured survival and size annually for 4 years and quantified plant community and trait composition in the third and fourth years. We measured growth rate, specific leaf area (SLA), leaf C:N, leaf lobedness and leaf delta C-13 of all planted species and do"&amp;"minant extant species, and evaluated the effect of treatments, traits and phylogenetics on mortality risk using Cox proportional hazards. 3. Native perennial species cover was greater, whereas thatch depth and per cent cover of shrubs and non-native annua"&amp;"l grasses were lower, on drought plots. Drought plots had lower community-weighted leaf C:N and higher leaf lobedness. 4. Planted species with resource conservative traits, such as higher leaf lobedness and lower growth rate, had lower mortality risk. Inc"&amp;"reased plasticity of morphological traits (SLA and lobedness) was associated with decreased mortality risk, whereas increased plasticity of physiological traits (leaf C:N and delta C-13) and risk was positively correlated. Trait plasticity explained a gre"&amp;"ater degree of plant mortality risk compared to absolute trait values. 5. Plants that were more phylogenetically related to the surrounding plant community had lower mortality risk. Traits of planted species that were important for determining plant morta"&amp;"lity in this coastal grassland may be conserved, which was supported by a phylogenetic signal (Blomberg's K = 0.380, Pagel's lambda = 0.830) in leaf C:N. 6. Synthesis and applications. Our results suggest that leaf traits and phylogenetics could serve as "&amp;"plant selection criteria for reducing plant mortality risk during drought, thereby improving restoration outcomes. Because some traits have a phylogenetic signal that explains drought survival, restoration practitioners could expand the use of trait-based"&amp;" selection for closely related species when restoring other arid- and semi-arid ecosystems.")</f>
        <v>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v>
      </c>
      <c r="C79" s="24" t="str">
        <f>IFERROR(__xludf.DUMMYFUNCTION("""COMPUTED_VALUE"""),"10.1111/1365-2664.13909")</f>
        <v>10.1111/1365-2664.13909</v>
      </c>
      <c r="D79" s="24" t="str">
        <f>IFERROR(__xludf.DUMMYFUNCTION("""COMPUTED_VALUE"""),"Keck et al")</f>
        <v>Keck et al</v>
      </c>
      <c r="E79" s="24" t="str">
        <f>IFERROR(__xludf.DUMMYFUNCTION("""COMPUTED_VALUE"""),"WOS:000656444100001")</f>
        <v>WOS:000656444100001</v>
      </c>
      <c r="F79" s="24" t="str">
        <f>IFERROR(__xludf.DUMMYFUNCTION("""COMPUTED_VALUE"""),"[""ELIGIBLE""]")</f>
        <v>["ELIGIBLE"]</v>
      </c>
    </row>
    <row r="80">
      <c r="A80" s="24" t="str">
        <f>IFERROR(__xludf.DUMMYFUNCTION("""COMPUTED_VALUE"""),"Traditional Free-Ranging Livestock Farming as a Management Strategy for Biological and Cultural Landscape Diversity: A Case from the Southern Apennines")</f>
        <v>Traditional Free-Ranging Livestock Farming as a Management Strategy for Biological and Cultural Landscape Diversity: A Case from the Southern Apennines</v>
      </c>
      <c r="B80" s="24" t="str">
        <f>IFERROR(__xludf.DUMMYFUNCTION("""COMPUTED_VALUE"""),"Mediterranean mountain landscapes are undergoing a widespread phenomenon of abandonment. This brings, as a consequence, the loss of traditional land use practices, such as transhumant pastoralism, as well as shrub and wood encroachment, with repercussions"&amp;" on the biodiversity associated with semi-open, human-managed landscapes. In this study, we focus on a mountain pasture from the Southern Apennines (Italy), where free-ranging transhumant grazing is still carried out, to quantify the effects of grazing pr"&amp;"esence and exclusion on arthropod diversity, and to qualitatively characterize the plant communities of grazed and ungrazed areas. Using field sampling, remote sensing, and semi-structured interviews, we assessed the validity of traditional cattle farming"&amp;" as a landscape management tool. Indeed, high diversity grasslands excluded from grazing were characterized by significantly less even and more dominated arthropod communities, as well as fewer plant species and families. Moreover, in areas that have been"&amp;" consistently grazed over the years, we found no forest encroachment from 1955 to 2019. However, rural communities are experiencing difficulties in keeping local traditions alive, even with current agri-environmental schemes. Thus, traditional livestock g"&amp;"razing can be a valuable management tool to maintain high biological and cultural diversity, even if stronger cooperation and attention to local needs is necessary.")</f>
        <v>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v>
      </c>
      <c r="C80" s="24" t="str">
        <f>IFERROR(__xludf.DUMMYFUNCTION("""COMPUTED_VALUE"""),"10.3390/land10090957")</f>
        <v>10.3390/land10090957</v>
      </c>
      <c r="D80" s="24" t="str">
        <f>IFERROR(__xludf.DUMMYFUNCTION("""COMPUTED_VALUE"""),"Keck et al")</f>
        <v>Keck et al</v>
      </c>
      <c r="E80" s="24" t="str">
        <f>IFERROR(__xludf.DUMMYFUNCTION("""COMPUTED_VALUE"""),"WOS:000699625200001")</f>
        <v>WOS:000699625200001</v>
      </c>
      <c r="F80" s="24" t="str">
        <f>IFERROR(__xludf.DUMMYFUNCTION("""COMPUTED_VALUE"""),"[""ELIGIBLE""]")</f>
        <v>["ELIGIBLE"]</v>
      </c>
    </row>
    <row r="81">
      <c r="A81" s="24" t="str">
        <f>IFERROR(__xludf.DUMMYFUNCTION("""COMPUTED_VALUE"""),"Recent changes in the plant composition of wetlands in the Jura Mountains")</f>
        <v>Recent changes in the plant composition of wetlands in the Jura Mountains</v>
      </c>
      <c r="B81" s="24" t="str">
        <f>IFERROR(__xludf.DUMMYFUNCTION("""COMPUTED_VALUE"""),"AimTo assess vegetation changes in montane fens and wet meadows and their causes over 38years. LocationWetlands, Jura Mountains (Switzerland and France). MethodsPlots were inventoried in 1974 and re-located in 2012 (quasi-permanent plots) on the basis of "&amp;"sketches to assess changes in plant communities. The 110 plots belonged to five phytosociological alliances, two in oligotrophic fens (Caricion davallianae, Caricion fuscae) and three in wet meadows (Calthion, Molinion, Filipendulion). Changes between sur"&amp;"veys were assessed with NMDS, and changes in species richness, Simpson diversity, species cover and frequency and the causes of these changes were evaluated by comparing ecological indicator values. ResultsChanges in species composition varied between all"&amp;"iances, with a general trend towards more nutrient-rich flora with less light at ground level. Species diversity declined, with a marked decreasing trend for the typical species of each alliance. These species were partly replaced by species belonging to "&amp;"nitrophilous and mesophilous grasslands. However, no trend towards drier conditions was detected in these wetlands. The largest changes, with an important colonization by nitrophilous species, occurred in the Swiss sites, where grazing was banned 25years "&amp;"ago. As a result of floral shifts, many plots previously belonging to fens or wet mesotrophic meadows shifted to an alliance of the wet meadows, generally Filipendulion. Moreover, communities showed a slight trend towards more thermophilous flora. Conclus"&amp;"ionsThe investigated wetlands in the Jura Mountains have suffered mainly from eutrophication due to land-use abandonment and N deposition, with a loss of typical species. Areas with constant land use (grazing or mowing) showed less marked changes in speci"&amp;"es composition. The most important action to conserve these wetlands is to maintain or reintroduce the traditional practices of extensive mowing and livestock grazing in the wetlands, especially in areas where they were abandoned 25years ago. This previou"&amp;"s land-use change was intended to improve fen conservation, but it was obviously the wrong measure for conservation purposes.")</f>
        <v>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v>
      </c>
      <c r="C81" s="24" t="str">
        <f>IFERROR(__xludf.DUMMYFUNCTION("""COMPUTED_VALUE"""),"10.1111/avsc.12338")</f>
        <v>10.1111/avsc.12338</v>
      </c>
      <c r="D81" s="24" t="str">
        <f>IFERROR(__xludf.DUMMYFUNCTION("""COMPUTED_VALUE"""),"Keck et al")</f>
        <v>Keck et al</v>
      </c>
      <c r="E81" s="24" t="str">
        <f>IFERROR(__xludf.DUMMYFUNCTION("""COMPUTED_VALUE"""),"WOS:000425120600014")</f>
        <v>WOS:000425120600014</v>
      </c>
      <c r="F81" s="24" t="str">
        <f>IFERROR(__xludf.DUMMYFUNCTION("""COMPUTED_VALUE"""),"[""ELIGIBLE""]")</f>
        <v>["ELIGIBLE"]</v>
      </c>
    </row>
    <row r="82">
      <c r="A82" s="24" t="str">
        <f>IFERROR(__xludf.DUMMYFUNCTION("""COMPUTED_VALUE"""),"No single driver of biodiversity: divergent responses of multiple taxa across land use types")</f>
        <v>No single driver of biodiversity: divergent responses of multiple taxa across land use types</v>
      </c>
      <c r="B82" s="24" t="str">
        <f>IFERROR(__xludf.DUMMYFUNCTION("""COMPUTED_VALUE"""),"Understanding the responses of biodiversity to different land use regimes is critical for managing biodiversity in the face of future land use change. However, there is still significant uncertainty around how consistent the responses of different taxonom"&amp;"ic groups to land use change are. Here, we use a combination of high-throughput environmental DNA sequencing and traditional field-based survey methods to examine how patterns of richness and community composition correlate among four domains/kingdoms (ba"&amp;"cteria, fungi, plants, and metazoans) and the four most-abundant animal taxonomic groups (arachnids, Collembola, insects, and nematodes) across five different land use types (natural forest, planted forest, unimproved grassland, improved grassland, and vi"&amp;"neyards). Richness for each taxonomic group varied between land use types, yet different taxa showed inconsistent responses to land use, and their richness was rarely correlated. This contrasted with community composition of taxonomic groups, for which th"&amp;"ere was relatively good discrimination of land use types and there was strong correlation between group responses. We found little evidence for consistent drivers of taxonomic richness, yet identified several significant drivers of community composition t"&amp;"hat were shared across many groups. Drivers of composition were not the same as the drivers of diversity, suggesting diversity and composition are independently controlled. While land use intensification has been viewed as having generally negative effect"&amp;"s on biodiversity, our results provide evidence that different taxa respond divergently across different land uses. Further, our study demonstrates the power of high-throughput sequencing of environmental DNA as a tool for addressing broad ecological patt"&amp;"erns relating to landscape biodiversity.")</f>
        <v>Understanding the responses of biodiversity to different land use regimes is critical for managing biodiversity in the face of future land use change. However, there is still significant uncertainty around how consistent the responses of different taxonomic groups to land use change are. Here, we use a combination of high-throughput environmental DNA sequencing and traditional field-based survey methods to examine how patterns of richness and community composition correlate among four domains/kingdoms (bacteria, fungi, plants, and metazoans) and the four most-abundant animal taxonomic groups (arachnids, Collembola, insects, and nematodes) across five different land use types (natural forest, planted forest, unimproved grassland, improved grassland, and vineyards). Richness for each taxonomic group varied between land use types, yet different taxa showed inconsistent responses to land use, and their richness was rarely correlated. This contrasted with community composition of taxonomic groups, for which there was relatively good discrimination of land use types and there was strong correlation between group responses. We found little evidence for consistent drivers of taxonomic richness, yet identified several significant drivers of community composition that were shared across many groups. Drivers of composition were not the same as the drivers of diversity, suggesting diversity and composition are independently controlled. While land use intensification has been viewed as having generally negative effects on biodiversity, our results provide evidence that different taxa respond divergently across different land uses. Further, our study demonstrates the power of high-throughput sequencing of environmental DNA as a tool for addressing broad ecological patterns relating to landscape biodiversity.</v>
      </c>
      <c r="C82" s="24" t="str">
        <f>IFERROR(__xludf.DUMMYFUNCTION("""COMPUTED_VALUE"""),"10.1002/ecs2.1997")</f>
        <v>10.1002/ecs2.1997</v>
      </c>
      <c r="D82" s="24" t="str">
        <f>IFERROR(__xludf.DUMMYFUNCTION("""COMPUTED_VALUE"""),"Keck et al")</f>
        <v>Keck et al</v>
      </c>
      <c r="E82" s="24" t="str">
        <f>IFERROR(__xludf.DUMMYFUNCTION("""COMPUTED_VALUE"""),"WOS:000417330000013")</f>
        <v>WOS:000417330000013</v>
      </c>
      <c r="F82" s="24" t="str">
        <f>IFERROR(__xludf.DUMMYFUNCTION("""COMPUTED_VALUE"""),"[""ELIGIBLE""]")</f>
        <v>["ELIGIBLE"]</v>
      </c>
    </row>
    <row r="83">
      <c r="A83" s="24" t="str">
        <f>IFERROR(__xludf.DUMMYFUNCTION("""COMPUTED_VALUE"""),"Climate-land-use interactions shape tropical mountain biodiversity and ecosystem functions")</f>
        <v>Climate-land-use interactions shape tropical mountain biodiversity and ecosystem functions</v>
      </c>
      <c r="B83" s="24" t="str">
        <f>IFERROR(__xludf.DUMMYFUNCTION("""COMPUTED_VALUE"""),"Agriculture and the exploitation of natural resources have transformed tropical mountain ecosystems across the world, and the consequences of these transformations for biodiversity and ecosystem functioning are largely unknown(1-3). Conclusions that are d"&amp;"erived from studies in non-mountainous areas are not suitable for predicting the effects of land-use changes on tropical mountains because the climatic environment rapidly changes with elevation, which may mitigate or amplify the effects of land use(4,5)."&amp;" It is of key importance to understand how the interplay of climate and land use constrains biodiversity and ecosystem functions to determine the consequences of global change for mountain ecosystems. Here we show that the interacting effects of climate a"&amp;"nd land use reshape elevational trends in biodiversity and ecosystem functions on Africa's largest mountain, Mount Kilimanjaro (Tanzania). We find that increasing land-use intensity causes larger losses of plant and animal species richness in the arid low"&amp;"lands than in humid submontane and montane zones. Increases in land-use intensity are associated with significant changes in the composition of plant, animal and microorganism communities; stronger modifications of plant and animal communities occur in ar"&amp;"id and humid ecosystems, respectively. Temperature, precipitation and land use jointly modulate soil properties, nutrient turnover, greenhouse gas emissions, plant biomass and productivity, as well as animal interactions. Our data suggest that the respons"&amp;"e of ecosystem functions to land-use intensity depends strongly on climate; more-severe changes in ecosystem functioning occur in the arid lowlands and the cold montane zone. Interactions between climate and land use explained-on average-54% of the variat"&amp;"ion in species richness, species composition and ecosystem functions, whereas only 30% of variation was related to single drivers. Our study reveals that climate can modulate the effects of land use on biodiversity and ecosystem functioning, and points to"&amp;" a lowered resistance of ecosystems in climatically challenging environments to ongoing land-use changes in tropical mountainous regions.")</f>
        <v>Agriculture and the exploitation of natural resources have transformed tropical mountain ecosystems across the world, and the consequences of these transformations for biodiversity and ecosystem functioning are largely unknown(1-3). Conclusions that are derived from studies in non-mountainous areas are not suitable for predicting the effects of land-use changes on tropical mountains because the climatic environment rapidly changes with elevation, which may mitigate or amplify the effects of land use(4,5). It is of key importance to understand how the interplay of climate and land use constrains biodiversity and ecosystem functions to determine the consequences of global change for mountain ecosystems. Here we show that the interacting effects of climate and land use reshape elevational trends in biodiversity and ecosystem functions on Africa's largest mountain, Mount Kilimanjaro (Tanzania). We find that increasing land-use intensity causes larger losses of plant and animal species richness in the arid lowlands than in humid submontane and montane zones. Increases in land-use intensity are associated with significant changes in the composition of plant, animal and microorganism communities; stronger modifications of plant and animal communities occur in arid and humid ecosystems, respectively. Temperature, precipitation and land use jointly modulate soil properties, nutrient turnover, greenhouse gas emissions, plant biomass and productivity, as well as animal interactions. Our data suggest that the response of ecosystem functions to land-use intensity depends strongly on climate; more-severe changes in ecosystem functioning occur in the arid lowlands and the cold montane zone. Interactions between climate and land use explained-on average-54% of the variation in species richness, species composition and ecosystem functions, whereas only 30% of variation was related to single drivers. Our study reveals that climate can modulate the effects of land use on biodiversity and ecosystem functioning, and points to a lowered resistance of ecosystems in climatically challenging environments to ongoing land-use changes in tropical mountainous regions.</v>
      </c>
      <c r="C83" s="24" t="str">
        <f>IFERROR(__xludf.DUMMYFUNCTION("""COMPUTED_VALUE"""),"10.1038/s41586-019-1048-z")</f>
        <v>10.1038/s41586-019-1048-z</v>
      </c>
      <c r="D83" s="24" t="str">
        <f>IFERROR(__xludf.DUMMYFUNCTION("""COMPUTED_VALUE"""),"Keck et al")</f>
        <v>Keck et al</v>
      </c>
      <c r="E83" s="24" t="str">
        <f>IFERROR(__xludf.DUMMYFUNCTION("""COMPUTED_VALUE"""),"WOS:000463384900045")</f>
        <v>WOS:000463384900045</v>
      </c>
      <c r="F83" s="24" t="str">
        <f>IFERROR(__xludf.DUMMYFUNCTION("""COMPUTED_VALUE"""),"[""ELIGIBLE""]")</f>
        <v>["ELIGIBLE"]</v>
      </c>
    </row>
    <row r="84">
      <c r="A84" s="24" t="str">
        <f>IFERROR(__xludf.DUMMYFUNCTION("""COMPUTED_VALUE"""),"Ground-dwelling ant diversity in Amazonian secondary forests and neighboring pastures")</f>
        <v>Ground-dwelling ant diversity in Amazonian secondary forests and neighboring pastures</v>
      </c>
      <c r="B84" s="24" t="str">
        <f>IFERROR(__xludf.DUMMYFUNCTION("""COMPUTED_VALUE"""),"The expansion of livestock farming is one of the main causes of deforestation in the Brazilian Amazon. Intensive land use for beef production can cause changes, affecting native fauna composition and species richness. Ants are important organism of soil b"&amp;"iota in tropical forests, mainly for their ecological attributes and their remarkable abundance. We investigated the effects of habitat loss by livestock farming on the richness and composition of ground-dwelling ants in the Brazilian Amazon. Ants were ca"&amp;"ptured in five areas of secondary forests and pastures using pitfall traps for 48 h. Our results showed that the ant richness did not differ between habitats (p = 0.89). However, the species composition was different, resulting in two segregated clusters:"&amp;" one formed by forest areas and one by those of pasture. An indicator species analysis underscored the occurrence of three species that can be considered typical of the secondary forest, while a subset of four species from pasture, which probably tolerate"&amp;" land-use disturbance by livestock farming. Our results suggest the importance of maintaining secondary forests for biodiversity conservation and that livestock farming directly affects the taxonomic composition of ant species in the Amazonian biome.")</f>
        <v>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v>
      </c>
      <c r="C84" s="24" t="str">
        <f>IFERROR(__xludf.DUMMYFUNCTION("""COMPUTED_VALUE"""),"10.1007/s42965-021-00146-5")</f>
        <v>10.1007/s42965-021-00146-5</v>
      </c>
      <c r="D84" s="24" t="str">
        <f>IFERROR(__xludf.DUMMYFUNCTION("""COMPUTED_VALUE"""),"Keck et al")</f>
        <v>Keck et al</v>
      </c>
      <c r="E84" s="24" t="str">
        <f>IFERROR(__xludf.DUMMYFUNCTION("""COMPUTED_VALUE"""),"WOS:000617844500001")</f>
        <v>WOS:000617844500001</v>
      </c>
      <c r="F84" s="24" t="str">
        <f>IFERROR(__xludf.DUMMYFUNCTION("""COMPUTED_VALUE"""),"[""ELIGIBLE""]")</f>
        <v>["ELIGIBLE"]</v>
      </c>
    </row>
    <row r="85">
      <c r="A85" s="24" t="str">
        <f>IFERROR(__xludf.DUMMYFUNCTION("""COMPUTED_VALUE"""),"Combining functional traits and phylogeny to disentangling Amazonian butterfly assemblages on anthropogenic gradients")</f>
        <v>Combining functional traits and phylogeny to disentangling Amazonian butterfly assemblages on anthropogenic gradients</v>
      </c>
      <c r="B85" s="24" t="str">
        <f>IFERROR(__xludf.DUMMYFUNCTION("""COMPUTED_VALUE"""),"Environmental gradients consist of sequential changes in the physical and structural characteristics of a region. These allow us to follow species responses and tolerances under different habitat conditions. Among them, forest fragmentation and succession"&amp;" comprise the most common examples of forest gradients, where organismal responses require distinct morphological, physiological, and behavioral adaptations. However, environmental changes can impose ecological and evolutionary constraints that act on spe"&amp;"cies traits, as well as on local species assemblies through their phylogenetic history. In this study, we evaluated the differences in species distribution and composition on fruit-feeding butterfly assemblages along forest fragmentation and succession gr"&amp;"adients. We combine functional and phylogenetic methods for determining butterfly assemblages, and inferred species resistance and resilience according to habitat changes in tropical forests. We used a database of 471 fruit-feeding butterflies of 60 speci"&amp;"es sampled from different environments in the central Amazon rainforest. A total of 13 functional traits were measured, and a phylogenetic tree was obtained for the sampled species. The trait-environment relationship was analyzed along both forest fragmen"&amp;"tation and succession gradients, controlling for phylogenetic signal on species distribution and functional composition when necessary. Several traits presented phylogenetic signal, and phylogeny was also driving butterfly species distribution along the s"&amp;"uccessional gradient. After controlling for phylogeny, individual characteristics related to flight speed (thoracic weight) and anti-predatory strategies (camouflage) increased in early-successional forests, with large butterflies (body length) prevailing"&amp;" in primary forests. No clear functional and phylogenetic pattern was identified for the fragmentation gradient. Our results are consistent with the idea that butterflies may be employing distinct functional strategies to attenuate habitat change effects."&amp;" Larger butterflies, with lower dispersal ability, are preferentially susceptible to local extinctions in the early-successional environments, mainly when forested habitat and its resources become spatially restricted. In addition, several anti-predatory "&amp;"strategies related to conspicuous colors may be losing their functionality in open areas, where not being distinctive against the background becomes the primary defense against predation.")</f>
        <v>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v>
      </c>
      <c r="C85" s="24" t="str">
        <f>IFERROR(__xludf.DUMMYFUNCTION("""COMPUTED_VALUE"""),"10.1002/ecs2.2837")</f>
        <v>10.1002/ecs2.2837</v>
      </c>
      <c r="D85" s="24" t="str">
        <f>IFERROR(__xludf.DUMMYFUNCTION("""COMPUTED_VALUE"""),"Keck et al")</f>
        <v>Keck et al</v>
      </c>
      <c r="E85" s="24" t="str">
        <f>IFERROR(__xludf.DUMMYFUNCTION("""COMPUTED_VALUE"""),"WOS:000483832300015")</f>
        <v>WOS:000483832300015</v>
      </c>
      <c r="F85" s="24" t="str">
        <f>IFERROR(__xludf.DUMMYFUNCTION("""COMPUTED_VALUE"""),"[""ELIGIBLE""]")</f>
        <v>["ELIGIBLE"]</v>
      </c>
    </row>
    <row r="86">
      <c r="A86" s="24" t="str">
        <f>IFERROR(__xludf.DUMMYFUNCTION("""COMPUTED_VALUE"""),"Frequent wildfires erode tree persistence and alter stand structure and initial composition of a fire-tolerant sub-alpine forest")</f>
        <v>Frequent wildfires erode tree persistence and alter stand structure and initial composition of a fire-tolerant sub-alpine forest</v>
      </c>
      <c r="B86" s="24" t="str">
        <f>IFERROR(__xludf.DUMMYFUNCTION("""COMPUTED_VALUE"""),"Question: Frequent severe wildfires have the potential to alter the structure and composition of forests in temperate biomes. While temperate forests dominated by resprouting trees are thought to be largely invulnerable to more frequent wildfires, empiric"&amp;"al data to support this assumption are lacking. Does frequent fire erode tree persistence by increasing mortality and reducing regeneration, and what are the broader impacts on forest structure and understorey composition? Location: Sub-alpine open Eucaly"&amp;"ptus pauciflora forests, Australian Alps, Victoria, Australia. Methods: We examined tree persistence and understorey composition of E. pauciflora open forests that were unburned, burned once, twice or three times by high-severity wildfires between 2003 an"&amp;"d 2013. At each of 20 sites (five per fire frequency class) we assessed extent of top-kill and mortality of eucalypt clumps, spatial configuration of surviving and dead clumps, densities of new and ligno-tuberous eucalypt seedlings, and shrub and grass co"&amp;"ver. Results: At least 2 yr after the last wildfire, proportions of top-killed E. pauciflora stems were significantly higher, and densities of live basal resprouts significantly lower, at sites burned two or three times compared to once burned or unburned"&amp;" sites. Clump death increased to 50% of individuals at sites burned by three short-interval wildfires, which led to changes in live tree patchiness, as indicated by nearest-neighbour indices. Increased tree mortality was not offset by seedling recruitment"&amp;", which was significantly lower at the twice-and thrice-burned sites relative to single-burn sites - although seedling recruitment was also influenced by topography and coarse woody debris. In addition to changes in the tree layer, the prominence of under"&amp;"storey shrubs was substantially reduced, and the frequency of grasses markedly increased, after two, and particularly three wildfires. Conclusions: Our study provides strong empirical evidence of ecologically significant change in E. pauciflora forests af"&amp;"ter short-interval severe wildfires, namely, erosion of the persistence niche of resprouting trees, and a shift in understorey dominance from shrubs to grasses. Our findings highlight the need to consider the impacts of compounded perturbation on forests "&amp;"under changing climates, including testing assumptions of long-term persistence of resprouter-dominated communities.")</f>
        <v>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v>
      </c>
      <c r="C86" s="24" t="str">
        <f>IFERROR(__xludf.DUMMYFUNCTION("""COMPUTED_VALUE"""),"10.1111/jvs.12575")</f>
        <v>10.1111/jvs.12575</v>
      </c>
      <c r="D86" s="24" t="str">
        <f>IFERROR(__xludf.DUMMYFUNCTION("""COMPUTED_VALUE"""),"Keck et al")</f>
        <v>Keck et al</v>
      </c>
      <c r="E86" s="24" t="str">
        <f>IFERROR(__xludf.DUMMYFUNCTION("""COMPUTED_VALUE"""),"WOS:000423189400006")</f>
        <v>WOS:000423189400006</v>
      </c>
      <c r="F86" s="24" t="str">
        <f>IFERROR(__xludf.DUMMYFUNCTION("""COMPUTED_VALUE"""),"[""ELIGIBLE""]")</f>
        <v>["ELIGIBLE"]</v>
      </c>
    </row>
    <row r="87">
      <c r="A87" s="24" t="str">
        <f>IFERROR(__xludf.DUMMYFUNCTION("""COMPUTED_VALUE"""),"Fire drives abandoned pastures to a savanna-like state in the Brazilian Atlantic Forest")</f>
        <v>Fire drives abandoned pastures to a savanna-like state in the Brazilian Atlantic Forest</v>
      </c>
      <c r="B87" s="24" t="str">
        <f>IFERROR(__xludf.DUMMYFUNCTION("""COMPUTED_VALUE"""),"Most tropical forests are threatened by a myriad of human-induced disturbances, associated with land use changes, altered fire regimes and direct deforestation. The combined effect of multiple disturbances can shift forests towards a new, resilient state "&amp;"that is qualitatively distinct in structure, species composition and function. We found that abandoned pastures affected by fires in the Brazilian Atlantic forest showed similarity in terms of vegetation structure and plant functional traits to a savanna-"&amp;"like ecosystem. Burned communities exhibited more C-4 grass cover, higher proportion of resprouts and lower canopy cover as compared to the old-growth forest. Moreover, 79% of woody species at the burned sites are generalists with a widespread distributio"&amp;"n, which includes the cerrado (Brazilian savanna). Woody species composition was strikingly different from old-growth forests, since burned sites were dominated by Moquiniastrum polymorphum (Less.) G. Sancho (Asteraceae), a fire-resistant species with a r"&amp;"uderal behavior that was absent in the old-growth forests. The results observed in this study provide biological evidence for an arrested succession with the establishment of a savanna-like ecosystem as an alternative stable state. These findings reinforc"&amp;"e the notion that the establishment of an alternative stable state (e.g., savanna-like state) hypothesis for the Brazilian Atlantic Forest should be considered, especially under the current climate change scenarios. (C) 2019 Associacao Brasileira de Cienc"&amp;"ia Ecologica e Conservacao. Published by Elsevier Editora Ltda.")</f>
        <v>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v>
      </c>
      <c r="C87" s="24" t="str">
        <f>IFERROR(__xludf.DUMMYFUNCTION("""COMPUTED_VALUE"""),"10.1016/j.pecon.2019.12.004")</f>
        <v>10.1016/j.pecon.2019.12.004</v>
      </c>
      <c r="D87" s="24" t="str">
        <f>IFERROR(__xludf.DUMMYFUNCTION("""COMPUTED_VALUE"""),"Keck et al")</f>
        <v>Keck et al</v>
      </c>
      <c r="E87" s="24" t="str">
        <f>IFERROR(__xludf.DUMMYFUNCTION("""COMPUTED_VALUE"""),"WOS:000524750600004")</f>
        <v>WOS:000524750600004</v>
      </c>
      <c r="F87" s="24" t="str">
        <f>IFERROR(__xludf.DUMMYFUNCTION("""COMPUTED_VALUE"""),"[""ELIGIBLE""]")</f>
        <v>["ELIGIBLE"]</v>
      </c>
    </row>
    <row r="88">
      <c r="A88" s="24" t="str">
        <f>IFERROR(__xludf.DUMMYFUNCTION("""COMPUTED_VALUE"""),"Context-dependent effects of large-wildlife declines on small-mammal communities in central Kenya")</f>
        <v>Context-dependent effects of large-wildlife declines on small-mammal communities in central Kenya</v>
      </c>
      <c r="B88" s="24" t="str">
        <f>IFERROR(__xludf.DUMMYFUNCTION("""COMPUTED_VALUE"""),"Many species of large wildlife have declined drastically worldwide. These reductions often lead to profound shifts in the ecology of entire communities and ecosystems. However, the effects of these large-wildlife declines on other taxa likely hinge upon b"&amp;"oth underlying abiotic properties of these systems and on the types of secondary anthropogenic changes associated with wildlife loss, making impacts difficult to predict. To better understand how these important contextual factors determine the consequenc"&amp;"es of large-wildlife declines on other animals in a community, we examined the effects of three common forms of large-wildlife loss (removal without replacement [using fences], removal followed by replacement with domestic stock, and removal accompanied b"&amp;"y crop agricultural use) on small-mammal abundance, diversity, and community composition, in landscapes that varied in several abiotic attributes (rainfall, soil fertility, land-use intensity) in central Kenya. We found that small-mammal communities were "&amp;"indeed heavily impacted by all forms of large-wildlife decline, showing, on average: (1) higher densities, (2) lower species richness per site, and (3) different species assemblages in sites from which large wildlife were removed. However, the nature and "&amp;"magnitude of these effects were strongly context dependent. Rainfall, type of land-use change, and the interaction of these two factors were key predictors of both the magnitude and type of responses of small mammals. The strongest effects, particularly a"&amp;"bundance responses, tended to be observed in low-rainfall areas. Whereas isolated wildlife removal primarily led to increased small-mammal abundance, wildlife removal associated with secondary uses (agriculture, domestic stock) had much more variable effe"&amp;"cts on abundance and stronger impacts on diversity and composition. Collectively, these results (1) highlight the importance of context in determining the impacts of large-wildlife decline on small-mammal communities, (2) emphasize the challenges in extra"&amp;"polating results from controlled experimental studies to predict the effects of wildlife declines that are accompanied by secondary land-uses, and (3) suggest that, because of the context-dependent nature of the responses to large-wildlife decline, large-"&amp;"wildlife status alone cannot be reliably used to predict small-mammal community changes.")</f>
        <v>Many species of large wildlife have declined drastically worldwide. These reductions often lead to profound shifts in the ecology of entire communities and ecosystems. However, the effects of these large-wildlife declines on other taxa likely hinge upon both underlying abiotic properties of these systems and on the types of secondary anthropogenic changes associated with wildlife loss, making impacts difficult to predict. To better understand how these important contextual factors determine the consequences of large-wildlife declines on other animals in a community, we examined the effects of three common forms of large-wildlife loss (removal without replacement [using fences], removal followed by replacement with domestic stock, and removal accompanied by crop agricultural use) on small-mammal abundance, diversity, and community composition, in landscapes that varied in several abiotic attributes (rainfall, soil fertility, land-use intensity) in central Kenya. We found that small-mammal communities were indeed heavily impacted by all forms of large-wildlife decline, showing, on average: (1) higher densities, (2) lower species richness per site, and (3) different species assemblages in sites from which large wildlife were removed. However, the nature and magnitude of these effects were strongly context dependent. Rainfall, type of land-use change, and the interaction of these two factors were key predictors of both the magnitude and type of responses of small mammals. The strongest effects, particularly abundance responses, tended to be observed in low-rainfall areas. Whereas isolated wildlife removal primarily led to increased small-mammal abundance, wildlife removal associated with secondary uses (agriculture, domestic stock) had much more variable effects on abundance and stronger impacts on diversity and composition. Collectively, these results (1) highlight the importance of context in determining the impacts of large-wildlife decline on small-mammal communities, (2) emphasize the challenges in extrapolating results from controlled experimental studies to predict the effects of wildlife declines that are accompanied by secondary land-uses, and (3) suggest that, because of the context-dependent nature of the responses to large-wildlife decline, large-wildlife status alone cannot be reliably used to predict small-mammal community changes.</v>
      </c>
      <c r="C88" s="24" t="str">
        <f>IFERROR(__xludf.DUMMYFUNCTION("""COMPUTED_VALUE"""),"10.1890/14-0995.1")</f>
        <v>10.1890/14-0995.1</v>
      </c>
      <c r="D88" s="24" t="str">
        <f>IFERROR(__xludf.DUMMYFUNCTION("""COMPUTED_VALUE"""),"Keck et al")</f>
        <v>Keck et al</v>
      </c>
      <c r="E88" s="24" t="str">
        <f>IFERROR(__xludf.DUMMYFUNCTION("""COMPUTED_VALUE"""),"WOS:000350556400004")</f>
        <v>WOS:000350556400004</v>
      </c>
      <c r="F88" s="24" t="str">
        <f>IFERROR(__xludf.DUMMYFUNCTION("""COMPUTED_VALUE"""),"[""ELIGIBLE""]")</f>
        <v>["ELIGIBLE"]</v>
      </c>
    </row>
    <row r="89">
      <c r="A89" s="24" t="str">
        <f>IFERROR(__xludf.DUMMYFUNCTION("""COMPUTED_VALUE"""),"Impact of rubber plantation on carabid beetle communities and species distribution in a changing tropical landscape (southern Yunnan, China)")</f>
        <v>Impact of rubber plantation on carabid beetle communities and species distribution in a changing tropical landscape (southern Yunnan, China)</v>
      </c>
      <c r="B89" s="24" t="str">
        <f>IFERROR(__xludf.DUMMYFUNCTION("""COMPUTED_VALUE"""),"Carabid beetles (Coleoptera: Carabidae) have widely been used to assess biodiversity values of different habitats in cultivated landscapes, but rarely in the humid tropics. This study aimed to investigate effects of land use change on the carabid assembla"&amp;"ges in a tributary valley of the Mekong River in tropical southern Yunnan, China. The study area includes habitats of traditional land use systems (rice production and shifting cultivation successions) and was dominated by natural forests until about 30 y"&amp;"ears ago. Since then, large areas of forest have been, and still are, successively transformed into commercial rubber monoculture plantations. In total, 102 species of Carabidae (including Cicindelinae) were recorded from 13 sites over different seasons, "&amp;"using pitfall traps, Malaise traps and aerial collectors in trees. Cluster analysis and indicator species analysis showed that three types of habitat (rice field fallows, early natural successions and natural forest) possess a degree of uniqueness in spec"&amp;"ies composition. Non-metric multidimensional scaling revealed that the environmental factors explaining 80% of the total variation in carabid assemblage composition are the degree of vegetational openness of a habitat and its plant species diversity. Rice"&amp;" field fallows had significantly higher numbers of species and individuals than any other type of habitat and are probably dominated by species originating from other regions. Carabid assemblages of young rubber plantations (5 and 8 years) were quantitati"&amp;"vely similar to those of forests, but without species of significant indicator value. With increasing plantation age (20 and 40 years), the number of carabid species decreased. Increasing age and a further spatial expansion of rubber plantations at the ex"&amp;"pense of forest areas will have negative impacts on the native forest carabid assemblages with strongest effects on forest specialists and rare species.")</f>
        <v>Carabid beetles (Coleoptera: Carabidae) have widely been used to assess biodiversity values of different habitats in cultivated landscapes, but rarely in the humid tropics. This study aimed to investigate effects of land use change on the carabid assemblages in a tributary valley of the Mekong River in tropical southern Yunnan, China. The study area includes habitats of traditional land use systems (rice production and shifting cultivation successions) and was dominated by natural forests until about 30 years ago. Since then, large areas of forest have been, and still are, successively transformed into commercial rubber monoculture plantations. In total, 102 species of Carabidae (including Cicindelinae) were recorded from 13 sites over different seasons, using pitfall traps, Malaise traps and aerial collectors in trees. Cluster analysis and indicator species analysis showed that three types of habitat (rice field fallows, early natural successions and natural forest) possess a degree of uniqueness in species composition. Non-metric multidimensional scaling revealed that the environmental factors explaining 80% of the total variation in carabid assemblage composition are the degree of vegetational openness of a habitat and its plant species diversity. Rice field fallows had significantly higher numbers of species and individuals than any other type of habitat and are probably dominated by species originating from other regions. Carabid assemblages of young rubber plantations (5 and 8 years) were quantitatively similar to those of forests, but without species of significant indicator value. With increasing plantation age (20 and 40 years), the number of carabid species decreased. Increasing age and a further spatial expansion of rubber plantations at the expense of forest areas will have negative impacts on the native forest carabid assemblages with strongest effects on forest specialists and rare species.</v>
      </c>
      <c r="C89" s="24" t="str">
        <f>IFERROR(__xludf.DUMMYFUNCTION("""COMPUTED_VALUE"""),"10.1007/s10841-011-9428-1")</f>
        <v>10.1007/s10841-011-9428-1</v>
      </c>
      <c r="D89" s="24" t="str">
        <f>IFERROR(__xludf.DUMMYFUNCTION("""COMPUTED_VALUE"""),"Keck et al")</f>
        <v>Keck et al</v>
      </c>
      <c r="E89" s="24" t="str">
        <f>IFERROR(__xludf.DUMMYFUNCTION("""COMPUTED_VALUE"""),"WOS:000304135600010")</f>
        <v>WOS:000304135600010</v>
      </c>
      <c r="F89" s="24" t="str">
        <f>IFERROR(__xludf.DUMMYFUNCTION("""COMPUTED_VALUE"""),"[""ELIGIBLE""]")</f>
        <v>["ELIGIBLE"]</v>
      </c>
    </row>
    <row r="90">
      <c r="A90" s="24" t="str">
        <f>IFERROR(__xludf.DUMMYFUNCTION("""COMPUTED_VALUE"""),"Plant and vegetation functional responses to cumulative high nitrogen deposition in rear-edge heathlands")</f>
        <v>Plant and vegetation functional responses to cumulative high nitrogen deposition in rear-edge heathlands</v>
      </c>
      <c r="B90" s="24" t="str">
        <f>IFERROR(__xludf.DUMMYFUNCTION("""COMPUTED_VALUE"""),"Elevated atmospheric nitrogen (N) deposition is a major driver of change, altering the structure/functioning of nutrient-poor Calluna vulgaris-heathlands over Europe. These effects amply proven for north-western/central heathlands may, however, vary acros"&amp;"s the ecosystem's distribution, especially at the range limits, as heathlands are highly vulnerable to land-use changes combined with present climate change. This is an often overlooked and greatly understudied aspect of the ecology of heathlands facing g"&amp;"lobal change. We investigated the effects of five N-fertilisation treatments simulating a range of N deposition rates (0, 10, 20, and 50 kg N ha(-1) yr(-1) for 1 year; and 56 kg N ha(-1) yr(-1) for 9 years) on the Calluna-plants, the plant functional grou"&amp;"ps, species composition and richness of two life-cycle stages (building/young-and mature-phase) of Calluna-heathlands at their rear-edge limit. Our findings revealed a dose-related response of the shoot length and number of flowers of young and mature Cal"&amp;"luna-plants to the addition of N, adhering to the findings from other heathland locations. However, cumulative high-N loading reduced the annual growth and flowering of young plants, showing early signs of N saturation. The different plant functional grou"&amp;"ps showed contrasting responses to the cumulative addition of N: annual/perennial forbs and annual graminoids increased with quite low values; perennial graminoids were rather abundant in young heathlands but only slightly augmented in mature ones; while "&amp;"bryophytes and lichens strongly declined at the two heathland life-cycle stages. Meanwhile there were no significant N-driven changes in plant species composition and richness. Our results demonstrated that Calluna-heathlands at their low-latitude distrib"&amp;"ution limit are moderately resistant to cumulative high-N loading. As north-western/central European heathlands under high-N inputs broadly experienced the loss of plant diversity and pronounced changes in plant species dominance, rear-edge locations may "&amp;"be of critical importance to unravel the mechanisms of heathland resilience to future global change. (C) 2018 Elsevier B.V. All rights reserved.")</f>
        <v>Elevated atmospheric nitrogen (N) deposition is a major driver of change, altering the structure/functioning of nutrient-poor Calluna vulgaris-heathlands over Europe. These effects amply proven for north-western/central heathlands may, however, vary across the ecosystem's distribution, especially at the range limits, as heathlands are highly vulnerable to land-use changes combined with present climate change. This is an often overlooked and greatly understudied aspect of the ecology of heathlands facing global change. We investigated the effects of five N-fertilisation treatments simulating a range of N deposition rates (0, 10, 20, and 50 kg N ha(-1) yr(-1) for 1 year; and 56 kg N ha(-1) yr(-1) for 9 years) on the Calluna-plants, the plant functional groups, species composition and richness of two life-cycle stages (building/young-and mature-phase) of Calluna-heathlands at their rear-edge limit. Our findings revealed a dose-related response of the shoot length and number of flowers of young and mature Calluna-plants to the addition of N, adhering to the findings from other heathland locations. However, cumulative high-N loading reduced the annual growth and flowering of young plants, showing early signs of N saturation. The different plant functional groups showed contrasting responses to the cumulative addition of N: annual/perennial forbs and annual graminoids increased with quite low values; perennial graminoids were rather abundant in young heathlands but only slightly augmented in mature ones; while bryophytes and lichens strongly declined at the two heathland life-cycle stages. Meanwhile there were no significant N-driven changes in plant species composition and richness. Our results demonstrated that Calluna-heathlands at their low-latitude distribution limit are moderately resistant to cumulative high-N loading. As north-western/central European heathlands under high-N inputs broadly experienced the loss of plant diversity and pronounced changes in plant species dominance, rear-edge locations may be of critical importance to unravel the mechanisms of heathland resilience to future global change. (C) 2018 Elsevier B.V. All rights reserved.</v>
      </c>
      <c r="C90" s="24" t="str">
        <f>IFERROR(__xludf.DUMMYFUNCTION("""COMPUTED_VALUE"""),"10.1016/j.scitotenv.2018.05.092")</f>
        <v>10.1016/j.scitotenv.2018.05.092</v>
      </c>
      <c r="D90" s="24" t="str">
        <f>IFERROR(__xludf.DUMMYFUNCTION("""COMPUTED_VALUE"""),"Keck et al")</f>
        <v>Keck et al</v>
      </c>
      <c r="E90" s="24" t="str">
        <f>IFERROR(__xludf.DUMMYFUNCTION("""COMPUTED_VALUE"""),"WOS:000436605400094")</f>
        <v>WOS:000436605400094</v>
      </c>
      <c r="F90" s="24" t="str">
        <f>IFERROR(__xludf.DUMMYFUNCTION("""COMPUTED_VALUE"""),"[""ELIGIBLE""]")</f>
        <v>["ELIGIBLE"]</v>
      </c>
    </row>
    <row r="91">
      <c r="A91" s="24" t="str">
        <f>IFERROR(__xludf.DUMMYFUNCTION("""COMPUTED_VALUE"""),"Experimental warming reveals positive feedbacks to climate change in the Eurasian Steppe")</f>
        <v>Experimental warming reveals positive feedbacks to climate change in the Eurasian Steppe</v>
      </c>
      <c r="B91" s="24" t="str">
        <f>IFERROR(__xludf.DUMMYFUNCTION("""COMPUTED_VALUE"""),"Identifying soil microbial feedbacks to increasing temperatures and moisture alterations is critical for predicting how terrestrial ecosystems will respond to climate change. We performed a 5-year field experiment manipulating warming, watering and their "&amp;"combination in a semiarid temperate steppe in northern China. Warming stimulated the abundance of genes responsible for degrading recalcitrant soil organic matter (SOM) and reduced SOM content by 13%. Watering, and warming plus watering also increased the"&amp;" abundance of recalcitrant SOM catabolism pathways, but concurrently promoted plant growth and increased labile SOM content, which somewhat offset SOM loss. The treatments also increased microbial biomass, community complexity and metabolic potential for "&amp;"nitrogen and sulfur assimilation. Both microbial and plant community composition shifted with the treatment conditions, and the sample-to-sample compositional variations of the two communities (pairwise a-diversity distances) were significantly correlated"&amp;". In particular, microbial community composition was substantially correlated with the dominant plant species (similar to 0.54 Spearman correlation coefficient), much more than with measured soil indices, affirming a tight coupling between both biological"&amp;" communities. Collectively, our study revealed the direction and underlying mechanisms of microbial feedbacks to warming and suggested that semiarid regions of northern steppes could act as a net carbon source under increased temperatures, unless precipit"&amp;"ation increases concurrently.")</f>
        <v>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v>
      </c>
      <c r="C91" s="24" t="str">
        <f>IFERROR(__xludf.DUMMYFUNCTION("""COMPUTED_VALUE"""),"10.1038/ismej.2016.180")</f>
        <v>10.1038/ismej.2016.180</v>
      </c>
      <c r="D91" s="24" t="str">
        <f>IFERROR(__xludf.DUMMYFUNCTION("""COMPUTED_VALUE"""),"Keck et al")</f>
        <v>Keck et al</v>
      </c>
      <c r="E91" s="24" t="str">
        <f>IFERROR(__xludf.DUMMYFUNCTION("""COMPUTED_VALUE"""),"WOS:000397281200007")</f>
        <v>WOS:000397281200007</v>
      </c>
      <c r="F91" s="24" t="str">
        <f>IFERROR(__xludf.DUMMYFUNCTION("""COMPUTED_VALUE"""),"[""ELIGIBLE""]")</f>
        <v>["ELIGIBLE"]</v>
      </c>
    </row>
    <row r="92">
      <c r="A92" s="24" t="str">
        <f>IFERROR(__xludf.DUMMYFUNCTION("""COMPUTED_VALUE"""),"Temporal dynamics influenced by global change: bee community phenology in urban, agricultural, and natural landscapes")</f>
        <v>Temporal dynamics influenced by global change: bee community phenology in urban, agricultural, and natural landscapes</v>
      </c>
      <c r="B92" s="24" t="str">
        <f>IFERROR(__xludf.DUMMYFUNCTION("""COMPUTED_VALUE"""),"Urbanization and agricultural intensification of landscapes are important drivers of global change, which in turn have direct impacts on local ecological communities leading to shifts in species distributions and interactions. Here, we illustrate how huma"&amp;"n-altered landscapes, with novel ornamental and crop plant communities, result not only in changes to local community diversity of floral-dependent species, but also in shifts in seasonal abundance of bee pollinators. Three years of data on the spatio-tem"&amp;"poral distributions of 91 bee species show that seasonal patterns of abundance and species richness in human-altered landscapes varied significantly less compared to natural habitats in which floral resources are relatively scarce in the dry summer months"&amp;". These findings demonstrate that anthropogenic environmental changes in urban and agricultural systems, here mediated through changes in plant resources and water inputs, can alter the temporal dynamics of pollinators that depend on them. Changes in phen"&amp;"ology of interactions can be an important, though frequently overlooked, mechanism of global change.")</f>
        <v>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v>
      </c>
      <c r="C92" s="24" t="str">
        <f>IFERROR(__xludf.DUMMYFUNCTION("""COMPUTED_VALUE"""),"10.1111/gcb.13141")</f>
        <v>10.1111/gcb.13141</v>
      </c>
      <c r="D92" s="24" t="str">
        <f>IFERROR(__xludf.DUMMYFUNCTION("""COMPUTED_VALUE"""),"Keck et al")</f>
        <v>Keck et al</v>
      </c>
      <c r="E92" s="24" t="str">
        <f>IFERROR(__xludf.DUMMYFUNCTION("""COMPUTED_VALUE"""),"WOS:000370491400008")</f>
        <v>WOS:000370491400008</v>
      </c>
      <c r="F92" s="24" t="str">
        <f>IFERROR(__xludf.DUMMYFUNCTION("""COMPUTED_VALUE"""),"[""ELIGIBLE""]")</f>
        <v>["ELIGIBLE"]</v>
      </c>
    </row>
    <row r="93">
      <c r="A93" s="24" t="str">
        <f>IFERROR(__xludf.DUMMYFUNCTION("""COMPUTED_VALUE"""),"Warming threat compounds habitat degradation impacts on a tropical butterfly community in Vietnam")</f>
        <v>Warming threat compounds habitat degradation impacts on a tropical butterfly community in Vietnam</v>
      </c>
      <c r="B93" s="24" t="str">
        <f>IFERROR(__xludf.DUMMYFUNCTION("""COMPUTED_VALUE"""),"Species are threatened globally by multiple and often synergistic environmental changes including habitat loss, fragmentation and climate change. However, how these changes act in concert is poorly understood, especially in the tropics where the vast majo"&amp;"rity of biodiversity resides. Here, using a unique dataset covering 10 years of butterfly surveys (2003-2013) at Tam Dao National Park in northern Vietnam, we examined the combined impacts of habitat degradation (following intensive infrastructure develop"&amp;"ment in 2005) and the possible threat of warming (extrapolating upon the relationship between natural climatic variation and community indices) for tropical butterfly communities. We found that both habitat degradation and warmer temperatures led to fewer"&amp;" narrow-range and forest-associated species comprising the sampled communities. Under projected climate change scenarios, the impact of warming was comparable to habitat degradation with respect to community change, and degraded forest communities were pr"&amp;"ojected to shift towards cosmopolitan and non-forest species even more. The tropics have been heavily deforested world-wide and also suffer from heavy impacts of degradation and fragmentation, especially road construction. Warming will compound habitat de"&amp;"gradation impacts such that the conservation of tropical biodiversity will require addressing these multiple global changes simultaneously. (C) 2016 The Authors. Published by Elsevier B.V.")</f>
        <v>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v>
      </c>
      <c r="C93" s="24" t="str">
        <f>IFERROR(__xludf.DUMMYFUNCTION("""COMPUTED_VALUE"""),"10.1016/j.gecco.2016.09.003")</f>
        <v>10.1016/j.gecco.2016.09.003</v>
      </c>
      <c r="D93" s="24" t="str">
        <f>IFERROR(__xludf.DUMMYFUNCTION("""COMPUTED_VALUE"""),"Keck et al")</f>
        <v>Keck et al</v>
      </c>
      <c r="E93" s="24" t="str">
        <f>IFERROR(__xludf.DUMMYFUNCTION("""COMPUTED_VALUE"""),"WOS:000413277200020")</f>
        <v>WOS:000413277200020</v>
      </c>
      <c r="F93" s="24" t="str">
        <f>IFERROR(__xludf.DUMMYFUNCTION("""COMPUTED_VALUE"""),"[""ELIGIBLE""]")</f>
        <v>["ELIGIBLE"]</v>
      </c>
    </row>
    <row r="94">
      <c r="A94" s="24" t="str">
        <f>IFERROR(__xludf.DUMMYFUNCTION("""COMPUTED_VALUE"""),"Variations in the endemic fish assemblage of a global freshwater ecoregion: Associations with introduced species in cascading reservoirs")</f>
        <v>Variations in the endemic fish assemblage of a global freshwater ecoregion: Associations with introduced species in cascading reservoirs</v>
      </c>
      <c r="B94" s="24" t="str">
        <f>IFERROR(__xludf.DUMMYFUNCTION("""COMPUTED_VALUE"""),"The present study aimed at assessing spatial and temporal changes in the composition and structure of an endemic fish assemblage and the possible associations with introduces species in a system of cascading reservoirs, in Iguacu River, state of Parana, s"&amp;"outhern Brazil. We collected 135,639 specimens: 131,716 individuals of endemic species and 3923 of introduced species. The most abundant introduced species were: Odontesthes bonariensis (85.1%), Prochilodus lineatus (7.5%) and Tilapia rendalli (4.9%). Sig"&amp;"nificant spatial and temporal differences in richness were observed for both endemic and introduced species. The composition and structure of the assemblage of endemic and introduced fish exhibited significant spatial differences. The Procrustes analysis "&amp;"showed a significant spatial association between composition and structure of the assemblage of endemic and introduced fish in Iguacu River. Changes in the endemic fish assemblage of Iguacu River related to the establishment of introduced species and to h"&amp;"abitat changes caused by cascading reservoirs enable advancing knowledge on environmental impacts in freshwater ecoregions. (C) 2012 Published by Elsevier Masson SAS.")</f>
        <v>The present study aimed at assessing spatial and temporal changes in the composition and structure of an endemic fish assemblage and the possible associations with introduces species in a system of cascading reservoirs, in Iguacu River, state of Parana, southern Brazil. We collected 135,639 specimens: 131,716 individuals of endemic species and 3923 of introduced species. The most abundant introduced species were: Odontesthes bonariensis (85.1%), Prochilodus lineatus (7.5%) and Tilapia rendalli (4.9%). Significant spatial and temporal differences in richness were observed for both endemic and introduced species. The composition and structure of the assemblage of endemic and introduced fish exhibited significant spatial differences. The Procrustes analysis showed a significant spatial association between composition and structure of the assemblage of endemic and introduced fish in Iguacu River. Changes in the endemic fish assemblage of Iguacu River related to the establishment of introduced species and to habitat changes caused by cascading reservoirs enable advancing knowledge on environmental impacts in freshwater ecoregions. (C) 2012 Published by Elsevier Masson SAS.</v>
      </c>
      <c r="C94" s="24" t="str">
        <f>IFERROR(__xludf.DUMMYFUNCTION("""COMPUTED_VALUE"""),"10.1016/j.actao.2012.04.005")</f>
        <v>10.1016/j.actao.2012.04.005</v>
      </c>
      <c r="D94" s="24" t="str">
        <f>IFERROR(__xludf.DUMMYFUNCTION("""COMPUTED_VALUE"""),"Keck et al")</f>
        <v>Keck et al</v>
      </c>
      <c r="E94" s="24" t="str">
        <f>IFERROR(__xludf.DUMMYFUNCTION("""COMPUTED_VALUE"""),"WOS:000306090700012")</f>
        <v>WOS:000306090700012</v>
      </c>
      <c r="F94" s="24" t="str">
        <f>IFERROR(__xludf.DUMMYFUNCTION("""COMPUTED_VALUE"""),"[""ELIGIBLE""]")</f>
        <v>["ELIGIBLE"]</v>
      </c>
    </row>
    <row r="95">
      <c r="A95" s="24" t="str">
        <f>IFERROR(__xludf.DUMMYFUNCTION("""COMPUTED_VALUE"""),"When the winners are the losers: Invasive alien bird species outcompete the native winners in the biotic homogenization process")</f>
        <v>When the winners are the losers: Invasive alien bird species outcompete the native winners in the biotic homogenization process</v>
      </c>
      <c r="B95" s="24" t="str">
        <f>IFERROR(__xludf.DUMMYFUNCTION("""COMPUTED_VALUE"""),"Species are declining worldwide, but while some are becoming threatened, few others thrive under novel environmental conditions. Land use changes and biological invasion are the main drivers of this 'biotic homogenization' (BH) that increasingly occurs in"&amp;" human-dominated landscapes. Among birds, several groups of species have been identified as 'winners' in this process (e.g. invasive and native urban specialists and generalist species). Yet, as populations continue to grow, competition can appear between"&amp;" those groups and it is not yet clear who are the primary 'winners' in the BH process. Here, we analyze trends of common native and non-native birds during the last 15 years across Israel, where large populations of very destructive invasive alien bird sp"&amp;"ecies were introduced towards the end of the previous century, using a nation-wide citizen-science program, and two local standardized surveys. Community and population analyses showed that the non-native species are the primary 'winners' of the BH proces"&amp;"s. Native urban specialists and generalist species that were previously considered as 'winners' are now among the 'losers'. For instance, populations of the invasive common myna increased dramatically, while populations of the previously widespread house "&amp;"sparrow strongly decreased. Previous studies conducted in Israel have shed light on the mechanisms through which invasive bird species can impact native species, notably competition. We show that these processes are among the key factors that drive popula"&amp;"tion declines and changes in bird communities. This highlights the importance of acting now, especially since non-native species are currently spreading from human-dominated areas to more natural environments.")</f>
        <v>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v>
      </c>
      <c r="C95" s="24" t="str">
        <f>IFERROR(__xludf.DUMMYFUNCTION("""COMPUTED_VALUE"""),"10.1016/j.biocon.2019.108314")</f>
        <v>10.1016/j.biocon.2019.108314</v>
      </c>
      <c r="D95" s="24" t="str">
        <f>IFERROR(__xludf.DUMMYFUNCTION("""COMPUTED_VALUE"""),"Keck et al")</f>
        <v>Keck et al</v>
      </c>
      <c r="E95" s="24" t="str">
        <f>IFERROR(__xludf.DUMMYFUNCTION("""COMPUTED_VALUE"""),"WOS:000518695100058")</f>
        <v>WOS:000518695100058</v>
      </c>
      <c r="F95" s="24" t="str">
        <f>IFERROR(__xludf.DUMMYFUNCTION("""COMPUTED_VALUE"""),"[""ELIGIBLE""]")</f>
        <v>["ELIGIBLE"]</v>
      </c>
    </row>
    <row r="96">
      <c r="A96" s="24" t="str">
        <f>IFERROR(__xludf.DUMMYFUNCTION("""COMPUTED_VALUE"""),"Drylands soil bacterial community is affected by land use change and different irrigation practices in the Mezquital Valley, Mexico")</f>
        <v>Drylands soil bacterial community is affected by land use change and different irrigation practices in the Mezquital Valley, Mexico</v>
      </c>
      <c r="B96" s="24" t="str">
        <f>IFERROR(__xludf.DUMMYFUNCTION("""COMPUTED_VALUE"""),"Dryland agriculture nourishes one third of global population, although crop irrigation is often mandatory. As freshwater sources are scarce, treated and untreated wastewater is increasingly used for irrigation. Here, we investigated how the transformation"&amp;" of semiarid shrubland into rainfed farming or irrigated agriculture with freshwater, dam-stored or untreated wastewater affects the total (DNA-based) and active (RNA-based) soil bacterial community composition, diversity, and functionality. To do this we"&amp;" collected soil samples during the dry and rainy seasons and isolated DNA and RNA. Soil moisture, sodium content and pH were the strongest drivers of the bacterial community composition. We found lineage-specific adaptations to drought and sodium content "&amp;"in specific land use systems. Predicted functionality profiles revealed gene abundances involved in nitrogen, carbon and phosphorous cycles differed among land use systems and season. Freshwater irrigated bacterial community is taxonomically and functiona"&amp;"lly susceptible to seasonal environmental changes, while wastewater irrigated ones are taxonomically susceptible but functionally resistant to them. Additionally, we identified potentially harmful human and phytopathogens. The analyses of 16 S rRNA genes,"&amp;" its transcripts and deduced functional profiles provided extensive understanding of the short-term and long-term responses of bacterial communities associated to land use, seasonality, and water quality used for irrigation in drylands.")</f>
        <v>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v>
      </c>
      <c r="C96" s="24" t="str">
        <f>IFERROR(__xludf.DUMMYFUNCTION("""COMPUTED_VALUE"""),"10.1038/s41598-018-19743-x")</f>
        <v>10.1038/s41598-018-19743-x</v>
      </c>
      <c r="D96" s="24" t="str">
        <f>IFERROR(__xludf.DUMMYFUNCTION("""COMPUTED_VALUE"""),"Keck et al")</f>
        <v>Keck et al</v>
      </c>
      <c r="E96" s="24" t="str">
        <f>IFERROR(__xludf.DUMMYFUNCTION("""COMPUTED_VALUE"""),"WOS:000423044400029")</f>
        <v>WOS:000423044400029</v>
      </c>
      <c r="F96" s="24" t="str">
        <f>IFERROR(__xludf.DUMMYFUNCTION("""COMPUTED_VALUE"""),"[""ELIGIBLE""]")</f>
        <v>["ELIGIBLE"]</v>
      </c>
    </row>
    <row r="97">
      <c r="A97" s="24" t="str">
        <f>IFERROR(__xludf.DUMMYFUNCTION("""COMPUTED_VALUE"""),"Insect communities in big sagebrush habitat are altered by wildfire and post-fire restoration seeding")</f>
        <v>Insect communities in big sagebrush habitat are altered by wildfire and post-fire restoration seeding</v>
      </c>
      <c r="B97" s="24" t="str">
        <f>IFERROR(__xludf.DUMMYFUNCTION("""COMPUTED_VALUE"""),"Natural resource managers sow grass, forb, and shrub seeds across millions of hectares of public lands in the western United States to restore sagebrush-steppe ecosystems burned by wildfire. The effects of post-fire vegetation treatments on insect communi"&amp;"ties in these ecosystems have not been investigated. We conducted the first investigation of insect community responses to post-fire seeding on public rangelands by comparing the composition of insect communities at burned-and-seeded (treatment) and burne"&amp;"d-and-unseeded (control) sagebrush-steppe ecological sites in southwestern Idaho. Insect communities in burned areas were compared to unburned (reference) areas. Insect communities in burned plots did not resemble those in reference plots. Treatment plots"&amp;" had greater inter-annual variability in insect community composition than control or reference plots, suggesting that communities may be less stable in seeded areas. The vegetation composition of the landscape surrounding plots influenced mobile species."&amp;" Wildfire and post-fire seeding may have lasting effects on insect communities in sagebrush-steppe ecosystems. Wildfires decrease shrub cover. Post-fire seeding increases perennial bunchgrasses and, where successful, reduces non-native annual grasses. The"&amp;"se habitat changes influence insect community composition. Future studies are needed to expand the inference of this study.")</f>
        <v>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v>
      </c>
      <c r="C97" s="24" t="str">
        <f>IFERROR(__xludf.DUMMYFUNCTION("""COMPUTED_VALUE"""),"10.1111/icad.12329")</f>
        <v>10.1111/icad.12329</v>
      </c>
      <c r="D97" s="24" t="str">
        <f>IFERROR(__xludf.DUMMYFUNCTION("""COMPUTED_VALUE"""),"Keck et al")</f>
        <v>Keck et al</v>
      </c>
      <c r="E97" s="24" t="str">
        <f>IFERROR(__xludf.DUMMYFUNCTION("""COMPUTED_VALUE"""),"WOS:000471318500005")</f>
        <v>WOS:000471318500005</v>
      </c>
      <c r="F97" s="24" t="str">
        <f>IFERROR(__xludf.DUMMYFUNCTION("""COMPUTED_VALUE"""),"[""ELIGIBLE""]")</f>
        <v>["ELIGIBLE"]</v>
      </c>
    </row>
    <row r="98">
      <c r="A98" s="24" t="str">
        <f>IFERROR(__xludf.DUMMYFUNCTION("""COMPUTED_VALUE"""),"Urbanization has changed the distribution pattern of zooplankton species diversity and the structure of functional groups")</f>
        <v>Urbanization has changed the distribution pattern of zooplankton species diversity and the structure of functional groups</v>
      </c>
      <c r="B98" s="24" t="str">
        <f>IFERROR(__xludf.DUMMYFUNCTION("""COMPUTED_VALUE"""),"Urbanization has brought devastating disasters to the species diversity of urban wetlands. However, due to the complexity of the urban environment, the process and causes of urban biodiversity distribution patterns are not clear. In this study, we explore"&amp;"d the patterns and formation of spatial differentiation in zooplankton in the context of urbanization by using spatial instead of temporal methods to reveal the urbanization process in the urban intensive Huaihe River Basin. The results showed that the di"&amp;"versity of zooplankton decreased with increasing urbanization level, and the species composition in areas with different urbanization levels was significantly different. At the same time, the water quality of wetlands increased with decreasing urbanizatio"&amp;"n level, which exhibited a significant positive correlation with the species richness of zooplankton. Total nitrogen (TN), total phosphorus (TP) and ammonium nitrogen (NH4+-N) were the main factors affecting the spatial differentiation pattern of zooplank"&amp;"ton. Moreover, the increase in nutrients changed the structure of zooplankton functional groups, while rotifers showed strong resistance to pollution. The inhibition of chromium (Cr) on the density of zooplankton functional groups should not be ignored. T"&amp;"he results reveal the spatial differentiation mechanism of zooplankton in the process of urbanization and emphasize the necessity of urban wetland ecological restoration and habitat reconstruction.")</f>
        <v>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v>
      </c>
      <c r="C98" s="24" t="str">
        <f>IFERROR(__xludf.DUMMYFUNCTION("""COMPUTED_VALUE"""),"10.1016/j.ecolind.2020.106944")</f>
        <v>10.1016/j.ecolind.2020.106944</v>
      </c>
      <c r="D98" s="24" t="str">
        <f>IFERROR(__xludf.DUMMYFUNCTION("""COMPUTED_VALUE"""),"Keck et al")</f>
        <v>Keck et al</v>
      </c>
      <c r="E98" s="24" t="str">
        <f>IFERROR(__xludf.DUMMYFUNCTION("""COMPUTED_VALUE"""),"WOS:000591880800010")</f>
        <v>WOS:000591880800010</v>
      </c>
      <c r="F98" s="24" t="str">
        <f>IFERROR(__xludf.DUMMYFUNCTION("""COMPUTED_VALUE"""),"[""ELIGIBLE""]")</f>
        <v>["ELIGIBLE"]</v>
      </c>
    </row>
    <row r="99">
      <c r="A99" s="24" t="str">
        <f>IFERROR(__xludf.DUMMYFUNCTION("""COMPUTED_VALUE"""),"Soil fungal responses to experimental warming and drying in a Mediterranean shrubland")</f>
        <v>Soil fungal responses to experimental warming and drying in a Mediterranean shrubland</v>
      </c>
      <c r="B99" s="24" t="str">
        <f>IFERROR(__xludf.DUMMYFUNCTION("""COMPUTED_VALUE"""),"Implications of a drying and warming climate have been investigated for aboveground vegetation across a range of biomes yet below-ground effects on microorganisms have received considerably less attention, especially in Mediterranean Type Ecosystems (MTE)"&amp;" that are predicted to be negatively impacted by climate change. We experimentally reduced rainfall and increased temperature across two contrasting study sites (deep sand dune vs shallows and swale) to test how projected future climate conditions may imp"&amp;"act soil fungal composition, richness and diversity. We also assessed fungal OTU warming responses and putative functions of 100 most abundant OTUs and 120 OTUs that either increased or decreased based on their presence/absence across treatments. We found"&amp;" a significant effect of study site, treatment and canopy species on fungal composition. Soil fungal diversity increased under warming treatment in swale plots as compared to control plots indicating a positive effect of warming on fungal diversity. In du"&amp;"nes, significantly more OTUs responded to drought than warming treatment. Among the most abundant soil fungal putative functional groups were endophytes, ericoid mycorrhizas, yeasts and ectomycorrhizas consistent with previous studies. Plant pathogens wer"&amp;"e found to increase across dunes and swales, while ericoid mycorrhizae decreased. In summary, our study revealed that it is critical to understand belowground microbial patterns as a result of climate change treatments for our ability to better predict ho"&amp;"w ecosystems may respond to global environmental changes in the future. (C) 2019 Elsevier B.V. All rights reserved.")</f>
        <v>Implications of a drying and warming climate have been investigated for aboveground vegetation across a range of biomes yet below-ground effects on microorganisms have received considerably less attention, especially in Mediterranean Type Ecosystems (MTE) that are predicted to be negatively impacted by climate change. We experimentally reduced rainfall and increased temperature across two contrasting study sites (deep sand dune vs shallows and swale) to test how projected future climate conditions may impact soil fungal composition, richness and diversity. We also assessed fungal OTU warming responses and putative functions of 100 most abundant OTUs and 120 OTUs that either increased or decreased based on their presence/absence across treatments. We found a significant effect of study site, treatment and canopy species on fungal composition. Soil fungal diversity increased under warming treatment in swale plots as compared to control plots indicating a positive effect of warming on fungal diversity. In dunes, significantly more OTUs responded to drought than warming treatment. Among the most abundant soil fungal putative functional groups were endophytes, ericoid mycorrhizas, yeasts and ectomycorrhizas consistent with previous studies. Plant pathogens were found to increase across dunes and swales, while ericoid mycorrhizae decreased. In summary, our study revealed that it is critical to understand belowground microbial patterns as a result of climate change treatments for our ability to better predict how ecosystems may respond to global environmental changes in the future. (C) 2019 Elsevier B.V. All rights reserved.</v>
      </c>
      <c r="C99" s="24" t="str">
        <f>IFERROR(__xludf.DUMMYFUNCTION("""COMPUTED_VALUE"""),"10.1016/j.scitotenv.2019.05.222")</f>
        <v>10.1016/j.scitotenv.2019.05.222</v>
      </c>
      <c r="D99" s="24" t="str">
        <f>IFERROR(__xludf.DUMMYFUNCTION("""COMPUTED_VALUE"""),"Keck et al")</f>
        <v>Keck et al</v>
      </c>
      <c r="E99" s="24" t="str">
        <f>IFERROR(__xludf.DUMMYFUNCTION("""COMPUTED_VALUE"""),"WOS:000471657600054")</f>
        <v>WOS:000471657600054</v>
      </c>
      <c r="F99" s="24" t="str">
        <f>IFERROR(__xludf.DUMMYFUNCTION("""COMPUTED_VALUE"""),"[""ELIGIBLE""]")</f>
        <v>["ELIGIBLE"]</v>
      </c>
    </row>
    <row r="100">
      <c r="A100" s="24" t="str">
        <f>IFERROR(__xludf.DUMMYFUNCTION("""COMPUTED_VALUE"""),"The impacts of land use intensification on the assembly of drosophilidae (Diptera)")</f>
        <v>The impacts of land use intensification on the assembly of drosophilidae (Diptera)</v>
      </c>
      <c r="B100" s="24" t="str">
        <f>IFERROR(__xludf.DUMMYFUNCTION("""COMPUTED_VALUE"""),"Land use change brought about by population increase and growing pressure to produce food represents a major threat to tropical biodiversity both currently and in the future. Understanding how species respond to changes in land use could help us minimize "&amp;"biodiversity loss in agricultural landscapes. This study analyzes the effects of different farming methods on the richness and diversity of drosophilids in previously forested areas that have been transformed over the past 20 years into a mosaic of forest"&amp;" fragments, successional vegetation and crop plantations. Field research was carried out in three different localities along the Arc of Deforestation in the state of Para, Brazil. Our results demonstrate that drosophilid species richness (as tested by the"&amp;" jackknife procedure) did not differ across the mosaic of different land use types, but species abundance distributions and compositions were clearly different between areas of intensive agriculture and forest systems. Forest cover and relative atmospheri"&amp;"c humidity were the decisive variables in relation to species distribution. The various types of agricultural land use were dominated by non-native cosmopolitan species (mainly S. latifasciaformis and Z. indianus), associated with open areas. These result"&amp;"s reflect structural and micro-climatic differences in the environment caused by the loss of forest cover. These results suggest that planning for more ecologically sustainable agricultural land use models is necessary, ensuring that forest areas are main"&amp;"tained to provide appropriate habitat for the permanence of native species. (C) 2018 The Authors. Published by Elsevier B.V.")</f>
        <v>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v>
      </c>
      <c r="C100" s="24" t="str">
        <f>IFERROR(__xludf.DUMMYFUNCTION("""COMPUTED_VALUE"""),"10.1016/j.gecco.2018.e00432")</f>
        <v>10.1016/j.gecco.2018.e00432</v>
      </c>
      <c r="D100" s="24" t="str">
        <f>IFERROR(__xludf.DUMMYFUNCTION("""COMPUTED_VALUE"""),"Keck et al")</f>
        <v>Keck et al</v>
      </c>
      <c r="E100" s="24" t="str">
        <f>IFERROR(__xludf.DUMMYFUNCTION("""COMPUTED_VALUE"""),"WOS:000454994500001")</f>
        <v>WOS:000454994500001</v>
      </c>
      <c r="F100" s="24" t="str">
        <f>IFERROR(__xludf.DUMMYFUNCTION("""COMPUTED_VALUE"""),"[""ELIGIBLE""]")</f>
        <v>["ELIGIBLE"]</v>
      </c>
    </row>
    <row r="101">
      <c r="A101" s="24" t="str">
        <f>IFERROR(__xludf.DUMMYFUNCTION("""COMPUTED_VALUE"""),"Effects of agricultural landscapes and land uses in highly biodiverse tropical streams of the Ecuadorian Choco")</f>
        <v>Effects of agricultural landscapes and land uses in highly biodiverse tropical streams of the Ecuadorian Choco</v>
      </c>
      <c r="B101" s="24" t="str">
        <f>IFERROR(__xludf.DUMMYFUNCTION("""COMPUTED_VALUE"""),"The ecosystem-level consequences of agricultural land use in Neotropical forests have not been fully studied. In areas like the Choco-Darien, conflict exists between the conservation of highly diverse ecosystems and the use of economically important produ"&amp;"ction areas. Current agricultural practices involve complete deforestation, with consequent multiple effects on stream ecosystems. To address the issue of land use change in tropical rivers of Ecuador, we studied streams draining 3 different land use type"&amp;"s in the Mashpi River drainage (Ecuadorian Choco): (1) pristine montane cloud forest, (2) organic farms that included forest patches, and (3) palmito (Bactris gasipaes) production land with extensive use of the insecticide endosulfan and the herbicide gly"&amp;"phosate. We sampled macroinvertebrates (quantitative and qualitative samples) and periphyton, and measured environmental variables during dry and wet seasons, and found a direct relationship between the decline of certain macroinvertebrate groups (e.g., A"&amp;"nacroneuria, Hyallela) and the type of land use. Furthermore, we found that species loss in streams draining organic farms was negligible. Species richness of macroinvertebrates was considerably lower in palmito monoculture farmlands than in the other 2 t"&amp;"ypes of land use. Stream communities of the Mashpi drainage area have been transformed by human agricultural disturbances, and urgent changes to land management practices are necessary.")</f>
        <v>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v>
      </c>
      <c r="C101" s="24" t="str">
        <f>IFERROR(__xludf.DUMMYFUNCTION("""COMPUTED_VALUE"""),"10.1080/20442041.2018.1527597")</f>
        <v>10.1080/20442041.2018.1527597</v>
      </c>
      <c r="D101" s="24" t="str">
        <f>IFERROR(__xludf.DUMMYFUNCTION("""COMPUTED_VALUE"""),"Keck et al")</f>
        <v>Keck et al</v>
      </c>
      <c r="E101" s="24" t="str">
        <f>IFERROR(__xludf.DUMMYFUNCTION("""COMPUTED_VALUE"""),"WOS:000490984200003")</f>
        <v>WOS:000490984200003</v>
      </c>
      <c r="F101" s="24" t="str">
        <f>IFERROR(__xludf.DUMMYFUNCTION("""COMPUTED_VALUE"""),"[""ELIGIBLE""]")</f>
        <v>["ELIGIBLE"]</v>
      </c>
    </row>
    <row r="102">
      <c r="A102" s="24" t="str">
        <f>IFERROR(__xludf.DUMMYFUNCTION("""COMPUTED_VALUE"""),"Vegetation responses in Alaskan arctic tundra after 8 years of a summer warming and winter snow manipulation experiment")</f>
        <v>Vegetation responses in Alaskan arctic tundra after 8 years of a summer warming and winter snow manipulation experiment</v>
      </c>
      <c r="B102" s="24" t="str">
        <f>IFERROR(__xludf.DUMMYFUNCTION("""COMPUTED_VALUE"""),"We used snow fences and small (1 m(2)) open-topped fiberglass chambers (OTCs) to study the effects of changes in winter snow cover and summer air temperatures on arctic tundra. In 1994, two 60 m long, 2.8 m high snow fences, one in moist and the other in "&amp;"dry tundra, were erected at Toolik Lake, Alaska. OTCs paired with unwarmed plots, were placed along each experimental snow gradient and in control areas adjacent to the snowdrifts. After 8 years, the vegetation of the two sites, including that in control "&amp;"plots, had changed significantly. At both sites, the cover of shrubs, live vegetation, and litter, together with canopy height, had all increased, while lichen cover and diversity had decreased. At the moist site, bryophytes decreased in cover, while an i"&amp;"ncrease in graminoids was almost entirely because of the response of the sedge Eriophorum vaginatum. These community changes were consistent with results found in studies of responses to warming and increased nutrient availability in the Arctic. However, "&amp;"during the time period of the experiment, summer temperature did not increase, but summer precipitation increased by 28%. The snow addition treatment affected species abundance, canopy height, and diversity, whereas the summer warming treatment had few me"&amp;"asurable effects on vegetation. The interannual temperature fluctuation was considerably larger than the temperature increases within OTCs (&lt; 2 degrees C), however. Snow addition also had a greater effect on microclimate by insulating vegetation from wint"&amp;"er wind and temperature extremes, modifying winter soil temperatures, and increasing spring run-off. Most increases in shrub cover and canopy height occurred in the medium snow-depth zone (0.5-2 m) of the moist site, and the medium to deep snow-depth zone"&amp;" (2-3 m) of the dry site. At the moist tundra site, deciduous shrubs, particularly Betula nana, increased in cover, while evergreen shrubs decreased. These differential responses were likely because of the larger production to biomass ratio in deciduous s"&amp;"hrubs, combined with their more flexible growth response under changing environmental conditions. At the dry site, where deciduous shrubs were a minor part of the vegetation, evergreen shrubs increased in both cover and canopy height. These changes in abu"&amp;"ndance of functional groups are expected to affect most ecological processes, particularly the rate of litter decomposition, nutrient cycling, and both soil carbon and nitrogen pools. Also, changes in canopy structure, associated with increases in shrub a"&amp;"bundance, are expected to alter the summer energy balance by increasing net radiation and evapotranspiration, thus altering soil moisture regimes.")</f>
        <v>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v>
      </c>
      <c r="C102" s="24" t="str">
        <f>IFERROR(__xludf.DUMMYFUNCTION("""COMPUTED_VALUE"""),"10.1111/j.1365-2486.2005.00927.x")</f>
        <v>10.1111/j.1365-2486.2005.00927.x</v>
      </c>
      <c r="D102" s="24" t="str">
        <f>IFERROR(__xludf.DUMMYFUNCTION("""COMPUTED_VALUE"""),"Keck et al")</f>
        <v>Keck et al</v>
      </c>
      <c r="E102" s="24" t="str">
        <f>IFERROR(__xludf.DUMMYFUNCTION("""COMPUTED_VALUE"""),"WOS:000228179500002")</f>
        <v>WOS:000228179500002</v>
      </c>
      <c r="F102" s="24" t="str">
        <f>IFERROR(__xludf.DUMMYFUNCTION("""COMPUTED_VALUE"""),"[""ELIGIBLE""]")</f>
        <v>["ELIGIBLE"]</v>
      </c>
    </row>
    <row r="103">
      <c r="A103" s="24" t="str">
        <f>IFERROR(__xludf.DUMMYFUNCTION("""COMPUTED_VALUE"""),"Natural habitat fragments obscured the distance effect on maintaining the diversity of insect pollinators and crop productivity in tropical agricultural landscapes")</f>
        <v>Natural habitat fragments obscured the distance effect on maintaining the diversity of insect pollinators and crop productivity in tropical agricultural landscapes</v>
      </c>
      <c r="B103" s="24" t="str">
        <f>IFERROR(__xludf.DUMMYFUNCTION("""COMPUTED_VALUE"""),"In tropical regions, habitat change and fragmentation partly occur due to urbanization. This change of land-use can affect many ecosystem services and their providers, such as pollination and pollinators. Within agricultural systems, monoculture systems a"&amp;"nd pesticide application are the most detrimental to pollinators and insect communities. In this study, we investigated the effect of distance from natural habitat on the diversity of insect pollinators and cucumber productivity. As the independent variab"&amp;"le, distance from natural habitats was classified into two different groups i.e. agricultural area near to (less than 200m) and far from (more than 1km) the natural habitat. We found that the abundance of insect pollinators was significantly lower in agri"&amp;"cultural areas near to natural habitats compared to those located far from natural habitats. Cucumber farms located near to natural habitats had 54% similar species composition of insect pollinators with cucumber farms located far from natural habitats. T"&amp;"he productivity of cucumbers did not differ between cucumber farms near to and far from natural habitats. An expected result was the positive correlation between pollinator abundance (i.e. Xylocopa spp.) and the productivity of cucumber. Our findings sugg"&amp;"est that the diversity of pollinators in tropical agricultural landscape is influenced more by a landscape composition of high natural habitat fragments than spatial distance between cropland and natural habitats.")</f>
        <v>In tropical regions, habitat change and fragmentation partly occur due to urbanization. This change of land-use can affect many ecosystem services and their providers, such as pollination and pollinators. Within agricultural systems, monoculture systems and pesticide application are the most detrimental to pollinators and insect communities. In this study, we investigated the effect of distance from natural habitat on the diversity of insect pollinators and cucumber productivity. As the independent variable, distance from natural habitats was classified into two different groups i.e. agricultural area near to (less than 200m) and far from (more than 1km) the natural habitat. We found that the abundance of insect pollinators was significantly lower in agricultural areas near to natural habitats compared to those located far from natural habitats. Cucumber farms located near to natural habitats had 54% similar species composition of insect pollinators with cucumber farms located far from natural habitats. The productivity of cucumbers did not differ between cucumber farms near to and far from natural habitats. An expected result was the positive correlation between pollinator abundance (i.e. Xylocopa spp.) and the productivity of cucumber. Our findings suggest that the diversity of pollinators in tropical agricultural landscape is influenced more by a landscape composition of high natural habitat fragments than spatial distance between cropland and natural habitats.</v>
      </c>
      <c r="C103" s="24" t="str">
        <f>IFERROR(__xludf.DUMMYFUNCTION("""COMPUTED_VALUE"""),"10.1016/j.heliyon.2019.e01425")</f>
        <v>10.1016/j.heliyon.2019.e01425</v>
      </c>
      <c r="D103" s="24" t="str">
        <f>IFERROR(__xludf.DUMMYFUNCTION("""COMPUTED_VALUE"""),"Keck et al")</f>
        <v>Keck et al</v>
      </c>
      <c r="E103" s="24" t="str">
        <f>IFERROR(__xludf.DUMMYFUNCTION("""COMPUTED_VALUE"""),"WOS:000463067400024")</f>
        <v>WOS:000463067400024</v>
      </c>
      <c r="F103" s="24" t="str">
        <f>IFERROR(__xludf.DUMMYFUNCTION("""COMPUTED_VALUE"""),"[""ELIGIBLE""]")</f>
        <v>["ELIGIBLE"]</v>
      </c>
    </row>
    <row r="104">
      <c r="A104" s="24" t="str">
        <f>IFERROR(__xludf.DUMMYFUNCTION("""COMPUTED_VALUE"""),"Dung beetles in a Caatinga Natural Reserve: a threatened Brazilian dry-forest with high biological value")</f>
        <v>Dung beetles in a Caatinga Natural Reserve: a threatened Brazilian dry-forest with high biological value</v>
      </c>
      <c r="B104" s="24" t="str">
        <f>IFERROR(__xludf.DUMMYFUNCTION("""COMPUTED_VALUE"""),"The Caatinga is an endemic and threatened dry-forest biome distributed across northern Brazil. We evaluated the conservation value of a Caatinga Natural Reserve (NR) - Floresta Nacional (FLONA) Contendas do Sincora - using Scarabaeinae dung beetles as a b"&amp;"iodiversity indicator. Specifically, we contrasted two zones impacted by two distinct intensity of selective logging that happened inside the NR until 1997. Dung beetles were collected 14 years after logging, using baited pitfall traps within three main h"&amp;"abitats (riparian forest, regenerating Caatinga or arboreal Caatinga) found in two zones (Preservation and Management Zones). A total of 1,214 individuals from 21 species were sampled. The two zones presented distinct species composition, although the hab"&amp;"itats did not exhibit such differences. Our results indicated that the secondary areas are in a conservation status similar to arboreal Caatinga and riparian forest, 14 y after logging. Furthermore, we identified seven habitat-indicator species, two of th"&amp;"em typical to Caatinga biome, highlighting the importance of updates in NR management plan considering the Scarabaeinae regional diversity management.")</f>
        <v>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v>
      </c>
      <c r="C104" s="24" t="str">
        <f>IFERROR(__xludf.DUMMYFUNCTION("""COMPUTED_VALUE"""),"10.1590/1678-4766e2017045")</f>
        <v>10.1590/1678-4766e2017045</v>
      </c>
      <c r="D104" s="24" t="str">
        <f>IFERROR(__xludf.DUMMYFUNCTION("""COMPUTED_VALUE"""),"Keck et al")</f>
        <v>Keck et al</v>
      </c>
      <c r="E104" s="24" t="str">
        <f>IFERROR(__xludf.DUMMYFUNCTION("""COMPUTED_VALUE"""),"WOS:000417860400001")</f>
        <v>WOS:000417860400001</v>
      </c>
      <c r="F104" s="24" t="str">
        <f>IFERROR(__xludf.DUMMYFUNCTION("""COMPUTED_VALUE"""),"[""ELIGIBLE""]")</f>
        <v>["ELIGIBLE"]</v>
      </c>
    </row>
    <row r="105">
      <c r="A105" s="24" t="str">
        <f>IFERROR(__xludf.DUMMYFUNCTION("""COMPUTED_VALUE"""),"Forest-pasture shifting alters the assemblages of seed-removing ants in southwestern Brazilian Amazon")</f>
        <v>Forest-pasture shifting alters the assemblages of seed-removing ants in southwestern Brazilian Amazon</v>
      </c>
      <c r="B105" s="24" t="str">
        <f>IFERROR(__xludf.DUMMYFUNCTION("""COMPUTED_VALUE"""),"Several studies have evaluated the impacts of intensified human activities on biodiversity, but far less effort has been directed toward evaluating the maintenance of ecosystem functions in human-modified landscapes. We investigated the impacts of habitat"&amp;" shifts from forest to pasture on assemblages of seed-removing ants in the southwestern Brazilian Amazon. We specifically addressed the following hypotheses regarding assemblages of seed-removing ants: (i) pasture ant assemblages have fewer species than d"&amp;"o forest ant assemblages and are composed of a markedly different set of species; (ii) pasture ant assemblages remove less seeds than do forest ant assemblages; and (iii) forest and pasture ant assemblages contain different sets of key species for seed re"&amp;"moval. We collected ants that were baited with artificial seeds in 10 forest areas and 10 adjacent pastures and found that shifting from forest to pasture reduced the number of species of seed-removing ants and altered species composition. We also found t"&amp;"hat, although seed removal percentage of was higher in pasture, these species were low quality seed dispersers, which was supported by our identification of key species for seed removal. We conclude that when considering the removal of seeds by ants as a "&amp;"proxy to assess the role of biodiversity in ecosystems, it is necessary to consider the importance of each species for removal according to habitat type affinity. Implications for insect conservation Our findings highlight the importance of forest habitat"&amp;" for the effective conservation of ant diversity and their ecological functions in human-modified ladscapes.")</f>
        <v>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v>
      </c>
      <c r="C105" s="24" t="str">
        <f>IFERROR(__xludf.DUMMYFUNCTION("""COMPUTED_VALUE"""),"10.1007/s10841-021-00295-x")</f>
        <v>10.1007/s10841-021-00295-x</v>
      </c>
      <c r="D105" s="24" t="str">
        <f>IFERROR(__xludf.DUMMYFUNCTION("""COMPUTED_VALUE"""),"Keck et al")</f>
        <v>Keck et al</v>
      </c>
      <c r="E105" s="24" t="str">
        <f>IFERROR(__xludf.DUMMYFUNCTION("""COMPUTED_VALUE"""),"WOS:000616455300001")</f>
        <v>WOS:000616455300001</v>
      </c>
      <c r="F105" s="24" t="str">
        <f>IFERROR(__xludf.DUMMYFUNCTION("""COMPUTED_VALUE"""),"[""ELIGIBLE""]")</f>
        <v>["ELIGIBLE"]</v>
      </c>
    </row>
    <row r="106">
      <c r="A106" s="24" t="str">
        <f>IFERROR(__xludf.DUMMYFUNCTION("""COMPUTED_VALUE"""),"Comparison of animal biodiversity in three livestock systems of open environments of the semi-arid Chaco of Argentina")</f>
        <v>Comparison of animal biodiversity in three livestock systems of open environments of the semi-arid Chaco of Argentina</v>
      </c>
      <c r="B106" s="24" t="str">
        <f>IFERROR(__xludf.DUMMYFUNCTION("""COMPUTED_VALUE"""),"Increasing global food demand requires the exploration of agricultural production systems that minimise the conflict between food production and biodiversity conservation. Cattle ranching is a main land-use in tropical and sub-tropical South American semi"&amp;"-arid ecosystems, such as the Chaco eco-region of sub-tropical Argentina, one of the most active frontiers of land-use change. Despite open habits being a key component of the Chaco landscape, conservation studies and policies have focussed on forests. In"&amp;" this study, bird and mammal communities of three different open-canopy livestock-producing systems in the semi-arid Argentinian Chaco: natural grasslands, sown non-native pastures and silvopastoral systems are discussed. Diversity (Inverse Simpson index)"&amp;" and species composition (multivariate ordinations) were measured and species identified that characterise each system (indicator species). The three livestock systems did not significantly differ in terms of diversity but showed differences in the compos"&amp;"ition of bird communities. Natural grasslands had the highest number of bird and mammal indicator species (including Myrmecophaga tridactyla, a high conservation-value species). These results highlight natural grasslands as a landscape unit with a high co"&amp;"nservation value and indicate that they should be explicitly targeted by conservation and land-use policies, particularly because they represent a small and rapidly decreasing proportion of the semi-arid Argentinian Chaco.")</f>
        <v>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v>
      </c>
      <c r="C106" s="24" t="str">
        <f>IFERROR(__xludf.DUMMYFUNCTION("""COMPUTED_VALUE"""),"10.1071/RJ15052")</f>
        <v>10.1071/RJ15052</v>
      </c>
      <c r="D106" s="24" t="str">
        <f>IFERROR(__xludf.DUMMYFUNCTION("""COMPUTED_VALUE"""),"Keck et al")</f>
        <v>Keck et al</v>
      </c>
      <c r="E106" s="24" t="str">
        <f>IFERROR(__xludf.DUMMYFUNCTION("""COMPUTED_VALUE"""),"WOS:000365187600007")</f>
        <v>WOS:000365187600007</v>
      </c>
      <c r="F106" s="24" t="str">
        <f>IFERROR(__xludf.DUMMYFUNCTION("""COMPUTED_VALUE"""),"[""ELIGIBLE""]")</f>
        <v>["ELIGIBLE"]</v>
      </c>
    </row>
    <row r="107">
      <c r="A107" s="24" t="str">
        <f>IFERROR(__xludf.DUMMYFUNCTION("""COMPUTED_VALUE"""),"Fish assemblage changes over half a century in the Yellow River, China")</f>
        <v>Fish assemblage changes over half a century in the Yellow River, China</v>
      </c>
      <c r="B107" s="24" t="str">
        <f>IFERROR(__xludf.DUMMYFUNCTION("""COMPUTED_VALUE"""),"Riverine environments have been threatened by anthropogenic perturbations worldwide, whereby their fish assemblages have been modified by habitat changes and nonendemic species invasions. We assessed changes in fish assemblages by comparing the species pr"&amp;"esence in historical and contemporary fish data in the Yellow River from 1965 to 2015. The temporal change in species assemblages was found with increased nonendemic species and fewer natives. Fish species richness of the river declined 35.4% over the pas"&amp;"t fifty years. Moreover, the decreased mean Bray-Curtis dissimilarity among reaches suggested that the fish assemblages of different reaches in the Yellow River were becoming more similar over time. However, temporal patterns of fish assemblages varied am"&amp;"ong reaches. In the upper Yellow River, higher species richness and more invasive species were found than those in the historical record, while the lower reaches experienced significant species loss. Dam constructions, exotic fish invasions, and flow redu"&amp;"ctions played the vital role in structuring the temporal fish assemblages in the Yellow River. It is suggested that river basins which experienced different types and levels of stressors by anthropogenic perturbations can produce varied effects on their t"&amp;"emporal trends of species assemblages.")</f>
        <v>Riverine environments have been threatened by anthropogenic perturbations worldwide, whereby their fish assemblages have been modified by habitat changes and nonendemic species invasions. We assessed changes in fish assemblages by comparing the species presence in historical and contemporary fish data in the Yellow River from 1965 to 2015. The temporal change in species assemblages was found with increased nonendemic species and fewer natives. Fish species richness of the river declined 35.4% over the past fifty years. Moreover, the decreased mean Bray-Curtis dissimilarity among reaches suggested that the fish assemblages of different reaches in the Yellow River were becoming more similar over time. However, temporal patterns of fish assemblages varied among reaches. In the upper Yellow River, higher species richness and more invasive species were found than those in the historical record, while the lower reaches experienced significant species loss. Dam constructions, exotic fish invasions, and flow reductions played the vital role in structuring the temporal fish assemblages in the Yellow River. It is suggested that river basins which experienced different types and levels of stressors by anthropogenic perturbations can produce varied effects on their temporal trends of species assemblages.</v>
      </c>
      <c r="C107" s="24" t="str">
        <f>IFERROR(__xludf.DUMMYFUNCTION("""COMPUTED_VALUE"""),"10.1002/ece3.3890")</f>
        <v>10.1002/ece3.3890</v>
      </c>
      <c r="D107" s="24" t="str">
        <f>IFERROR(__xludf.DUMMYFUNCTION("""COMPUTED_VALUE"""),"Keck et al")</f>
        <v>Keck et al</v>
      </c>
      <c r="E107" s="24" t="str">
        <f>IFERROR(__xludf.DUMMYFUNCTION("""COMPUTED_VALUE"""),"WOS:000430807200032")</f>
        <v>WOS:000430807200032</v>
      </c>
      <c r="F107" s="24" t="str">
        <f>IFERROR(__xludf.DUMMYFUNCTION("""COMPUTED_VALUE"""),"[""ELIGIBLE""]")</f>
        <v>["ELIGIBLE"]</v>
      </c>
    </row>
    <row r="108">
      <c r="A108" s="24" t="str">
        <f>IFERROR(__xludf.DUMMYFUNCTION("""COMPUTED_VALUE"""),"Decadal-scale effects of benthic habitat and marine reserve protection on Philippine goatfish (F: Mullidae)")</f>
        <v>Decadal-scale effects of benthic habitat and marine reserve protection on Philippine goatfish (F: Mullidae)</v>
      </c>
      <c r="B108" s="24" t="str">
        <f>IFERROR(__xludf.DUMMYFUNCTION("""COMPUTED_VALUE"""),"Reef fish populations can be affected by both fishing and changes in benthic habitat. Yet, partitioning these effects is often difficult, usually requiring an appropriate sampling design and long-term monitoring. Here we quantify, over a 30-yr period, the"&amp;" effects of benthic habitat change and no-take marine reserve (NTMR) protection on the density and species richness of a lightly harvested benthic-feeding reef fish family, the Mullidae (goatfish), at four Philippine islands. Boosted regression trees demo"&amp;"nstrated that goatfish density and species richness had strong negative associations with hard coral cover and strong positive associations with cover of dead substratum. No-take marine reserve protection had no effect on the density or species richness o"&amp;"f goatfish over 19 and 30 yr at Sumilon and Apo islands, respectively. However, environmental disturbances (e.g., typhoons, coral bleaching) that reduced hard coral cover subsequently led to increases in goatfish numbers for periods ranging from 2 to 8 yr"&amp;". After initial increases due to benthic disturbance, goatfish populations decreased during coral recovery, occurring on timescales of 10-20 yr. This long-term, natural experiment demonstrated that changes to benthic habitat (bottom-up control) had a far "&amp;"greater effect on Philippine goatfish populations than protection from fishing (a top-down effect) in NTMRs. Given the strong positive response of goatfish populations to loss of live hard coral cover, this group of fishes may be a valuable indicator spec"&amp;"ies for habitat degradation on coral reefs.")</f>
        <v>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v>
      </c>
      <c r="C108" s="24" t="str">
        <f>IFERROR(__xludf.DUMMYFUNCTION("""COMPUTED_VALUE"""),"10.1007/s00338-015-1296-9")</f>
        <v>10.1007/s00338-015-1296-9</v>
      </c>
      <c r="D108" s="24" t="str">
        <f>IFERROR(__xludf.DUMMYFUNCTION("""COMPUTED_VALUE"""),"Keck et al")</f>
        <v>Keck et al</v>
      </c>
      <c r="E108" s="24" t="str">
        <f>IFERROR(__xludf.DUMMYFUNCTION("""COMPUTED_VALUE"""),"WOS:000359161500008")</f>
        <v>WOS:000359161500008</v>
      </c>
      <c r="F108" s="24" t="str">
        <f>IFERROR(__xludf.DUMMYFUNCTION("""COMPUTED_VALUE"""),"[""ELIGIBLE""]")</f>
        <v>["ELIGIBLE"]</v>
      </c>
    </row>
    <row r="109">
      <c r="A109" s="24" t="str">
        <f>IFERROR(__xludf.DUMMYFUNCTION("""COMPUTED_VALUE"""),"Leaf-litter herpetofaunal richness, abundance, and community assembly in mono-dominant plantations and primary forest of northeastern Costa Rica")</f>
        <v>Leaf-litter herpetofaunal richness, abundance, and community assembly in mono-dominant plantations and primary forest of northeastern Costa Rica</v>
      </c>
      <c r="B109" s="24" t="str">
        <f>IFERROR(__xludf.DUMMYFUNCTION("""COMPUTED_VALUE"""),"Given current deforestation and land-use change in species-rich tropical forests, a pressing need in conservation biology is to understand how converted, human-modified landscapes support biodiversity. Here, we measured the species richness, abundance, an"&amp;"d community composition of amphibians and reptiles in reference primary forest and mono-dominant plantations of three native tree species (Pentaclethra macroloba, Virola koschnyi, Vochysia guatemalensis) at La Selva Biological Station in the Caribbean low"&amp;"lands of northern Costa Rica. Because these plantation species generate markedly different forest-floor habitats, we hypothesized that tree species would support different assemblages of leaf-litter herpetofauna. Primary forest, Virola, and Vochysia suppo"&amp;"rted greater richness of frogs than Pentaclethra. Frog densities were significantly lower in Pentaclethra and Vochysia than in nearby primary forest. Using non-metric multidimensional scaling and permutational multivariate analysis of variance, we found P"&amp;"entaclethra to support significantly different assemblages of frogs and lizards than primary forest reference sites, while Vochysia supported a unique assemblage of frogs. Our results suggest that some tree species plantations can support herpetofaunal as"&amp;"semblages comparable to primary forest in richness, community assembly, and abundance. While herpetofaunal community ecology varies among plantation species, our study provides a compelling example of how plantation landscapes can facilitate the restorati"&amp;"on of native fauna on degraded landscapes.")</f>
        <v>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v>
      </c>
      <c r="C109" s="24" t="str">
        <f>IFERROR(__xludf.DUMMYFUNCTION("""COMPUTED_VALUE"""),"10.1007/s10531-013-0526-0")</f>
        <v>10.1007/s10531-013-0526-0</v>
      </c>
      <c r="D109" s="24" t="str">
        <f>IFERROR(__xludf.DUMMYFUNCTION("""COMPUTED_VALUE"""),"Keck et al")</f>
        <v>Keck et al</v>
      </c>
      <c r="E109" s="24" t="str">
        <f>IFERROR(__xludf.DUMMYFUNCTION("""COMPUTED_VALUE"""),"WOS:000322619300010")</f>
        <v>WOS:000322619300010</v>
      </c>
      <c r="F109" s="24" t="str">
        <f>IFERROR(__xludf.DUMMYFUNCTION("""COMPUTED_VALUE"""),"[""ELIGIBLE""]")</f>
        <v>["ELIGIBLE"]</v>
      </c>
    </row>
    <row r="110">
      <c r="A110" s="24" t="str">
        <f>IFERROR(__xludf.DUMMYFUNCTION("""COMPUTED_VALUE"""),"Urbanization drives community shifts towards thermophilic and dispersive species at local and landscape scales")</f>
        <v>Urbanization drives community shifts towards thermophilic and dispersive species at local and landscape scales</v>
      </c>
      <c r="B110" s="24" t="str">
        <f>IFERROR(__xludf.DUMMYFUNCTION("""COMPUTED_VALUE"""),"The increasing conversion of agricultural and natural areas to human-dominated urban landscapes is predicted to lead to a major decline in biodiversity worldwide. Two conditions that typically differ between urban environments and the surrounding landscap"&amp;"e are increased temperature, and high patch isolation and habitat turnover rates. However, the extent and spatial scale at which these altered conditions shape biotic communities through selection and/or filtering on species traits are currently poorly un"&amp;"derstood. We sampled carabid beetles at 81 sites in Belgium using a hierarchically nested sampling design wherein three local-scale (200 x 200 m) urbanization levels were repeatedly sampled across three landscape-scale (3 x 3 km) urbanization levels. Firs"&amp;"t, we showed that communities sampled in the most urbanized locations and landscapes displayed a distinct species composition at both local and landscape scale. Second, we related community means of species-specific thermal preferences and dispersal capac"&amp;"ity (based on European distribution and wing morphology, respectively) to the urbanization gradients. We showed that urban communities consisted on average of species with a preference for higher temperatures and with better dispersal capacities compared "&amp;"to rural communities. These shifts were caused by an increased number of species tolerating higher temperatures, a decreased richness of species with low thermal preference, and an almost complete depletion of species with very low-dispersal capacity in t"&amp;"he most urbanized localities. Effects of urbanization were most clearly detected at the local scale, although more subtle effects could also be found at the scale of entire landscapes. Our results demonstrate that urbanization may fundamentally and consis"&amp;"tently alter species composition by exerting a strong filtering effect on species dispersal characteristics and favouring replacement by warm-dwelling species.")</f>
        <v>The increasing conversion of agricultural and natural areas to human-dominated urban landscapes is predicted to lead to a major decline in biodiversity worldwide. Two conditions that typically differ between urban environments and the surrounding landscape are increased temperature, and high patch isolation and habitat turnover rates. However, the extent and spatial scale at which these altered conditions shape biotic communities through selection and/or filtering on species traits are currently poorly understood. We sampled carabid beetles at 81 sites in Belgium using a hierarchically nested sampling design wherein three local-scale (200 x 200 m) urbanization levels were repeatedly sampled across three landscape-scale (3 x 3 km) urbanization levels. First, we showed that communities sampled in the most urbanized locations and landscapes displayed a distinct species composition at both local and landscape scale. Second, we related community means of species-specific thermal preferences and dispersal capacity (based on European distribution and wing morphology, respectively) to the urbanization gradients. We showed that urban communities consisted on average of species with a preference for higher temperatures and with better dispersal capacities compared to rural communities. These shifts were caused by an increased number of species tolerating higher temperatures, a decreased richness of species with low thermal preference, and an almost complete depletion of species with very low-dispersal capacity in the most urbanized localities. Effects of urbanization were most clearly detected at the local scale, although more subtle effects could also be found at the scale of entire landscapes. Our results demonstrate that urbanization may fundamentally and consistently alter species composition by exerting a strong filtering effect on species dispersal characteristics and favouring replacement by warm-dwelling species.</v>
      </c>
      <c r="C110" s="24" t="str">
        <f>IFERROR(__xludf.DUMMYFUNCTION("""COMPUTED_VALUE"""),"10.1111/gcb.13606")</f>
        <v>10.1111/gcb.13606</v>
      </c>
      <c r="D110" s="24" t="str">
        <f>IFERROR(__xludf.DUMMYFUNCTION("""COMPUTED_VALUE"""),"Keck et al")</f>
        <v>Keck et al</v>
      </c>
      <c r="E110" s="24" t="str">
        <f>IFERROR(__xludf.DUMMYFUNCTION("""COMPUTED_VALUE"""),"WOS:000402514900004")</f>
        <v>WOS:000402514900004</v>
      </c>
      <c r="F110" s="24" t="str">
        <f>IFERROR(__xludf.DUMMYFUNCTION("""COMPUTED_VALUE"""),"[""ELIGIBLE""]")</f>
        <v>["ELIGIBLE"]</v>
      </c>
    </row>
    <row r="111">
      <c r="A111" s="24" t="str">
        <f>IFERROR(__xludf.DUMMYFUNCTION("""COMPUTED_VALUE"""),"Landscape connectivity may explain anuran species distribution in an Atlantic forest fragmented area")</f>
        <v>Landscape connectivity may explain anuran species distribution in an Atlantic forest fragmented area</v>
      </c>
      <c r="B111" s="24" t="str">
        <f>IFERROR(__xludf.DUMMYFUNCTION("""COMPUTED_VALUE"""),"In this work we evaluated anuran species distribution in an Atlantic forest fragmented landscape, in the state of Rio de Janeiro, Brazil. Sampling was carried out in three continuous forest sites, 12 forest fragments, and five pasture areas (matrix). We r"&amp;"ecorded, by visual encounter surveys, 2,495 individuals from 50 amphibian species for all sampled areas. Considering the pooled data, higher richness occurs in continuous forest area. Additionally, more than a third of species that occurred in continuous "&amp;"forest area did not occur in fragments or in matrix. Both ordination analyses showed that continuous forest sites clustered together and matrix areas seemed to be separated from other areas. This ordination resulted from the existence of species occurring"&amp;" only in continuous forest, suggesting that these species may be sensitive to habitat fragmentation. Besides, matrix appears separated from other areas due to occurrence of frog species typical from disturbed environments, which are not recorded in contin"&amp;"uous forest sites or in sampled fragments. By analyzing the effect of landscape metrics, we found that there was a tendency for fragments with lower isolation to have higher species richness and proportion of species which did not occur in matrix areas an"&amp;"d amphibian local communities seems to be affected in a more local scale by habitat changes. Because local matrix is apparently hostile to typically forest-associated amphibian species, many of them may be unable to reach most isolated fragments by disper"&amp;"sal, which may explain observed results.")</f>
        <v>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v>
      </c>
      <c r="C111" s="24" t="str">
        <f>IFERROR(__xludf.DUMMYFUNCTION("""COMPUTED_VALUE"""),"10.1007/s10980-013-9898-5")</f>
        <v>10.1007/s10980-013-9898-5</v>
      </c>
      <c r="D111" s="24" t="str">
        <f>IFERROR(__xludf.DUMMYFUNCTION("""COMPUTED_VALUE"""),"Keck et al")</f>
        <v>Keck et al</v>
      </c>
      <c r="E111" s="24" t="str">
        <f>IFERROR(__xludf.DUMMYFUNCTION("""COMPUTED_VALUE"""),"WOS:000330827600003")</f>
        <v>WOS:000330827600003</v>
      </c>
      <c r="F111" s="24" t="str">
        <f>IFERROR(__xludf.DUMMYFUNCTION("""COMPUTED_VALUE"""),"[""ELIGIBLE""]")</f>
        <v>["ELIGIBLE"]</v>
      </c>
    </row>
    <row r="112">
      <c r="A112" s="24" t="str">
        <f>IFERROR(__xludf.DUMMYFUNCTION("""COMPUTED_VALUE"""),"Landscape-scale patterns and drivers of novel mammal communities in a human-modified protected area")</f>
        <v>Landscape-scale patterns and drivers of novel mammal communities in a human-modified protected area</v>
      </c>
      <c r="B112" s="24" t="str">
        <f>IFERROR(__xludf.DUMMYFUNCTION("""COMPUTED_VALUE"""),"Context The role of protected areas as biodiversity repositories has become increasingly important in face of increased deforestation. By adding free-living exotic mammals, removing forest-dependent native ones, isolating forest patches from large protect"&amp;"ed areas and reducing landscape forest cover, human activities may drive mammal communities towards regional biotic homogenization. Objectives We assessed how landscape forest cover and proximity to the largest and best-preserved area of the Catimbau Nati"&amp;"onal Park-one of the largest protected areas of the Brazilian Caatinga-affect alpha- and beta-diversity of medium- and large-sized mammals, considering native and exotic species. Methods Using camera traps (total effort of 2340 cameras/day), we obtained 8"&amp;"23 records of 15 species (8 natives and 7 exotics) in 18 landscapes of 1-km radius. We estimated diversity metrics within and among landscapes and used generalized linear models to assess the effect of forest loss and isolation on diversity metrics. Resul"&amp;"ts As expected, forest loss decreased alpha-diversity of native species and increased the diversity and relative abundance of exotics. However, proximity to the preserved area showed weak effect on alpha-diversity, suggesting that this area does not work "&amp;"regionally as source for natives neither as ecological trap for exotics. Supporting the biotic homogenization hypothesis, beta-diversity of natives decreased and beta-diversity of exotics increased in more deforested landscapes. Yet, species composition w"&amp;"as weakly related to forest cover and isolation. Conclusions Our findings demonstrate that deforestation jeopardizes native species, favors exotics, and drives mammal communities towards biotic homogenization. Protected areas should be properly implemente"&amp;"d to safeguard mammal diversity.")</f>
        <v>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v>
      </c>
      <c r="C112" s="24" t="str">
        <f>IFERROR(__xludf.DUMMYFUNCTION("""COMPUTED_VALUE"""),"10.1007/s10980-020-01040-6")</f>
        <v>10.1007/s10980-020-01040-6</v>
      </c>
      <c r="D112" s="24" t="str">
        <f>IFERROR(__xludf.DUMMYFUNCTION("""COMPUTED_VALUE"""),"Keck et al")</f>
        <v>Keck et al</v>
      </c>
      <c r="E112" s="24" t="str">
        <f>IFERROR(__xludf.DUMMYFUNCTION("""COMPUTED_VALUE"""),"WOS:000536430700002")</f>
        <v>WOS:000536430700002</v>
      </c>
      <c r="F112" s="24" t="str">
        <f>IFERROR(__xludf.DUMMYFUNCTION("""COMPUTED_VALUE"""),"[""ELIGIBLE""]")</f>
        <v>["ELIGIBLE"]</v>
      </c>
    </row>
    <row r="113">
      <c r="A113" s="24" t="str">
        <f>IFERROR(__xludf.DUMMYFUNCTION("""COMPUTED_VALUE"""),"Invasive alien trees reduce bird species richness and abundance of mutualistic frugivores and nectarivores; a bird's eye view on a conflict of interest species in riparian habitats")</f>
        <v>Invasive alien trees reduce bird species richness and abundance of mutualistic frugivores and nectarivores; a bird's eye view on a conflict of interest species in riparian habitats</v>
      </c>
      <c r="B113" s="24" t="str">
        <f>IFERROR(__xludf.DUMMYFUNCTION("""COMPUTED_VALUE"""),"Invasive alien plants have major ecological effects, in particular in riparian habitats. While effects of alien tree invasions on riparian plants are well studied, effects on animals are less well understood. Invasive alien trees can have a positive effec"&amp;"t by adding habitat and food sources, or have a negative effect, by replacing native food plants. Here we use birds as indicators to determine the impacts of an invasive Eucalyptus tree species in riparian areas of the Cape Floristic Region (CFR) of South"&amp;" Africa. Birds are an ideal study group because they are mobile, respond quickly to habitat changes and feed at different trophic levels. Fixed-point bird counts were done during winter and spring at near-pristine and Eucalyptus camaldulensis invaded ripa"&amp;"rian habitats. A total of 1142 birds from 44 species were recorded. Bird assemblages in invaded sites are almost a complete subset (24 species) of those in near-pristine areas (42 species). Invaded areas were missing 18 species and contained a total of 12"&amp;"8 fewer individuals. This is due to declines in insectivores, frugivores, granivores, raptors and omnivores and the absence of nectarivores in invaded sites. From a bird's perspective, the prioritisation of E. camaldulensis removal from the CFR's river sy"&amp;"stems is justified, but whether bird species will return to cleared areas needs to be determined.")</f>
        <v>Invasive alien plants have major ecological effects, in particular in riparian habitats. While effects of alien tree invasions on riparian plants are well studied, effects on animals are less well understood. Invasive alien trees can have a positive effect by adding habitat and food sources, or have a negative effect, by replacing native food plants. Here we use birds as indicators to determine the impacts of an invasive Eucalyptus tree species in riparian areas of the Cape Floristic Region (CFR) of South Africa. Birds are an ideal study group because they are mobile, respond quickly to habitat changes and feed at different trophic levels. Fixed-point bird counts were done during winter and spring at near-pristine and Eucalyptus camaldulensis invaded riparian habitats. A total of 1142 birds from 44 species were recorded. Bird assemblages in invaded sites are almost a complete subset (24 species) of those in near-pristine areas (42 species). Invaded areas were missing 18 species and contained a total of 128 fewer individuals. This is due to declines in insectivores, frugivores, granivores, raptors and omnivores and the absence of nectarivores in invaded sites. From a bird's perspective, the prioritisation of E. camaldulensis removal from the CFR's river systems is justified, but whether bird species will return to cleared areas needs to be determined.</v>
      </c>
      <c r="C113" s="24" t="str">
        <f>IFERROR(__xludf.DUMMYFUNCTION("""COMPUTED_VALUE"""),"10.1007/s11284-017-1481-0")</f>
        <v>10.1007/s11284-017-1481-0</v>
      </c>
      <c r="D113" s="24" t="str">
        <f>IFERROR(__xludf.DUMMYFUNCTION("""COMPUTED_VALUE"""),"Keck et al")</f>
        <v>Keck et al</v>
      </c>
      <c r="E113" s="24" t="str">
        <f>IFERROR(__xludf.DUMMYFUNCTION("""COMPUTED_VALUE"""),"WOS:000409123700004")</f>
        <v>WOS:000409123700004</v>
      </c>
      <c r="F113" s="24" t="str">
        <f>IFERROR(__xludf.DUMMYFUNCTION("""COMPUTED_VALUE"""),"[""ELIGIBLE""]")</f>
        <v>["ELIGIBLE"]</v>
      </c>
    </row>
    <row r="114">
      <c r="A114" s="24" t="str">
        <f>IFERROR(__xludf.DUMMYFUNCTION("""COMPUTED_VALUE"""),"How does the management of rice in natural ponds alter aquatic insect community functional structure?")</f>
        <v>How does the management of rice in natural ponds alter aquatic insect community functional structure?</v>
      </c>
      <c r="B114" s="24" t="str">
        <f>IFERROR(__xludf.DUMMYFUNCTION("""COMPUTED_VALUE"""),"Changes to biodiversity have mainly been assessed using taxonomic diversity indices. Although these approaches contribute to our scientific understanding of species richness and composition patterns, trait-based metrics may be more useful for detecting re"&amp;"sponses to land-use change. We compared functional diversity of aquatic insect communities along a gradient of agricultural intensification. Our goal was to compare functional redundancy, functional richness, functional evenness and functional divergence "&amp;"among natural ponds, and organic and conventional rice fields. We recorded 15606 aquatic insects distributed across 61 genera. The highest functional redundancy and richness were observed in the natural ponds, followed by organic rice fields and conventio"&amp;"nal ones. The functional composition varied among natural ponds and rice fields, and differed between organic and conventional rice fields. Organic management favoured the establishment of some pond insect traits, such as predatory taxa, in rice agroecosy"&amp;"stems. Our analysis suggests that the conversion of ponds to rice fields results in a shift to less specialised aquatic insect communities with altered functional composition groups. Nevertheless, this result should not be seen as a negative reflection on"&amp;" organic rice fields, because organic rice production affords a better compromise between agricultural production and ecosystem function than conventional agriculture.")</f>
        <v>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v>
      </c>
      <c r="C114" s="24" t="str">
        <f>IFERROR(__xludf.DUMMYFUNCTION("""COMPUTED_VALUE"""),"10.1071/MF14246")</f>
        <v>10.1071/MF14246</v>
      </c>
      <c r="D114" s="24" t="str">
        <f>IFERROR(__xludf.DUMMYFUNCTION("""COMPUTED_VALUE"""),"Keck et al")</f>
        <v>Keck et al</v>
      </c>
      <c r="E114" s="24" t="str">
        <f>IFERROR(__xludf.DUMMYFUNCTION("""COMPUTED_VALUE"""),"WOS:000387256400005")</f>
        <v>WOS:000387256400005</v>
      </c>
      <c r="F114" s="24" t="str">
        <f>IFERROR(__xludf.DUMMYFUNCTION("""COMPUTED_VALUE"""),"[""ELIGIBLE""]")</f>
        <v>["ELIGIBLE"]</v>
      </c>
    </row>
    <row r="115">
      <c r="A115" s="24" t="str">
        <f>IFERROR(__xludf.DUMMYFUNCTION("""COMPUTED_VALUE"""),"Sixteen years of simulated summer and winter warming have contrasting effects on soil mite communities in a sub-Arctic peat bog")</f>
        <v>Sixteen years of simulated summer and winter warming have contrasting effects on soil mite communities in a sub-Arctic peat bog</v>
      </c>
      <c r="B115" s="24" t="str">
        <f>IFERROR(__xludf.DUMMYFUNCTION("""COMPUTED_VALUE"""),"Northern peatlands are very sensitive to changes in climate. Impacts of increased temperatures on hydrology, vegetation structure and soil carbon are already well documented from northern peatlands. In contrast, effects of global warming on soil mites, an"&amp;"d seasonal effects in particular, have received less attention, even though soil mites are an important component in ecosystems as they contribute to nutrient dynamics and decomposition. We investigated the impacts of long-term (16years) experimental seas"&amp;"onal climate manipulations (summer warming, winter warming with snow accumulation, and year-round warming) on oribatid (Oribatida) and mesostigmatid (Mesostigmata) mite communities in a peat bog underlain by discontinuous permafrost, in Abisko, Northern S"&amp;"weden. We found that (1) Year-round warming treatment had neither impact on life-history trait compositions nor on total abundances of oribatid mites, possibly because of opposite effects of summer and winter warming; (2) Small-bodied oribatid mites, in p"&amp;"articular those belonging to genera Suctobelba, increased in abundance under the summer warming treatment; (3) The species richness of oribatid mites was negative affected by year-round warming; (4) Mesostigmatid mites, which were not identified to specie"&amp;"s level, were found to decrease in abundance under year-round warming. Because different mite taxa with different body sizes and diets play distinct roles in carbon and nutrient dynamics, the observed changes in mite communities may impact ecosystem funct"&amp;"ions in northern peatlands.")</f>
        <v>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v>
      </c>
      <c r="C115" s="24" t="str">
        <f>IFERROR(__xludf.DUMMYFUNCTION("""COMPUTED_VALUE"""),"10.1007/s00300-018-02454-4")</f>
        <v>10.1007/s00300-018-02454-4</v>
      </c>
      <c r="D115" s="24" t="str">
        <f>IFERROR(__xludf.DUMMYFUNCTION("""COMPUTED_VALUE"""),"Keck et al")</f>
        <v>Keck et al</v>
      </c>
      <c r="E115" s="24" t="str">
        <f>IFERROR(__xludf.DUMMYFUNCTION("""COMPUTED_VALUE"""),"WOS:000459821700014")</f>
        <v>WOS:000459821700014</v>
      </c>
      <c r="F115" s="24" t="str">
        <f>IFERROR(__xludf.DUMMYFUNCTION("""COMPUTED_VALUE"""),"[""ELIGIBLE""]")</f>
        <v>["ELIGIBLE"]</v>
      </c>
    </row>
    <row r="116">
      <c r="A116" s="24" t="str">
        <f>IFERROR(__xludf.DUMMYFUNCTION("""COMPUTED_VALUE"""),"Natural revegetation of a semiarid habitat alters taxonomic and functional diversity of soil microbial communities")</f>
        <v>Natural revegetation of a semiarid habitat alters taxonomic and functional diversity of soil microbial communities</v>
      </c>
      <c r="B116" s="24" t="str">
        <f>IFERROR(__xludf.DUMMYFUNCTION("""COMPUTED_VALUE"""),"Revegetation of degraded lands has a profound impact on the maintenance and stability of ecosystemprocesses. However, the impacts of this land use change on functional diversity of soil microbial communities are poorly understood. Here, using 16S rRNA gen"&amp;"e amplicon and shotgun metagenomic sequencing, we compared the taxonomic and functional communities of soil microbiome, and analyzed the effects of plant diversity and soil chemical properties, in a chronosequence of restored ex-farmland that had been nat"&amp;"urally revegetated to grassland over periods of 5, 15 and 30 years with adjacent farmland, on the Loess Plateau, China. We found that microbial taxonomic diversity was positively correlated with plant diversity and was higher in the revegetated sites. Fun"&amp;"ctional diversity increased significantly in the oldest grassland. Actinobacteria, commonly considered a copiotrophic phylum, was more abundant in the revegetated sites, while Acidobacteria, an oligotrophic phylum, was more abundant in farmland. Furthermo"&amp;"re, the structure of taxonomic and functional communities was significantly different between revegetated sites and farmland, and organic matter was the best environmental predictor in determining these microbial communities. Compared with the farmland, r"&amp;"evegetation increased the proportion of genes associated with energy metabolism, carbohydrate metabolism and xenobiotics biodegradation and metabolism. Notably, the higher proportion of carbohydrate degradation gene subfamilies in the revegetated sites in"&amp;"dicated higher levels of soil nutrient cycling. These results elucidate the significant shifts in below ground microbial taxonomic and functional diversity following vegetation restoration and have implications for ecological restoration programs in arid "&amp;"and semi-arid ecosystems. (C) 2018 Published by Elsevier B.V.")</f>
        <v>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v>
      </c>
      <c r="C116" s="24" t="str">
        <f>IFERROR(__xludf.DUMMYFUNCTION("""COMPUTED_VALUE"""),"10.1016/j.scitotenv.2018.04.171")</f>
        <v>10.1016/j.scitotenv.2018.04.171</v>
      </c>
      <c r="D116" s="24" t="str">
        <f>IFERROR(__xludf.DUMMYFUNCTION("""COMPUTED_VALUE"""),"Keck et al")</f>
        <v>Keck et al</v>
      </c>
      <c r="E116" s="24" t="str">
        <f>IFERROR(__xludf.DUMMYFUNCTION("""COMPUTED_VALUE"""),"WOS:000436494400058")</f>
        <v>WOS:000436494400058</v>
      </c>
      <c r="F116" s="24" t="str">
        <f>IFERROR(__xludf.DUMMYFUNCTION("""COMPUTED_VALUE"""),"[""ELIGIBLE""]")</f>
        <v>["ELIGIBLE"]</v>
      </c>
    </row>
    <row r="117">
      <c r="A117" s="24" t="str">
        <f>IFERROR(__xludf.DUMMYFUNCTION("""COMPUTED_VALUE"""),"Differential Responses of Soil Microbial Community to Four-Decade Long Grazing and Cultivation in a Semi-Arid Grassland")</f>
        <v>Differential Responses of Soil Microbial Community to Four-Decade Long Grazing and Cultivation in a Semi-Arid Grassland</v>
      </c>
      <c r="B117" s="24" t="str">
        <f>IFERROR(__xludf.DUMMYFUNCTION("""COMPUTED_VALUE"""),"Grazing and cultivation are two important management practices worldwide that can cause significant soil organic carbon (SOC) losses. However, it remains elusive how soil microbes have responded to soil carbon changes under these two practices. Based on a"&amp;" four-decade long field experiment, this study investigated the effects of grazing and cultivation on SOC stocks and microbial properties in the semi-arid grasslands of China. We hypothesize that grazing and cultivation would deplete SOC and depress micro"&amp;"bial activities under both practices. However, our hypotheses were only partially supported. As compared with the adjacent indigenous grasslands, SOC and microbial biomass carbon (MBC) were decreased by 20% or more under grazing and cultivation, which is "&amp;"consistent with the reduction of fungi abundance by 40% and 71%, respectively. The abundance of bacteria and actinomycetes was decreased under grazing but increased under cultivation, which likely enhanced microbial diversity in cultivation. Invertase act"&amp;"ivity decreased under the two treatments, while urease activity increased under grazing. These results suggest that nitrogen fertilizer input during cultivation may preferentially favor bacterial growth, in spite of SOC loss, due to rapid decomposition, w"&amp;"hile overgrazing may deteriorate the nitrogen supply to belowground microbes, thus stimulating the microbial production of nitrogen acquisition enzymes. This decade-long study demonstrated differential soil microbial responses under grazing and cultivatio"&amp;"n and has important applications for better management practices in the grassland ecosystem.")</f>
        <v>Grazing and cultivation are two important management practices worldwide that can cause significant soil organic carbon (SOC) losses. However, it remains elusive how soil microbes have responded to soil carbon changes under these two practices. Based on a four-decade long field experiment, this study investigated the effects of grazing and cultivation on SOC stocks and microbial properties in the semi-arid grasslands of China. We hypothesize that grazing and cultivation would deplete SOC and depress microbial activities under both practices. However, our hypotheses were only partially supported. As compared with the adjacent indigenous grasslands, SOC and microbial biomass carbon (MBC) were decreased by 20% or more under grazing and cultivation, which is consistent with the reduction of fungi abundance by 40% and 71%, respectively. The abundance of bacteria and actinomycetes was decreased under grazing but increased under cultivation, which likely enhanced microbial diversity in cultivation. Invertase activity decreased under the two treatments, while urease activity increased under grazing. These results suggest that nitrogen fertilizer input during cultivation may preferentially favor bacterial growth, in spite of SOC loss, due to rapid decomposition, while overgrazing may deteriorate the nitrogen supply to belowground microbes, thus stimulating the microbial production of nitrogen acquisition enzymes. This decade-long study demonstrated differential soil microbial responses under grazing and cultivation and has important applications for better management practices in the grassland ecosystem.</v>
      </c>
      <c r="C117" s="24" t="str">
        <f>IFERROR(__xludf.DUMMYFUNCTION("""COMPUTED_VALUE"""),"10.3390/su9010128")</f>
        <v>10.3390/su9010128</v>
      </c>
      <c r="D117" s="24" t="str">
        <f>IFERROR(__xludf.DUMMYFUNCTION("""COMPUTED_VALUE"""),"Keck et al")</f>
        <v>Keck et al</v>
      </c>
      <c r="E117" s="24" t="str">
        <f>IFERROR(__xludf.DUMMYFUNCTION("""COMPUTED_VALUE"""),"WOS:000394842700126")</f>
        <v>WOS:000394842700126</v>
      </c>
      <c r="F117" s="24" t="str">
        <f>IFERROR(__xludf.DUMMYFUNCTION("""COMPUTED_VALUE"""),"[""ELIGIBLE""]")</f>
        <v>["ELIGIBLE"]</v>
      </c>
    </row>
    <row r="118">
      <c r="A118" s="24" t="str">
        <f>IFERROR(__xludf.DUMMYFUNCTION("""COMPUTED_VALUE"""),"Comparison of macroinvertebrate assemblages in a stream before and after fine sedimentation by deer-induced forest floor degradation")</f>
        <v>Comparison of macroinvertebrate assemblages in a stream before and after fine sedimentation by deer-induced forest floor degradation</v>
      </c>
      <c r="B118" s="24" t="str">
        <f>IFERROR(__xludf.DUMMYFUNCTION("""COMPUTED_VALUE"""),"Japan's Sika deer (Cervus nippon) population has steadily increased since the 1990s. Consequent overgrazing of forest floor vegetation has created denuded slopes and increased the fine-sediment input to nearby headstreams. Given the continuous structure o"&amp;"f rivers, it is likely that upstream forest and headstream ecosystems ultimately impact the ecology of downstream ecosystems. To test this prediction, I investigated the taxonomic composition and habitat characteristics of stream macroinvertebrates before"&amp;" and after fine sedimentation infiltration. Fine sedimentation resulted in coverage of highly productive coarse substrates with fine sand and reduced the macroinvertebrate abundance and taxonomic diversity. These changes were influenced by habitat prefere"&amp;"nce; taxa with coarse substrate preference decreased in abundance, while the abundance of taxa that prefer fine substrates increased. However, large armored caddisflies (Goera spp.) dominated after the fine sedimentation, despite their preference for coar"&amp;"se substrates. This rise likely results from the concurrent reduction in the number of the predatory cyprinid fish species, Tribolodon hakonensis, as large armored caddisflies have often been reported to be invulnerable to predation by fishes such as salm"&amp;"onids and sculpins. However, large cyprinids, which are abundant in Japanese rivers, can effectively forage hard-armored organisms using their well-developed pharyngeal teeth. Collectively the results provide insight regarding the catchment-scale impacts "&amp;"of deer-induced forest floor degradation and will help to inform conservation and management efforts.")</f>
        <v>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v>
      </c>
      <c r="C118" s="24" t="str">
        <f>IFERROR(__xludf.DUMMYFUNCTION("""COMPUTED_VALUE"""),"10.1111/1440-1703.12256")</f>
        <v>10.1111/1440-1703.12256</v>
      </c>
      <c r="D118" s="24" t="str">
        <f>IFERROR(__xludf.DUMMYFUNCTION("""COMPUTED_VALUE"""),"Keck et al")</f>
        <v>Keck et al</v>
      </c>
      <c r="E118" s="24" t="str">
        <f>IFERROR(__xludf.DUMMYFUNCTION("""COMPUTED_VALUE"""),"WOS:000680231700001")</f>
        <v>WOS:000680231700001</v>
      </c>
      <c r="F118" s="24" t="str">
        <f>IFERROR(__xludf.DUMMYFUNCTION("""COMPUTED_VALUE"""),"[""ELIGIBLE""]")</f>
        <v>["ELIGIBLE"]</v>
      </c>
    </row>
    <row r="119">
      <c r="A119" s="24" t="str">
        <f>IFERROR(__xludf.DUMMYFUNCTION("""COMPUTED_VALUE"""),"Ant assemblages of Brazil nut trees Bertholletia excelsa in forest and pasture habitats in the Southwestern Brazilian Amazon")</f>
        <v>Ant assemblages of Brazil nut trees Bertholletia excelsa in forest and pasture habitats in the Southwestern Brazilian Amazon</v>
      </c>
      <c r="B119" s="24" t="str">
        <f>IFERROR(__xludf.DUMMYFUNCTION("""COMPUTED_VALUE"""),"In the Southwestern Brazilian Amazon, the Brazil nut tree Bertholletia excelsa is the most conspicuous remnant element of original forest ecosystems in human-modified landscapes. They often exist in pastures that have very different environmental characte"&amp;"ristics than forests. In our study, we surveyed the ant fauna of Brazil nut trees in forest and pasture habitats in the Southwestern Brazilian Amazon. Specifically, we addressed the following questions: (i) How do arboreal ant assemblages of Brazil nut tr"&amp;"ee crowns change based on habitat type? (ii) What is the contribution of forest ant species from Brazil nut tree crowns to ant assemblages in pasture Brazil nut tree crowns? (iii) What features of pasture Brazil nut trees lead to a greater number of arbor"&amp;"eal ant species? We selected 20 trees in each habitat type (forest and pasture) and collected ant samples both at the soil surface and at tree crowns, sampling a total of 184 ant species. Species composition was primarily determined by sampling layer. We "&amp;"found that the number of ant species was 63% lower in pasture than in forest tree crowns. The dissimilarity between the ant assemblages of tree crown and soil surface remained almost the same in both habitats. There was relatively little overlap in specie"&amp;"s composition in the forest tree crowns versus the pasture tree crowns, with species replacement component highly contributing to the differences. We conclude that scattered Brazil nut trees plays limited role on the conservation of its associated biodive"&amp;"rsity in human-modified landscapes such as pastures.")</f>
        <v>In the Southwestern Brazilian Amazon, the Brazil nut tree Bertholletia excelsa is the most conspicuous remnant element of original forest ecosystems in human-modified landscapes. They often exist in pastures that have very different environmental characteristics than forests. In our study, we surveyed the ant fauna of Brazil nut trees in forest and pasture habitats in the Southwestern Brazilian Amazon. Specifically, we addressed the following questions: (i) How do arboreal ant assemblages of Brazil nut tree crowns change based on habitat type? (ii) What is the contribution of forest ant species from Brazil nut tree crowns to ant assemblages in pasture Brazil nut tree crowns? (iii) What features of pasture Brazil nut trees lead to a greater number of arboreal ant species? We selected 20 trees in each habitat type (forest and pasture) and collected ant samples both at the soil surface and at tree crowns, sampling a total of 184 ant species. Species composition was primarily determined by sampling layer. We found that the number of ant species was 63% lower in pasture than in forest tree crowns. The dissimilarity between the ant assemblages of tree crown and soil surface remained almost the same in both habitats. There was relatively little overlap in species composition in the forest tree crowns versus the pasture tree crowns, with species replacement component highly contributing to the differences. We conclude that scattered Brazil nut trees plays limited role on the conservation of its associated biodiversity in human-modified landscapes such as pastures.</v>
      </c>
      <c r="C119" s="24" t="str">
        <f>IFERROR(__xludf.DUMMYFUNCTION("""COMPUTED_VALUE"""),"10.1007/s10531-018-1657-0")</f>
        <v>10.1007/s10531-018-1657-0</v>
      </c>
      <c r="D119" s="24" t="str">
        <f>IFERROR(__xludf.DUMMYFUNCTION("""COMPUTED_VALUE"""),"Keck et al")</f>
        <v>Keck et al</v>
      </c>
      <c r="E119" s="24" t="str">
        <f>IFERROR(__xludf.DUMMYFUNCTION("""COMPUTED_VALUE"""),"WOS:000454777600005")</f>
        <v>WOS:000454777600005</v>
      </c>
      <c r="F119" s="24" t="str">
        <f>IFERROR(__xludf.DUMMYFUNCTION("""COMPUTED_VALUE"""),"[""ELIGIBLE""]")</f>
        <v>["ELIGIBLE"]</v>
      </c>
    </row>
    <row r="120">
      <c r="A120" s="24" t="str">
        <f>IFERROR(__xludf.DUMMYFUNCTION("""COMPUTED_VALUE"""),"Does logging and forest conversion to oil palm agriculture alter functional diversity in a biodiversity hotspot?")</f>
        <v>Does logging and forest conversion to oil palm agriculture alter functional diversity in a biodiversity hotspot?</v>
      </c>
      <c r="B120" s="24" t="str">
        <f>IFERROR(__xludf.DUMMYFUNCTION("""COMPUTED_VALUE"""),"Forests in Southeast Asia are rapidly being logged and converted to oil palm. These changes in land-use are known to affect species diversity but consequences for the functional diversity of species assemblages are poorly understood. Environmental filteri"&amp;"ng of species with similar traits could lead to disproportionate reductions in trait diversity in degraded habitats. Here, we focus on dung beetles, which play a key role in ecosystem processes such as nutrient recycling and seed dispersal. We use morphol"&amp;"ogical and behavioural traits to calculate a variety of functional diversity measures across a gradient of disturbance from primary forest through intensively logged forest to oil palm. Logging caused significant shifts in community composition but had ve"&amp;"ry little effect on functional diversity, even after a repeated timber harvest. These data provide evidence for functional redundancy of dung beetles within primary forest and emphasize the high value of logged forests as refugia for biodiversity. In cont"&amp;"rast, conversion of forest to oil palm greatly reduced taxonomic and functional diversity, with a marked decrease in the abundance of nocturnal foragers, a higher proportion of species with small body sizes and the complete loss of telecoprid species (dun"&amp;"g-rollers), all indicating a decrease in the functional capacity of dung beetles within plantations. These changes also highlight the vulnerability of community functioning within logged forests in the event of further environmental degradation.")</f>
        <v>Forests in Southeast Asia are rapidly being logged and converted to oil palm. These changes in land-use are known to affect species diversity but consequences for the functional diversity of species assemblages are poorly understood. Environmental filtering of species with similar traits could lead to disproportionate reductions in trait diversity in degraded habitats. Here, we focus on dung beetles, which play a key role in ecosystem processes such as nutrient recycling and seed dispersal. We use morphological and behavioural traits to calculate a variety of functional diversity measures across a gradient of disturbance from primary forest through intensively logged forest to oil palm. Logging caused significant shifts in community composition but had very little effect on functional diversity, even after a repeated timber harvest. These data provide evidence for functional redundancy of dung beetles within primary forest and emphasize the high value of logged forests as refugia for biodiversity. In contrast, conversion of forest to oil palm greatly reduced taxonomic and functional diversity, with a marked decrease in the abundance of nocturnal foragers, a higher proportion of species with small body sizes and the complete loss of telecoprid species (dung-rollers), all indicating a decrease in the functional capacity of dung beetles within plantations. These changes also highlight the vulnerability of community functioning within logged forests in the event of further environmental degradation.</v>
      </c>
      <c r="C120" s="24" t="str">
        <f>IFERROR(__xludf.DUMMYFUNCTION("""COMPUTED_VALUE"""),"10.1111/acv.12074")</f>
        <v>10.1111/acv.12074</v>
      </c>
      <c r="D120" s="24" t="str">
        <f>IFERROR(__xludf.DUMMYFUNCTION("""COMPUTED_VALUE"""),"Keck et al")</f>
        <v>Keck et al</v>
      </c>
      <c r="E120" s="24" t="str">
        <f>IFERROR(__xludf.DUMMYFUNCTION("""COMPUTED_VALUE"""),"WOS:000333762300011")</f>
        <v>WOS:000333762300011</v>
      </c>
      <c r="F120" s="24" t="str">
        <f>IFERROR(__xludf.DUMMYFUNCTION("""COMPUTED_VALUE"""),"[""ELIGIBLE""]")</f>
        <v>["ELIGIBLE"]</v>
      </c>
    </row>
    <row r="121">
      <c r="A121" s="24" t="str">
        <f>IFERROR(__xludf.DUMMYFUNCTION("""COMPUTED_VALUE"""),"Amphibian and butterfly diversity across a tropical land-use gradient in Sri Lanka; implications for conservation decision making")</f>
        <v>Amphibian and butterfly diversity across a tropical land-use gradient in Sri Lanka; implications for conservation decision making</v>
      </c>
      <c r="B121" s="24" t="str">
        <f>IFERROR(__xludf.DUMMYFUNCTION("""COMPUTED_VALUE"""),"Asian rainforests suffer from massive deforestation but remain less studied pantropically. Although Sri Lanka is a severely threatened biodiversity hot spot with high endemicity and unique conservation challenges, few have investigated how fauna respond t"&amp;"o environmental perturbations caused by human modification of habitats. We investigated differences in the diversity and community composition of amphibians and butterflies in primary and selectively logged forests (SLF), home gardens and plantations in t"&amp;"he Sinharaja lowland tropical forest and surrounding areas. A Bayesian multi-model inference approach was then used to identify environmental variables that explained differences in richness and abundance patterns among sites. Amphibian species richness ("&amp;"SPR) was highest in a forest habitat, and community composition differed between forest and disturbed habitats. In contrast, butterfly SPR increased with increasing disturbance. Butterfly diversity patterns were best explained by climatic variables, while"&amp;" structural habitat parameters were the best predictors of amphibian patterns. Based on research findings, the protection of primary forest habitats is essential for amphibian conservation. Regenerating SLF can be of high conservation value especially if "&amp;"substantial pristine habitat remains conserved in the landscape. Anthropogenic habitats at the periphery of forests require realistic management recommendations to support the species inhabiting, visiting or migrating through them. Different environmental"&amp;" predictors for butterflies and amphibians underscore the importance of including multiple indicator taxa in surveys that are intended to inform habitat management.")</f>
        <v>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v>
      </c>
      <c r="C121" s="24" t="str">
        <f>IFERROR(__xludf.DUMMYFUNCTION("""COMPUTED_VALUE"""),"10.1111/j.1469-1795.2011.00507.x")</f>
        <v>10.1111/j.1469-1795.2011.00507.x</v>
      </c>
      <c r="D121" s="24" t="str">
        <f>IFERROR(__xludf.DUMMYFUNCTION("""COMPUTED_VALUE"""),"Keck et al")</f>
        <v>Keck et al</v>
      </c>
      <c r="E121" s="24" t="str">
        <f>IFERROR(__xludf.DUMMYFUNCTION("""COMPUTED_VALUE"""),"WOS:000305118700009")</f>
        <v>WOS:000305118700009</v>
      </c>
      <c r="F121" s="24" t="str">
        <f>IFERROR(__xludf.DUMMYFUNCTION("""COMPUTED_VALUE"""),"[""ELIGIBLE""]")</f>
        <v>["ELIGIBLE"]</v>
      </c>
    </row>
    <row r="122">
      <c r="A122" s="24" t="str">
        <f>IFERROR(__xludf.DUMMYFUNCTION("""COMPUTED_VALUE"""),"Diversity loss and changes in saproxylic beetle assemblages following a high-severity fire in Araucaria-Nothofagus forests")</f>
        <v>Diversity loss and changes in saproxylic beetle assemblages following a high-severity fire in Araucaria-Nothofagus forests</v>
      </c>
      <c r="B122" s="24" t="str">
        <f>IFERROR(__xludf.DUMMYFUNCTION("""COMPUTED_VALUE"""),"Forest fires have increased in frequency worldwide due to global warming, drought, and land-use change. These fire-regime changes have altered the dynamics of deadwood accumulation in forests, which can affect biological communities dependent on this reso"&amp;"urce. We analyzed the effect of high-severity fire events on saproxylic beetle assemblages, which specialize in using deadwood that accumulates after disturbances. We compared assemblages in sites severely burned in 2002 to those in unburned sites in Chil"&amp;"ean Araucaria-Nothofagus forests. Insects were collected using window-interception traps from spring 2017 to summer 2018. Rarefaction-interpolation curves revealed a significant decrease in diversity as a result of fire. Permutational multivariate analysi"&amp;"s of variance showed a significant effect of fire on insect community structure. In addition, we observed that species turnover contributing most, and nestedness to a lesser extent, to differences in ss-diversity between burned and unburned sites. Species"&amp;" replacement was associated with an increase in abundance of xylophagous (deadwood feeders) and a decrease in abundance of mycophagous (fungivorous) insects with fire. Therefore, our results suggest that fire causes a reduction in diversity while benefiti"&amp;"ng the abundance of xylophagous beetles in Araucaria-Nothofagus forests. We recommend the use of these insects as an evaluation tool in conservation planning, management practices, and ecological restoration efforts in burned forests in southern Chile.")</f>
        <v>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v>
      </c>
      <c r="C122" s="24" t="str">
        <f>IFERROR(__xludf.DUMMYFUNCTION("""COMPUTED_VALUE"""),"10.1007/s10841-020-00223-5")</f>
        <v>10.1007/s10841-020-00223-5</v>
      </c>
      <c r="D122" s="24" t="str">
        <f>IFERROR(__xludf.DUMMYFUNCTION("""COMPUTED_VALUE"""),"Keck et al")</f>
        <v>Keck et al</v>
      </c>
      <c r="E122" s="24" t="str">
        <f>IFERROR(__xludf.DUMMYFUNCTION("""COMPUTED_VALUE"""),"WOS:000516400900001")</f>
        <v>WOS:000516400900001</v>
      </c>
      <c r="F122" s="24" t="str">
        <f>IFERROR(__xludf.DUMMYFUNCTION("""COMPUTED_VALUE"""),"[""ELIGIBLE""]")</f>
        <v>["ELIGIBLE"]</v>
      </c>
    </row>
    <row r="123">
      <c r="A123" s="24" t="str">
        <f>IFERROR(__xludf.DUMMYFUNCTION("""COMPUTED_VALUE"""),"Eucalyptus plantations as hybrid ecosystems: Implications for species conservation in the Brazilian Atlantic forest")</f>
        <v>Eucalyptus plantations as hybrid ecosystems: Implications for species conservation in the Brazilian Atlantic forest</v>
      </c>
      <c r="B123" s="24" t="str">
        <f>IFERROR(__xludf.DUMMYFUNCTION("""COMPUTED_VALUE"""),"Novel and hybrid ecosystems present different conservation values for native species. Therefore, the classification of modified ecosystems into a novel or hybrid state is an essential step to assist conservation strategies for biodiversity. During the las"&amp;"t decades, plantations of Eucalyptus have increased in the highly threatened Atlantic Forest region, highlighting the importance of defining this ecosystem as novel or hybrid. In this study, we evaluated whether Eucalyptus plantations are novel or hybrid "&amp;"ecosystems by contrasting biotic components (dung beetle communities) and abiotic components (local environmental variables) within historical (Atlantic Forest remnants) and non-historical (pasture) environments in the Atlantic Forest biome, located in Ba"&amp;"hia state, Brazil. Our results show that Eucalyptus plantations should be classified and managed as a hybrid ecosystem in this biome. Of the 21 dung beetle species found in Eucalyptus, ten were shared with historical forests (52.6% of Eucalyptus species) "&amp;"and 6 with pastures (31.5%). Eucalyptus plantations have environmental aspects similar to both historical forests and pastures. Despite presenting similar components to historical and non-historical ecosystems, Eucalyptus plantations are sufficiently dist"&amp;"inct not to be classified as either one of them. Our results highlight the potential conservation value of Eucalyptus plantations in the Atlantic Forest region as complementary habitat for historical species, and we discuss how alternative management at l"&amp;"andscape and stand (local) scales might increase this value. Although dung beetles are an excellent group to monitor biodiversity, we reinforce the necessity to perform further studies using another taxon that present different ecosystem requirements.")</f>
        <v>Novel and hybrid ecosystems present different conservation values for native species. Therefore, the classification of modified ecosystems into a novel or hybrid state is an essential step to assist conservation strategies for biodiversity. During the last decades, plantations of Eucalyptus have increased in the highly threatened Atlantic Forest region, highlighting the importance of defining this ecosystem as novel or hybrid. In this study, we evaluated whether Eucalyptus plantations are novel or hybrid ecosystems by contrasting biotic components (dung beetle communities) and abiotic components (local environmental variables) within historical (Atlantic Forest remnants) and non-historical (pasture) environments in the Atlantic Forest biome, located in Bahia state, Brazil. Our results show that Eucalyptus plantations should be classified and managed as a hybrid ecosystem in this biome. Of the 21 dung beetle species found in Eucalyptus, ten were shared with historical forests (52.6% of Eucalyptus species) and 6 with pastures (31.5%). Eucalyptus plantations have environmental aspects similar to both historical forests and pastures. Despite presenting similar components to historical and non-historical ecosystems, Eucalyptus plantations are sufficiently distinct not to be classified as either one of them. Our results highlight the potential conservation value of Eucalyptus plantations in the Atlantic Forest region as complementary habitat for historical species, and we discuss how alternative management at landscape and stand (local) scales might increase this value. Although dung beetles are an excellent group to monitor biodiversity, we reinforce the necessity to perform further studies using another taxon that present different ecosystem requirements.</v>
      </c>
      <c r="C123" s="24" t="str">
        <f>IFERROR(__xludf.DUMMYFUNCTION("""COMPUTED_VALUE"""),"10.1016/j.foreco.2018.10.063")</f>
        <v>10.1016/j.foreco.2018.10.063</v>
      </c>
      <c r="D123" s="24" t="str">
        <f>IFERROR(__xludf.DUMMYFUNCTION("""COMPUTED_VALUE"""),"Keck et al")</f>
        <v>Keck et al</v>
      </c>
      <c r="E123" s="24" t="str">
        <f>IFERROR(__xludf.DUMMYFUNCTION("""COMPUTED_VALUE"""),"WOS:000456902500014")</f>
        <v>WOS:000456902500014</v>
      </c>
      <c r="F123" s="24" t="str">
        <f>IFERROR(__xludf.DUMMYFUNCTION("""COMPUTED_VALUE"""),"[""ELIGIBLE""]")</f>
        <v>["ELIGIBLE"]</v>
      </c>
    </row>
    <row r="124">
      <c r="A124" s="24" t="str">
        <f>IFERROR(__xludf.DUMMYFUNCTION("""COMPUTED_VALUE"""),"Conservation value of alternative land-use systems for dung beetles in Amazon: valuing traditional farming practices")</f>
        <v>Conservation value of alternative land-use systems for dung beetles in Amazon: valuing traditional farming practices</v>
      </c>
      <c r="B124" s="24" t="str">
        <f>IFERROR(__xludf.DUMMYFUNCTION("""COMPUTED_VALUE"""),"Land-use systems (LUS), placed in originally forested areas, represent different degrees of opportunity for species conservation. In this study, we examined the dung beetle communities in order to identify the conservation value of different LUS: primary "&amp;"forest, old secondary forest, young secondary forest, agroforestry, agriculture and pasture in Western Amazon. The LUS were sampled in two campaigns during the highest precipitation period and dryest period. The primary forest has a high number of total a"&amp;"nd exclusive species. Large beetles show a continuous decreasing in richness and abundance from primary forest to pastures, while small ones are not sensible to intermediate systems (secondary forest to agriculture) in terms of species richness and exhibi"&amp;"t a increase in abundance at agroforest and agriculture when contrasted to secondary forest and pasture The beetle community composition was not sensible to secondary forest recovering time. Secondary forests and agroforestry stood out as harboring many s"&amp;"pecies shared with primary forests. Cloud-point dispersion (average dissimilarity) increased from primary forest towards LUS's submitted to more intense use. The higher sampling points similarity observed in primary forest might be the result of the relat"&amp;"ive stability of this system, given that environmental impacts might increase variability in community structure and beta diversity. Increase in beta diversity as expressed by greater dispersion of sites in multivariate space suggests that these areas are"&amp;" dependent on nearby species pools, possibly primary forests, and harbor a higher spatial heterogeneity in species composition. This high variability can overestimate the importance of occasional species, thus biasing the actual value of alternative LUS f"&amp;"or biodiversity conservation.")</f>
        <v>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v>
      </c>
      <c r="C124" s="24" t="str">
        <f>IFERROR(__xludf.DUMMYFUNCTION("""COMPUTED_VALUE"""),"10.1007/s10531-013-0487-3")</f>
        <v>10.1007/s10531-013-0487-3</v>
      </c>
      <c r="D124" s="24" t="str">
        <f>IFERROR(__xludf.DUMMYFUNCTION("""COMPUTED_VALUE"""),"Keck et al")</f>
        <v>Keck et al</v>
      </c>
      <c r="E124" s="24" t="str">
        <f>IFERROR(__xludf.DUMMYFUNCTION("""COMPUTED_VALUE"""),"WOS:000319767700012")</f>
        <v>WOS:000319767700012</v>
      </c>
      <c r="F124" s="24" t="str">
        <f>IFERROR(__xludf.DUMMYFUNCTION("""COMPUTED_VALUE"""),"[""ELIGIBLE""]")</f>
        <v>["ELIGIBLE"]</v>
      </c>
    </row>
    <row r="125">
      <c r="A125" s="24" t="str">
        <f>IFERROR(__xludf.DUMMYFUNCTION("""COMPUTED_VALUE"""),"Invasive Floating Fern Limits Aerial Colonization and Alters Community Structure of Aquatic Insects")</f>
        <v>Invasive Floating Fern Limits Aerial Colonization and Alters Community Structure of Aquatic Insects</v>
      </c>
      <c r="B125" s="24" t="str">
        <f>IFERROR(__xludf.DUMMYFUNCTION("""COMPUTED_VALUE"""),"Aquatic insects are important to the transfer of energy in freshwater wetlands. They link primary producers and organic matter to higher trophic levels, and pass energy from the aquatic environment to the terrestrial ecosystem via predation of adults. Int"&amp;"roduction of the invasive free-floating aquatic fern giant salvinia, Salvinia molesta Mitchell, threatens aquatic insect communities and life cycle completion, specifically colonization, through mat formation and habitat changes. We examined how aerial co"&amp;"lonization and assemblage structure of aquatic insects were affected by giant salvinia coverage. Mesocosms were established with three giant salvinia coverages, 25%, 50%, and 100%, and a native submerged macrophyte, 0% coverage; and environmental conditio"&amp;"ns and community structure were sampled monthly, over four months. After four weeks, all giant salvinia coverages reduced dissolved oxygen, pH, and light availability in the aquatic environment. In the 100% cover treatment, aquatic insect colonization was"&amp;" impeded, resulting in communities with lower abundance and richness, which were dominated by a coleopteran. The 25% and 50% giant salvinia coverages changed habitat complexity, which yielded different aquatic insect communities from the 0% and from 100% "&amp;"coverages. Regardless of the coverage, giant salvinia changed environmental conditions and putatively the 100% coverage disrupted the aquatic insect life cycle by limiting aerial colonization. This inability to complete their life cycle means aquatic inse"&amp;"cts cannot replenish themselves, leading to a diminished species pool and reduced energy potential. Our results highlight new, previously unreported, negative impacts from giant salvinia on ecosystem structure and function.")</f>
        <v>Aquatic insects are important to the transfer of energy in freshwater wetlands. They link primary producers and organic matter to higher trophic levels, and pass energy from the aquatic environment to the terrestrial ecosystem via predation of adults. Introduction of the invasive free-floating aquatic fern giant salvinia, Salvinia molesta Mitchell, threatens aquatic insect communities and life cycle completion, specifically colonization, through mat formation and habitat changes. We examined how aerial colonization and assemblage structure of aquatic insects were affected by giant salvinia coverage. Mesocosms were established with three giant salvinia coverages, 25%, 50%, and 100%, and a native submerged macrophyte, 0% coverage; and environmental conditions and community structure were sampled monthly, over four months. After four weeks, all giant salvinia coverages reduced dissolved oxygen, pH, and light availability in the aquatic environment. In the 100% cover treatment, aquatic insect colonization was impeded, resulting in communities with lower abundance and richness, which were dominated by a coleopteran. The 25% and 50% giant salvinia coverages changed habitat complexity, which yielded different aquatic insect communities from the 0% and from 100% coverages. Regardless of the coverage, giant salvinia changed environmental conditions and putatively the 100% coverage disrupted the aquatic insect life cycle by limiting aerial colonization. This inability to complete their life cycle means aquatic insects cannot replenish themselves, leading to a diminished species pool and reduced energy potential. Our results highlight new, previously unreported, negative impacts from giant salvinia on ecosystem structure and function.</v>
      </c>
      <c r="C125" s="24" t="str">
        <f>IFERROR(__xludf.DUMMYFUNCTION("""COMPUTED_VALUE"""),"10.1007/s13157-021-01457-y")</f>
        <v>10.1007/s13157-021-01457-y</v>
      </c>
      <c r="D125" s="24" t="str">
        <f>IFERROR(__xludf.DUMMYFUNCTION("""COMPUTED_VALUE"""),"Keck et al")</f>
        <v>Keck et al</v>
      </c>
      <c r="E125" s="24" t="str">
        <f>IFERROR(__xludf.DUMMYFUNCTION("""COMPUTED_VALUE"""),"WOS:000653831400001")</f>
        <v>WOS:000653831400001</v>
      </c>
      <c r="F125" s="24" t="str">
        <f>IFERROR(__xludf.DUMMYFUNCTION("""COMPUTED_VALUE"""),"[""ELIGIBLE""]")</f>
        <v>["ELIGIBLE"]</v>
      </c>
    </row>
    <row r="126">
      <c r="A126" s="24" t="str">
        <f>IFERROR(__xludf.DUMMYFUNCTION("""COMPUTED_VALUE"""),"Conversion of savannah habitats to small-scale agriculture affects grasshopper communities at Mt. Kilimanjaro, Tanzania")</f>
        <v>Conversion of savannah habitats to small-scale agriculture affects grasshopper communities at Mt. Kilimanjaro, Tanzania</v>
      </c>
      <c r="B126" s="24" t="str">
        <f>IFERROR(__xludf.DUMMYFUNCTION("""COMPUTED_VALUE"""),"About 20 % of the natural grasslands in Sub-Saharan Africa have been converted to cropland and 80 % of the converted area is managed by small-scale farmers. Despite the large contribution of small-scale subsistence farming to agricultural expansion in Sub"&amp;"-Saharan Africa only few studies investigated the effects on insect biodiversity. We studied the effects of the conversion of savannah to small-scale extensively managed ruderal areas and corn fields on grasshopper communities (Orthoptera: Caelifera). The"&amp;" study was conducted on the eastern slopes of Mount Kilimanjaro, Tanzania. Three plots per land use type were established and grasshoppers were repeatedly collected between September and December 2010 using standardized transect walk methods. In compariso"&amp;"n to the natural savannah, cornfields exhibited lower numbers and densities of grasshopper species, while ruderal areas exhibited similar species richness. However, vegetation cover was the best predictor for species richness, with the number of grasshopp"&amp;"er species nearly doubling from plots with scarce vegetation to those with a dense grass cover. The composition of grasshopper communities differed between land use types and vegetation cover, with habitat generalists being scarce. Therefore, the species "&amp;"richness of all land use types combined was considerably higher than the richness of single land use types. We found no rare or threatened species during sampling. Our study suggests that a mosaic agricultural landscape with areas of savannah and extensiv"&amp;"ely managed ruderal areas may maintain a high biodiversity of grasshoppers. However, the effectiveness of such mosaics is strongly dependent on extensive farm management practises which retain significant amounts of grass cover throughout the year.")</f>
        <v>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v>
      </c>
      <c r="C126" s="24" t="str">
        <f>IFERROR(__xludf.DUMMYFUNCTION("""COMPUTED_VALUE"""),"10.1007/s10841-015-9772-7")</f>
        <v>10.1007/s10841-015-9772-7</v>
      </c>
      <c r="D126" s="24" t="str">
        <f>IFERROR(__xludf.DUMMYFUNCTION("""COMPUTED_VALUE"""),"Keck et al")</f>
        <v>Keck et al</v>
      </c>
      <c r="E126" s="24" t="str">
        <f>IFERROR(__xludf.DUMMYFUNCTION("""COMPUTED_VALUE"""),"WOS:000356161600008")</f>
        <v>WOS:000356161600008</v>
      </c>
      <c r="F126" s="24" t="str">
        <f>IFERROR(__xludf.DUMMYFUNCTION("""COMPUTED_VALUE"""),"[""ELIGIBLE""]")</f>
        <v>["ELIGIBLE"]</v>
      </c>
    </row>
    <row r="127">
      <c r="A127" s="24" t="str">
        <f>IFERROR(__xludf.DUMMYFUNCTION("""COMPUTED_VALUE"""),"Changes in temperature alter the relationship between biodiversity and ecosystem functioning")</f>
        <v>Changes in temperature alter the relationship between biodiversity and ecosystem functioning</v>
      </c>
      <c r="B127" s="24" t="str">
        <f>IFERROR(__xludf.DUMMYFUNCTION("""COMPUTED_VALUE"""),"Global warming and the loss of biodiversity through human activities (e.g., land-use change, pollution, invasive species) are two of the most profound threats to the functional integrity of the Earth's ecosystems. These factors are, however, most frequent"&amp;"ly investigated separately, ignoring the potential for synergistic effects of biodiversity loss and environmental warming on ecosystem functioning. Here we use high-throughput experiments with microbial communities to investigate how changes in temperatur"&amp;"e affect the relationship between biodiversity and ecosystem functioning. We found that changes in temperature systematically altered the relationship between biodiversity and ecosystem functioning. As temperatures departed from ambient conditions the exp"&amp;"onent of the diversity-functioning relationship increased, meaning that more species were required to maintain ecosystem functioning under thermal stress. This key result was driven by two processes linked to variability in the thermal tolerance curves of"&amp;" taxa. First, more diverse communities had a greater chance of including species with thermal traits that enabled them to maintain productivity as temperatures shifted from ambient conditions. Second, we found a pronounced increase in the contribution of "&amp;"complementarity to the net biodiversity effect at high and low temperatures, indicating that changes in species interactions played a critical role in mediating the impacts of temperature change on the relationship between biodiversity and ecosystem funct"&amp;"ioning. Our results highlight that if biodiversity loss occurs independently of species' thermal tolerance traits, then the additional impacts of environmental warming will result in sharp declines in ecosystem function.")</f>
        <v>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v>
      </c>
      <c r="C127" s="24" t="str">
        <f>IFERROR(__xludf.DUMMYFUNCTION("""COMPUTED_VALUE"""),"10.1073/pnas.1805518115")</f>
        <v>10.1073/pnas.1805518115</v>
      </c>
      <c r="D127" s="24" t="str">
        <f>IFERROR(__xludf.DUMMYFUNCTION("""COMPUTED_VALUE"""),"Keck et al")</f>
        <v>Keck et al</v>
      </c>
      <c r="E127" s="24" t="str">
        <f>IFERROR(__xludf.DUMMYFUNCTION("""COMPUTED_VALUE"""),"WOS:000448040500063")</f>
        <v>WOS:000448040500063</v>
      </c>
      <c r="F127" s="24" t="str">
        <f>IFERROR(__xludf.DUMMYFUNCTION("""COMPUTED_VALUE"""),"[""ELIGIBLE""]")</f>
        <v>["ELIGIBLE"]</v>
      </c>
    </row>
    <row r="128">
      <c r="A128" s="24" t="str">
        <f>IFERROR(__xludf.DUMMYFUNCTION("""COMPUTED_VALUE"""),"Local and landscape scale variables impact parasitoid assemblages across an urbanization gradient")</f>
        <v>Local and landscape scale variables impact parasitoid assemblages across an urbanization gradient</v>
      </c>
      <c r="B128" s="24" t="str">
        <f>IFERROR(__xludf.DUMMYFUNCTION("""COMPUTED_VALUE"""),"Urbanization is a major driver of land cover change worldwide, yet little is known about how urbanization affects beneficial arthropod communities. This study examined how local and landscape scale variables associated with urbanization influenced parasit"&amp;"ic Hymenoptera abundance and diversity in residential and commercial properties along a rural to urban landscape gradient in Wisconsin. At a landscape scale, 300 m surrounding sites, land cover percentages were calculated for five cover classes: imperviou"&amp;"s cover, forest, grassland, agriculture, and urban green space. In addition, habitat diversity (Simpson's index) was calculated for the landscape surrounding study sites. At a local scale (within the boundaries of an individual property), flower diversity"&amp;", flower area, tree density, and hardscape were measured and related to parasitoid abundance and diversity. During 2006 and 2007, parasitoids were sampled twice a month June-August using yellow sticky cards. Parasitoid abundance was a positive function of"&amp;" flower diversity, a local scale variable. The positive relationship between parasitoid abundance and flower diversity only occurred in areas containing high to moderate levels of urban development, suggesting parasitoids locally benefited from the increa"&amp;"sed availability of floral resources in urban but not rural sites. Parasitoid diversity decreased as impervious cover increased in the surrounding landscape. Parasitoid diversity decreased by approximately 10% in highly urbanized sites relative to rural s"&amp;"ites, a pattern driven by several parasitoid families not detected in urban sites. These results suggest conservation strategies that focus on landscape variables at multiple scales can play an integral role in preserving beneficial arthropods across urba"&amp;"n landscapes. Published by Elsevier B.V.")</f>
        <v>Urbanization is a major driver of land cover change worldwide, yet little is known about how urbanization affects beneficial arthropod communities. This study examined how local and landscape scale variables associated with urbanization influenced parasitic Hymenoptera abundance and diversity in residential and commercial properties along a rural to urban landscape gradient in Wisconsin. At a landscape scale, 300 m surrounding sites, land cover percentages were calculated for five cover classes: impervious cover, forest, grassland, agriculture, and urban green space. In addition, habitat diversity (Simpson's index) was calculated for the landscape surrounding study sites. At a local scale (within the boundaries of an individual property), flower diversity, flower area, tree density, and hardscape were measured and related to parasitoid abundance and diversity. During 2006 and 2007, parasitoids were sampled twice a month June-August using yellow sticky cards. Parasitoid abundance was a positive function of flower diversity, a local scale variable. The positive relationship between parasitoid abundance and flower diversity only occurred in areas containing high to moderate levels of urban development, suggesting parasitoids locally benefited from the increased availability of floral resources in urban but not rural sites. Parasitoid diversity decreased as impervious cover increased in the surrounding landscape. Parasitoid diversity decreased by approximately 10% in highly urbanized sites relative to rural sites, a pattern driven by several parasitoid families not detected in urban sites. These results suggest conservation strategies that focus on landscape variables at multiple scales can play an integral role in preserving beneficial arthropods across urban landscapes. Published by Elsevier B.V.</v>
      </c>
      <c r="C128" s="24" t="str">
        <f>IFERROR(__xludf.DUMMYFUNCTION("""COMPUTED_VALUE"""),"10.1016/j.landurbplan.2011.09.007")</f>
        <v>10.1016/j.landurbplan.2011.09.007</v>
      </c>
      <c r="D128" s="24" t="str">
        <f>IFERROR(__xludf.DUMMYFUNCTION("""COMPUTED_VALUE"""),"Keck et al")</f>
        <v>Keck et al</v>
      </c>
      <c r="E128" s="24" t="str">
        <f>IFERROR(__xludf.DUMMYFUNCTION("""COMPUTED_VALUE"""),"WOS:000298708800004")</f>
        <v>WOS:000298708800004</v>
      </c>
      <c r="F128" s="24" t="str">
        <f>IFERROR(__xludf.DUMMYFUNCTION("""COMPUTED_VALUE"""),"[""ELIGIBLE""]")</f>
        <v>["ELIGIBLE"]</v>
      </c>
    </row>
    <row r="129">
      <c r="A129" s="24" t="str">
        <f>IFERROR(__xludf.DUMMYFUNCTION("""COMPUTED_VALUE"""),"Conversion of Cerrado savannas into exotic pastures: The relative importance of vegetation and food resources for dung beetle assemblages")</f>
        <v>Conversion of Cerrado savannas into exotic pastures: The relative importance of vegetation and food resources for dung beetle assemblages</v>
      </c>
      <c r="B129" s="24" t="str">
        <f>IFERROR(__xludf.DUMMYFUNCTION("""COMPUTED_VALUE"""),"Replacing native savannas with exotic pastures not only alters vegetation structure, but it also increases herbivorous cattle dung quantity consequently changing the food resource available for dung beetles. Therefore, this study aims at investigating the"&amp;" relative importance of vegetation structure regarding food resource types to determine dung beetle assemblage in Cerrado savannas and exotic pastures. We carried out a sampling of dung beetles in 30 areas of Cerrado sensu stricto and 30 in areas of exoti"&amp;"c pastures across nine municipalities of Minas Gerais state, Brazil, by using pitfall traps baited with cattle dung and human feces. We also characterized these areas according to their herbaceous density, complexity (fractal dimension) and canopy cover. "&amp;"Our study demonstrates that the complete conversion of Cerrado sensu stricto into exotic pasture has a negative effect on dung beetle assemblages. The same dung types differed completely in dung beetle assemblages in native savannas and exotic pasture reg"&amp;"arding richness, abundance, species composition and dominance patterns. These findings suggest that environmental filters in exotic pastures, as low cover canopy and herbaceous complexity simplification, probably restrict the establishment of species from"&amp;" Cerrado. We also found different dung beetle communities by comparing pitfall traps baited with cow dung and human feces within the same land use. Thus, alterations in food resources played a secondary role, but were also important. We suggest that incre"&amp;"asing herbaceous complexity and canopy cover along with diversifying livestock in exotic pastures could potentially avoid the loss of dung beetles species and their associated ecosystem services.")</f>
        <v>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v>
      </c>
      <c r="C129" s="24" t="str">
        <f>IFERROR(__xludf.DUMMYFUNCTION("""COMPUTED_VALUE"""),"10.1016/j.agee.2019.106709")</f>
        <v>10.1016/j.agee.2019.106709</v>
      </c>
      <c r="D129" s="24" t="str">
        <f>IFERROR(__xludf.DUMMYFUNCTION("""COMPUTED_VALUE"""),"Keck et al")</f>
        <v>Keck et al</v>
      </c>
      <c r="E129" s="24" t="str">
        <f>IFERROR(__xludf.DUMMYFUNCTION("""COMPUTED_VALUE"""),"WOS:000500217500004")</f>
        <v>WOS:000500217500004</v>
      </c>
      <c r="F129" s="24" t="str">
        <f>IFERROR(__xludf.DUMMYFUNCTION("""COMPUTED_VALUE"""),"[""ELIGIBLE""]")</f>
        <v>["ELIGIBLE"]</v>
      </c>
    </row>
    <row r="130">
      <c r="A130" s="24" t="str">
        <f>IFERROR(__xludf.DUMMYFUNCTION("""COMPUTED_VALUE"""),"Anthropogenic-driven transformations of dragonfly (Insecta: Odonata) communities of low elevation mountain wetlands during the last century")</f>
        <v>Anthropogenic-driven transformations of dragonfly (Insecta: Odonata) communities of low elevation mountain wetlands during the last century</v>
      </c>
      <c r="B130" s="24" t="str">
        <f>IFERROR(__xludf.DUMMYFUNCTION("""COMPUTED_VALUE"""),"Freshwater environments are experiencing high rates of species extinction due to human impacts, with aquatic insects thought to be strongly threatened by these changes; however, long-term research on this topic is scant. Among aquatic insects, dragonflies"&amp;" are considered valuable indicators of human disturbance at multiple scales. This study addresses transformations of odonate communities of low elevation mountain wetlands in the Alps over the last century, comparing historical and present assemblages bas"&amp;"ed on past records derived from scientific collections or literature and present data derived from site resurveys. About 32.6% of species have been extirpated or strongly declined in the area (mostly temporary lentic and lotic water specialists, or cold-a"&amp;"dapted species). Conversely, only 12.2% of species were new or considerably increased (mostly permanent lentic specialists and warm-adapted species). Nearly half of historical populations have been lost. The great majority of species which disappeared fro"&amp;"m all the study sites also disappeared (or strongly declined) at the regional scale. Although gamma species richness was higher in the historical period compared with the present, mean alpha species richness does not significantly differ between the two, "&amp;"likely suggesting homogenisation of communities from historical to the present period. Present communities of dragonflies show a significantly higher community temperature index compared with historical ones. These patterns are putatively explained by the"&amp;" joint effects of land-use change (drainage and reclamation), land-use intensification or abandonment, environmental pollution, and anthropogenic-driven climate warming.")</f>
        <v>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v>
      </c>
      <c r="C130" s="24" t="str">
        <f>IFERROR(__xludf.DUMMYFUNCTION("""COMPUTED_VALUE"""),"10.1111/icad.12439")</f>
        <v>10.1111/icad.12439</v>
      </c>
      <c r="D130" s="24" t="str">
        <f>IFERROR(__xludf.DUMMYFUNCTION("""COMPUTED_VALUE"""),"Keck et al")</f>
        <v>Keck et al</v>
      </c>
      <c r="E130" s="24" t="str">
        <f>IFERROR(__xludf.DUMMYFUNCTION("""COMPUTED_VALUE"""),"WOS:000564265100001")</f>
        <v>WOS:000564265100001</v>
      </c>
      <c r="F130" s="24" t="str">
        <f>IFERROR(__xludf.DUMMYFUNCTION("""COMPUTED_VALUE"""),"[""ELIGIBLE""]")</f>
        <v>["ELIGIBLE"]</v>
      </c>
    </row>
    <row r="131">
      <c r="A131" s="24" t="str">
        <f>IFERROR(__xludf.DUMMYFUNCTION("""COMPUTED_VALUE"""),"Changes in diversity and community assembly of jumping spiders (Araneae: Salticidae) after rainforest conversion to rubber and oil palm plantations")</f>
        <v>Changes in diversity and community assembly of jumping spiders (Araneae: Salticidae) after rainforest conversion to rubber and oil palm plantations</v>
      </c>
      <c r="B131" s="24" t="str">
        <f>IFERROR(__xludf.DUMMYFUNCTION("""COMPUTED_VALUE"""),"Rainforest conversion into monoculture plantations results in species loss and community shifts across animal taxa. The effect of such conversion on the role of ecophysiological properties influencing communities, and conversion effects on phylogenetic di"&amp;"versity and community assembly mechanisms, however, are rarely studied in the same context. Here, we compare salticid spider (Araneae: Salticidae) communities between canopies of lowland rainforest, rubber agroforest (jungle rubber) and monoculture planta"&amp;"tions of rubber or oil palm, sampled in a replicated plot design in Jambi Province, Sumatra, Indonesia. Overall, we collected 912 salticid spider individuals and sorted them to 70 morphospecies from 21 genera. Salticid richness was highest in jungle rubbe"&amp;"r, followed by rainforest, oil palm and rubber, but abundance of salticids did not differ between land-use systems. Community composition was similar in jungle rubber and rainforest but different from oil palm and rubber, which in turn were different from"&amp;" each other. The four investigated land-use systems differed in aboveground plant biomass, canopy openness and land use intensity, which explained 12% of the observed variation in canopy salticid communities. Phylogenetic diversity based on similar to 850"&amp;" bp 28S rDNA fragments showed similar patterns as richness, that is, highest in jungle rubber, intermediate in rainforest, and lowest in the two monoculture plantations. Additionally, we found evidence for phylogenetic clustering of salticids in oil palm,"&amp;" suggesting that habitat filtering is an important factor shaping salticid spider communities in monoculture plantations. Overall, our study offers a comprehensive insight into the mechanisms shaping communities of arthropod top predators in canopies of t"&amp;"ropical forest ecosystems and plantations, combining community ecology, environmental variables and phylogenetics across a land-use gradient in tropical Asia.")</f>
        <v>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v>
      </c>
      <c r="C131" s="24" t="str">
        <f>IFERROR(__xludf.DUMMYFUNCTION("""COMPUTED_VALUE"""),"10.7717/peerj.11012")</f>
        <v>10.7717/peerj.11012</v>
      </c>
      <c r="D131" s="24" t="str">
        <f>IFERROR(__xludf.DUMMYFUNCTION("""COMPUTED_VALUE"""),"Keck et al")</f>
        <v>Keck et al</v>
      </c>
      <c r="E131" s="24" t="str">
        <f>IFERROR(__xludf.DUMMYFUNCTION("""COMPUTED_VALUE"""),"WOS:000672790700009")</f>
        <v>WOS:000672790700009</v>
      </c>
      <c r="F131" s="24" t="str">
        <f>IFERROR(__xludf.DUMMYFUNCTION("""COMPUTED_VALUE"""),"[""ELIGIBLE""]")</f>
        <v>["ELIGIBLE"]</v>
      </c>
    </row>
    <row r="132">
      <c r="A132" s="24" t="str">
        <f>IFERROR(__xludf.DUMMYFUNCTION("""COMPUTED_VALUE"""),"Agricultural land-use change alters the structure and diversity of Amazon riparian forests")</f>
        <v>Agricultural land-use change alters the structure and diversity of Amazon riparian forests</v>
      </c>
      <c r="B132" s="24" t="str">
        <f>IFERROR(__xludf.DUMMYFUNCTION("""COMPUTED_VALUE"""),"Riparian forests play key roles in protecting biodiversity and water resources, making them priorities for conservation in human-dominated landscapes, but fragmentation associated with expanding tropical croplands threatens their ecological integrity. We "&amp;"compared the structure of tropical riparian forests within intact and cropland catchments in a region of intensive soybean production in the southeastern Brazilian Amazon. We studied forest plots (varying from 120 to 210 m long) that bisected riparian zon"&amp;"e forests and headwater streams in ten catchments. Four plots were within large areas of intact primary forest and six were in bands of protected riparian forest along streams within croplands as required by the Brazilian Forest Code. We found that ripari"&amp;"an forests in croplands harbored fewer species of trees and seedlings/saplings, and had higher proportions of opportunistic, pioneer tree species. We also found greater variation in tree species composition, and higher internal dissimilarity in croplands "&amp;"compared with forests. The observed patterns in tree species composition were driven mainly by differences between riparian forest-cropland edges and those bordering intact upland forests. Forests nearest to streams in cropland and forested catchments wer"&amp;"e more similar to one another. Results suggest that wider buffers are needed at the edges of croplands to maintain riparian forest structure. The minimum 30-m riparian buffers now required by the Brazilian Forest Code may thus be insufficient to prevent l"&amp;"ong-term shifts in riparian forest species composition and structure.")</f>
        <v>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v>
      </c>
      <c r="C132" s="24" t="str">
        <f>IFERROR(__xludf.DUMMYFUNCTION("""COMPUTED_VALUE"""),"10.1016/j.biocon.2020.108862")</f>
        <v>10.1016/j.biocon.2020.108862</v>
      </c>
      <c r="D132" s="24" t="str">
        <f>IFERROR(__xludf.DUMMYFUNCTION("""COMPUTED_VALUE"""),"Keck et al")</f>
        <v>Keck et al</v>
      </c>
      <c r="E132" s="24" t="str">
        <f>IFERROR(__xludf.DUMMYFUNCTION("""COMPUTED_VALUE"""),"WOS:000600455000005")</f>
        <v>WOS:000600455000005</v>
      </c>
      <c r="F132" s="24" t="str">
        <f>IFERROR(__xludf.DUMMYFUNCTION("""COMPUTED_VALUE"""),"[""ELIGIBLE""]")</f>
        <v>["ELIGIBLE"]</v>
      </c>
    </row>
    <row r="133">
      <c r="A133" s="24" t="str">
        <f>IFERROR(__xludf.DUMMYFUNCTION("""COMPUTED_VALUE"""),"Effects of Urbanization on Tree Species Functional Diversity in Eastern North America")</f>
        <v>Effects of Urbanization on Tree Species Functional Diversity in Eastern North America</v>
      </c>
      <c r="B133" s="24" t="str">
        <f>IFERROR(__xludf.DUMMYFUNCTION("""COMPUTED_VALUE"""),"Urban forests provide ecosystem services for millions of people. Numerous introductions have elevated tree species richness in cities, which may enhance functional diversity. However, few studies have examined changes in tree community composition or func"&amp;"tional diversity with urbanization, even though functional diversity, and not species number per se, is directly linked with ecosystem function and associated services. We combined tree abundance data from both urban and extra-urban forest inventory plots"&amp;" for seven metropolitan areas in eastern North America to analyze changes in species composition, Shannon's diversity, and functional diversity with urbanization. As expected, urban tree diversity was reduced at local scales, and the effect varied with la"&amp;"nd use. Rarefaction analysis indicated that at large scales, urban tree species pools were equal with respect to species or functional diversity compared to extra-urban forests, but in urban areas at small scales this diversity is not realized because of "&amp;"low tree density. Ordination revealed that with urbanization, introduced species increased in importance, and regional variation in species composition became more homogenous. Increasing tree density and/or tree cover through changes in management practic"&amp;"es and urban design could facilitate local scale urban tree diversity using existing species pools, which are functionally diverse. Monitoring of forests at large spatial scales that include urban areas, and the use of methods that account for abundance a"&amp;"nd functional trait variation can provide insights into the effects of urbanization on tree diversity at multiple scales.")</f>
        <v>Urban forests provide ecosystem services for millions of people. Numerous introductions have elevated tree species richness in cities, which may enhance functional diversity. However, few studies have examined changes in tree community composition or functional diversity with urbanization, even though functional diversity, and not species number per se, is directly linked with ecosystem function and associated services. We combined tree abundance data from both urban and extra-urban forest inventory plots for seven metropolitan areas in eastern North America to analyze changes in species composition, Shannon's diversity, and functional diversity with urbanization. As expected, urban tree diversity was reduced at local scales, and the effect varied with land use. Rarefaction analysis indicated that at large scales, urban tree species pools were equal with respect to species or functional diversity compared to extra-urban forests, but in urban areas at small scales this diversity is not realized because of low tree density. Ordination revealed that with urbanization, introduced species increased in importance, and regional variation in species composition became more homogenous. Increasing tree density and/or tree cover through changes in management practices and urban design could facilitate local scale urban tree diversity using existing species pools, which are functionally diverse. Monitoring of forests at large spatial scales that include urban areas, and the use of methods that account for abundance and functional trait variation can provide insights into the effects of urbanization on tree diversity at multiple scales.</v>
      </c>
      <c r="C133" s="24" t="str">
        <f>IFERROR(__xludf.DUMMYFUNCTION("""COMPUTED_VALUE"""),"10.1007/s10021-013-9697-5")</f>
        <v>10.1007/s10021-013-9697-5</v>
      </c>
      <c r="D133" s="24" t="str">
        <f>IFERROR(__xludf.DUMMYFUNCTION("""COMPUTED_VALUE"""),"Keck et al")</f>
        <v>Keck et al</v>
      </c>
      <c r="E133" s="24" t="str">
        <f>IFERROR(__xludf.DUMMYFUNCTION("""COMPUTED_VALUE"""),"WOS:000327096100008")</f>
        <v>WOS:000327096100008</v>
      </c>
      <c r="F133" s="24" t="str">
        <f>IFERROR(__xludf.DUMMYFUNCTION("""COMPUTED_VALUE"""),"[""ELIGIBLE""]")</f>
        <v>["ELIGIBLE"]</v>
      </c>
    </row>
    <row r="134">
      <c r="A134" s="24" t="str">
        <f>IFERROR(__xludf.DUMMYFUNCTION("""COMPUTED_VALUE"""),"The Influence of Riparian Corridor Land Use on the Pesqueria River's Macroinvertebrate Community (NE Mexico)")</f>
        <v>The Influence of Riparian Corridor Land Use on the Pesqueria River's Macroinvertebrate Community (NE Mexico)</v>
      </c>
      <c r="B134" s="24" t="str">
        <f>IFERROR(__xludf.DUMMYFUNCTION("""COMPUTED_VALUE"""),"The Earth's freshwater ecosystems are currently under threat, particularly in developing countries. In Mexico, intensive land use and inadequate monitoring policies have resulted in the severe degradation of the country's freshwater ecosystems. This study"&amp;" assesses how the macroinvertebrate communities in the Pesqueria River, located in Northeastern Mexico, are affected by riparian land use, in order to determine their potential use as bioindicators to evaluate the macroinvertebrate integrity of the Pesque"&amp;"ria River. First, we characterized the land use cover in the riparian channel. Second, we sampled 16 sites for benthic macroinvertebrates along the main channel during the wet and dry seasons. Third, we evaluated the influence of the riparian channel land"&amp;" use on the macroinvertebrate community using 42 different biological metrics. The land use characterization depicted a riparian channel mainly influenced by agricultural and urban land use. Eighty-one invertebrate taxa were identified during the study. P"&amp;"ermutational analysis of the variance analysis confirmed significant differences across the different land use classes and the macroinvertebrate community composition while no differences were found between seasons. The indicator species analysis revealed"&amp;" 31 representative taxa for natural land use, 1 for urban, and 4 for agricultural land use. Our modelling analysis showed that 28 of the 42 biological metrics tested responded significantly to land use disturbances, confirming the impact of land use chang"&amp;"es on the Pesqueria River's macroinvertebrate communities and suggesting that these metrics may have a use as bioindicators. Finally, this study may provide significant biological information for further studies in similar conditions.")</f>
        <v>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v>
      </c>
      <c r="C134" s="24" t="str">
        <f>IFERROR(__xludf.DUMMYFUNCTION("""COMPUTED_VALUE"""),"10.3390/w11091930")</f>
        <v>10.3390/w11091930</v>
      </c>
      <c r="D134" s="24" t="str">
        <f>IFERROR(__xludf.DUMMYFUNCTION("""COMPUTED_VALUE"""),"Keck et al")</f>
        <v>Keck et al</v>
      </c>
      <c r="E134" s="24" t="str">
        <f>IFERROR(__xludf.DUMMYFUNCTION("""COMPUTED_VALUE"""),"WOS:000488834400193")</f>
        <v>WOS:000488834400193</v>
      </c>
      <c r="F134" s="24" t="str">
        <f>IFERROR(__xludf.DUMMYFUNCTION("""COMPUTED_VALUE"""),"[""ELIGIBLE""]")</f>
        <v>["ELIGIBLE"]</v>
      </c>
    </row>
    <row r="135">
      <c r="A135" s="24" t="str">
        <f>IFERROR(__xludf.DUMMYFUNCTION("""COMPUTED_VALUE"""),"Elevated native terrestrial snail abundance and diversity in association with an invasive understory shrub, Berberis thunbergii, in a North American deciduous forest")</f>
        <v>Elevated native terrestrial snail abundance and diversity in association with an invasive understory shrub, Berberis thunbergii, in a North American deciduous forest</v>
      </c>
      <c r="B135" s="24" t="str">
        <f>IFERROR(__xludf.DUMMYFUNCTION("""COMPUTED_VALUE"""),"Invasive terrestrial plants often substantially reshape environments, yet how such invasions affect terrestrial snail assemblages remains understudied. We investigated how snail assemblages in deciduous forest soils with dense Berberis thunbergii (Japanes"&amp;"e barberry), an invasive shrub in eastern North America, differ from forest areas lacking the shrub. Leaf litter and soil samples were collected from forest patches with dense B. thunbergii understories and adjacent control areas within two exurban forest"&amp;" tracts in western Pennsylvania, U.S.A. Snails were identified to species and quantified by standard diversity metrics. Contrary to our expectations, snails were significantly more abundant and diverse in B. thunbergii-invaded areas. Despite differences i"&amp;"n abundance, the snail community composition did not differ between invaded and control habitats. The terrestrial snail assemblage we observed, which was composed entirely of native species, appears to respond favorably to B. thunbergii invasion and there"&amp;"fore may not be negatively impacted by physicochemical changes to soils typically observed in association with the plant. Such findings could reflect the fact that B. thunbergii likely creates more favorable habitat for snails by creating cooler, more hum"&amp;"id, and more alkaline soil environments. However, the snail assemblages we retrieved may consist mostly of species with high tolerance to environmental degradation due to a legacy of land use change and acid deposition in the region.")</f>
        <v>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v>
      </c>
      <c r="C135" s="24" t="str">
        <f>IFERROR(__xludf.DUMMYFUNCTION("""COMPUTED_VALUE"""),"10.1016/j.actao.2017.12.004")</f>
        <v>10.1016/j.actao.2017.12.004</v>
      </c>
      <c r="D135" s="24" t="str">
        <f>IFERROR(__xludf.DUMMYFUNCTION("""COMPUTED_VALUE"""),"Keck et al")</f>
        <v>Keck et al</v>
      </c>
      <c r="E135" s="24" t="str">
        <f>IFERROR(__xludf.DUMMYFUNCTION("""COMPUTED_VALUE"""),"WOS:000424717200010")</f>
        <v>WOS:000424717200010</v>
      </c>
      <c r="F135" s="24" t="str">
        <f>IFERROR(__xludf.DUMMYFUNCTION("""COMPUTED_VALUE"""),"[""ELIGIBLE""]")</f>
        <v>["ELIGIBLE"]</v>
      </c>
    </row>
    <row r="136">
      <c r="A136" s="24" t="str">
        <f>IFERROR(__xludf.DUMMYFUNCTION("""COMPUTED_VALUE"""),"Mitigating the impact of oil-palm monoculture on freshwater fishes in Southeast Asia")</f>
        <v>Mitigating the impact of oil-palm monoculture on freshwater fishes in Southeast Asia</v>
      </c>
      <c r="B136" s="24" t="str">
        <f>IFERROR(__xludf.DUMMYFUNCTION("""COMPUTED_VALUE"""),"Anthropogenic land-cover change is driving biodiversity loss worldwide. At the epicenter of this crisis lies Southeast Asia, where biodiversity-rich forests are being converted to oil-palm monocultures. As demand for palm oil increases, there is an urgent"&amp;" need to find strategies that maintain biodiversity in plantations. Previous studies found that retaining forest patches within plantations benefited some terrestrial taxa but not others. However, no study has focused on aquatic taxa such as fishes, despi"&amp;"te their importance to human well-being. We assessed the efficacy of forested riparian reserves in conserving freshwater fish biodiversity in oil-palm monoculture by sampling stream fish communities in an oil-palm plantation in Central Kalimantan, Indones"&amp;"ia. Forested riparian reserves maintained preconversion local fish species richness and functional diversity. In contrast, local and total species richness, biomass, and functional diversity declined markedly in streams without riparian reserves. Mechanis"&amp;"tically, riparian reserves appeared to increase local species richness by increasing leaf litter cover and maintaining coarse substrate. The loss of fishes specializing in leaf litter and coarse substrate decreased functional diversity and altered communi"&amp;"ty composition in oil-palm plantation streams that lacked riparian reserves. Thus, a land-sharing strategy that incorporates the retention of forested riparian reserves may maintain the ecological integrity of fish communities in oil-palm plantations. We "&amp;"urge policymakers and growers to make retention of riparian reserves in oil-palm plantations standard practice, and we encourage palm-oil purchasers to source only palm oil from plantations that employ this practice.")</f>
        <v>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v>
      </c>
      <c r="C136" s="24" t="str">
        <f>IFERROR(__xludf.DUMMYFUNCTION("""COMPUTED_VALUE"""),"10.1111/cobi.12483")</f>
        <v>10.1111/cobi.12483</v>
      </c>
      <c r="D136" s="24" t="str">
        <f>IFERROR(__xludf.DUMMYFUNCTION("""COMPUTED_VALUE"""),"Keck et al")</f>
        <v>Keck et al</v>
      </c>
      <c r="E136" s="24" t="str">
        <f>IFERROR(__xludf.DUMMYFUNCTION("""COMPUTED_VALUE"""),"WOS:000363729100011")</f>
        <v>WOS:000363729100011</v>
      </c>
      <c r="F136" s="24" t="str">
        <f>IFERROR(__xludf.DUMMYFUNCTION("""COMPUTED_VALUE"""),"[""ELIGIBLE""]")</f>
        <v>["ELIGIBLE"]</v>
      </c>
    </row>
    <row r="137">
      <c r="A137" s="24" t="str">
        <f>IFERROR(__xludf.DUMMYFUNCTION("""COMPUTED_VALUE"""),"Short-term effects in a reduced flow stretch: The case of the Antas River in South Brazil")</f>
        <v>Short-term effects in a reduced flow stretch: The case of the Antas River in South Brazil</v>
      </c>
      <c r="B137" s="24" t="str">
        <f>IFERROR(__xludf.DUMMYFUNCTION("""COMPUTED_VALUE"""),"The building of adduction channels (penstocks) that conduct water from reservoirs to turbines, which are located kilometres from the dam, is becoming common, optimizing the electricity generation in small dams. This design creates a river stretch with red"&amp;"uced discharge between the dam and the powerhouse. This study evaluates the short-term impacts of the below-dam decrease in river flow on fish assemblages. Samples were collected in the reduced flow stretch of the Castro Alves Hydropower Plant (Antas Rive"&amp;"r, Rio Grande do Sul, Brazil) before the reservoir started operating (January 2008; mean discharge of 103.7 m(3)/s) and immediately after operation began (March 2008; mean discharge of 12.4 m(3)/s). Sampling was conducted in distinct habitats of the reduc"&amp;"ed flow stretch (slow waters-gillnets, sand beaches-seining nets, structured littoral-electrofishing, and fast waters-cast nets) with a strongly standardized effort. The attributes of the fish assemblages were not negatively affected by the flow reduction"&amp;" in any habitat sampled. However, distinct changes in the spatial structure were observed considering the different types of habitat predominantly used by the species, which represents an entire reorganization of the fish assemblages in the short term. It"&amp;" is fundamental that these short-term aspects be considered in the licensing of hydropower plants in addition to the long-term changes.")</f>
        <v>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v>
      </c>
      <c r="C137" s="24" t="str">
        <f>IFERROR(__xludf.DUMMYFUNCTION("""COMPUTED_VALUE"""),"10.1002/rra.3415")</f>
        <v>10.1002/rra.3415</v>
      </c>
      <c r="D137" s="24" t="str">
        <f>IFERROR(__xludf.DUMMYFUNCTION("""COMPUTED_VALUE"""),"Keck et al")</f>
        <v>Keck et al</v>
      </c>
      <c r="E137" s="24" t="str">
        <f>IFERROR(__xludf.DUMMYFUNCTION("""COMPUTED_VALUE"""),"WOS:000467309600007")</f>
        <v>WOS:000467309600007</v>
      </c>
      <c r="F137" s="24" t="str">
        <f>IFERROR(__xludf.DUMMYFUNCTION("""COMPUTED_VALUE"""),"[""ELIGIBLE""]")</f>
        <v>["ELIGIBLE"]</v>
      </c>
    </row>
    <row r="138">
      <c r="A138" s="24" t="str">
        <f>IFERROR(__xludf.DUMMYFUNCTION("""COMPUTED_VALUE"""),"Exploitation and habitat degradation as agents of change within coral reef fish communities")</f>
        <v>Exploitation and habitat degradation as agents of change within coral reef fish communities</v>
      </c>
      <c r="B138" s="24" t="str">
        <f>IFERROR(__xludf.DUMMYFUNCTION("""COMPUTED_VALUE"""),"Over-exploitation and habitat degradation are the two major drivers of global environmental change and are responsible for local extinctions and declining ecosystem services. Here we compare the top-down effect of exploitation by fishing with the bottom-u"&amp;"p influence of habitat loss on fish communities in the most diverse of ecological systems, coral reefs. Using a combination of multivariate techniques and path analyses, we illustrate that the relative importance of coral cover and fishing in controlling "&amp;"fish abundance on remote Fijian reefs varies between species and functional groups. A decline in branching Acropora coral is strongly associated with a decline in abundance of coral-feeding species, and a decrease in coral-associated habitat complexity, w"&amp;"hich has indirectly contributed to reduced abundance of small-bodied damselfish. In contrast, reduced fishing pressure, brought about by declining human populations and a shift to alternate livelihoods, is associated with increased abundance of some pisci"&amp;"vores and fisheries target species. However, availability of prey is controlled by coral-associated habitat complexity and appears to be a more important driver of total piscivore abundance compared with fishing pressure. Effects of both fishing and coral"&amp;" loss are stronger on individual species than functional groups, as variation in the relative importance of fishing or coral loss among species within the same functional group attenuated the impact of either of these potential drivers at the functional l"&amp;"evel. Overall, fishing continues to have an influence on Fijian fish communities; however, habitat loss is currently the overriding agent of change. The importance of coral loss mediated by climate change is expected to have an increasing contribution to "&amp;"fish community dynamics, particularly in remote locations or where the influence of fishing is waning.")</f>
        <v>Over-exploitation and habitat degradation are the two major drivers of global environmental change and are responsible for local extinctions and declining ecosystem services. Here we compare the top-down effect of exploitation by fishing with the bottom-up influence of habitat loss on fish communities in the most diverse of ecological systems, coral reefs. Using a combination of multivariate techniques and path analyses, we illustrate that the relative importance of coral cover and fishing in controlling fish abundance on remote Fijian reefs varies between species and functional groups. A decline in branching Acropora coral is strongly associated with a decline in abundance of coral-feeding species, and a decrease in coral-associated habitat complexity, which has indirectly contributed to reduced abundance of small-bodied damselfish. In contrast, reduced fishing pressure, brought about by declining human populations and a shift to alternate livelihoods, is associated with increased abundance of some piscivores and fisheries target species. However, availability of prey is controlled by coral-associated habitat complexity and appears to be a more important driver of total piscivore abundance compared with fishing pressure. Effects of both fishing and coral loss are stronger on individual species than functional groups, as variation in the relative importance of fishing or coral loss among species within the same functional group attenuated the impact of either of these potential drivers at the functional level. Overall, fishing continues to have an influence on Fijian fish communities; however, habitat loss is currently the overriding agent of change. The importance of coral loss mediated by climate change is expected to have an increasing contribution to fish community dynamics, particularly in remote locations or where the influence of fishing is waning.</v>
      </c>
      <c r="C138" s="24" t="str">
        <f>IFERROR(__xludf.DUMMYFUNCTION("""COMPUTED_VALUE"""),"10.1111/j.1365-2486.2008.01696.x")</f>
        <v>10.1111/j.1365-2486.2008.01696.x</v>
      </c>
      <c r="D138" s="24" t="str">
        <f>IFERROR(__xludf.DUMMYFUNCTION("""COMPUTED_VALUE"""),"Keck et al")</f>
        <v>Keck et al</v>
      </c>
      <c r="E138" s="24" t="str">
        <f>IFERROR(__xludf.DUMMYFUNCTION("""COMPUTED_VALUE"""),"WOS:000261061000002")</f>
        <v>WOS:000261061000002</v>
      </c>
      <c r="F138" s="24" t="str">
        <f>IFERROR(__xludf.DUMMYFUNCTION("""COMPUTED_VALUE"""),"[""ELIGIBLE""]")</f>
        <v>["ELIGIBLE"]</v>
      </c>
    </row>
    <row r="139">
      <c r="A139" s="24" t="str">
        <f>IFERROR(__xludf.DUMMYFUNCTION("""COMPUTED_VALUE"""),"Land use land cover dynamics and fragmentation-induced changes in woody plant community structure in a mining landscape, Ghana")</f>
        <v>Land use land cover dynamics and fragmentation-induced changes in woody plant community structure in a mining landscape, Ghana</v>
      </c>
      <c r="B139" s="24" t="str">
        <f>IFERROR(__xludf.DUMMYFUNCTION("""COMPUTED_VALUE"""),"The study assessed the dynamics of mining land use land cover changes and consequent fragmentation impacts on woody plant community structure in the Ahafo Region, Ghana. Landsat images were utilised to determine land use and cover changes using a supervis"&amp;"ed classification method. Plant community structure was determined within 60 (20 x 20 m) plots that were randomly laid in equal numbers in fragmented and intact forests. Our findings showed that the mining landscape experienced a substantial land use/cove"&amp;"r change between 2003 and 2018, with considerable forest cover loss at the expense of increasing cover of plantation, settlement/bare surface, mine site, and waterbody. Woody plant species diversity was significantly lower in the fragmented forest around "&amp;"the mine. Likewise, fragmentation caused a shift in plant species composition in the fragmented forest, whose composition was less homogenised compared to the intact forest. Plant abundance did not differ significantly between the two forests, but it was "&amp;"invasive and cultivated tree species that increased the total abundance of woody plants in the fragmented forests. The mining landscape was dominated by an invasive alien species, Broussonetia papyrifera which poses an ecological threat to native species."&amp;" In conclusion, our findings suggest that mining contributed to intense land use/cover dynamics and fragmentation that impaired woody plant community structure around the mine. There is the need to accord priority to management intervention that would see"&amp;"k to manage and conserve the remaining forest fragments and its biodiversity in the mining landscape.")</f>
        <v>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v>
      </c>
      <c r="C139" s="24" t="str">
        <f>IFERROR(__xludf.DUMMYFUNCTION("""COMPUTED_VALUE"""),"10.1016/j.tfp.2021.100070")</f>
        <v>10.1016/j.tfp.2021.100070</v>
      </c>
      <c r="D139" s="24" t="str">
        <f>IFERROR(__xludf.DUMMYFUNCTION("""COMPUTED_VALUE"""),"Keck et al")</f>
        <v>Keck et al</v>
      </c>
      <c r="E139" s="24" t="str">
        <f>IFERROR(__xludf.DUMMYFUNCTION("""COMPUTED_VALUE"""),"WOS:000646507600009")</f>
        <v>WOS:000646507600009</v>
      </c>
      <c r="F139" s="24" t="str">
        <f>IFERROR(__xludf.DUMMYFUNCTION("""COMPUTED_VALUE"""),"[""ELIGIBLE""]")</f>
        <v>["ELIGIBLE"]</v>
      </c>
    </row>
    <row r="140">
      <c r="A140" s="24" t="str">
        <f>IFERROR(__xludf.DUMMYFUNCTION("""COMPUTED_VALUE"""),"Effect of shifts in habitats and flow regime associated to water diversion for agriculture on the macroinvertebrate community of a small watershed")</f>
        <v>Effect of shifts in habitats and flow regime associated to water diversion for agriculture on the macroinvertebrate community of a small watershed</v>
      </c>
      <c r="B140" s="24" t="str">
        <f>IFERROR(__xludf.DUMMYFUNCTION("""COMPUTED_VALUE"""),"Water abstraction for irrigation has an important effect on stream organisms in general and aquatic macroinvertebrates in particular. The alteration of flow modifies the habitat conditions and creates important ecological constraints for many of these ani"&amp;"mals, so shaping the communities and affecting their diversity. With the aim to assess the impact of flow and habitat changes due to water abstraction for agriculture on the macroinvertebrate community of a Mediterranean stream, we characterized physicoch"&amp;"emically three sampling sites representing three habitat types and collected the macroinvertebrate assemblage of each one. The three sites were a spring, an irrigation ditch 90 m downstream from the spring that diverge all the water from the natural chann"&amp;"el and return it downstream, and a site after an area of agriculture 500 m downstream of the spring. Our hypothesis was that the highest diversity would be found in the irrigation ditch, where conditions were more constant along the year and that could ac"&amp;"t as a refuge for some organisms, followed by the spring and, afterwards, the downstream site, which would have a very poor community. Nonetheless, although our results showed that the irrigation ditch had the highest values of diversity, the spring and t"&amp;"he downstream site did not differ significantly. When analysing the effect of the measured physicochemical parameters on macroinvertebrate communities, the most important was discharge. Thus, our study underlines the effect that water diversion may have o"&amp;"n the macroinvertebrate communities even at a small watershed scale.")</f>
        <v>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v>
      </c>
      <c r="C140" s="24" t="str">
        <f>IFERROR(__xludf.DUMMYFUNCTION("""COMPUTED_VALUE"""),"10.1007/s10452-019-09703-6")</f>
        <v>10.1007/s10452-019-09703-6</v>
      </c>
      <c r="D140" s="24" t="str">
        <f>IFERROR(__xludf.DUMMYFUNCTION("""COMPUTED_VALUE"""),"Keck et al")</f>
        <v>Keck et al</v>
      </c>
      <c r="E140" s="24" t="str">
        <f>IFERROR(__xludf.DUMMYFUNCTION("""COMPUTED_VALUE"""),"WOS:000479119600013")</f>
        <v>WOS:000479119600013</v>
      </c>
      <c r="F140" s="24" t="str">
        <f>IFERROR(__xludf.DUMMYFUNCTION("""COMPUTED_VALUE"""),"[""ELIGIBLE""]")</f>
        <v>["ELIGIBLE"]</v>
      </c>
    </row>
    <row r="141">
      <c r="A141" s="24" t="str">
        <f>IFERROR(__xludf.DUMMYFUNCTION("""COMPUTED_VALUE"""),"Plant communities of mountain grasslands in a broad cross-section of the Eastern Alps")</f>
        <v>Plant communities of mountain grasslands in a broad cross-section of the Eastern Alps</v>
      </c>
      <c r="B141" s="24" t="str">
        <f>IFERROR(__xludf.DUMMYFUNCTION("""COMPUTED_VALUE"""),"Apart from forests, the landscape of the Alps is dominated by grasslands, where they account for up to 40% of the agricultural area. This study focuses on the main man-made grassland plant communities of the Eastern Alps, shows their current spatial distr"&amp;"ibution and examines how strongly the influence of land use and site factors determines the communities. Discriminant analysis was used to harmonize the phytosociological classification of 1502 vegetation releves from the literature and 375 own recorded i"&amp;"nventories from Western Austria and Northern Italy. Land-use intensity, altitude, slope and pH were also recorded, in order to assess the impact of the factors to plant communities, as calculated in nonmetric multidimensional scaling. We identified 39 pla"&amp;"nt communities and generated a table with the main ecological and floristic parameters as well as a map showing their present spatial distribution. Contrary to the literature, the pasture communities Crepido-Festucetum commutatae, Deschampsio cespitosae-P"&amp;"oetum alpinae and Rumicetum alpini occur also in fertilized meadows. On the other hand we found meadow communities occurring in pastures, such as the Angelico-Cirsietum oleracei, the Pastinaco-Arrhenatheretum, the Ranunculo repentis-Alopecuretum pratensis"&amp;" and the Trisetetum flavescentis. The most species-rich communities - the Caricetum ferruginei and the Seslerio-Caricetum sempervirentis occur in unfertilized meadows above calcareous bedrock. Further species-rich communities - the Campanulo scheuchzeri-F"&amp;"estucetum noricae, the Gentianello anisodontae-Festucetum variae, the Pulsatillo alpinae-Festucetum noricae, the Trifolio thallii-Festucetum nigricantis and the Hypochoerido uniflorae-Festucetum paniculatae - are endangered: they are regionally restricted"&amp;" and depend on the absence of fertilizer and on mowing once annually or every second or third year. Therefore agri-environmental measures should focus on unfertilized mountain meadows, in order to conserve these rare grassland communities. (C) 2010 Elsevi"&amp;"er GmbH. All rights reserved.")</f>
        <v>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v>
      </c>
      <c r="C141" s="24" t="str">
        <f>IFERROR(__xludf.DUMMYFUNCTION("""COMPUTED_VALUE"""),"10.1016/j.flora.2010.11.007")</f>
        <v>10.1016/j.flora.2010.11.007</v>
      </c>
      <c r="D141" s="24" t="str">
        <f>IFERROR(__xludf.DUMMYFUNCTION("""COMPUTED_VALUE"""),"Keck et al")</f>
        <v>Keck et al</v>
      </c>
      <c r="E141" s="24" t="str">
        <f>IFERROR(__xludf.DUMMYFUNCTION("""COMPUTED_VALUE"""),"WOS:000291839400004")</f>
        <v>WOS:000291839400004</v>
      </c>
      <c r="F141" s="24" t="str">
        <f>IFERROR(__xludf.DUMMYFUNCTION("""COMPUTED_VALUE"""),"[""ELIGIBLE""]")</f>
        <v>["ELIGIBLE"]</v>
      </c>
    </row>
    <row r="142">
      <c r="A142" s="24" t="str">
        <f>IFERROR(__xludf.DUMMYFUNCTION("""COMPUTED_VALUE"""),"Riparian vegetation structure and seasonality influence functional diversity more than taxonomic diversity of stream fish assemblages in the Colombian Amazon")</f>
        <v>Riparian vegetation structure and seasonality influence functional diversity more than taxonomic diversity of stream fish assemblages in the Colombian Amazon</v>
      </c>
      <c r="B142" s="24" t="str">
        <f>IFERROR(__xludf.DUMMYFUNCTION("""COMPUTED_VALUE"""),"The Amazon rainforest has experienced rapid land-use changes, including extensive deforestation of riparian areas, putting at risk among the most diverse freshwater fish assemblages on the planet. At nine study reaches distributed among three Colombian bl"&amp;"ackwater streams, we described and quantified how variability in riparian vegetation structure-during both dry and rainy seasons-influenced the taxonomic and functional diversity of fish assemblages. We observed 117 species across our study reaches, but t"&amp;"axonomic measures such as species richness and evenness were not different among low, intermediate, or high levels of riparian vegetation coverage. Fish assemblage composition was also not different by riparian vegetation, although we observed significant"&amp;" seasonal shifts-only 16% of species were observed in both rainy and dry seasons. Evenness and effective number of species derived from Simpson's Index were 7 and 38% greater in the dry season than in the rainy season, respectively. Diet varied by riparia"&amp;"n zone condition: 56% of fish stomach contents were of allochthonous origin in stream reaches with intact vegetation versus 37% in streams with altered riparian vegetation. We also observed that the relative proportion of detritivorous fishes was 13% grea"&amp;"ter in the rainy season, while the proportion of invertivores was 26% greater in the dry season. Both functional divergence and dispersion-measures of the variability of species' traits-were higher in reaches with more intact vegetation during the rainy s"&amp;"eason. Our findings highlight the importance of the interaction of riparian vegetation and seasonality, and both longitudinal and lateral hydrological connectivity, for fish functional diversity of Amazonian streams.")</f>
        <v>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v>
      </c>
      <c r="C142" s="24" t="str">
        <f>IFERROR(__xludf.DUMMYFUNCTION("""COMPUTED_VALUE"""),"10.1007/s10452-021-09904-y")</f>
        <v>10.1007/s10452-021-09904-y</v>
      </c>
      <c r="D142" s="24" t="str">
        <f>IFERROR(__xludf.DUMMYFUNCTION("""COMPUTED_VALUE"""),"Keck et al")</f>
        <v>Keck et al</v>
      </c>
      <c r="E142" s="24" t="str">
        <f>IFERROR(__xludf.DUMMYFUNCTION("""COMPUTED_VALUE"""),"WOS:000702971900001")</f>
        <v>WOS:000702971900001</v>
      </c>
      <c r="F142" s="24" t="str">
        <f>IFERROR(__xludf.DUMMYFUNCTION("""COMPUTED_VALUE"""),"[""ELIGIBLE""]")</f>
        <v>["ELIGIBLE"]</v>
      </c>
    </row>
    <row r="143">
      <c r="A143" s="24" t="str">
        <f>IFERROR(__xludf.DUMMYFUNCTION("""COMPUTED_VALUE"""),"Urban orchards provide a suitable habitat for epiphytic bryophytes")</f>
        <v>Urban orchards provide a suitable habitat for epiphytic bryophytes</v>
      </c>
      <c r="B143" s="24" t="str">
        <f>IFERROR(__xludf.DUMMYFUNCTION("""COMPUTED_VALUE"""),"Current rapid urbanization has significantly increased the areas occupied by agroforests, such as orchards, within urban boundaries. However, studies on the potential of agroforests to provide suitable habitats for urban biodiversity are scarce, especiall"&amp;"y for epiphytes, which are extremely sensitive to abrupt environmental changes. The objective of this study is to assess the potential of orchards to provide habitats for epiphytes in urban areas. For this purpose, we surveyed epiphytic bryophytes on the "&amp;"trunks of trees in urban orchards (longan and lychee) and different-aged secondary forests in Shenzhen, China. Young secondary forests had the same age as that of orchards and older secondary forests were twice as old. The diversity, species composition, "&amp;"and distribution of epiphytic bryophytes among different forests were compared. The species richness, coverage, Shannon index, evenness, and number of unique species were used to evaluate the diversity of epiphytic bryophytes. Non-metric multidimensional "&amp;"scaling and analysis of similarity methods were applied to examine the differences in species composition among orchards and secondary forest stands. The species richness and coverage of bryophytes, depending on the trunk height and orientation, were also"&amp;" compared. The results showed that (i) the richness of bryophyte species was higher in the urban orchards than in the secondary forests; although the coverage was also higher in the urban orchards than in the young secondary forests, it was lower than tha"&amp;"t in an older secondary forest; (ii) significant differences in the species composition were revealed between the urban orchards and the secondary forests; (iii) bryophytes preferred the north side and the middle and lower parts of the tree trunk in both "&amp;"the urban orchards and secondary forests. This study is the first to reveal that orchards have a higher potential than secondary forests to provide habitats for epiphytic bryophytes in urban environments. Therefore, this study provides valuable informatio"&amp;"n for government agencies and urban forest managers to protect epiphyte habitats and improve the conservation of urban biodiversity.")</f>
        <v>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v>
      </c>
      <c r="C143" s="24" t="str">
        <f>IFERROR(__xludf.DUMMYFUNCTION("""COMPUTED_VALUE"""),"10.1016/j.foreco.2020.118767")</f>
        <v>10.1016/j.foreco.2020.118767</v>
      </c>
      <c r="D143" s="24" t="str">
        <f>IFERROR(__xludf.DUMMYFUNCTION("""COMPUTED_VALUE"""),"Keck et al")</f>
        <v>Keck et al</v>
      </c>
      <c r="E143" s="24" t="str">
        <f>IFERROR(__xludf.DUMMYFUNCTION("""COMPUTED_VALUE"""),"WOS:000617944100014")</f>
        <v>WOS:000617944100014</v>
      </c>
      <c r="F143" s="24" t="str">
        <f>IFERROR(__xludf.DUMMYFUNCTION("""COMPUTED_VALUE"""),"[""ELIGIBLE""]")</f>
        <v>["ELIGIBLE"]</v>
      </c>
    </row>
    <row r="144">
      <c r="A144" s="24" t="str">
        <f>IFERROR(__xludf.DUMMYFUNCTION("""COMPUTED_VALUE"""),"Plant-pollinator networks in Australian urban bushland remnants are not structurally equivalent to those in residential gardens")</f>
        <v>Plant-pollinator networks in Australian urban bushland remnants are not structurally equivalent to those in residential gardens</v>
      </c>
      <c r="B144" s="24" t="str">
        <f>IFERROR(__xludf.DUMMYFUNCTION("""COMPUTED_VALUE"""),"Urbanisation is a prominent and increasing form of land-use change, with the potential to disrupt the interactions between pollinators such as bees and the flowering plants that they visit. This in turn may cause cascading local extinctions and have conse"&amp;"quences for pollination services. Network approaches go beyond simple metrics of abundance and species richness, enabling understanding of how the structure of plant-pollinator communities are affected by urbanisation. Here we compared pollination network"&amp;"s between native vegetation (bushland) remnants and residential gardens in the urbanised region of the southwest Australian biodiversity hotspot. Across fourteen sites, seven per habitat, plant-bee visitor networks were created from surveys conducted mont"&amp;"hly during the spring-summer period over two years. Extinction slope (a measure of how extinctions cascade through the network), and network robustness and nestedness were higher for bushland remnants, suggesting that networks in bushland remnants had gre"&amp;"ater functional integrity, but if disrupted, more cascading extinctions could occur. In contrast, niche overlap between pollinators was higher in residential gardens, suggesting greater competition for resources. Most species-level properties did not diff"&amp;"er between habitats, except for normalised degree, which was higher in bushland remnants. In conclusion, it appears that pollination networks in managed residential gardens are not structurally equivalent with those in bushland remnants. This has implicat"&amp;"ions for conservation of wild bee assemblages in this biodiversity hotspot, and suggests removal of remnant native vegetation for residential development could disrupt the integrity of plant-pollinator assemblages.")</f>
        <v>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v>
      </c>
      <c r="C144" s="24" t="str">
        <f>IFERROR(__xludf.DUMMYFUNCTION("""COMPUTED_VALUE"""),"10.1007/s11252-020-01089-w")</f>
        <v>10.1007/s11252-020-01089-w</v>
      </c>
      <c r="D144" s="24" t="str">
        <f>IFERROR(__xludf.DUMMYFUNCTION("""COMPUTED_VALUE"""),"Keck et al")</f>
        <v>Keck et al</v>
      </c>
      <c r="E144" s="24" t="str">
        <f>IFERROR(__xludf.DUMMYFUNCTION("""COMPUTED_VALUE"""),"WOS:000606268600001")</f>
        <v>WOS:000606268600001</v>
      </c>
      <c r="F144" s="24" t="str">
        <f>IFERROR(__xludf.DUMMYFUNCTION("""COMPUTED_VALUE"""),"[""ELIGIBLE""]")</f>
        <v>["ELIGIBLE"]</v>
      </c>
    </row>
    <row r="145">
      <c r="A145" s="24" t="str">
        <f>IFERROR(__xludf.DUMMYFUNCTION("""COMPUTED_VALUE"""),"Biological soil crusts across disturbance-recovery scenarios: effect of grazing regime on community dynamics")</f>
        <v>Biological soil crusts across disturbance-recovery scenarios: effect of grazing regime on community dynamics</v>
      </c>
      <c r="B145" s="24" t="str">
        <f>IFERROR(__xludf.DUMMYFUNCTION("""COMPUTED_VALUE"""),"Grazing represents one of the most common disturbances in drylands worldwide, affecting both ecosystem structure and functioning. Despite the efforts to understand the nature and magnitude of grazing effects on ecosystem components and processes, contrast"&amp;"ing results continue to arise. This is particularly remarkable for the biological soil crust (BSC) communities (i.e., cyanobacteria, lichens, and bryophytes), which play an important role in soil dynamics. Here we evaluated simultaneously the effect of gr"&amp;"azing impact on BSC communities (resistance) and recovery after livestock exclusion (resilience) in a semiarid grassland of Central Mexico. In particular, we examined BSC species distribution, species richness, taxonomical group cover (i.e., cyanobacteria"&amp;", lichen, bryophyte), and composition along a disturbance gradient with different grazing regimes (low, medium, high impact) and along a recovery gradient with differently aged livestock exclosures (short-, medium-, long-term exclusion). Differences in gr"&amp;"azing impact and time of recovery from grazing both resulted in slight changes in species richness; however, there were pronounced shifts in species composition and group cover. We found we could distinguish four highly diverse and dynamic BSC species gro"&amp;"ups: (1) species with high resistance and resilience to grazing, (2) species with high resistance but low resilience, (3) species with low resistance but high resilience, and (4) species with low resistance and resilience. While disturbance resulted in a "&amp;"nova diversity configuration, which may profoundly affect ecosystem functioning, we observed that 10 years of disturbance removal did not lead to the ecosystem structure found after 27 years of recovery. These findings are an important contribution to our"&amp;" understanding of BCS dynamics from a species and community perspective placed in a land use change context.")</f>
        <v>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v>
      </c>
      <c r="C145" s="24" t="str">
        <f>IFERROR(__xludf.DUMMYFUNCTION("""COMPUTED_VALUE"""),"10.1890/13-1416.1")</f>
        <v>10.1890/13-1416.1</v>
      </c>
      <c r="D145" s="24" t="str">
        <f>IFERROR(__xludf.DUMMYFUNCTION("""COMPUTED_VALUE"""),"Keck et al")</f>
        <v>Keck et al</v>
      </c>
      <c r="E145" s="24" t="str">
        <f>IFERROR(__xludf.DUMMYFUNCTION("""COMPUTED_VALUE"""),"WOS:000342859800023")</f>
        <v>WOS:000342859800023</v>
      </c>
      <c r="F145" s="24" t="str">
        <f>IFERROR(__xludf.DUMMYFUNCTION("""COMPUTED_VALUE"""),"[""ELIGIBLE""]")</f>
        <v>["ELIGIBLE"]</v>
      </c>
    </row>
    <row r="146">
      <c r="A146" s="24" t="str">
        <f>IFERROR(__xludf.DUMMYFUNCTION("""COMPUTED_VALUE"""),"Low conservation value of converted habitat for avifauna in tropical peatland on Sumatra, Indonesia")</f>
        <v>Low conservation value of converted habitat for avifauna in tropical peatland on Sumatra, Indonesia</v>
      </c>
      <c r="B146" s="24" t="str">
        <f>IFERROR(__xludf.DUMMYFUNCTION("""COMPUTED_VALUE"""),"Peat swamp forest is an important refuge for biodiversity in Southeast Asia and is now becoming a target of exploitation. The scarcity of information on avifauna and ecology of birds in peat swamp forests prevents understanding of the effects of land use "&amp;"change on avifauna. In this study, we describe the bird assemblages in habitats with different land uses by comparing species richness, community composition, and feeding guild patterns in Bukit Batu, Indonesia. Bird assemblages in natural peat swamp fore"&amp;"sts (NPF), high-maintenance industrial acacia plantations (planted acacia forest, PAF), low-maintenance rubber plantations (jungle rubber forest, JRF), and village areas (VIL) were studied using a fixed-radius point-count method. Of the 95 species observe"&amp;"d, 45, 20, 35, and 48 species were observed in NPF, PAF, JRF, and VIL, respectively. Estimated species richness was the highest in NPF, followed by VIL, JRF, and PAF. NPF had the highest species diversity and beta-diversity, more endangered species, and a"&amp;" distinctive species composition characterized by fly-catching insectivores. The relative conservation value of PAF was notably low, particularly compared with JRF. The avifauna in VIL was characterized by more generalists that favor open spaces and there"&amp;"fore is not considered an important habitat for forest-dependent birds that are of conservation concern. Our results indicate that NPF has irreplaceable value for bird diversity conservation, but low-maintenance rubber plantations were home to several for"&amp;"est-dependent species and partially supported bird diversity, particularly compared with high-maintenance acacia plantations.")</f>
        <v>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v>
      </c>
      <c r="C146" s="24" t="str">
        <f>IFERROR(__xludf.DUMMYFUNCTION("""COMPUTED_VALUE"""),"10.1007/s11284-016-1334-2")</f>
        <v>10.1007/s11284-016-1334-2</v>
      </c>
      <c r="D146" s="24" t="str">
        <f>IFERROR(__xludf.DUMMYFUNCTION("""COMPUTED_VALUE"""),"Keck et al")</f>
        <v>Keck et al</v>
      </c>
      <c r="E146" s="24" t="str">
        <f>IFERROR(__xludf.DUMMYFUNCTION("""COMPUTED_VALUE"""),"WOS:000370957300012")</f>
        <v>WOS:000370957300012</v>
      </c>
      <c r="F146" s="24" t="str">
        <f>IFERROR(__xludf.DUMMYFUNCTION("""COMPUTED_VALUE"""),"[""ELIGIBLE""]")</f>
        <v>["ELIGIBLE"]</v>
      </c>
    </row>
    <row r="147">
      <c r="A147" s="24" t="str">
        <f>IFERROR(__xludf.DUMMYFUNCTION("""COMPUTED_VALUE"""),"Urban forested parks and tall tree canopies contribute to macrolichen epiphyte biodiversity in urban landscapes")</f>
        <v>Urban forested parks and tall tree canopies contribute to macrolichen epiphyte biodiversity in urban landscapes</v>
      </c>
      <c r="B147" s="24" t="str">
        <f>IFERROR(__xludf.DUMMYFUNCTION("""COMPUTED_VALUE"""),"Land use changes through urbanization can dramatically impact floral and faunal species-specific survival and alter patterns of regional biodiversity. These changes can lead to complex, ecosystem scale interactions that yield both positive and negative im"&amp;"pacts on urban and ex-urban biota. The Pacific Northwest region is one of the most rapidly urbanizing areas of the United States, with the human population estimated to increase more than fifty percent by 2050. Despite rapid population growth in the Pacif"&amp;"ic Northwest and a forest system known to provide extraordinary ecosystem services, relatively little is known about how human activities affect urban tree biology and the services these trees provide. Specifically, little is known about how urbanization "&amp;"impacts tall tree canopy epiphyte communities, a unique and sensitive component of Pacific Northwest trees which are known to contribute essential ecosystem functions. Here, we revisit a historic study of urban epiphytic lichen communities, initially cond"&amp;"ucted 18 years ago in Portland, Oregon, USA. Additionally, to compare ground and canopy-based survey methods and to gain a broader understanding of urban epiphytic communities, we comprehensively investigated the biodiversity of stratified urban canopy ep"&amp;"iphyte lichen communities, for the first time. Our results show that tall, urban conifer trees and urban parks and forested areas can provide both heterogeneous and stratified habitats for urban-tolerant epiphytic lichens. We found significant and highly "&amp;"eutrophied lichen communities in all epiphytic surveys, suggesting that continued urbanization in the Portland metro region may further impact these communities despite overall gains in regional air quality during the 18 year study period. Our results sup"&amp;"port the distinct homogenization of urban epiphytic lichen communities, suggesting that it may be necessary to expand beyond measures of biodiversity to consider community composition and functional biodiversity in assessments of the ecology and potential"&amp;" ecosystem services of epiphyte communities within urbanizing landscapes.")</f>
        <v>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v>
      </c>
      <c r="C147" s="24" t="str">
        <f>IFERROR(__xludf.DUMMYFUNCTION("""COMPUTED_VALUE"""),"10.1016/j.ufug.2018.04.012")</f>
        <v>10.1016/j.ufug.2018.04.012</v>
      </c>
      <c r="D147" s="24" t="str">
        <f>IFERROR(__xludf.DUMMYFUNCTION("""COMPUTED_VALUE"""),"Keck et al")</f>
        <v>Keck et al</v>
      </c>
      <c r="E147" s="24" t="str">
        <f>IFERROR(__xludf.DUMMYFUNCTION("""COMPUTED_VALUE"""),"WOS:000432650500013")</f>
        <v>WOS:000432650500013</v>
      </c>
      <c r="F147" s="24" t="str">
        <f>IFERROR(__xludf.DUMMYFUNCTION("""COMPUTED_VALUE"""),"[""ELIGIBLE""]")</f>
        <v>["ELIGIBLE"]</v>
      </c>
    </row>
    <row r="148">
      <c r="A148" s="24" t="str">
        <f>IFERROR(__xludf.DUMMYFUNCTION("""COMPUTED_VALUE"""),"Impact of adjacent land use on the ecological condition of riparian habitats: The relation between condition and vegetation properties")</f>
        <v>Impact of adjacent land use on the ecological condition of riparian habitats: The relation between condition and vegetation properties</v>
      </c>
      <c r="B148" s="24" t="str">
        <f>IFERROR(__xludf.DUMMYFUNCTION("""COMPUTED_VALUE"""),"Questions The ecological condition of riparian habitats has been negatively altered by human activities and land-use changes. The aims of this study were to evaluate: (a) how adjacent land use affects the ecological condition of riparian habitats; and (b)"&amp;" whether the ecological condition relates to riparian vegetation properties (i.e., structure, diversity, and species composition). Location Watershed of the Duero River, in the state of Michoacan, Mexico. Methods Sampling sites were established along the "&amp;"Duero River riverbank by considering three different land uses (i.e., native forest, agriculture, and urban). At each site, we assessed the ecological condition of riparian habitats with a riparian condition index (RCI) composed of six subindices, with 17"&amp;" indicators. Using a survey of woody plants (DBH &gt;= 2.5 cm) in 12 different 0.1-ha sites, we assessed vegetation properties. Results According to the RCI, 76% of the studied riparian habitats had a very poor ecological condition, and only one site scored "&amp;"an excellent condition. The values of all subindices as well as the RCI were significantly greater in the forest than in the agricultural or urban land uses. The significant relationships between the RCI and its components (subindices) with vegetation pro"&amp;"perties were all positive and explained between 22% and 73% of the variation in structural and diversity attributes, and between 48% and 66% in floristic composition. Conclusions This study shows how human land-use activities affect the ecological conditi"&amp;"on of riparian habitats and hence riparian forests. Overall, the RCI had a high predictive power for the vegetation properties of riparian forests. This information is critical for programs involved in the management, conservation, and ecological restorat"&amp;"ion of riparian habitats. Low-cost and time-efficient indices, such as the RCI, facilitate ecological condition assessments of riparian habitats not only by scientists but also by previously trained land managers and the general public.")</f>
        <v>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v>
      </c>
      <c r="C148" s="24" t="str">
        <f>IFERROR(__xludf.DUMMYFUNCTION("""COMPUTED_VALUE"""),"10.1111/avsc.12508")</f>
        <v>10.1111/avsc.12508</v>
      </c>
      <c r="D148" s="24" t="str">
        <f>IFERROR(__xludf.DUMMYFUNCTION("""COMPUTED_VALUE"""),"Keck et al")</f>
        <v>Keck et al</v>
      </c>
      <c r="E148" s="24" t="str">
        <f>IFERROR(__xludf.DUMMYFUNCTION("""COMPUTED_VALUE"""),"WOS:000549761000001")</f>
        <v>WOS:000549761000001</v>
      </c>
      <c r="F148" s="24" t="str">
        <f>IFERROR(__xludf.DUMMYFUNCTION("""COMPUTED_VALUE"""),"[""ELIGIBLE""]")</f>
        <v>["ELIGIBLE"]</v>
      </c>
    </row>
    <row r="149">
      <c r="A149" s="24" t="str">
        <f>IFERROR(__xludf.DUMMYFUNCTION("""COMPUTED_VALUE"""),"Role of abandoned grasslands in the conservation of spider communities across heterogeneous mountain landscapes")</f>
        <v>Role of abandoned grasslands in the conservation of spider communities across heterogeneous mountain landscapes</v>
      </c>
      <c r="B149" s="24" t="str">
        <f>IFERROR(__xludf.DUMMYFUNCTION("""COMPUTED_VALUE"""),"In the last decades, the transformation of agriculture and the associated decline in semi-natural grasslands have been major drivers of the loss of spider diversity across Europe, in particular in mountain regions. In the early stages of forest succession"&amp;", abandoned grasslands exhibit a complex vegetation structure sharing environmental conditions with both open habitats and forests. At the landscape scale, the occurrence of abandoned patches can potentially provide novel habitats and niches for ground-dw"&amp;"elling spiders. Here, we used two complementary methods: traditional species diversity analyses and species-habitat networks to understand how abandoned grasslands can interact with the surrounding habitat mosaic in supporting spider communities. We selec"&amp;"ted six landscapes along an elevational gradient and sampled spiders in all the major agricultural and semi-natural habitats occurring across the landscapes. At all elevations, we found a similar species richness and activity density between agricultural "&amp;"habitats (i.e. meadows, pastures, and crop fields) and abandoned grasslands. On the contrary, we consistently found lower species richness and activity density in forests than in all open habitats. Despite the similar diversity between open habitats, most"&amp;" species-habitat networks exhibited a high and constant modularity, i.e. the same species tended to occur in a specific habitat type and not in the others. Only a few species were shared between abandoned and agricultural habitats, indicating that abandon"&amp;"ed grasslands cannot support populations of most species typical of open managed habitats. Early abandoned patches increased landscape habitat heterogeneity providing unique niches to spider species that, however, rarely occur in other habitats. The maint"&amp;"enance of multiple habitat types across the landscape is expected to increase the regional species pool, while the role of abandoned patches as surrogate habitat for the conservation of spider species typical of semi-natural grasslands appeared limited. S"&amp;"imilarly, abandoned patches are not expected to help maintaining the populations of spider species occurring in agricultural habitats.")</f>
        <v>In the last decades, the transformation of agriculture and the associated decline in semi-natural grasslands have been major drivers of the loss of spider diversity across Europe, in particular in mountain regions. In the early stages of forest succession, abandoned grasslands exhibit a complex vegetation structure sharing environmental conditions with both open habitats and forests. At the landscape scale, the occurrence of abandoned patches can potentially provide novel habitats and niches for ground-dwelling spiders. Here, we used two complementary methods: traditional species diversity analyses and species-habitat networks to understand how abandoned grasslands can interact with the surrounding habitat mosaic in supporting spider communities. We selected six landscapes along an elevational gradient and sampled spiders in all the major agricultural and semi-natural habitats occurring across the landscapes. At all elevations, we found a similar species richness and activity density between agricultural habitats (i.e. meadows, pastures, and crop fields) and abandoned grasslands. On the contrary, we consistently found lower species richness and activity density in forests than in all open habitats. Despite the similar diversity between open habitats, most species-habitat networks exhibited a high and constant modularity, i.e. the same species tended to occur in a specific habitat type and not in the others. Only a few species were shared between abandoned and agricultural habitats, indicating that abandoned grasslands cannot support populations of most species typical of open managed habitats. Early abandoned patches increased landscape habitat heterogeneity providing unique niches to spider species that, however, rarely occur in other habitats. The maintenance of multiple habitat types across the landscape is expected to increase the regional species pool, while the role of abandoned patches as surrogate habitat for the conservation of spider species typical of semi-natural grasslands appeared limited. Similarly, abandoned patches are not expected to help maintaining the populations of spider species occurring in agricultural habitats.</v>
      </c>
      <c r="C149" s="24" t="str">
        <f>IFERROR(__xludf.DUMMYFUNCTION("""COMPUTED_VALUE"""),"10.1016/j.agee.2021.107526")</f>
        <v>10.1016/j.agee.2021.107526</v>
      </c>
      <c r="D149" s="24" t="str">
        <f>IFERROR(__xludf.DUMMYFUNCTION("""COMPUTED_VALUE"""),"Keck et al")</f>
        <v>Keck et al</v>
      </c>
      <c r="E149" s="24" t="str">
        <f>IFERROR(__xludf.DUMMYFUNCTION("""COMPUTED_VALUE"""),"WOS:000685062400002")</f>
        <v>WOS:000685062400002</v>
      </c>
      <c r="F149" s="24" t="str">
        <f>IFERROR(__xludf.DUMMYFUNCTION("""COMPUTED_VALUE"""),"[""ELIGIBLE""]")</f>
        <v>["ELIGIBLE"]</v>
      </c>
    </row>
    <row r="150">
      <c r="A150" s="24" t="str">
        <f>IFERROR(__xludf.DUMMYFUNCTION("""COMPUTED_VALUE"""),"Climate extremes can drive biological assemblages to early successional stages compared to several mild disturbances")</f>
        <v>Climate extremes can drive biological assemblages to early successional stages compared to several mild disturbances</v>
      </c>
      <c r="B150" s="24" t="str">
        <f>IFERROR(__xludf.DUMMYFUNCTION("""COMPUTED_VALUE"""),"Extreme climatic events have a major role in the structuring of biological communities, and their occurrence is expected to increase due to climate change. Here I use a manipulative approach to test the effects of extreme storm events on rocky mid-shore a"&amp;"ssemblages. This study shows that an extreme storm can cause more negative effects than several mild storms, primarily by bringing the biological assemblages towards early stages of succession. This finding contrasts with the effects of clustering of clim"&amp;"atic events due to climate change, which are expected to mitigate its ecological impacts. Thus, the ecological consequences of climatic events that are influenced by climate change may have contrasting effects depending on the features that are considered"&amp;". These results have relevant implications in the forecasting of the ecological consequences of climate change and should be considered when designing measures to mitigate its effects.")</f>
        <v>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v>
      </c>
      <c r="C150" s="24" t="str">
        <f>IFERROR(__xludf.DUMMYFUNCTION("""COMPUTED_VALUE"""),"10.1038/srep30607")</f>
        <v>10.1038/srep30607</v>
      </c>
      <c r="D150" s="24" t="str">
        <f>IFERROR(__xludf.DUMMYFUNCTION("""COMPUTED_VALUE"""),"Keck et al")</f>
        <v>Keck et al</v>
      </c>
      <c r="E150" s="24" t="str">
        <f>IFERROR(__xludf.DUMMYFUNCTION("""COMPUTED_VALUE"""),"WOS:000381498500001")</f>
        <v>WOS:000381498500001</v>
      </c>
      <c r="F150" s="24" t="str">
        <f>IFERROR(__xludf.DUMMYFUNCTION("""COMPUTED_VALUE"""),"[""ELIGIBLE""]")</f>
        <v>["ELIGIBLE"]</v>
      </c>
    </row>
    <row r="151">
      <c r="A151" s="24" t="str">
        <f>IFERROR(__xludf.DUMMYFUNCTION("""COMPUTED_VALUE"""),"Connecting algal taxonomic information to essential fatty acid content in agricultural streams")</f>
        <v>Connecting algal taxonomic information to essential fatty acid content in agricultural streams</v>
      </c>
      <c r="B151" s="24" t="str">
        <f>IFERROR(__xludf.DUMMYFUNCTION("""COMPUTED_VALUE"""),"Benthic algae comprise a diversity of taxonomic lineages and produce important biochemical compounds required by higher trophic levels. Chief among these compounds are essential fatty acids (EFAs) that aquatic consumers require for their metabolic and rep"&amp;"roductive processes. However, habitat changes from anthropogenic activities, namely, agriculture, can affect not only which species of algae may be present but also the quantity and quality of EFAs they produce. This study aims to evaluate how benthic alg"&amp;"al taxonomic composition and EFA concentrations vary in streams affected by agriculture and remediation through stream-associated best management practices (BMPs). The study was undertaken in the Upper Delaware River watershed in New York state, in which "&amp;"BMPs have been installed over multiple years (-BMP age). Some results indicate that BMPs were able to reduce effects of agriculture. Changes in benthic algal assemblages, the proportions of algal taxonomic groups, and in specific taxonomic members were no"&amp;"t significant. The proportion of diatoms in assemblages decreased with increasing agricultural effects (F = 6.313, P = 0.001). Conversely, the proportion of chlorophytes increased in agriculturally affected streams (F = 9.336, P &lt; 0.001). Changes in taxon"&amp;"omic composition were associated with changes in various EFA compound concentrations. Agricultural streams had higher concentrations of total EFAs along with more chlorophytes (r = -0.268, P = 0.010) and fewer diatoms (r = 0.270, P = 0.009) than did refer"&amp;"ence or minimally affected streams. Particularly, agricultural streams had greater concentrations of key EFAs such as eicosapentaenoic acid and docosahexaenoic acid. However, there were no differences among assemblage's nutritional quality (Sigma omega(3)"&amp;"/Sigma omega(6)). The data presented here suggest that analyzing shifts in algal taxonomic groups in conjunction with measurements of fatty acids in broad EFA groups may provide more information when characterizing algal assemblages than examination of al"&amp;"gal taxa or analysis of EFA compounds alone.")</f>
        <v>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v>
      </c>
      <c r="C151" s="24" t="str">
        <f>IFERROR(__xludf.DUMMYFUNCTION("""COMPUTED_VALUE"""),"10.2216/15-123.1")</f>
        <v>10.2216/15-123.1</v>
      </c>
      <c r="D151" s="24" t="str">
        <f>IFERROR(__xludf.DUMMYFUNCTION("""COMPUTED_VALUE"""),"Keck et al")</f>
        <v>Keck et al</v>
      </c>
      <c r="E151" s="24" t="str">
        <f>IFERROR(__xludf.DUMMYFUNCTION("""COMPUTED_VALUE"""),"WOS:000390261700004")</f>
        <v>WOS:000390261700004</v>
      </c>
      <c r="F151" s="24" t="str">
        <f>IFERROR(__xludf.DUMMYFUNCTION("""COMPUTED_VALUE"""),"[""ELIGIBLE""]")</f>
        <v>["ELIGIBLE"]</v>
      </c>
    </row>
    <row r="152">
      <c r="A152" s="24" t="str">
        <f>IFERROR(__xludf.DUMMYFUNCTION("""COMPUTED_VALUE"""),"Effects of Warming, Summer Drought, and CO2 Enrichment on Aboveground Biomass Production, Flowering Phenology, and Community Structure in an Upland Grassland Ecosystem")</f>
        <v>Effects of Warming, Summer Drought, and CO2 Enrichment on Aboveground Biomass Production, Flowering Phenology, and Community Structure in an Upland Grassland Ecosystem</v>
      </c>
      <c r="B152" s="24" t="str">
        <f>IFERROR(__xludf.DUMMYFUNCTION("""COMPUTED_VALUE"""),"Future climate scenarios predict simultaneous changes in environmental conditions, but the impacts of multiple climate change drivers on ecosystem structure and function remain unclear. We used a novel experimental approach to examine the responses of an "&amp;"upland grassland ecosystem to the 2080 climate scenario predicted for the study area (3.5A degrees C temperature increase, 20% reduction in summer precipitation, atmospheric CO2 levels of 600 ppm) over three growing seasons. We also assessed whether patte"&amp;"rns of grassland response to a combination of climate change treatments could be forecast by ecosystem responses to single climate change drivers. Effects of climate change on aboveground production showed considerable seasonal and interannual variation; "&amp;"April biomass increased in response to both warming and the simultaneous application of warming, summer drought, and CO2 enrichment, whereas October biomass responses were either non-significant or negative depending on the year. Negative impacts of summe"&amp;"r drought on production were only observed in combination with a below-average rainfall regime, and showed lagged effects on spring biomass. Elevated CO2 had no significant effect on aboveground biomass during this study. Both warming and the 2080 climate"&amp;" change scenario were associated with a significant advance in flowering time for the dominant grass species studied. However, flowering phenology showed no significant response to either summer drought or elevated CO2. Species diversity and equitability "&amp;"showed no response to climate change treatments throughout this study. Overall, our data suggest that single-factor warming experiments may provide valuable information for projections of future ecosystem changes in cool temperate grasslands.")</f>
        <v>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v>
      </c>
      <c r="C152" s="24" t="str">
        <f>IFERROR(__xludf.DUMMYFUNCTION("""COMPUTED_VALUE"""),"10.1007/s10021-010-9363-0")</f>
        <v>10.1007/s10021-010-9363-0</v>
      </c>
      <c r="D152" s="24" t="str">
        <f>IFERROR(__xludf.DUMMYFUNCTION("""COMPUTED_VALUE"""),"Keck et al")</f>
        <v>Keck et al</v>
      </c>
      <c r="E152" s="24" t="str">
        <f>IFERROR(__xludf.DUMMYFUNCTION("""COMPUTED_VALUE"""),"WOS:000281162400008")</f>
        <v>WOS:000281162400008</v>
      </c>
      <c r="F152" s="24" t="str">
        <f>IFERROR(__xludf.DUMMYFUNCTION("""COMPUTED_VALUE"""),"[""ELIGIBLE""]")</f>
        <v>["ELIGIBLE"]</v>
      </c>
    </row>
    <row r="153">
      <c r="A153" s="24" t="str">
        <f>IFERROR(__xludf.DUMMYFUNCTION("""COMPUTED_VALUE"""),"Climate Change and Water Exploitation as Co-Impact Sources on River Benthic Macroinvertebrates")</f>
        <v>Climate Change and Water Exploitation as Co-Impact Sources on River Benthic Macroinvertebrates</v>
      </c>
      <c r="B153" s="24" t="str">
        <f>IFERROR(__xludf.DUMMYFUNCTION("""COMPUTED_VALUE"""),"Climate change can affect freshwater communities superimposing on other major stressors, such as water exploitation, with effects still poorly understood. The exacerbation of naturally-occurring periods of low flows has been reported as a major hydrologic"&amp;"al effect of water diversions, with severe impacts on river benthic macroinvertebrate communities. This study aimed at assessing long-term modifications of low-flow events in a large lowland Italian river possibly associated to climate change and the effe"&amp;"cts of these events, intensified by water withdrawals, on benthic macroinvertebrates. A 77-year dataset on daily discharge was thus analyzed through Mann-Kendall test and Sen's method to investigate modifications of the main hydrological parameters. Moreo"&amp;"ver, macroin-vertebrates were collected during the low-flow periods that occurred from 2010 to 2015 at three sites downstream of water withdrawals, representing three different conditions of hydrological impairment. After assessing possible differences in"&amp;" taxonomical and functional composition between sites and impairment conditions, redundancy analysis and ordinary least squares regression were performed to link benthos metrics to environmental (hydrological and physico-chemical) characteristics. An incr"&amp;"ease in the duration of the low-flow periods and reduced summer flows were detected on the long term, and the magnitude of low flows was significantly altered by water withdrawals. These hydrological features shaped both structural and functional characte"&amp;"ristics of benthic assemblages, highlighting the need for a more environmentally-sustainable water resource management in the current context of climate change.")</f>
        <v>Climate change can affect freshwater communities superimposing on other major stressors, such as water exploitation, with effects still poorly understood. The exacerbation of naturally-occurring periods of low flows has been reported as a major hydrological effect of water diversions, with severe impacts on river benthic macroinvertebrate communities. This study aimed at assessing long-term modifications of low-flow events in a large lowland Italian river possibly associated to climate change and the effects of these events, intensified by water withdrawals, on benthic macroinvertebrates. A 77-year dataset on daily discharge was thus analyzed through Mann-Kendall test and Sen's method to investigate modifications of the main hydrological parameters. Moreover, macroin-vertebrates were collected during the low-flow periods that occurred from 2010 to 2015 at three sites downstream of water withdrawals, representing three different conditions of hydrological impairment. After assessing possible differences in taxonomical and functional composition between sites and impairment conditions, redundancy analysis and ordinary least squares regression were performed to link benthos metrics to environmental (hydrological and physico-chemical) characteristics. An increase in the duration of the low-flow periods and reduced summer flows were detected on the long term, and the magnitude of low flows was significantly altered by water withdrawals. These hydrological features shaped both structural and functional characteristics of benthic assemblages, highlighting the need for a more environmentally-sustainable water resource management in the current context of climate change.</v>
      </c>
      <c r="C153" s="24" t="str">
        <f>IFERROR(__xludf.DUMMYFUNCTION("""COMPUTED_VALUE"""),"10.3390/w13192778")</f>
        <v>10.3390/w13192778</v>
      </c>
      <c r="D153" s="24" t="str">
        <f>IFERROR(__xludf.DUMMYFUNCTION("""COMPUTED_VALUE"""),"Keck et al")</f>
        <v>Keck et al</v>
      </c>
      <c r="E153" s="24" t="str">
        <f>IFERROR(__xludf.DUMMYFUNCTION("""COMPUTED_VALUE"""),"WOS:000722586100001")</f>
        <v>WOS:000722586100001</v>
      </c>
      <c r="F153" s="24" t="str">
        <f>IFERROR(__xludf.DUMMYFUNCTION("""COMPUTED_VALUE"""),"[""ELIGIBLE""]")</f>
        <v>["ELIGIBLE"]</v>
      </c>
    </row>
    <row r="154">
      <c r="A154" s="24" t="str">
        <f>IFERROR(__xludf.DUMMYFUNCTION("""COMPUTED_VALUE"""),"Different land-use types equally impoverish but differentially preserve grassland species and functional traits of spider assemblages")</f>
        <v>Different land-use types equally impoverish but differentially preserve grassland species and functional traits of spider assemblages</v>
      </c>
      <c r="B154" s="24" t="str">
        <f>IFERROR(__xludf.DUMMYFUNCTION("""COMPUTED_VALUE"""),"Land-use change is one of the major drivers of biodiversity loss by introducing environmental modifications, which excludes native species unable to adapt to the novel conditions. Grasslands are among the most threatened biomes; understanding the influenc"&amp;"e of different land-use types on native species is crucial to achieving sustainable management policies. We hypothesized that land-use types that partially conserve the original vegetation cover would show higher taxonomic and functional diversity and sim"&amp;"ilarity with native assemblages than land-use types that replace the original vegetation cover. We compared the taxonomic and functional alpha and beta diversity of spider assemblages between soybean crops, eucalypt plantations, and cattle fields with sem"&amp;"inatural grasslands. Through null models, we assessed the standardized effect sizes to test differences in the strength of environmental filtering among land-use types. Environmental changes introduced by different land-use types resulted in assemblages d"&amp;"ifferentiated in species and trait composition, taxonomically and functionally impoverished with respect to seminatural grasslands. All land-use types drove species replacement and trait loss and replacement of grassland spiders. Each land-use showed a ch"&amp;"aracteristic species and trait composition. Most of the grassland traits were not lost but were under or over-represented according to the land-use type. Only in soybean crops the formation of spider communities would be mainly driven by environmental fil"&amp;"tering. Changes in land-use decreased species diversity and modified the composition of spider species and functional traits leading to differentiated spider assemblages. As spider species and traits varied among land-uses, a mitigation measure against gr"&amp;"asslands biodiversity loss could be the development of productive landscapes with a mosaic of land-use types, as each of them would provide microhabitats for species with different requirements. Because land-use types mainly led to the rearrangement of gr"&amp;"assland functional trait values, most of spider functions might be conserved in mosaics of land-use types.")</f>
        <v>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v>
      </c>
      <c r="C154" s="24" t="str">
        <f>IFERROR(__xludf.DUMMYFUNCTION("""COMPUTED_VALUE"""),"10.1038/s41598-021-89658-7")</f>
        <v>10.1038/s41598-021-89658-7</v>
      </c>
      <c r="D154" s="24" t="str">
        <f>IFERROR(__xludf.DUMMYFUNCTION("""COMPUTED_VALUE"""),"Keck et al")</f>
        <v>Keck et al</v>
      </c>
      <c r="E154" s="24" t="str">
        <f>IFERROR(__xludf.DUMMYFUNCTION("""COMPUTED_VALUE"""),"WOS:000656952400073")</f>
        <v>WOS:000656952400073</v>
      </c>
      <c r="F154" s="24" t="str">
        <f>IFERROR(__xludf.DUMMYFUNCTION("""COMPUTED_VALUE"""),"[""ELIGIBLE""]")</f>
        <v>["ELIGIBLE"]</v>
      </c>
    </row>
    <row r="155">
      <c r="A155" s="24" t="str">
        <f>IFERROR(__xludf.DUMMYFUNCTION("""COMPUTED_VALUE"""),"Changes in reef fish assemblages following multiple bleaching events in the world's warmest sea (Kish Island, the Persian Gulf)")</f>
        <v>Changes in reef fish assemblages following multiple bleaching events in the world's warmest sea (Kish Island, the Persian Gulf)</v>
      </c>
      <c r="B155" s="24" t="str">
        <f>IFERROR(__xludf.DUMMYFUNCTION("""COMPUTED_VALUE"""),"Climate change affects the ecology of reef fish through changing their habitat, community and their feeding and territorial behavior. The corals and their associated reef fish in the Persian Gulf as the world's warmest sea suffer from the increasing frequ"&amp;"ency and severity of mass bleaching events. Yet, the effects of climate-induced coral bleaching events on reef fish in this sea are poorly understood. Using a time series fish count data, this study evaluated the response of reef fish to multiple severe c"&amp;"oral bleaching events in Kish Island located in the central Persian Gulf. The results showed a decline in species richness and diversity of reef fish after bleaching events which reduced mean coral cover by 85% following the 2007 bleaching event and by 95"&amp;"% following the 2017 bleaching event. Besides a drop in the number of fish species, the total density, and density of trophic groups changed as the results of coral loss. The variation in density of different trophic groups indicated an overall increase i"&amp;"n the abundance of benthic invertebrate feeders (21.2-136.3%), omnivores (32.4-163.4%) and plankton feeders (218.5-488%). In contrast, the abundance of coral polyp feeders (-6.9 to -50%) and piscivores (-4.9 to -38.9%) significantly decreased after bleach"&amp;"ing events. The density of herbivorous fish significantly increased by 97.1% after the bleaching event in 2007 and decreased by 10.5% after the bleaching event in 2017. In the present study, we demonstrated how the impact of the multiple bleaching events "&amp;"on associated reef fish assemblages sustained for about 6 years after the disturbance. These results have significant implications for our understanding of the response of reef fish to global warming and highlight the growing concern about the future of c"&amp;"oral reef ecosystems and their associated reef fish in the region as the warmest sea in the world.")</f>
        <v>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v>
      </c>
      <c r="C155" s="24" t="str">
        <f>IFERROR(__xludf.DUMMYFUNCTION("""COMPUTED_VALUE"""),"10.1007/s00338-020-01945-3")</f>
        <v>10.1007/s00338-020-01945-3</v>
      </c>
      <c r="D155" s="24" t="str">
        <f>IFERROR(__xludf.DUMMYFUNCTION("""COMPUTED_VALUE"""),"Keck et al")</f>
        <v>Keck et al</v>
      </c>
      <c r="E155" s="24" t="str">
        <f>IFERROR(__xludf.DUMMYFUNCTION("""COMPUTED_VALUE"""),"WOS:000541203300001")</f>
        <v>WOS:000541203300001</v>
      </c>
      <c r="F155" s="24" t="str">
        <f>IFERROR(__xludf.DUMMYFUNCTION("""COMPUTED_VALUE"""),"[""ELIGIBLE""]")</f>
        <v>["ELIGIBLE"]</v>
      </c>
    </row>
    <row r="156">
      <c r="A156" s="24" t="str">
        <f>IFERROR(__xludf.DUMMYFUNCTION("""COMPUTED_VALUE"""),"Protecting the unseen majority: Land cover and environmental factors linked with soil bacterial communities and functions in New Zealand")</f>
        <v>Protecting the unseen majority: Land cover and environmental factors linked with soil bacterial communities and functions in New Zealand</v>
      </c>
      <c r="B156" s="24" t="str">
        <f>IFERROR(__xludf.DUMMYFUNCTION("""COMPUTED_VALUE"""),"The biodiversity in soil ecosystems is simultaneously incredibly rich and poorly described. In countries such as New Zealand. where high endemism in plant species emerged following extended geographical isolation, it is likely similar evolutionary pressur"&amp;"es extended to soil microbial communities (ourbiodiversity 'dark matter'). However. we have little understanding of the extent of microbial life in New Zealand soils, let alone estimates of endemism, rates of species loss or gain, or implications for syst"&amp;"ems where plants and their microbiomes have co-evolved. In this study. we tested for the impacts of land-cover type (native forest, planted forest with exotic conifers, and pastoral agriculture) on soil bacterial communities and their functional potential"&amp;", using environmental microarrays (PhyloChip and GcoChip, respectively). This evaluation was conducted across four environmentally different locations (Hokitika, Banks Peninsula, Craigieburn, and Eyrewell). The environment from which samples were collecte"&amp;"d was the largest and most significant factor associated with variation in bacterial community assemblage and function. As such. novel pockets of bacterial biodiversity, with discrete ecosystem function, may be present in New Zealand. There was some evide"&amp;"nce to suggest that change in land cover affected soil bacterial species. but not their functions. Secondary testing found this effect was restricted to differences between native forest and agricultural land use. Bacterial communities and functions betwe"&amp;"en native and planted forests were similar. Analysis of soil environmental properties among samples found that land cover effects were underpinned by changes in soil pH that typically accompanies application of lime in agricultural systems, but is uncommo"&amp;"n in planted forests. When compared with other studies conducted in New Zealand, we conclude that: (1) different locations can harbour distinct communities of soil microbial diversity. and (2) land-use intensification, not land cover change per se, shifts"&amp;" microbial biodiversity through alteration of primary habitat conditions, particularly soil pH.")</f>
        <v>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v>
      </c>
      <c r="C156" s="24" t="str">
        <f>IFERROR(__xludf.DUMMYFUNCTION("""COMPUTED_VALUE"""),"10.20417/nzjecol.45.6")</f>
        <v>10.20417/nzjecol.45.6</v>
      </c>
      <c r="D156" s="24" t="str">
        <f>IFERROR(__xludf.DUMMYFUNCTION("""COMPUTED_VALUE"""),"Keck et al")</f>
        <v>Keck et al</v>
      </c>
      <c r="E156" s="24" t="str">
        <f>IFERROR(__xludf.DUMMYFUNCTION("""COMPUTED_VALUE"""),"WOS:000620350200005")</f>
        <v>WOS:000620350200005</v>
      </c>
      <c r="F156" s="24" t="str">
        <f>IFERROR(__xludf.DUMMYFUNCTION("""COMPUTED_VALUE"""),"[""ELIGIBLE""]")</f>
        <v>["ELIGIBLE"]</v>
      </c>
    </row>
    <row r="157">
      <c r="A157" s="24" t="str">
        <f>IFERROR(__xludf.DUMMYFUNCTION("""COMPUTED_VALUE"""),"Native plant turnover and limited exotic spread explain swamp biotic differentiation with urbanization")</f>
        <v>Native plant turnover and limited exotic spread explain swamp biotic differentiation with urbanization</v>
      </c>
      <c r="B157" s="24" t="str">
        <f>IFERROR(__xludf.DUMMYFUNCTION("""COMPUTED_VALUE"""),"Questions Does urbanization promote biotic differentiation or homogenization of swamp plant communities? What is the contribution of natives and exotics to swamp response to urbanization? Location Quebec City, Canada. Methods Plant communities of 34 swamp"&amp;"s located in low, moderately or highly urbanized landscapes were sampled, and species classified into three exclusive groups: native wetland, native upland and exotic plants. Urbanization's influence on the richness of each plant group was assessed using "&amp;"mixed models. Between-site compositional similarities were calculated to identify variations in beta diversity with urbanization level using tests for homogeneity in multivariate dispersion. Beta diversity was further partitioned into species replacement "&amp;"and richness difference for each plant group. Finally, the relationships of ten environmental variables representing soil water saturation and microtopography with plant assemblages were determined by redundancy analysis. Results Although the richness of "&amp;"exotics increased with urbanization intensity, revealing increasing propagule pressure, it remained six to 27 times lower compared to the richness of natives, which remained stable with urbanization. On the other hand, beta diversity increased with urbani"&amp;"zation, with higher dissimilarities in species composition between highly urbanized swamps than between low-urbanized ones. This pattern resulted from high species replacement among natives, while richness difference mainly contributed to exotic beta dive"&amp;"rsity. Changes in plant assemblages were mostly associated with bryophyte cover and soil drainage and red mottle size, suggesting that hydrological conditions likely acted as a strong driver of swamp plant community response to urbanization. Conclusions S"&amp;"wamp plant communities experienced biotic differentiation with increasing urbanization. This differentiation pattern likely was linked to the unpredictable effect of urbanization on hydrological regimes, which promoted high native turnover while limiting "&amp;"exotic spread. Long-term monitoring is recommended to ensure that exotics do not outcompete natives through time. Designing sustainable cities requires a greater understanding of the multifaceted effect of urbanization on biodiversity.")</f>
        <v>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v>
      </c>
      <c r="C157" s="24" t="str">
        <f>IFERROR(__xludf.DUMMYFUNCTION("""COMPUTED_VALUE"""),"10.1111/avsc.12550")</f>
        <v>10.1111/avsc.12550</v>
      </c>
      <c r="D157" s="24" t="str">
        <f>IFERROR(__xludf.DUMMYFUNCTION("""COMPUTED_VALUE"""),"Keck et al")</f>
        <v>Keck et al</v>
      </c>
      <c r="E157" s="24" t="str">
        <f>IFERROR(__xludf.DUMMYFUNCTION("""COMPUTED_VALUE"""),"WOS:000598108300001")</f>
        <v>WOS:000598108300001</v>
      </c>
      <c r="F157" s="24" t="str">
        <f>IFERROR(__xludf.DUMMYFUNCTION("""COMPUTED_VALUE"""),"[""ELIGIBLE""]")</f>
        <v>["ELIGIBLE"]</v>
      </c>
    </row>
    <row r="158">
      <c r="A158" s="24" t="str">
        <f>IFERROR(__xludf.DUMMYFUNCTION("""COMPUTED_VALUE"""),"The effects of grassland ecosystem afforestation on avian phylogenetic diversity, taxonomic diversity and evolutionary distinctiveness")</f>
        <v>The effects of grassland ecosystem afforestation on avian phylogenetic diversity, taxonomic diversity and evolutionary distinctiveness</v>
      </c>
      <c r="B158" s="24" t="str">
        <f>IFERROR(__xludf.DUMMYFUNCTION("""COMPUTED_VALUE"""),"Forest plantations are among the main threats to the grassland ecosystems of southeastern South America. One key question is whether such plantations affect the evolutionary diversity of bird communities, since previous studies have shown a reduction in t"&amp;"axonomic and functional diversity. High levels of phylogenetic diversity can ensure the conservation of communities, and high evolutionary potential to adapt to environmental changes. Taking this into account we investigated whether the conversion of nati"&amp;"ve grasslands into forest plantations impacted the evolutionary and taxonomic diversity of bird communities, through an analysis of the different dimensions of diversity. Our investigations took place in southern Brazil where native grasslands predominate"&amp;", however many have been afforested in recent years. We collected data from bird communities in native grassland and forest habitats, as well as from eucalyptus plantations. Our results did not detect a reduction in phylogenetic diversity in the planted a"&amp;"reas but did demonstrate the taxonomic impoverishment of bird communities. Furthermore, we registered a reduction in the evolutionary distinctiveness of bird communities in forest plantations and a variation of phylogenetic composition among habitats. Thi"&amp;"s indicates the evolutionary adaptations of species to their habitat, whether it is forest or grassland. Riparian forest lineages appeared more capable of colonizing forest plantations, while grassland lineages appeared unfit to do so. Afforestation of gr"&amp;"assland ecosystems may represent a future threat to the maintenance of evolutionarily distinct bird species, as well as to strict grassland species which have been shown to be evolutionarily unable to colonize forest plantations. We recommend the maintena"&amp;"nce of forest plantations only in areas that have already been converted or degraded. Additionally, we emphasize the importance of practicing non-intensive economic activities in these areas, for example, cattle production in low-intensity. Such activitie"&amp;"s in low-intensity have been shown to be beneficial for the maintenance of the evolutionary and taxonomic diversity of bird communities.")</f>
        <v>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v>
      </c>
      <c r="C158" s="24" t="str">
        <f>IFERROR(__xludf.DUMMYFUNCTION("""COMPUTED_VALUE"""),"10.1016/j.actao.2019.103449")</f>
        <v>10.1016/j.actao.2019.103449</v>
      </c>
      <c r="D158" s="24" t="str">
        <f>IFERROR(__xludf.DUMMYFUNCTION("""COMPUTED_VALUE"""),"Keck et al")</f>
        <v>Keck et al</v>
      </c>
      <c r="E158" s="24" t="str">
        <f>IFERROR(__xludf.DUMMYFUNCTION("""COMPUTED_VALUE"""),"WOS:000480669800009")</f>
        <v>WOS:000480669800009</v>
      </c>
      <c r="F158" s="24" t="str">
        <f>IFERROR(__xludf.DUMMYFUNCTION("""COMPUTED_VALUE"""),"[""ELIGIBLE""]")</f>
        <v>["ELIGIBLE"]</v>
      </c>
    </row>
    <row r="159">
      <c r="A159" s="24" t="str">
        <f>IFERROR(__xludf.DUMMYFUNCTION("""COMPUTED_VALUE"""),"Directional changes in the species composition of a tropical forest")</f>
        <v>Directional changes in the species composition of a tropical forest</v>
      </c>
      <c r="B159" s="24" t="str">
        <f>IFERROR(__xludf.DUMMYFUNCTION("""COMPUTED_VALUE"""),"Long-term studies have revealed that the structure and dynamics of many tropical forests are changing, but the causes and consequences of these changes remain debated. To learn more about the forces driving changes within tropical forests, we investigated"&amp;" shifts in tree species composition over the past 25 years within the 50-ha Forest Dynamics Plot on Barro Colorado Island (BCI), Panama, and examined how observed patterns relate to predictions of (1) random population fluctuations, (2) carbon fertilizati"&amp;"on, (3) succession from past disturbance, (4) recovery from an extreme El Nino drought at the start of the study period, and (5) long-term climate change. We found that there have been consistent and directional changes in the tree species composition. Th"&amp;"ese shifts have led to increased relative representations of drought-tolerant species as determined by the species' occurrence both across a gradient of soil moisture within BCI and across a wider precipitation gradient from a dry forest near the Pacific "&amp;"coast of Panama to a wet forest near its Caribbean coast. These nonrandom changes cannot be explained by stochastic fluctuations or carbon fertilization. They may be the legacy of the El Nino drought, or alternatively, potentially reflect increased aridit"&amp;"y due to long-term climate change. By investigating compositional changes, we increased not only our understanding of the ecology of tropical forests and their responses to large-scale disturbances, but also our ability to predict how future global change"&amp;" will impact some of the critical services provided by these important ecosystems.")</f>
        <v>Long-term studies have revealed that the structure and dynamics of many tropical forests are changing, but the causes and consequences of these changes remain debated. To learn more about the forces driving changes within tropical forests, we investigated shifts in tree species composition over the past 25 years within the 50-ha Forest Dynamics Plot on Barro Colorado Island (BCI), Panama, and examined how observed patterns relate to predictions of (1) random population fluctuations, (2) carbon fertilization, (3) succession from past disturbance, (4) recovery from an extreme El Nino drought at the start of the study period, and (5) long-term climate change. We found that there have been consistent and directional changes in the tree species composition. These shifts have led to increased relative representations of drought-tolerant species as determined by the species' occurrence both across a gradient of soil moisture within BCI and across a wider precipitation gradient from a dry forest near the Pacific coast of Panama to a wet forest near its Caribbean coast. These nonrandom changes cannot be explained by stochastic fluctuations or carbon fertilization. They may be the legacy of the El Nino drought, or alternatively, potentially reflect increased aridity due to long-term climate change. By investigating compositional changes, we increased not only our understanding of the ecology of tropical forests and their responses to large-scale disturbances, but also our ability to predict how future global change will impact some of the critical services provided by these important ecosystems.</v>
      </c>
      <c r="C159" s="24" t="str">
        <f>IFERROR(__xludf.DUMMYFUNCTION("""COMPUTED_VALUE"""),"10.1890/10-0724.1")</f>
        <v>10.1890/10-0724.1</v>
      </c>
      <c r="D159" s="24" t="str">
        <f>IFERROR(__xludf.DUMMYFUNCTION("""COMPUTED_VALUE"""),"Keck et al")</f>
        <v>Keck et al</v>
      </c>
      <c r="E159" s="24" t="str">
        <f>IFERROR(__xludf.DUMMYFUNCTION("""COMPUTED_VALUE"""),"WOS:000290533700009")</f>
        <v>WOS:000290533700009</v>
      </c>
      <c r="F159" s="24" t="str">
        <f>IFERROR(__xludf.DUMMYFUNCTION("""COMPUTED_VALUE"""),"[""ELIGIBLE""]")</f>
        <v>["ELIGIBLE"]</v>
      </c>
    </row>
    <row r="160">
      <c r="A160" s="24" t="str">
        <f>IFERROR(__xludf.DUMMYFUNCTION("""COMPUTED_VALUE"""),"Response of soil fauna to simulated global change factors depends on ambient climate conditions")</f>
        <v>Response of soil fauna to simulated global change factors depends on ambient climate conditions</v>
      </c>
      <c r="B160" s="24" t="str">
        <f>IFERROR(__xludf.DUMMYFUNCTION("""COMPUTED_VALUE"""),"Soils systems provide essential ecosystem functions and services performed by a hyperdiverse array of fauna, but how soil communities respond to climate change remains an understudied topic. Although previous long-term studies have found variable effects "&amp;"of climate change manipulations on soil communities, precipitation often yields strong responses from fauna. In this study we used a field-based experiment to test how soil communities respond to active warming (+4 degrees C) and elevated atmospheric CO2 "&amp;"concentrations (800 ppm) in the boreal forest over two consecutive years in a full factorial experimental design. We sampled and identified soil fauna across multiple taxonomic groups to determine how species abundance, richness, diversity, evenness, and "&amp;"community composition were affected by these simulated global climate change factors. Fauna were minimally affected by experimental treatments in the first year of sampling. However, in the second year of treatment, richness and diversity increased and so"&amp;"il community composition shifted as oribatid mites responded to both warming and elevated CO2 and springtails responded to warming treatments. We propose that the enhanced response of soil communities in the second year of experimental treatment was due t"&amp;"o greater than normal precipitation, sug-gesting that annual variability in weather conditions can influence soil fauna response to climate change.")</f>
        <v>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v>
      </c>
      <c r="C160" s="24" t="str">
        <f>IFERROR(__xludf.DUMMYFUNCTION("""COMPUTED_VALUE"""),"10.1016/j.pedobi.2020.150672")</f>
        <v>10.1016/j.pedobi.2020.150672</v>
      </c>
      <c r="D160" s="24" t="str">
        <f>IFERROR(__xludf.DUMMYFUNCTION("""COMPUTED_VALUE"""),"Keck et al")</f>
        <v>Keck et al</v>
      </c>
      <c r="E160" s="24" t="str">
        <f>IFERROR(__xludf.DUMMYFUNCTION("""COMPUTED_VALUE"""),"WOS:000591875500006")</f>
        <v>WOS:000591875500006</v>
      </c>
      <c r="F160" s="24" t="str">
        <f>IFERROR(__xludf.DUMMYFUNCTION("""COMPUTED_VALUE"""),"[""ELIGIBLE""]")</f>
        <v>["ELIGIBLE"]</v>
      </c>
    </row>
    <row r="161">
      <c r="A161" s="24" t="str">
        <f>IFERROR(__xludf.DUMMYFUNCTION("""COMPUTED_VALUE"""),"Nutrient additions cause divergence of tallgrass prairie plant communities resulting in loss of ecosystem stability")</f>
        <v>Nutrient additions cause divergence of tallgrass prairie plant communities resulting in loss of ecosystem stability</v>
      </c>
      <c r="B161" s="24" t="str">
        <f>IFERROR(__xludf.DUMMYFUNCTION("""COMPUTED_VALUE"""),"Nitrogen (N) deposition and phosphorus (P) deposition due to pollution and land-use change are dramatically altering biogeochemical cycles. These altered nutrient inputs affect plant communities by generally increasing dominance and reducing diversity, as"&amp;" well as altering community variability (heterogeneity). Less well studied are the effects of changes in community variability on ecosystem functions, such as productivity, or the stability of those functions. Here, we use a twelve-year nutrient addition "&amp;"experiment in tallgrass prairie to determine the variability in community responses to N and P additions and link these responses to ecosystem productivity and stability. We added two levels of N and four levels of P in a fully factorial design to 25-m(2)"&amp;" plots in native tallgrass prairie in north-eastern Kansas, USA. Each year percentage cover of each species was measured in June and August in a 1-m(2) subplot of each plot, and annual net primary productivity was measured in two 0.1-m(2) subplots in each"&amp;" plot at the end of each growing season. The addition of N and P together increased plant community variability across space (i.e. the replicates were significantly more different from each other in the N+P treatments than they were in the control treatme"&amp;"nt). We also found that the variability of the plant community within a single plot through time increased with the addition of N alone and N and P together. The highest level of both spatial and temporal variability occurred in plots with the highest lev"&amp;"el of nutrient addition (10gm(-2) of both N and P). While we found no linkage between spatial variability of community composition and the spatial stability of productivity, the temporal stability of productivity decreased with increasing temporal plant c"&amp;"ommunity variability. Additionally, the ability to predict the productivity response to growing season precipitation, a key environmental variable, also decreased under higher temporal community variability.Synthesis. Using a 12-year nutrient addition exp"&amp;"eriment, we found that nutrient addition leads to both spatial and temporal community variability in mesic tallgrass prairie. The changes in community variability through time were directly related to ecosystem stability. While overall shifts in community"&amp;" structure in response to nutrient additions are important, the change in variability of local communities has significant implications for our ability to predict how patterns of biodiversity and ecosystem function will respond to a rapidly changing world"&amp;".")</f>
        <v>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v>
      </c>
      <c r="C161" s="24" t="str">
        <f>IFERROR(__xludf.DUMMYFUNCTION("""COMPUTED_VALUE"""),"10.1111/1365-2745.12610")</f>
        <v>10.1111/1365-2745.12610</v>
      </c>
      <c r="D161" s="24" t="str">
        <f>IFERROR(__xludf.DUMMYFUNCTION("""COMPUTED_VALUE"""),"Keck et al")</f>
        <v>Keck et al</v>
      </c>
      <c r="E161" s="24" t="str">
        <f>IFERROR(__xludf.DUMMYFUNCTION("""COMPUTED_VALUE"""),"WOS:000383551800026")</f>
        <v>WOS:000383551800026</v>
      </c>
      <c r="F161" s="24" t="str">
        <f>IFERROR(__xludf.DUMMYFUNCTION("""COMPUTED_VALUE"""),"[""ELIGIBLE""]")</f>
        <v>["ELIGIBLE"]</v>
      </c>
    </row>
    <row r="162">
      <c r="A162" s="24" t="str">
        <f>IFERROR(__xludf.DUMMYFUNCTION("""COMPUTED_VALUE"""),"Do young eucalypt plantations benefit bats in an intensive agricultural landscape?")</f>
        <v>Do young eucalypt plantations benefit bats in an intensive agricultural landscape?</v>
      </c>
      <c r="B162" s="24" t="str">
        <f>IFERROR(__xludf.DUMMYFUNCTION("""COMPUTED_VALUE"""),"Context. Environmental benefits of timber plantations have been a major selling point for land use change from previously cleared farmland, but data concerning the response of biodiversity are scarce. Aims. We investigated the use of young (4-11 years old"&amp;") timber plantations by bats in comparison with other vegetation classes in a highly cleared and productive agricultural landscape in north-west New South Wales (NSW), Australia. Methods. Initially, we recorded activity in paddocks before plantation estab"&amp;"lishment, and then four to six years after establishment. We compared activity within young eucalypt plantations with surrounding paddocks and remnant woodland. We also radio-tracked four different bat species to investigate how roosting and foraging was "&amp;"apportioned into different habitats. Key results. The ultrasonic survey of bats found that the young plantations were typically used by 7-8 species and activity averaged 87 passes per night. Activity within plantations was similar to treeless paddocks, an"&amp;"d approximately six times less than in small remnants. The very high activity levels and feeding buzzes in small remnants was significantly related to rich, basalt soil (which was used as a proxy for invertebrate biomass) on agricultural plains. Total act"&amp;"ivity and species richness was correlated positively with the number of remnant trees on the site, but neither plantation area nor shape influenced bat activity. Plantations were not used preferentially by radio-tracked bats at night compared with their a"&amp;"vailability in the local landscape (13-14% bat use, 17% available). No bat roosts were located within the plantations. Most bat roosts were in tree hollows, which were absent in the plantations. Decorticating bark was abundant in eucalypt plantations, but"&amp;" only Nyctophilus geoffroyi was observed beneath bark and only in remnant trees outside of plantations. Conclusions. Young eucalypt plantations have limited value for bats, and this is comparable to previous studies on more environmentally focussed planti"&amp;"ngs. Implications. The value of plantations for bats would be improved by retaining remnant trees, both in the surrounding landscape and within plantations. We also recommend varying tree densities to increase the diversity of animal species using plantat"&amp;"ions.")</f>
        <v>Context. Environmental benefits of timber plantations have been a major selling point for land use change from previously cleared farmland, but data concerning the response of biodiversity are scarce. Aims. We investigated the use of young (4-11 years old) timber plantations by bats in comparison with other vegetation classes in a highly cleared and productive agricultural landscape in north-west New South Wales (NSW), Australia. Methods. Initially, we recorded activity in paddocks before plantation establishment, and then four to six years after establishment. We compared activity within young eucalypt plantations with surrounding paddocks and remnant woodland. We also radio-tracked four different bat species to investigate how roosting and foraging was apportioned into different habitats. Key results. The ultrasonic survey of bats found that the young plantations were typically used by 7-8 species and activity averaged 87 passes per night. Activity within plantations was similar to treeless paddocks, and approximately six times less than in small remnants. The very high activity levels and feeding buzzes in small remnants was significantly related to rich, basalt soil (which was used as a proxy for invertebrate biomass) on agricultural plains. Total activity and species richness was correlated positively with the number of remnant trees on the site, but neither plantation area nor shape influenced bat activity. Plantations were not used preferentially by radio-tracked bats at night compared with their availability in the local landscape (13-14% bat use, 17% available). No bat roosts were located within the plantations. Most bat roosts were in tree hollows, which were absent in the plantations. Decorticating bark was abundant in eucalypt plantations, but only Nyctophilus geoffroyi was observed beneath bark and only in remnant trees outside of plantations. Conclusions. Young eucalypt plantations have limited value for bats, and this is comparable to previous studies on more environmentally focussed plantings. Implications. The value of plantations for bats would be improved by retaining remnant trees, both in the surrounding landscape and within plantations. We also recommend varying tree densities to increase the diversity of animal species using plantations.</v>
      </c>
      <c r="C162" s="24" t="str">
        <f>IFERROR(__xludf.DUMMYFUNCTION("""COMPUTED_VALUE"""),"10.1071/WR10204")</f>
        <v>10.1071/WR10204</v>
      </c>
      <c r="D162" s="24" t="str">
        <f>IFERROR(__xludf.DUMMYFUNCTION("""COMPUTED_VALUE"""),"Keck et al")</f>
        <v>Keck et al</v>
      </c>
      <c r="E162" s="24" t="str">
        <f>IFERROR(__xludf.DUMMYFUNCTION("""COMPUTED_VALUE"""),"WOS:000292686300001")</f>
        <v>WOS:000292686300001</v>
      </c>
      <c r="F162" s="24" t="str">
        <f>IFERROR(__xludf.DUMMYFUNCTION("""COMPUTED_VALUE"""),"[""ELIGIBLE""]")</f>
        <v>["ELIGIBLE"]</v>
      </c>
    </row>
    <row r="163">
      <c r="A163" s="24" t="str">
        <f>IFERROR(__xludf.DUMMYFUNCTION("""COMPUTED_VALUE"""),"Responses of high-altitude graminoids and soil fungi to 20 years of experimental warming")</f>
        <v>Responses of high-altitude graminoids and soil fungi to 20 years of experimental warming</v>
      </c>
      <c r="B163" s="24" t="str">
        <f>IFERROR(__xludf.DUMMYFUNCTION("""COMPUTED_VALUE"""),"High-elevation ecosystems are expected to be particularly sensitive to climate warming because cold temperatures constrain biological processes. Deeper understanding of the consequences of climate change will come from studies that consider not only the d"&amp;"irect effects of temperature on individual species, but also the indirect effects of altered species interactions. Here we show that 20 years of experimental warming has changed the species composition of graminoid (grass and sedge) assemblages in a subal"&amp;"pine meadow of the Rocky Mountains, USA, by increasing the frequency of sedges and reducing the frequency of grasses. Because sedges typically have weak interactions with mycorrhizal fungi relative to grasses, lowered abundances of arbuscular mycorrhizal "&amp;"(AM) fungi or other root-inhabiting fungi could underlie warming-induced shifts in plant species composition. However, warming increased root colonization by AM fungi for two grass species, possibly because AM fungi can enhance plant water uptake when soi"&amp;"ls are dried by experimental warming. Warming had no effect on AM fungal colonization of three other graminoids. Increased AM fungal colonization of the dominant shrub Artemisia tridentata provided further grounds for rejecting the hypothesis that reduced"&amp;" AM fungi caused the shift from grasses to sedges. Non-AM fungi (including dark septate endophytes) also showed general increases with warming. Our results demonstrate that lumping grasses and sedges when characterizing plant community responses can mask "&amp;"significant shifts in the. responses of primary producers, and their symbiotic fungi, to climate change.")</f>
        <v>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v>
      </c>
      <c r="C163" s="24" t="str">
        <f>IFERROR(__xludf.DUMMYFUNCTION("""COMPUTED_VALUE"""),"10.1890/13-1454.1")</f>
        <v>10.1890/13-1454.1</v>
      </c>
      <c r="D163" s="24" t="str">
        <f>IFERROR(__xludf.DUMMYFUNCTION("""COMPUTED_VALUE"""),"Keck et al")</f>
        <v>Keck et al</v>
      </c>
      <c r="E163" s="24" t="str">
        <f>IFERROR(__xludf.DUMMYFUNCTION("""COMPUTED_VALUE"""),"WOS:000339470500020")</f>
        <v>WOS:000339470500020</v>
      </c>
      <c r="F163" s="24" t="str">
        <f>IFERROR(__xludf.DUMMYFUNCTION("""COMPUTED_VALUE"""),"[""ELIGIBLE""]")</f>
        <v>["ELIGIBLE"]</v>
      </c>
    </row>
    <row r="164">
      <c r="A164" s="24" t="str">
        <f>IFERROR(__xludf.DUMMYFUNCTION("""COMPUTED_VALUE"""),"Global warming-induced temperature effects to intertidal tropical and temperate meiobenthic communities")</f>
        <v>Global warming-induced temperature effects to intertidal tropical and temperate meiobenthic communities</v>
      </c>
      <c r="B164" s="24" t="str">
        <f>IFERROR(__xludf.DUMMYFUNCTION("""COMPUTED_VALUE"""),"Global climate change and the related temperature rise strongly impact marine life and have long been in the center of scientific attention. This experimental work investigates thermal-stress effects on intertidal meiofauna from tropical and temperate coa"&amp;"sts, focusing on community responses. Natural communities were exposed for a month to ambient, elevated constant temperatures and diurnal fluctuating temperature regimes with elevated peak maxima, to mimic realistic future climate conditions. Abundance, b"&amp;"iodiversity, community composition and functional diversity were assessed. Differential responses between a tropical and a temperate community were revealed. The tropical nematode assemblage was more tolerant to the elevated constant than to the fluctuati"&amp;"ng temperature regime, whereas the temperate assemblage was equally affected by both. Shifts in dominance of temperature-tolerant species in elevated constant and fluctuating temperature treatments (due to temperature variations) were observed and explain"&amp;"ed by a combination of differential tolerances and shifts in species interactions. Overall, global warming-induced temperature was found to alter species dynamics within meiobenthic communities, which may have further implications for the ecosystem.")</f>
        <v>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v>
      </c>
      <c r="C164" s="24" t="str">
        <f>IFERROR(__xludf.DUMMYFUNCTION("""COMPUTED_VALUE"""),"10.1016/j.marenvres.2018.10.005")</f>
        <v>10.1016/j.marenvres.2018.10.005</v>
      </c>
      <c r="D164" s="24" t="str">
        <f>IFERROR(__xludf.DUMMYFUNCTION("""COMPUTED_VALUE"""),"Keck et al")</f>
        <v>Keck et al</v>
      </c>
      <c r="E164" s="24" t="str">
        <f>IFERROR(__xludf.DUMMYFUNCTION("""COMPUTED_VALUE"""),"WOS:000452943500019")</f>
        <v>WOS:000452943500019</v>
      </c>
      <c r="F164" s="24" t="str">
        <f>IFERROR(__xludf.DUMMYFUNCTION("""COMPUTED_VALUE"""),"[""ELIGIBLE""]")</f>
        <v>["ELIGIBLE"]</v>
      </c>
    </row>
    <row r="165">
      <c r="A165" s="24" t="str">
        <f>IFERROR(__xludf.DUMMYFUNCTION("""COMPUTED_VALUE"""),"Climate change alters the haemolymph microbiome of oysters")</f>
        <v>Climate change alters the haemolymph microbiome of oysters</v>
      </c>
      <c r="B165" s="24" t="str">
        <f>IFERROR(__xludf.DUMMYFUNCTION("""COMPUTED_VALUE"""),"The wellbeing of marine organisms is connected to their microbiome. Oysters are a vital food source and provide ecological services, yet little is known about how climate change such as ocean acidification and warming will affect their microbiome. We expo"&amp;"sed the Sydney rock oyster, Saccostrea glomerata, to orthogonal combinations of temperature (24, 28 degrees C) and pCO(2) (400 and 1000 mu atm) for eight weeks and used amplicon sequencing of the 16S rRNA (V3-V4) gene to characterise the bacterial communi"&amp;"ty in haemolymph. Overall, elevated pCO(2) and temperature interacted to alter the microbiome of oysters, with a clear partitioning of treatments in CAP ordinations. Elevated pCO(2) was the strongest driver of species diversity and richness and elevated t"&amp;"emperature also increased species richness. Climate change, both ocean acidification and warming, will alter the microbiome of S. glomerata which may increase the susceptibility of oysters to disease.")</f>
        <v>The wellbeing of marine organisms is connected to their microbiome. Oysters are a vital food source and provide ecological services, yet little is known about how climate change such as ocean acidification and warming will affect their microbiome. We exposed the Sydney rock oyster, Saccostrea glomerata, to orthogonal combinations of temperature (24, 28 degrees C) and pCO(2) (400 and 1000 mu atm) for eight weeks and used amplicon sequencing of the 16S rRNA (V3-V4) gene to characterise the bacterial community in haemolymph. Overall, elevated pCO(2) and temperature interacted to alter the microbiome of oysters, with a clear partitioning of treatments in CAP ordinations. Elevated pCO(2) was the strongest driver of species diversity and richness and elevated temperature also increased species richness. Climate change, both ocean acidification and warming, will alter the microbiome of S. glomerata which may increase the susceptibility of oysters to disease.</v>
      </c>
      <c r="C165" s="24" t="str">
        <f>IFERROR(__xludf.DUMMYFUNCTION("""COMPUTED_VALUE"""),"10.1016/j.marpolbul.2021.111991")</f>
        <v>10.1016/j.marpolbul.2021.111991</v>
      </c>
      <c r="D165" s="24" t="str">
        <f>IFERROR(__xludf.DUMMYFUNCTION("""COMPUTED_VALUE"""),"Keck et al")</f>
        <v>Keck et al</v>
      </c>
      <c r="E165" s="24" t="str">
        <f>IFERROR(__xludf.DUMMYFUNCTION("""COMPUTED_VALUE"""),"WOS:000632268100005")</f>
        <v>WOS:000632268100005</v>
      </c>
      <c r="F165" s="24" t="str">
        <f>IFERROR(__xludf.DUMMYFUNCTION("""COMPUTED_VALUE"""),"[""ELIGIBLE""]")</f>
        <v>["ELIGIBLE"]</v>
      </c>
    </row>
    <row r="166">
      <c r="A166" s="24" t="str">
        <f>IFERROR(__xludf.DUMMYFUNCTION("""COMPUTED_VALUE"""),"Land use effect on butterfly alpha and beta diversity in the Eastern Himalaya, India")</f>
        <v>Land use effect on butterfly alpha and beta diversity in the Eastern Himalaya, India</v>
      </c>
      <c r="B166" s="24" t="str">
        <f>IFERROR(__xludf.DUMMYFUNCTION("""COMPUTED_VALUE"""),"Conservation of biodiversity in agroecosystems is a global challenge as conversion of forest to agroecosystems has been one of the major causes for biodiversity loss through habitat transformation. The agroecosystems, especially those traditionally manage"&amp;"d or organic, are reported to retain high biodiversity including endemic, specialists and conservation concern species. Among others, butterflies are the most vulnerable taxa reacting sensitively and rapidly to climate and habitat changes, and represent a"&amp;"s bio-indicators to predict the health of an ecosystem. However, the assessment of land use effect on butterfly diversity has not yet been undertaken in the Eastern Himalayas. Therefore, this study was designed along agroecosystem-forest gradient to under"&amp;"stand: the patterns of butterfly alpha diversity taking into account the variation across seasons, elevation, forest specialization and larval host specificity; the patterns of butterfly beta diversity; and plausible environmental determinants of butterfl"&amp;"y alpha and beta diversity. We assessed the patterns of taxonomic alpha and beta diversity of butterflies and their determinants in the Indigenous Farming Systems (IFS) {large cardamom-based agroforestry systems (LCAS), mandarin orange-based agroforestry "&amp;"systems (MOAS) and farm-based agroforestry systems (FAS)} along with adjacent natural forests (Forests) in the study area during December 2012-August 2017. We recorded 268 species of butterflies from six families which included two-third forest specialist"&amp;"s, one-third monophagous and one-fifth conservation concern species. Along the agroecosystem-forest gradient, alpha diversity of butterflies declined for total, forest specialists, monophagous and protected species. However, pairwise beta diversity increa"&amp;"sed and the multiple beta diversity was dominated by substitution components. Alpha diversity was determined by tree species richness, tree density, canopy cover, elevation, mean annual precipitation (MAP), season, whereas tree species richness, tree dens"&amp;"ity, tree basal area, canopy cover, elevation, mean annual temperature, and MAP influenced beta diversity. We also identified 15 indicator species dominated by forest specialists suitable for long term ecological monitoring program in the Eastern Himalaya"&amp;". The organic and traditionally managed agroecosystems of Sikkim play a complementary role to the protected areas (PAs) in fostering biodiversity conservation and ecosystem service provision, especially in the areas with high human pressure and low PA and"&amp;" forest coverage.")</f>
        <v>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v>
      </c>
      <c r="C166" s="24" t="str">
        <f>IFERROR(__xludf.DUMMYFUNCTION("""COMPUTED_VALUE"""),"10.1016/j.ecolind.2019.105605")</f>
        <v>10.1016/j.ecolind.2019.105605</v>
      </c>
      <c r="D166" s="24" t="str">
        <f>IFERROR(__xludf.DUMMYFUNCTION("""COMPUTED_VALUE"""),"Keck et al")</f>
        <v>Keck et al</v>
      </c>
      <c r="E166" s="24" t="str">
        <f>IFERROR(__xludf.DUMMYFUNCTION("""COMPUTED_VALUE"""),"WOS:000507381800001")</f>
        <v>WOS:000507381800001</v>
      </c>
      <c r="F166" s="24" t="str">
        <f>IFERROR(__xludf.DUMMYFUNCTION("""COMPUTED_VALUE"""),"[""ELIGIBLE""]")</f>
        <v>["ELIGIBLE"]</v>
      </c>
    </row>
    <row r="167">
      <c r="A167" s="24" t="str">
        <f>IFERROR(__xludf.DUMMYFUNCTION("""COMPUTED_VALUE"""),"The widespread collapse of an invasive species: Argentine ants (Linepithema humile) in New Zealand")</f>
        <v>The widespread collapse of an invasive species: Argentine ants (Linepithema humile) in New Zealand</v>
      </c>
      <c r="B167" s="24" t="str">
        <f>IFERROR(__xludf.DUMMYFUNCTION("""COMPUTED_VALUE"""),"Synergies between invasive species and climate change are widely considered to be a major biodiversity threat. However, invasive species are also hypothesized to be susceptible to population collapse, as we demonstrate for a globally important invasive sp"&amp;"ecies in New Zealand. We observed Argentine ant populations to have collapsed in 40 per cent of surveyed sites. Populations had a mean survival time of 14.1 years (95% CI = 12.9-15.3 years). Resident ant communities had recovered or partly recovered after"&amp;" their collapse. Our models suggest that climate change will delay colony collapse, as increasing temperature and decreasing rainfall significantly increased their longevity, but only by a few years. Economic and environmental costs of invasive species ma"&amp;"y be small if populations collapse on their own accord.")</f>
        <v>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v>
      </c>
      <c r="C167" s="24" t="str">
        <f>IFERROR(__xludf.DUMMYFUNCTION("""COMPUTED_VALUE"""),"10.1098/rsbl.2011.1014")</f>
        <v>10.1098/rsbl.2011.1014</v>
      </c>
      <c r="D167" s="24" t="str">
        <f>IFERROR(__xludf.DUMMYFUNCTION("""COMPUTED_VALUE"""),"Keck et al")</f>
        <v>Keck et al</v>
      </c>
      <c r="E167" s="24" t="str">
        <f>IFERROR(__xludf.DUMMYFUNCTION("""COMPUTED_VALUE"""),"WOS:000303933300032")</f>
        <v>WOS:000303933300032</v>
      </c>
      <c r="F167" s="24" t="str">
        <f>IFERROR(__xludf.DUMMYFUNCTION("""COMPUTED_VALUE"""),"[""ELIGIBLE""]")</f>
        <v>["ELIGIBLE"]</v>
      </c>
    </row>
    <row r="168">
      <c r="A168" s="24" t="str">
        <f>IFERROR(__xludf.DUMMYFUNCTION("""COMPUTED_VALUE"""),"Litter processing and shredder distribution as indicators of riparian and catchment influences on ecological health of tropical streams")</f>
        <v>Litter processing and shredder distribution as indicators of riparian and catchment influences on ecological health of tropical streams</v>
      </c>
      <c r="B168" s="24" t="str">
        <f>IFERROR(__xludf.DUMMYFUNCTION("""COMPUTED_VALUE"""),"Terrestrial plant litter is the main source of energy for food webs in forest headwater streams. Leaf litter quality often changes when native tree species are replaced by exotic ones and land use change in the watershed can alter physico-chemistry and fu"&amp;"nctional composition of invertebrate communities, ultimately impairing associated ecosystem processes. We used the composition of invertebrate functional feeding groups (FFGs) and the ecosystem process of leaf breakdown as structural and functional indica"&amp;"tors, respectively, of ecosystem health in upland Kenyan streams. During dry and wet conditions, invertebrates were sampled in 24 streams within forest (10), mixed (7) and agriculture (7) catchments. Five forest and five agriculture streams were subsequen"&amp;"tly used for leaf litter breakdown experiments using two native (Croton macrostachyus and Syzygium cordatum) and one exotic (Eucalyptus globulus) species differing in quality. Coarse- and fine-mesh litterbags were used to compare microbial (fine-mesh). wi"&amp;"th shredder + microbial (coarse-mesh) breakdown rates, and by extension, determine the role of shredders in litter processing in these streams. Seasonal influences on water quality were observed across catchment land uses. Total suspended sediments, turbi"&amp;"dity and total dissolved nitrogen were consistently higher during the wet than dry season. However, seasonal influences on FFGs were inconsistent. Catchment land use influenced invertebrate functional composition: 21 taxa, including eight shredders, were "&amp;"restricted to forest streams, but abundance was a poor discriminator of disturbance. Breakdown rates were generally higher in coarse- compared with fine-mesh litterbags for the native leaf species and the relative differences in breakdown rates among leaf"&amp;" species remained unaltered in both agriculture and forest streams. Shredder and microbial breakdown of leaf litter displayed contrasting responses with shredders relatively more important at forest compared with agriculture streams. However, these patter"&amp;"ns were inconsistent across leaf species over the dry and wet seasons. Overall, shredder mediated leaf litter breakdown was dependent on leaf species, and was highest for C macrostachyus and lowest for E. globulus. This suggests that replacement of indige"&amp;"nous riparian vegetation with poorer quality Eucalyptus species has the potential to reduce nutrient cycling in streams, with foodwebs becoming more reliant on microbial processing of leaf litter, which cannot support diverse consumers and complex food we"&amp;"bs. (C) 2014 Elsevier Ltd. All rights reserved.")</f>
        <v>Terrestrial plant litter is the main source of energy for food webs in forest headwater streams. Leaf litter quality often changes when native tree species are replaced by exotic ones and land use change in the watershed can alter physico-chemistry and functional composition of invertebrate communities, ultimately impairing associated ecosystem processes. We used the composition of invertebrate functional feeding groups (FFGs) and the ecosystem process of leaf breakdown as structural and functional indicators, respectively, of ecosystem health in upland Kenyan streams. During dry and wet conditions, invertebrates were sampled in 24 streams within forest (10), mixed (7) and agriculture (7) catchments. Five forest and five agriculture streams were subsequently used for leaf litter breakdown experiments using two native (Croton macrostachyus and Syzygium cordatum) and one exotic (Eucalyptus globulus) species differing in quality. Coarse- and fine-mesh litterbags were used to compare microbial (fine-mesh). with shredder + microbial (coarse-mesh) breakdown rates, and by extension, determine the role of shredders in litter processing in these streams. Seasonal influences on water quality were observed across catchment land uses. Total suspended sediments, turbidity and total dissolved nitrogen were consistently higher during the wet than dry season. However, seasonal influences on FFGs were inconsistent. Catchment land use influenced invertebrate functional composition: 21 taxa, including eight shredders, were restricted to forest streams, but abundance was a poor discriminator of disturbance. Breakdown rates were generally higher in coarse- compared with fine-mesh litterbags for the native leaf species and the relative differences in breakdown rates among leaf species remained unaltered in both agriculture and forest streams. Shredder and microbial breakdown of leaf litter displayed contrasting responses with shredders relatively more important at forest compared with agriculture streams. However, these patterns were inconsistent across leaf species over the dry and wet seasons. Overall, shredder mediated leaf litter breakdown was dependent on leaf species, and was highest for C macrostachyus and lowest for E. globulus. This suggests that replacement of indigenous riparian vegetation with poorer quality Eucalyptus species has the potential to reduce nutrient cycling in streams, with foodwebs becoming more reliant on microbial processing of leaf litter, which cannot support diverse consumers and complex food webs. (C) 2014 Elsevier Ltd. All rights reserved.</v>
      </c>
      <c r="C168" s="24" t="str">
        <f>IFERROR(__xludf.DUMMYFUNCTION("""COMPUTED_VALUE"""),"10.1016/j.ecolind.2014.05.032")</f>
        <v>10.1016/j.ecolind.2014.05.032</v>
      </c>
      <c r="D168" s="24" t="str">
        <f>IFERROR(__xludf.DUMMYFUNCTION("""COMPUTED_VALUE"""),"Keck et al")</f>
        <v>Keck et al</v>
      </c>
      <c r="E168" s="24" t="str">
        <f>IFERROR(__xludf.DUMMYFUNCTION("""COMPUTED_VALUE"""),"WOS:000342656100003")</f>
        <v>WOS:000342656100003</v>
      </c>
      <c r="F168" s="24" t="str">
        <f>IFERROR(__xludf.DUMMYFUNCTION("""COMPUTED_VALUE"""),"[""ELIGIBLE""]")</f>
        <v>["ELIGIBLE"]</v>
      </c>
    </row>
    <row r="169">
      <c r="A169" s="24" t="str">
        <f>IFERROR(__xludf.DUMMYFUNCTION("""COMPUTED_VALUE"""),"Temperature-related changes in polar cyanobacterial mat diversity and toxin production")</f>
        <v>Temperature-related changes in polar cyanobacterial mat diversity and toxin production</v>
      </c>
      <c r="B169" s="24" t="str">
        <f>IFERROR(__xludf.DUMMYFUNCTION("""COMPUTED_VALUE"""),"One of the fastest rates of recent climate warming has been reported for the Arctic and the maritime Antarctic(1); for example, mean annual temperatures increased by 0.5 degrees C per decade over the Antarctic Peninsula during the past 50 years(2). Owing "&amp;"to their comparatively simple and highly sensitive food webs(3), polar freshwater systems, with cyanobacterial mats representing the dominant benthic primary producers(4), seem well suited for monitoring environmental perturbation, including climate chang"&amp;"e(5). Prolonged climate change may challenge the resilience, plasticity and adaptability and thus affect the community composition of cyanobacterial mats. We demonstrate that exposing polar mat samples to raised temperatures for six months results in a ch"&amp;"ange in species predominance. Mats exposed to a constant temperature of 8 degrees C or 16 degrees C showed high cyanobacterial diversity, commensurate with an increased presence of cyanobacterial toxins. In contrast, mats held at 4 degrees C and 23 degree"&amp;"s C seemed low in diversity. Our data thus indicate that a temperature shift to 8-16 degrees C, potentially reached during summer months in polar regions at the present warming rate, could affect cyanobacterial diversity, and in some instances result in a"&amp;" shift to toxin-producing species or to elevated toxin concentrations by pre-existing species that could profoundly alter freshwater polar ecosystems.")</f>
        <v>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v>
      </c>
      <c r="C169" s="24" t="str">
        <f>IFERROR(__xludf.DUMMYFUNCTION("""COMPUTED_VALUE"""),"10.1038/NCLIMATE1418")</f>
        <v>10.1038/NCLIMATE1418</v>
      </c>
      <c r="D169" s="24" t="str">
        <f>IFERROR(__xludf.DUMMYFUNCTION("""COMPUTED_VALUE"""),"Keck et al")</f>
        <v>Keck et al</v>
      </c>
      <c r="E169" s="24" t="str">
        <f>IFERROR(__xludf.DUMMYFUNCTION("""COMPUTED_VALUE"""),"WOS:000304024800020")</f>
        <v>WOS:000304024800020</v>
      </c>
      <c r="F169" s="24" t="str">
        <f>IFERROR(__xludf.DUMMYFUNCTION("""COMPUTED_VALUE"""),"[""ELIGIBLE""]")</f>
        <v>["ELIGIBLE"]</v>
      </c>
    </row>
    <row r="170">
      <c r="A170" s="24" t="str">
        <f>IFERROR(__xludf.DUMMYFUNCTION("""COMPUTED_VALUE"""),"Predators mitigate the destabilising effects of heatwaves on multitrophic stream communities")</f>
        <v>Predators mitigate the destabilising effects of heatwaves on multitrophic stream communities</v>
      </c>
      <c r="B170" s="24" t="str">
        <f>IFERROR(__xludf.DUMMYFUNCTION("""COMPUTED_VALUE"""),"Amidst the global extinction crisis, climate change will expose ecosystems to more frequent and intense extreme climatic events, such as heatwaves. Yet, whether predator species loss-a prevailing characteristic of the extinction crisis-will exacerbate the"&amp;" ecological consequences of extreme climatic events remains largely unknown. Here, we show that the loss of predator species can interact with heatwaves to moderate the compositional stability of ecosystems. We exposed multitrophic stream communities, wit"&amp;"h and without a dominant predator species, to realistic current and future heatwaves and found that heatwaves destabilised algal communities by homogenising them in space. However, this happened only when the predator was absent. Additional heatwave impac"&amp;"ts on multiple aspects of stream communities, including changes to the structure of algal and macroinvertebrate communities, as well as total algal biomass and its temporal variability, were not apparent during heatwaves and emerged only after the heatwav"&amp;"es had passed. Taken together, our results suggest that the ecological consequences of heatwaves can amplify over time as their impacts propagate through biological interaction networks, but the presence of predators can help to buffer such impacts. These"&amp;" findings underscore the importance of conserving trophic structure, and highlight the potential for species extinctions to amplify the effects of climate change and extreme events.")</f>
        <v>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v>
      </c>
      <c r="C170" s="24" t="str">
        <f>IFERROR(__xludf.DUMMYFUNCTION("""COMPUTED_VALUE"""),"10.1111/gcb.15956")</f>
        <v>10.1111/gcb.15956</v>
      </c>
      <c r="D170" s="24" t="str">
        <f>IFERROR(__xludf.DUMMYFUNCTION("""COMPUTED_VALUE"""),"Keck et al")</f>
        <v>Keck et al</v>
      </c>
      <c r="E170" s="24" t="str">
        <f>IFERROR(__xludf.DUMMYFUNCTION("""COMPUTED_VALUE"""),"WOS:000714071700001")</f>
        <v>WOS:000714071700001</v>
      </c>
      <c r="F170" s="24" t="str">
        <f>IFERROR(__xludf.DUMMYFUNCTION("""COMPUTED_VALUE"""),"[""ELIGIBLE""]")</f>
        <v>["ELIGIBLE"]</v>
      </c>
    </row>
    <row r="171">
      <c r="A171" s="24" t="str">
        <f>IFERROR(__xludf.DUMMYFUNCTION("""COMPUTED_VALUE"""),"Response of macroinvertebrates to industrial warm discharges: the River Shannon case study (Ireland)")</f>
        <v>Response of macroinvertebrates to industrial warm discharges: the River Shannon case study (Ireland)</v>
      </c>
      <c r="B171" s="24" t="str">
        <f>IFERROR(__xludf.DUMMYFUNCTION("""COMPUTED_VALUE"""),"Warm discharges from industrial processes have the potential to impact benthic invertebrate communities and undermine river functioning as well as inform climate change impacts. We evaluated the effects of heated cooling waters from 2 power plants across "&amp;"2 River Shannon locations (Ireland) in summer and in winter. The overall multivariate community composition differed significantly between heated and unheated river sections in both seasons. In summer, overall invertebrate taxon richness and diversity wer"&amp;"e significantly lower in heated than in unheated sections. This finding was coupled with a striking decrease in Ephemeroptera, Plecoptera, and Trichoptera (EPT) abundance, taxon richness, and diversity in heated sections. Furthermore, aerial taxon richnes"&amp;"s and diversity were significantly lower in the heated sections. We also observed that the abundance of grazers was lower in heated sections. Winter patterns were similar to summer, but with lower invertebrate community abundance and decreased functional "&amp;"representation of shredders, gatherers, and predators in heated sections. Such impacts likely have strong implications for river functioning, including depressed connectivity with riparian habitats, and may impair the performance of eutrophication biomoni"&amp;"toring tools that rely on EPT taxa. Our results highlight the impact of warming of thermal plumes and other ubiquitous triggers of heating and may indicate climate change-driven trajectories.")</f>
        <v>Warm discharges from industrial processes have the potential to impact benthic invertebrate communities and undermine river functioning as well as inform climate change impacts. We evaluated the effects of heated cooling waters from 2 power plants across 2 River Shannon locations (Ireland) in summer and in winter. The overall multivariate community composition differed significantly between heated and unheated river sections in both seasons. In summer, overall invertebrate taxon richness and diversity were significantly lower in heated than in unheated sections. This finding was coupled with a striking decrease in Ephemeroptera, Plecoptera, and Trichoptera (EPT) abundance, taxon richness, and diversity in heated sections. Furthermore, aerial taxon richness and diversity were significantly lower in the heated sections. We also observed that the abundance of grazers was lower in heated sections. Winter patterns were similar to summer, but with lower invertebrate community abundance and decreased functional representation of shredders, gatherers, and predators in heated sections. Such impacts likely have strong implications for river functioning, including depressed connectivity with riparian habitats, and may impair the performance of eutrophication biomonitoring tools that rely on EPT taxa. Our results highlight the impact of warming of thermal plumes and other ubiquitous triggers of heating and may indicate climate change-driven trajectories.</v>
      </c>
      <c r="C171" s="24" t="str">
        <f>IFERROR(__xludf.DUMMYFUNCTION("""COMPUTED_VALUE"""),"10.1080/20442041.2021.1904761")</f>
        <v>10.1080/20442041.2021.1904761</v>
      </c>
      <c r="D171" s="24" t="str">
        <f>IFERROR(__xludf.DUMMYFUNCTION("""COMPUTED_VALUE"""),"Keck et al")</f>
        <v>Keck et al</v>
      </c>
      <c r="E171" s="24" t="str">
        <f>IFERROR(__xludf.DUMMYFUNCTION("""COMPUTED_VALUE"""),"WOS:000658556900001")</f>
        <v>WOS:000658556900001</v>
      </c>
      <c r="F171" s="24" t="str">
        <f>IFERROR(__xludf.DUMMYFUNCTION("""COMPUTED_VALUE"""),"[""ELIGIBLE""]")</f>
        <v>["ELIGIBLE"]</v>
      </c>
    </row>
    <row r="172">
      <c r="A172" s="24" t="str">
        <f>IFERROR(__xludf.DUMMYFUNCTION("""COMPUTED_VALUE"""),"Intensive citrus plantations suppress the microbial profiles of the β-glucosidase gene")</f>
        <v>Intensive citrus plantations suppress the microbial profiles of the β-glucosidase gene</v>
      </c>
      <c r="B172" s="24" t="str">
        <f>IFERROR(__xludf.DUMMYFUNCTION("""COMPUTED_VALUE"""),"Increases in the input of chemical fertilizer and rapid decline of soil organic matter have increased serious demand for sustainable agriculture. Cellulose is an important component of soil organic matter, which strongly affects global carbon cycle and cr"&amp;"op yields in the agroecosystem. beta-glucosidases (BG) convert cellobiose to glucose, providing carbon for soil microorganisms and plants. However, little is known about the structure of beta-glucosidase gene (GH3)-harboring microbial community and its fu"&amp;"nctions in response to long-term intensive cropping with frequent fertilization. In this study, quantitative PCR (qPCR) and high-throughput sequencing were used to determine the abundance of bacterial and fungal GH3 gene as well as the diversity of GH3-ha"&amp;"rboring community in intensified citrus orchards of different ages (5-year, 15-year and 30-year), or under different management practices (straw application on the surface, peanut planting between rows and control) for 15 years. The adjacent natural fores"&amp;"t and grass soils were used as reference to investigate the effect of intensive citrus plantation on soil BG enzyme activity and the GH3 gene. The results revealed that citrus plantation significantly reduced soil GH3 gene abundance, especially for the ba"&amp;"cterial GH3 gene. The higher abundance of bacterial GH3 gene than that of fungal GH3 gene in the soil highlighted the key role of bacterial GH3 gene in regulating soil BG enzyme activity. Among the reservoirs of the GH3 gene, Proteobacteria, Acidobacteria"&amp;", Fir-micutes and Actinobacteria were the main bacterial phyla, while Ascomycota was the only dominant fungal phylum. Citrus plantation caused soil bacterial community varied from Proteobacteria-dominant to Acidobacteria-dominant and reduced BG enzyme act"&amp;"ivity. The higher diversity of the bacterial community indicated that bacteria play a dominant role in the conversion of cellobiose to glucose. Citrus plantation and plantation age strongly influenced the diversity and structure of beta-glucosidase gene-h"&amp;"arboring community. A significant decline occurred in bacterial diversity along with increasing citrus plantation age. The community diversity exhibited a clear land-use specific pattern, as indicated by the obviously different community structure between"&amp;" the forest soil and citrus soil. Among the detected environmental factors, SOC, bacterial beta-glucosidase gene abundance and the community diversity were the most important factors controlling soil BG enzyme activity. These results indicate that citrus "&amp;"plantation with long-term fertilization suppresses the abundance of the beta-glucosidases gene, and the bacterial beta-glucosidase gene contributes more to the BG enzyme activity than the fungal gene.")</f>
        <v>Increases in the input of chemical fertilizer and rapid decline of soil organic matter have increased serious demand for sustainable agriculture. Cellulose is an important component of soil organic matter, which strongly affects global carbon cycle and crop yields in the agroecosystem. beta-glucosidases (BG) convert cellobiose to glucose, providing carbon for soil microorganisms and plants. However, little is known about the structure of beta-glucosidase gene (GH3)-harboring microbial community and its functions in response to long-term intensive cropping with frequent fertilization. In this study, quantitative PCR (qPCR) and high-throughput sequencing were used to determine the abundance of bacterial and fungal GH3 gene as well as the diversity of GH3-harboring community in intensified citrus orchards of different ages (5-year, 15-year and 30-year), or under different management practices (straw application on the surface, peanut planting between rows and control) for 15 years. The adjacent natural forest and grass soils were used as reference to investigate the effect of intensive citrus plantation on soil BG enzyme activity and the GH3 gene. The results revealed that citrus plantation significantly reduced soil GH3 gene abundance, especially for the bacterial GH3 gene. The higher abundance of bacterial GH3 gene than that of fungal GH3 gene in the soil highlighted the key role of bacterial GH3 gene in regulating soil BG enzyme activity. Among the reservoirs of the GH3 gene, Proteobacteria, Acidobacteria, Fir-micutes and Actinobacteria were the main bacterial phyla, while Ascomycota was the only dominant fungal phylum. Citrus plantation caused soil bacterial community varied from Proteobacteria-dominant to Acidobacteria-dominant and reduced BG enzyme activity. The higher diversity of the bacterial community indicated that bacteria play a dominant role in the conversion of cellobiose to glucose. Citrus plantation and plantation age strongly influenced the diversity and structure of beta-glucosidase gene-harboring community. A significant decline occurred in bacterial diversity along with increasing citrus plantation age. The community diversity exhibited a clear land-use specific pattern, as indicated by the obviously different community structure between the forest soil and citrus soil. Among the detected environmental factors, SOC, bacterial beta-glucosidase gene abundance and the community diversity were the most important factors controlling soil BG enzyme activity. These results indicate that citrus plantation with long-term fertilization suppresses the abundance of the beta-glucosidases gene, and the bacterial beta-glucosidase gene contributes more to the BG enzyme activity than the fungal gene.</v>
      </c>
      <c r="C172" s="24" t="str">
        <f>IFERROR(__xludf.DUMMYFUNCTION("""COMPUTED_VALUE"""),"10.1016/j.agee.2021.107687")</f>
        <v>10.1016/j.agee.2021.107687</v>
      </c>
      <c r="D172" s="24" t="str">
        <f>IFERROR(__xludf.DUMMYFUNCTION("""COMPUTED_VALUE"""),"Keck et al")</f>
        <v>Keck et al</v>
      </c>
      <c r="E172" s="24" t="str">
        <f>IFERROR(__xludf.DUMMYFUNCTION("""COMPUTED_VALUE"""),"WOS:000706994700012")</f>
        <v>WOS:000706994700012</v>
      </c>
      <c r="F172" s="24" t="str">
        <f>IFERROR(__xludf.DUMMYFUNCTION("""COMPUTED_VALUE"""),"[""ELIGIBLE""]")</f>
        <v>["ELIGIBLE"]</v>
      </c>
    </row>
    <row r="173">
      <c r="A173" s="24" t="str">
        <f>IFERROR(__xludf.DUMMYFUNCTION("""COMPUTED_VALUE"""),"Long-term changes in the planktonic cnidarian community in a mesoscale area of the NW Mediterranean")</f>
        <v>Long-term changes in the planktonic cnidarian community in a mesoscale area of the NW Mediterranean</v>
      </c>
      <c r="B173" s="24" t="str">
        <f>IFERROR(__xludf.DUMMYFUNCTION("""COMPUTED_VALUE"""),"In the present work, possible long-term changes in the planktonic cnidarian community were investigated by analyzing (1) species and community spatial distribution patterns, (2) variations in abundance and (3) changes in species richness during three meso"&amp;"scale surveys representative of the climatic and anthropogenic changes that have occurred during the last three decades (years: 1983, 2004 and 2011) in the NW Mediterranean. These surveys were conducted during the summer (June) along the Catalan coast. Al"&amp;"l surveys covered the same area, used the same sampling methodology, and taxonomic identification was conducted by the same team of experts. An increase in the abundance of total cnidaria was found from 1983 to 2011. The siphonophore Muggiaea atlantica an"&amp;"d the hydromedusa Aglaura hemistoma were the most abundant species, while Muggiaea kochii presented the largest abundance increment over time. Temperature was the main environmental parameter driving significant differences in the cnidarian community comp"&amp;"osition, abundance and spatial distribution patterns among the surveys. Our results suggest that in the current climate change scenario, warm-water species abundances will be positively favored, and the community will suffer changes in their latitudinal d"&amp;"istribution patterns. We consider it extremely important to study and monitor gelatinous zooplankton in mesoscale spatial areas to understand not only long-term changes in abundances but also changes in their spatial distributions since spatial changes ar"&amp;"e sensitive indicators of climate change.")</f>
        <v>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v>
      </c>
      <c r="C173" s="24" t="str">
        <f>IFERROR(__xludf.DUMMYFUNCTION("""COMPUTED_VALUE"""),"10.1371/journal.pone.0196431")</f>
        <v>10.1371/journal.pone.0196431</v>
      </c>
      <c r="D173" s="24" t="str">
        <f>IFERROR(__xludf.DUMMYFUNCTION("""COMPUTED_VALUE"""),"Keck et al")</f>
        <v>Keck et al</v>
      </c>
      <c r="E173" s="24" t="str">
        <f>IFERROR(__xludf.DUMMYFUNCTION("""COMPUTED_VALUE"""),"WOS:000431281100022")</f>
        <v>WOS:000431281100022</v>
      </c>
      <c r="F173" s="24" t="str">
        <f>IFERROR(__xludf.DUMMYFUNCTION("""COMPUTED_VALUE"""),"[""ELIGIBLE""]")</f>
        <v>["ELIGIBLE"]</v>
      </c>
    </row>
    <row r="174">
      <c r="A174" s="24" t="str">
        <f>IFERROR(__xludf.DUMMYFUNCTION("""COMPUTED_VALUE"""),"Long-term understory vegetation dynamics of mixed aspen forests in Rocky Mountain National Park, USA")</f>
        <v>Long-term understory vegetation dynamics of mixed aspen forests in Rocky Mountain National Park, USA</v>
      </c>
      <c r="B174" s="24" t="str">
        <f>IFERROR(__xludf.DUMMYFUNCTION("""COMPUTED_VALUE"""),"Aims Forests worldwide are subjected to increasing pressures from altered disturbance regimes, climate change, and their interactions. We resampled previously established vegetation plots to directly assess long-term vegetation dynamics in the forest unde"&amp;"rstory of mixed aspen forests, including species diversity, distribution, and composition. Study site Rocky Mountain National Park, Colorado, USA. Methods We resampled 89 vegetation plots that contained aspen (Populus tremuloides) in the original sampling"&amp;" in 1972/1973 in Rocky Mountain National Park to assess changes in understory diversity, non-native species abundance, community composition, and elevation ranges. Analyses were performed at three spatial scales: landscape (all plots), ecotone (montane vs"&amp;". subalpine), and seven forest series according to the classification presented in the original publication. Results Understory vegetation diversity did not significantly change at the landscape scale but increased in forests of the mesic montane series. "&amp;"Changes in diversity varied with elevation, with predominantly increases at lower elevations and decreases at higher elevations. Furthermore, species turnover and upward shifts were more pronounced at lower elevations. The proportion of plots containing n"&amp;"on-native species was similar between data sets, with 48% in 2012/2013 and 46% in 1972/1973. However, the number of non-native species per plot increased considerably, especially in Pinus contorta forests. Significant shifts in understory community compos"&amp;"ition occurred in mesic montane forests and Pinus flexilis forests. Generally, higher floristic overlap was evident between forest types, indicating homogenization between 1972/1973 and 2012/2013 understory plant communities. Conclusions Although our resu"&amp;"lts indicate overall little change in understory communities between 1972/1973 and 2012/2013 in Rocky Mountain National Park, they also suggest that observed changes differ by elevation, possibly due to the interactions between elevation and changes in lo"&amp;"cal climate. Our study underscores the importance of analyzing long-term vegetation dynamics at different spatial scales and provides data from direct observations to improve the predictive power of vegetation models.")</f>
        <v>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v>
      </c>
      <c r="C174" s="24" t="str">
        <f>IFERROR(__xludf.DUMMYFUNCTION("""COMPUTED_VALUE"""),"10.1111/jvs.12712")</f>
        <v>10.1111/jvs.12712</v>
      </c>
      <c r="D174" s="24" t="str">
        <f>IFERROR(__xludf.DUMMYFUNCTION("""COMPUTED_VALUE"""),"Keck et al")</f>
        <v>Keck et al</v>
      </c>
      <c r="E174" s="24" t="str">
        <f>IFERROR(__xludf.DUMMYFUNCTION("""COMPUTED_VALUE"""),"WOS:000459812100012")</f>
        <v>WOS:000459812100012</v>
      </c>
      <c r="F174" s="24" t="str">
        <f>IFERROR(__xludf.DUMMYFUNCTION("""COMPUTED_VALUE"""),"[""ELIGIBLE""]")</f>
        <v>["ELIGIBLE"]</v>
      </c>
    </row>
    <row r="175">
      <c r="A175" s="24" t="str">
        <f>IFERROR(__xludf.DUMMYFUNCTION("""COMPUTED_VALUE"""),"Capacity for recovery of rocky subtidal assemblages following pollution abatement in a scenario of global change")</f>
        <v>Capacity for recovery of rocky subtidal assemblages following pollution abatement in a scenario of global change</v>
      </c>
      <c r="B175" s="24" t="str">
        <f>IFERROR(__xludf.DUMMYFUNCTION("""COMPUTED_VALUE"""),"The successful protection and management of marine ecosystems depend on understanding the capability of biota for recovering after stressor mitigation actions are taken. Here we present long-term changes (1984-2012) in degraded subtidal assemblages follow"&amp;"ing the implementation of the sewerage scheme for the metropolitan area of Bilbao (1 million inhabitants). Qualitative and quantitative species composition of disturbed vegetation shifted over time, making it more similar to that of the reference assembla"&amp;"ges considered. Species density in the disturbed habitats increased, which is also a positive sign of recovery. However, eleven years after the clean-up was completed, canopy-forming macrophytes showed no signs of recovery. We argue that the ecological re"&amp;"silience of the ecosystem may have been eroded after a long-standing pollution perturbation and that underlying climate change could be influencing the recovery trajectory of the degraded assemblages. The implications of these conclusions for the implemen"&amp;"tation of European marine environmental legislation are discussed. (C) 2014 Elsevier Ltd. All rights reserved.")</f>
        <v>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v>
      </c>
      <c r="C175" s="24" t="str">
        <f>IFERROR(__xludf.DUMMYFUNCTION("""COMPUTED_VALUE"""),"10.1016/j.marpolbul.2014.07.018")</f>
        <v>10.1016/j.marpolbul.2014.07.018</v>
      </c>
      <c r="D175" s="24" t="str">
        <f>IFERROR(__xludf.DUMMYFUNCTION("""COMPUTED_VALUE"""),"Keck et al")</f>
        <v>Keck et al</v>
      </c>
      <c r="E175" s="24" t="str">
        <f>IFERROR(__xludf.DUMMYFUNCTION("""COMPUTED_VALUE"""),"WOS:000342860100034")</f>
        <v>WOS:000342860100034</v>
      </c>
      <c r="F175" s="24" t="str">
        <f>IFERROR(__xludf.DUMMYFUNCTION("""COMPUTED_VALUE"""),"[""ELIGIBLE""]")</f>
        <v>["ELIGIBLE"]</v>
      </c>
    </row>
    <row r="176">
      <c r="A176" s="24" t="str">
        <f>IFERROR(__xludf.DUMMYFUNCTION("""COMPUTED_VALUE"""),"Extreme drought events can promote homogenization of benthic macroinvertebrate assemblages in a floodplain pond in Brazil")</f>
        <v>Extreme drought events can promote homogenization of benthic macroinvertebrate assemblages in a floodplain pond in Brazil</v>
      </c>
      <c r="B176" s="24" t="str">
        <f>IFERROR(__xludf.DUMMYFUNCTION("""COMPUTED_VALUE"""),"Extreme weathers tend to become frequent following global warming and may promote important changes in species composition. We used benthic macroinvertebrates to test the hypothesis that extreme drought events could lead to local biotic homogenization in "&amp;"a floodplain pond. We took sediment samples in three sampling areas of a floodplain pond during a period of the usual hydrological cycle and during an extreme weather event that caused an atypical hydrological cycle with prolonged drought period. We found"&amp;" that community composition significantly differs between usual hydrological cycle and extreme drought periods, in which only species adapted to unfavorable environmental conditions remained. The spatial beta diversity decreased during the extreme drought"&amp;" periods, presenting lower variability compared to the usual hydrological cycle. However, species density, richness, and diversity increased during the droughts. We expect that, in scenarios of climate change with frequent extreme weathers, droughts may c"&amp;"ause permanent negative impacts on aquatic communities, leading to biotic homogenization. Moreover, our findings indicate that prolonged droughts could increase the time needed to community recovery, suggesting lower community resilience to environmental "&amp;"stressors. Therefore, increasing frequency of extreme drought events may result in an alternative community structure.")</f>
        <v>Extreme weathers tend to become frequent following global warming and may promote important changes in species composition. We used benthic macroinvertebrates to test the hypothesis that extreme drought events could lead to local biotic homogenization in a floodplain pond. We took sediment samples in three sampling areas of a floodplain pond during a period of the usual hydrological cycle and during an extreme weather event that caused an atypical hydrological cycle with prolonged drought period. We found that community composition significantly differs between usual hydrological cycle and extreme drought periods, in which only species adapted to unfavorable environmental conditions remained. The spatial beta diversity decreased during the extreme drought periods, presenting lower variability compared to the usual hydrological cycle. However, species density, richness, and diversity increased during the droughts. We expect that, in scenarios of climate change with frequent extreme weathers, droughts may cause permanent negative impacts on aquatic communities, leading to biotic homogenization. Moreover, our findings indicate that prolonged droughts could increase the time needed to community recovery, suggesting lower community resilience to environmental stressors. Therefore, increasing frequency of extreme drought events may result in an alternative community structure.</v>
      </c>
      <c r="C176" s="24" t="str">
        <f>IFERROR(__xludf.DUMMYFUNCTION("""COMPUTED_VALUE"""),"10.1007/s10750-018-3756-z")</f>
        <v>10.1007/s10750-018-3756-z</v>
      </c>
      <c r="D176" s="24" t="str">
        <f>IFERROR(__xludf.DUMMYFUNCTION("""COMPUTED_VALUE"""),"Keck et al")</f>
        <v>Keck et al</v>
      </c>
      <c r="E176" s="24" t="str">
        <f>IFERROR(__xludf.DUMMYFUNCTION("""COMPUTED_VALUE"""),"WOS:000450842300025")</f>
        <v>WOS:000450842300025</v>
      </c>
      <c r="F176" s="24" t="str">
        <f>IFERROR(__xludf.DUMMYFUNCTION("""COMPUTED_VALUE"""),"[""ELIGIBLE""]")</f>
        <v>["ELIGIBLE"]</v>
      </c>
    </row>
    <row r="177">
      <c r="A177" s="24" t="str">
        <f>IFERROR(__xludf.DUMMYFUNCTION("""COMPUTED_VALUE"""),"Response of a coastal Baltic Sea diatom-dominated phytoplankton community to experimental heat shock and changing salinity")</f>
        <v>Response of a coastal Baltic Sea diatom-dominated phytoplankton community to experimental heat shock and changing salinity</v>
      </c>
      <c r="B177" s="24" t="str">
        <f>IFERROR(__xludf.DUMMYFUNCTION("""COMPUTED_VALUE"""),"Climate change has been altering the ocean environment, affecting as a consequence the biological communities including microorganisms. We performed a mesocosm experiment to test whether biodiversity loss caused by one stressor would influence plankton co"&amp;"mmunity sensitivity to a subsequent stressor, as envisioned in Vinebrooke's multiple stressor concept. A natural Baltic Sea diatom-dominated phytoplankton assemblage was used as a model system where we examined whether a preceding heat shock would affect "&amp;"the community's response to changing salinity. Initially, the community was treated by a short-term temperature increase of 6 degrees C, which resulted in a loss of species compared to the control. Thereafter, the control and the heat-shocked communities "&amp;"were subject to a salinity change (- 5 psu, control, + 5 psu). The species Skeletonema dohrnii, Thalassiosira anguste-lineata, Thalassiosira nordenskioeldii, Chaetoceros socialis and Ditylum brightwellii were major components of the control and heat-shock"&amp;"ed assemblages (&gt; 80% of the total biomass). We examined the effect on species composition and biodiversity (morphospecies and operational taxonomic units (OTUs) related to phytoplankton) and on phytoplankton biomass. In addition, we explored the single s"&amp;"pecies response of five dominant diatoms on these environmental perturbations. Our results showed that increased salinity significantly reduced the OTUs richness both in the control and the less diverse heated community as well as the phytoplankton biomas"&amp;"s in the heated community. On the other hand, decreased salinity significantly increased species richness and phytoplankton biomass in both communities and OTUs richness in the control community. The five dominant diatoms reached their highest biomass und"&amp;"er decreased salinity and responded negatively to increased salinity (lower biomass than ambient salinity). Contrary to Vinebrooke's multiple stressor concept, there was no indication that the heat treatment had altered the community's sensitivity to the "&amp;"salinity stress in our study system.")</f>
        <v>Climate change has been altering the ocean environment, affecting as a consequence the biological communities including microorganisms. We performed a mesocosm experiment to test whether biodiversity loss caused by one stressor would influence plankton community sensitivity to a subsequent stressor, as envisioned in Vinebrooke's multiple stressor concept. A natural Baltic Sea diatom-dominated phytoplankton assemblage was used as a model system where we examined whether a preceding heat shock would affect the community's response to changing salinity. Initially, the community was treated by a short-term temperature increase of 6 degrees C, which resulted in a loss of species compared to the control. Thereafter, the control and the heat-shocked communities were subject to a salinity change (- 5 psu, control, + 5 psu). The species Skeletonema dohrnii, Thalassiosira anguste-lineata, Thalassiosira nordenskioeldii, Chaetoceros socialis and Ditylum brightwellii were major components of the control and heat-shocked assemblages (&gt; 80% of the total biomass). We examined the effect on species composition and biodiversity (morphospecies and operational taxonomic units (OTUs) related to phytoplankton) and on phytoplankton biomass. In addition, we explored the single species response of five dominant diatoms on these environmental perturbations. Our results showed that increased salinity significantly reduced the OTUs richness both in the control and the less diverse heated community as well as the phytoplankton biomass in the heated community. On the other hand, decreased salinity significantly increased species richness and phytoplankton biomass in both communities and OTUs richness in the control community. The five dominant diatoms reached their highest biomass under decreased salinity and responded negatively to increased salinity (lower biomass than ambient salinity). Contrary to Vinebrooke's multiple stressor concept, there was no indication that the heat treatment had altered the community's sensitivity to the salinity stress in our study system.</v>
      </c>
      <c r="C177" s="24" t="str">
        <f>IFERROR(__xludf.DUMMYFUNCTION("""COMPUTED_VALUE"""),"10.1007/s00442-019-04502-0")</f>
        <v>10.1007/s00442-019-04502-0</v>
      </c>
      <c r="D177" s="24" t="str">
        <f>IFERROR(__xludf.DUMMYFUNCTION("""COMPUTED_VALUE"""),"Keck et al")</f>
        <v>Keck et al</v>
      </c>
      <c r="E177" s="24" t="str">
        <f>IFERROR(__xludf.DUMMYFUNCTION("""COMPUTED_VALUE"""),"WOS:000500533700019")</f>
        <v>WOS:000500533700019</v>
      </c>
      <c r="F177" s="24" t="str">
        <f>IFERROR(__xludf.DUMMYFUNCTION("""COMPUTED_VALUE"""),"[""ELIGIBLE""]")</f>
        <v>["ELIGIBLE"]</v>
      </c>
    </row>
    <row r="178">
      <c r="A178" s="24" t="str">
        <f>IFERROR(__xludf.DUMMYFUNCTION("""COMPUTED_VALUE"""),"Prokaryotic and eukaryotic microbial community responses to N and P nutrient addition in oligotrophic Mediterranean coastal waters: Novel insights from DNA metabarcoding and network analysis")</f>
        <v>Prokaryotic and eukaryotic microbial community responses to N and P nutrient addition in oligotrophic Mediterranean coastal waters: Novel insights from DNA metabarcoding and network analysis</v>
      </c>
      <c r="B178" s="24" t="str">
        <f>IFERROR(__xludf.DUMMYFUNCTION("""COMPUTED_VALUE"""),"The effects of the abrupt input of high quantities of dissolved inorganic nitrogen and phosphorus on prokaryotic and eukaryotic microbial plankton were investigated in an attempt to simulate the nutrient disturbances caused by eutrophication and climate c"&amp;"hange. Two nutrient levels were created through the addition of different quantities of dissolved nutrients in a mesocosm experiment. During the developed blooms, compositional differences were found within bacteria and microbial eukaryotes, and communiti"&amp;"es progressed towards species of faster metabolisms. Regarding the different nutrient concentrations, different microbial species were associated with each nutrient treatment and community changes spanned from the phylum to the operational taxonomic unit "&amp;"(OTU) level. Network analyses revealed important differences in the biotic connections developed: more competitive relationships were established in the more intense nutrient disturbance and networks of contrasting complexity were formed around species of"&amp;" different ecological strategies. This work highlights that sudden disturbances in water column chemistry lead to the development of entirely different microbial food webs with distinct ecological characteristics.")</f>
        <v>The effects of the abrupt input of high quantities of dissolved inorganic nitrogen and phosphorus on prokaryotic and eukaryotic microbial plankton were investigated in an attempt to simulate the nutrient disturbances caused by eutrophication and climate change. Two nutrient levels were created through the addition of different quantities of dissolved nutrients in a mesocosm experiment. During the developed blooms, compositional differences were found within bacteria and microbial eukaryotes, and communities progressed towards species of faster metabolisms. Regarding the different nutrient concentrations, different microbial species were associated with each nutrient treatment and community changes spanned from the phylum to the operational taxonomic unit (OTU) level. Network analyses revealed important differences in the biotic connections developed: more competitive relationships were established in the more intense nutrient disturbance and networks of contrasting complexity were formed around species of different ecological strategies. This work highlights that sudden disturbances in water column chemistry lead to the development of entirely different microbial food webs with distinct ecological characteristics.</v>
      </c>
      <c r="C178" s="24" t="str">
        <f>IFERROR(__xludf.DUMMYFUNCTION("""COMPUTED_VALUE"""),"10.1016/j.marenvres.2019.104752")</f>
        <v>10.1016/j.marenvres.2019.104752</v>
      </c>
      <c r="D178" s="24" t="str">
        <f>IFERROR(__xludf.DUMMYFUNCTION("""COMPUTED_VALUE"""),"Keck et al")</f>
        <v>Keck et al</v>
      </c>
      <c r="E178" s="24" t="str">
        <f>IFERROR(__xludf.DUMMYFUNCTION("""COMPUTED_VALUE"""),"WOS:000500180400002")</f>
        <v>WOS:000500180400002</v>
      </c>
      <c r="F178" s="24" t="str">
        <f>IFERROR(__xludf.DUMMYFUNCTION("""COMPUTED_VALUE"""),"[""ELIGIBLE""]")</f>
        <v>["ELIGIBLE"]</v>
      </c>
    </row>
    <row r="179">
      <c r="A179" s="24" t="str">
        <f>IFERROR(__xludf.DUMMYFUNCTION("""COMPUTED_VALUE"""),"Biodiversity of coral reef cryptobiota shuffles but does not decline under the combined stressors of ocean warming and acidification")</f>
        <v>Biodiversity of coral reef cryptobiota shuffles but does not decline under the combined stressors of ocean warming and acidification</v>
      </c>
      <c r="B179" s="24" t="str">
        <f>IFERROR(__xludf.DUMMYFUNCTION("""COMPUTED_VALUE"""),"Ocean-warming and acidification are predicted to reduce coral reef biodiversity, but the combined effects of these stressors on overall biodiversity are largely unmeasured. Here, we examined the individual and combined effects of elevated temperature (+2 "&amp;"degrees C) and reduced pH (-0.2 units) on the biodiversity of coral reef communities that developed on standardized sampling units over a 2-y mesocosm experiment. Biodiversity and species composition were measured using amplicon sequencing libraries targe"&amp;"ting the cytochrome oxidase I (COI) barcoding gene. Ocean-warming significantly increased species richness relative to present-day control conditions, whereas acidification significantly reduced richness. Contrary to expectations, species richness in the "&amp;"combined future ocean treatment with both warming and acidification was not significantly different from the present-day control treatment. Rather than the predicted collapse of biodiversity under the dual stressors, we find significant changes in the rel"&amp;"ative abundance but not in the occurrence of species, resulting in a shuffling of coral reef community structure among the highly species-rich cryptobenthic community. The ultimate outcome of altered community structure for coral reef ecosystems will depe"&amp;"nd on species-specific ecological functions and community interactions. Given that most species on coral reefs are members of the understudied cryptobenthos, holistic research on reef communities is needed to accurately predict diversity-function relation"&amp;"ships and ecosystem responses to future climate conditions.")</f>
        <v>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v>
      </c>
      <c r="C179" s="24" t="str">
        <f>IFERROR(__xludf.DUMMYFUNCTION("""COMPUTED_VALUE"""),"10.1073/pnas.2103275118")</f>
        <v>10.1073/pnas.2103275118</v>
      </c>
      <c r="D179" s="24" t="str">
        <f>IFERROR(__xludf.DUMMYFUNCTION("""COMPUTED_VALUE"""),"Keck et al")</f>
        <v>Keck et al</v>
      </c>
      <c r="E179" s="24" t="str">
        <f>IFERROR(__xludf.DUMMYFUNCTION("""COMPUTED_VALUE"""),"WOS:000708052600002")</f>
        <v>WOS:000708052600002</v>
      </c>
      <c r="F179" s="24" t="str">
        <f>IFERROR(__xludf.DUMMYFUNCTION("""COMPUTED_VALUE"""),"[""ELIGIBLE""]")</f>
        <v>["ELIGIBLE"]</v>
      </c>
    </row>
    <row r="180">
      <c r="A180" s="24" t="str">
        <f>IFERROR(__xludf.DUMMYFUNCTION("""COMPUTED_VALUE"""),"Community-level effects of rapid experimental warming and consumer loss outweigh effects of rapid ocean acidification")</f>
        <v>Community-level effects of rapid experimental warming and consumer loss outweigh effects of rapid ocean acidification</v>
      </c>
      <c r="B180" s="24" t="str">
        <f>IFERROR(__xludf.DUMMYFUNCTION("""COMPUTED_VALUE"""),"Climate change and consumer loss simultaneously affect marine ecosystems, but we have limited understanding of the relative importance of these factors and the interactions between them. Moreover, effects of environmental change are mediated by organism t"&amp;"raits or life histories, which determine their sensitivity. Yet, trait-based analyses have rarely been used to understand the effects of climate change, especially in the marine environment. Here we used a five-week mesocosm experiment to assess the singl"&amp;"e and interactive effects of 1) rapid ocean warming, 2) rapid ocean acidification, and 3) simulated consumer loss, on the diversity and composition of macrofauna communities in eelgrass Zostera marina beds. Experimental warming (ambient versus + 3.2 degre"&amp;"es C) and loss of a key consumer (the omnivorous crustacean, Gammarus locusta) both increased macrofauna richness and abundance, and altered overall species trait distributions and life history composition. Warming and consumer-loss favored poorly defende"&amp;"d epifaunal crustaceans (tube-building amphipods), and species that brood their off spring. We suggest these organisms were favored because warming and consumer-loss caused increased metabolism, food supply and, potentially, settling substrate, and lowere"&amp;"d predation pressure from the omnivorous G. locusta. Importantly, we found no single, or interactive, effects of the rapid ocean acidification (ambient versus -0.35 pH units). We suggest this result reflects natural variability in the native habitat and, "&amp;"potentially, the short duration of the experiment: organisms in these communities routinely experience rapid diurnal pH fluctuations that exceed the mean ocean acidification predicted for the coming century (and used in our experiments). In summary, our s"&amp;"tudy indicates that macrofauna in shallow vegetated ecosystems will be significantly more affected by rapid warming and consumer diversity loss than by rapid ocean acidification.")</f>
        <v>Climate change and consumer loss simultaneously affect marine ecosystems, but we have limited understanding of the relative importance of these factors and the interactions between them. Moreover, effects of environmental change are mediated by organism traits or life histories, which determine their sensitivity. Yet, trait-based analyses have rarely been used to understand the effects of climate change, especially in the marine environment. Here we used a five-week mesocosm experiment to assess the single and interactive effects of 1) rapid ocean warming, 2) rapid ocean acidification, and 3) simulated consumer loss, on the diversity and composition of macrofauna communities in eelgrass Zostera marina beds. Experimental warming (ambient versus + 3.2 degrees C) and loss of a key consumer (the omnivorous crustacean, Gammarus locusta) both increased macrofauna richness and abundance, and altered overall species trait distributions and life history composition. Warming and consumer-loss favored poorly defended epifaunal crustaceans (tube-building amphipods), and species that brood their off spring. We suggest these organisms were favored because warming and consumer-loss caused increased metabolism, food supply and, potentially, settling substrate, and lowered predation pressure from the omnivorous G. locusta. Importantly, we found no single, or interactive, effects of the rapid ocean acidification (ambient versus -0.35 pH units). We suggest this result reflects natural variability in the native habitat and, potentially, the short duration of the experiment: organisms in these communities routinely experience rapid diurnal pH fluctuations that exceed the mean ocean acidification predicted for the coming century (and used in our experiments). In summary, our study indicates that macrofauna in shallow vegetated ecosystems will be significantly more affected by rapid warming and consumer diversity loss than by rapid ocean acidification.</v>
      </c>
      <c r="C180" s="24" t="str">
        <f>IFERROR(__xludf.DUMMYFUNCTION("""COMPUTED_VALUE"""),"10.1111/oik.01544")</f>
        <v>10.1111/oik.01544</v>
      </c>
      <c r="D180" s="24" t="str">
        <f>IFERROR(__xludf.DUMMYFUNCTION("""COMPUTED_VALUE"""),"Keck et al")</f>
        <v>Keck et al</v>
      </c>
      <c r="E180" s="24" t="str">
        <f>IFERROR(__xludf.DUMMYFUNCTION("""COMPUTED_VALUE"""),"WOS:000359058600008")</f>
        <v>WOS:000359058600008</v>
      </c>
      <c r="F180" s="24" t="str">
        <f>IFERROR(__xludf.DUMMYFUNCTION("""COMPUTED_VALUE"""),"[""ELIGIBLE""]")</f>
        <v>["ELIGIBLE"]</v>
      </c>
    </row>
    <row r="181">
      <c r="A181" s="24" t="str">
        <f>IFERROR(__xludf.DUMMYFUNCTION("""COMPUTED_VALUE"""),"Comparison of greenhouse gas fluxes from tropical forests and oil palm plantations on mineral soil")</f>
        <v>Comparison of greenhouse gas fluxes from tropical forests and oil palm plantations on mineral soil</v>
      </c>
      <c r="B181" s="24" t="str">
        <f>IFERROR(__xludf.DUMMYFUNCTION("""COMPUTED_VALUE"""),"In Southeast Asia, oil palm (OP) plantations have largely replaced tropical forests. The impact of this shift in land use on greenhouse gas (GHG) fluxes remains highly uncertain, mainly due to a relatively small pool of available data. The aim of this stu"&amp;"dy is to quantify differences of nitrous oxide (N2O) and methane (CH4) fluxes as well as soil carbon dioxide (CO2) respiration rates from logged forests, oil palm plantations of different ages, and an adjacent small riparian area. Nitrous oxide fluxes are"&amp;" the focus of this study, as these emissions are expected to increase significantly due to the nitrogen (N) fertilizer application in the plantations. This study was conducted in the SAFE (Stability of Altered Forest Ecosystems) landscape in Malaysian Bor"&amp;"neo (Sabah) with measurements every 2 months over a 2-year period. GHG fluxes were measured by static chambers together with key soil physicochemical parameters and microbial biodiversity. At all sites, N2O fluxes were spatially and temporally highly vari"&amp;"able. On average the largest fluxes (incl. 95 % CI) were measured from OP plantations (45.1 (24.0-78.5)mu g m(-2) h(-1) N2O-N), slightly smaller fluxes from the riparian area (29.4 (2.8-84.7) mu g m(-2)h(-1) N2O-N), and the smallest fluxes from logged for"&amp;"ests (16.0 (4.0-36.3) pg m(-2) h(-1) N2O-N). Methane fluxes were generally small (mean +/- SD): -2.6 +/- 17.2 mu g CH4-C m(-2)h(-1) for OP and 1.3 +/- 12.6 mu g CH4-C m(-2)h(-1) for riparian, with the range of measured CH4 fluxes being largest in logged f"&amp;"orests (2.2 +/- 48.3 lug CH4-C m(-2) h(-1)). Soil respiration rates were larger from riparian areas (157.7 +/- 106 mg m(-2)h(-1) CO2-C) and logged forests (137.4 +/- 95 mg m(-2) h(-1) CO2-C) than OP plantations (93.3 +/- 70 mg m(-2) h(-1) CO2-C) as a resu"&amp;"lt of larger amounts of decomposing leaf litter. Microbial communities were distinctly different between the different landuse types and sites. Bacterial communities were linked to soil pH, and fungal and eukaryotic communities were linked to land use. De"&amp;"spite measuring a large number of environmental parameters, mixed models could only explain up to 17 % of the variance of measured fluxes for N2O, 3 % of CH4, and 25 % of soil respiration. Scaling up measured N2O fluxes to Sabah using land areas for fores"&amp;"t and OP resulted in emissions increasing from 7.6 Mt (95 % confidence interval, -3.0-22.3 Mt) yr(-1) in 1973 to 11.4 Mt (0.2-28.6 Mt) yr(-1) in 2015 due to the increasing area of forest converted to OP plantations over the last similar to 40 years.")</f>
        <v>In Southeast Asia, oil palm (OP) plantations have largely replaced tropical forests. The impact of this shift in land use on greenhouse gas (GHG) fluxes remains highly uncertain, mainly due to a relatively small pool of available data. The aim of this study is to quantify differences of nitrous oxide (N2O) and methane (CH4) fluxes as well as soil carbon dioxide (CO2) respiration rates from logged forests, oil palm plantations of different ages, and an adjacent small riparian area. Nitrous oxide fluxes are the focus of this study, as these emissions are expected to increase significantly due to the nitrogen (N) fertilizer application in the plantations. This study was conducted in the SAFE (Stability of Altered Forest Ecosystems) landscape in Malaysian Borneo (Sabah) with measurements every 2 months over a 2-year period. GHG fluxes were measured by static chambers together with key soil physicochemical parameters and microbial biodiversity. At all sites, N2O fluxes were spatially and temporally highly variable. On average the largest fluxes (incl. 95 % CI) were measured from OP plantations (45.1 (24.0-78.5)mu g m(-2) h(-1) N2O-N), slightly smaller fluxes from the riparian area (29.4 (2.8-84.7) mu g m(-2)h(-1) N2O-N), and the smallest fluxes from logged forests (16.0 (4.0-36.3) pg m(-2) h(-1) N2O-N). Methane fluxes were generally small (mean +/- SD): -2.6 +/- 17.2 mu g CH4-C m(-2)h(-1) for OP and 1.3 +/- 12.6 mu g CH4-C m(-2)h(-1) for riparian, with the range of measured CH4 fluxes being largest in logged forests (2.2 +/- 48.3 lug CH4-C m(-2) h(-1)). Soil respiration rates were larger from riparian areas (157.7 +/- 106 mg m(-2)h(-1) CO2-C) and logged forests (137.4 +/- 95 mg m(-2) h(-1) CO2-C) than OP plantations (93.3 +/- 70 mg m(-2) h(-1) CO2-C) as a result of larger amounts of decomposing leaf litter. Microbial communities were distinctly different between the different landuse types and sites. Bacterial communities were linked to soil pH, and fungal and eukaryotic communities were linked to land use. Despite measuring a large number of environmental parameters, mixed models could only explain up to 17 % of the variance of measured fluxes for N2O, 3 % of CH4, and 25 % of soil respiration. Scaling up measured N2O fluxes to Sabah using land areas for forest and OP resulted in emissions increasing from 7.6 Mt (95 % confidence interval, -3.0-22.3 Mt) yr(-1) in 1973 to 11.4 Mt (0.2-28.6 Mt) yr(-1) in 2015 due to the increasing area of forest converted to OP plantations over the last similar to 40 years.</v>
      </c>
      <c r="C181" s="24" t="str">
        <f>IFERROR(__xludf.DUMMYFUNCTION("""COMPUTED_VALUE"""),"10.5194/bg-18-1559-2021")</f>
        <v>10.5194/bg-18-1559-2021</v>
      </c>
      <c r="D181" s="24" t="str">
        <f>IFERROR(__xludf.DUMMYFUNCTION("""COMPUTED_VALUE"""),"Keck et al")</f>
        <v>Keck et al</v>
      </c>
      <c r="E181" s="24" t="str">
        <f>IFERROR(__xludf.DUMMYFUNCTION("""COMPUTED_VALUE"""),"WOS:000626345300002")</f>
        <v>WOS:000626345300002</v>
      </c>
      <c r="F181" s="24" t="str">
        <f>IFERROR(__xludf.DUMMYFUNCTION("""COMPUTED_VALUE"""),"[""ELIGIBLE""]")</f>
        <v>["ELIGIBLE"]</v>
      </c>
    </row>
    <row r="182">
      <c r="A182" s="24" t="str">
        <f>IFERROR(__xludf.DUMMYFUNCTION("""COMPUTED_VALUE"""),"Rapid ecosystem-scale consequences of acute deoxygenation on a Caribbean coral reef")</f>
        <v>Rapid ecosystem-scale consequences of acute deoxygenation on a Caribbean coral reef</v>
      </c>
      <c r="B182" s="24" t="str">
        <f>IFERROR(__xludf.DUMMYFUNCTION("""COMPUTED_VALUE"""),"Loss of oxygen in the global ocean is accelerating due to climate change and eutrophication, but how acute deoxygenation events affect tropical marine ecosystems remains poorly understood. Here we integrate analyses of coral reef benthic communities with "&amp;"microbial community sequencing to show how a deoxygenation event rapidly altered benthic community composition and microbial assemblages in a shallow tropical reef ecosystem. Conditions associated with the event precipitated coral bleaching and mass morta"&amp;"lity, causing a 50% loss of live coral and a shift in the benthic community that persisted a year later. Conversely, the unique taxonomic and functional profile of hypoxia-associated microbes rapidly reverted to a normoxic assemblage one month after the e"&amp;"vent. The decoupling of ecological trajectories among these major functional groups following an acute event emphasizes the need to incorporate deoxygenation as an emerging stressor into coral reef research and management plans to combat escalating threat"&amp;"s to reef persistence. How acute deoxygenation events affect tropical marine ecosystems remains poorly understood. This study integrates analyses of coral reef benthic communities with microbial community sequencing to show how a deoxygenation event rapid"&amp;"ly altered a shallow tropical coral reef ecosystem in the Caribbean.")</f>
        <v>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v>
      </c>
      <c r="C182" s="24" t="str">
        <f>IFERROR(__xludf.DUMMYFUNCTION("""COMPUTED_VALUE"""),"10.1038/s41467-021-24777-3")</f>
        <v>10.1038/s41467-021-24777-3</v>
      </c>
      <c r="D182" s="24" t="str">
        <f>IFERROR(__xludf.DUMMYFUNCTION("""COMPUTED_VALUE"""),"Keck et al")</f>
        <v>Keck et al</v>
      </c>
      <c r="E182" s="24" t="str">
        <f>IFERROR(__xludf.DUMMYFUNCTION("""COMPUTED_VALUE"""),"WOS:000678711600001")</f>
        <v>WOS:000678711600001</v>
      </c>
      <c r="F182" s="24" t="str">
        <f>IFERROR(__xludf.DUMMYFUNCTION("""COMPUTED_VALUE"""),"[""ELIGIBLE""]")</f>
        <v>["ELIGIBLE"]</v>
      </c>
    </row>
    <row r="183">
      <c r="A183" s="24" t="str">
        <f>IFERROR(__xludf.DUMMYFUNCTION("""COMPUTED_VALUE"""),"Drought differentially affects the post-fire dynamics of seeders and resprouters in a Mediterranean shrubland")</f>
        <v>Drought differentially affects the post-fire dynamics of seeders and resprouters in a Mediterranean shrubland</v>
      </c>
      <c r="B183" s="24" t="str">
        <f>IFERROR(__xludf.DUMMYFUNCTION("""COMPUTED_VALUE"""),"In fire-prone ecosystems, changes in rainfall after fire could differentially affect seeders and resprouters, thus leading to long-lasting impacts on the vegetation. Climate change in the Mediterranean region is projected to reduce precipitation, expand t"&amp;"he summer drought and increase fire danger. Understanding the sensitivity to changes in rainfall during the post-fire regeneration stage is critical to anticipate the impacts of climate change on Mediterranean-type areas of the world. Here, we investigate"&amp;"d how species differing in post-fire regeneration strategy (seeders vs resprouters) responded to rainfall changes in a Cistus-Erica shrubland of central Spain. Drought treatments were implemented using a system of automatic rainout shelters with an irriga"&amp;"tion facility before (one season) and after (four years) burning a set of experimental plots. Treatments applied were: environmental control (natural rainfall), historical control (mimicking the long-term rainfall), moderate drought (-25% rainfall), and s"&amp;"evere drought (-45% rainfall). Plant demography and vigour (main woody shrubs), as well as abundance (shrubs and herbs) were monitored during the first four years after fire. The first post-fire year was the key period for the recovery of seeders (Cistus "&amp;"ladanifer and Rosmarinus officinalis), and their recruitment, cover and size significantly decreased with drought. However, density four years after fire was larger than unburned and it was significantly correlated with emergence during the first year, in"&amp;"dicating that population controls were more on emergence than on establishment. In contrast, resprouters (Erica arborea, Erica scoparia and Phillyrea angustifolia) were hardly affected by drought. Plant community dynamics in the burned control plots progr"&amp;"essively converged with the unburned ones, while that in the drought-treated plots lagged behind them, maintaining a higher cover, richness and diversity of herbs. This post-fire herbalization due to drought might facilitate an untimely fire, before seede"&amp;"rs would reach sexual maturity, which could have major implications for the maintenance of the community. (C) 2018 Elsevier B.V. All rights reserved.")</f>
        <v>In fire-prone ecosystems, changes in rainfall after fire could differentially affect seeders and resprouters, thus leading to long-lasting impacts on the vegetation. Climate change in the Mediterranean region is projected to reduce precipitation, expand the summer drought and increase fire danger. Understanding the sensitivity to changes in rainfall during the post-fire regeneration stage is critical to anticipate the impacts of climate change on Mediterranean-type areas of the world. Here, we investigated how species differing in post-fire regeneration strategy (seeders vs resprouters) responded to rainfall changes in a Cistus-Erica shrubland of central Spain. Drought treatments were implemented using a system of automatic rainout shelters with an irrigation facility before (one season) and after (four years) burning a set of experimental plots. Treatments applied were: environmental control (natural rainfall), historical control (mimicking the long-term rainfall), moderate drought (-25% rainfall), and severe drought (-45% rainfall). Plant demography and vigour (main woody shrubs), as well as abundance (shrubs and herbs) were monitored during the first four years after fire. The first post-fire year was the key period for the recovery of seeders (Cistus ladanifer and Rosmarinus officinalis), and their recruitment, cover and size significantly decreased with drought. However, density four years after fire was larger than unburned and it was significantly correlated with emergence during the first year, indicating that population controls were more on emergence than on establishment. In contrast, resprouters (Erica arborea, Erica scoparia and Phillyrea angustifolia) were hardly affected by drought. Plant community dynamics in the burned control plots progressively converged with the unburned ones, while that in the drought-treated plots lagged behind them, maintaining a higher cover, richness and diversity of herbs. This post-fire herbalization due to drought might facilitate an untimely fire, before seeders would reach sexual maturity, which could have major implications for the maintenance of the community. (C) 2018 Elsevier B.V. All rights reserved.</v>
      </c>
      <c r="C183" s="24" t="str">
        <f>IFERROR(__xludf.DUMMYFUNCTION("""COMPUTED_VALUE"""),"10.1016/j.scitotenv.2018.01.174")</f>
        <v>10.1016/j.scitotenv.2018.01.174</v>
      </c>
      <c r="D183" s="24" t="str">
        <f>IFERROR(__xludf.DUMMYFUNCTION("""COMPUTED_VALUE"""),"Keck et al")</f>
        <v>Keck et al</v>
      </c>
      <c r="E183" s="24" t="str">
        <f>IFERROR(__xludf.DUMMYFUNCTION("""COMPUTED_VALUE"""),"WOS:000428194000120")</f>
        <v>WOS:000428194000120</v>
      </c>
      <c r="F183" s="24" t="str">
        <f>IFERROR(__xludf.DUMMYFUNCTION("""COMPUTED_VALUE"""),"[""ELIGIBLE""]")</f>
        <v>["ELIGIBLE"]</v>
      </c>
    </row>
    <row r="184">
      <c r="A184" s="24" t="str">
        <f>IFERROR(__xludf.DUMMYFUNCTION("""COMPUTED_VALUE"""),"A comparison of the fauna in eelgrass and erosion control structures in a warm temperate Southern African estuary")</f>
        <v>A comparison of the fauna in eelgrass and erosion control structures in a warm temperate Southern African estuary</v>
      </c>
      <c r="B184" s="24" t="str">
        <f>IFERROR(__xludf.DUMMYFUNCTION("""COMPUTED_VALUE"""),"Estuaries are important coastal systems offering nursery and foraging grounds for many species. With the increasing threat from climate change and sea-level rise, the armouring of coastlines, to withstand coastal erosion, has become common practice. The t"&amp;"ransformation of soft sediment habitats to hard, artificial habitats can lead to changes in species diversity, composition and distribution. As there is limited information regarding the ecological impacts of using Reno mattresses (wire mattresses filled "&amp;"with rocks) to combat erosion, this study investigated the faunistic differences of these structures compared to natural eelgrass (Zostera capensis) habitat in the Keurbooms estuary, South Africa. Benthic macroinvertebrate and fish abundances and assembla"&amp;"ges were assessed seasonally from winter 2018 to spring 2019. Macroinvertebrates were assessed using standard core and suction sampling whereas the non-destructive method of mini Baited Remote Underwater Video Systems (BRUVs) was used to sample fish. Fish"&amp;" assemblages differed significantly between habitats and across seasons with greater abundances and diversity at the artificial structures compared to eelgrass habitat. Invertebrate taxa displayed some overlap between habitats, however, three higher taxon"&amp;"omic groups were only recorded within Reno mattress habitat with only one taxon unique to the eelgrass habitat. This study provides new information on the ecological efficacy of Reno mattress structures used in coastal management which can inform future c"&amp;"oastal erosion control practices. (C) 2021 Elsevier B.V. All rights reserved.")</f>
        <v>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v>
      </c>
      <c r="C184" s="24" t="str">
        <f>IFERROR(__xludf.DUMMYFUNCTION("""COMPUTED_VALUE"""),"10.1016/j.rsma.2021.101757")</f>
        <v>10.1016/j.rsma.2021.101757</v>
      </c>
      <c r="D184" s="24" t="str">
        <f>IFERROR(__xludf.DUMMYFUNCTION("""COMPUTED_VALUE"""),"Keck et al")</f>
        <v>Keck et al</v>
      </c>
      <c r="E184" s="24" t="str">
        <f>IFERROR(__xludf.DUMMYFUNCTION("""COMPUTED_VALUE"""),"WOS:000663075700007")</f>
        <v>WOS:000663075700007</v>
      </c>
      <c r="F184" s="24" t="str">
        <f>IFERROR(__xludf.DUMMYFUNCTION("""COMPUTED_VALUE"""),"[""ELIGIBLE""]")</f>
        <v>["ELIGIBLE"]</v>
      </c>
    </row>
    <row r="185">
      <c r="A185" s="24" t="str">
        <f>IFERROR(__xludf.DUMMYFUNCTION("""COMPUTED_VALUE"""),"Effects of environmental attributes on the biodiversity of ants under different land uses")</f>
        <v>Effects of environmental attributes on the biodiversity of ants under different land uses</v>
      </c>
      <c r="B185" s="24" t="str">
        <f>IFERROR(__xludf.DUMMYFUNCTION("""COMPUTED_VALUE"""),"The objective was to evaluate the influence of environmental variables on the ant fauna, in cultivated areas and in a native forest fragment. The data were collected in the municipality of Seropedica, Rio de Janeiro state, in the rainy and dry seasons, in"&amp;" a banana plantation (Musa pariadisiaca L.), an agroforest, a coffee plantation (Coffea conephora Pierre) shaded with Gliricidia sepium (Jacq.) and a forest fragment (8 ha) in the intermediate stage of secondary succession. For the sampling, soil pitfall "&amp;"traps and the Winkler extractor were used. A total of 53 species were collected in the present study. The highest species richness was observed in the agroforestry (38 species), followed by shaded coffee (31 species), secondary forest (29 species) and ban"&amp;"ana plantation (28 species). In the dry season there was effect of land use type and leaf litter depth on the richness and diversity of ant species. In both seasons, ant species composition varied significantly among all the studied areas. The agroforestr"&amp;"y systems are important alternatives to monocultures due to their diversity of cultivated species and plant strata. Thus, the increase of the structural heterogeneity of the environment and the leaf litter depth, in cultivated areas in the dry season, may"&amp;" lead to greater species richness and diversity as well as changes in the species composition.")</f>
        <v>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v>
      </c>
      <c r="C185" s="24" t="str">
        <f>IFERROR(__xludf.DUMMYFUNCTION("""COMPUTED_VALUE"""),"10.5902/1980509833811")</f>
        <v>10.5902/1980509833811</v>
      </c>
      <c r="D185" s="24" t="str">
        <f>IFERROR(__xludf.DUMMYFUNCTION("""COMPUTED_VALUE"""),"Keck et al")</f>
        <v>Keck et al</v>
      </c>
      <c r="E185" s="24" t="str">
        <f>IFERROR(__xludf.DUMMYFUNCTION("""COMPUTED_VALUE"""),"WOS:000488284300015")</f>
        <v>WOS:000488284300015</v>
      </c>
      <c r="F185" s="24" t="str">
        <f>IFERROR(__xludf.DUMMYFUNCTION("""COMPUTED_VALUE"""),"[""ELIGIBLE""]")</f>
        <v>["ELIGIBLE"]</v>
      </c>
    </row>
    <row r="186">
      <c r="A186" s="24" t="str">
        <f>IFERROR(__xludf.DUMMYFUNCTION("""COMPUTED_VALUE"""),"Dynamics in plant diversity and composition on Australian alpine summits over time")</f>
        <v>Dynamics in plant diversity and composition on Australian alpine summits over time</v>
      </c>
      <c r="B186" s="24" t="str">
        <f>IFERROR(__xludf.DUMMYFUNCTION("""COMPUTED_VALUE"""),"High mountain environments are often characterised by low temperatures and short growing seasons, yet support high plant endemism and biodiversity. While such ecosystems are considered among the most vulnerable to climatic warming, the impacts of climate "&amp;"change on diversity and composition can be complex. To develop a deeper understanding of these dynamics, changes in vegetation over time along five alpine summits that are part of the Global Observation Research Initiative in Alpine Environment (GLORIA), "&amp;"were assessed including species richness, alpha-diversity, beta-diversity, vegetation and growth form cover as well as composition. The five summits of Mount Clarke in the Australian Alps were surveyed in 2004, 2011 and 2019. Despite increases in species "&amp;"richness over time, there was an overall decline in diversity through biotic homogenisation across the summits. Near complete vegetation cover was recorded in 2004 but increased over the 15 years via in-filling and densification, driven by increasing cove"&amp;"r of graminoids and shrubs. Consequently, there was also a shift in species composition which was greatest at higher elevations. The results indicate that there has been a shift towards more competitive and thermophilic composition, which may have implica"&amp;"tions for flammability in a warming and drying climate. Further assessments will be required to more fully explore the effect of climate variation from climate change, and implications for conservation of this and other alpine floras globally.")</f>
        <v>High mountain environments are often characterised by low temperatures and short growing seasons, yet support high plant endemism and biodiversity. While such ecosystems are considered among the most vulnerable to climatic warming, the impacts of climate change on diversity and composition can be complex. To develop a deeper understanding of these dynamics, changes in vegetation over time along five alpine summits that are part of the Global Observation Research Initiative in Alpine Environment (GLORIA), were assessed including species richness, alpha-diversity, beta-diversity, vegetation and growth form cover as well as composition. The five summits of Mount Clarke in the Australian Alps were surveyed in 2004, 2011 and 2019. Despite increases in species richness over time, there was an overall decline in diversity through biotic homogenisation across the summits. Near complete vegetation cover was recorded in 2004 but increased over the 15 years via in-filling and densification, driven by increasing cover of graminoids and shrubs. Consequently, there was also a shift in species composition which was greatest at higher elevations. The results indicate that there has been a shift towards more competitive and thermophilic composition, which may have implications for flammability in a warming and drying climate. Further assessments will be required to more fully explore the effect of climate variation from climate change, and implications for conservation of this and other alpine floras globally.</v>
      </c>
      <c r="C186" s="24" t="str">
        <f>IFERROR(__xludf.DUMMYFUNCTION("""COMPUTED_VALUE"""),"10.1007/s10531-021-02171-1")</f>
        <v>10.1007/s10531-021-02171-1</v>
      </c>
      <c r="D186" s="24" t="str">
        <f>IFERROR(__xludf.DUMMYFUNCTION("""COMPUTED_VALUE"""),"Keck et al")</f>
        <v>Keck et al</v>
      </c>
      <c r="E186" s="24" t="str">
        <f>IFERROR(__xludf.DUMMYFUNCTION("""COMPUTED_VALUE"""),"WOS:000636132600001")</f>
        <v>WOS:000636132600001</v>
      </c>
      <c r="F186" s="24" t="str">
        <f>IFERROR(__xludf.DUMMYFUNCTION("""COMPUTED_VALUE"""),"[""ELIGIBLE""]")</f>
        <v>["ELIGIBLE"]</v>
      </c>
    </row>
    <row r="187">
      <c r="A187" s="24" t="str">
        <f>IFERROR(__xludf.DUMMYFUNCTION("""COMPUTED_VALUE"""),"High CO2 and warming affect microzooplankton food web dynamics in a Baltic Sea summer plankton community")</f>
        <v>High CO2 and warming affect microzooplankton food web dynamics in a Baltic Sea summer plankton community</v>
      </c>
      <c r="B187" s="24" t="str">
        <f>IFERROR(__xludf.DUMMYFUNCTION("""COMPUTED_VALUE"""),"Aquatic ecosystems face a multitude of environmental stressors, including warming and acidification. While warming is expected to have a pronounced effect on plankton communities, many components of the plankton seem fairly robust towards realistic end-of"&amp;"-century acidification conditions. However, interactions of the two stressors and the inclusion of further factors such as nutrient concentration and trophic interactions are expected to change this outcome. We investigated the effects of warming and high"&amp;" CO2 on a nutrient-deplete late summer plankton community from the Kiel Fjord, Baltic Sea, using a mesocosm setup crossing two temperatures with a gradient of CO2. Phytoplankton and microzooplankton (MZP) growth rates as well as biomass, taxonomic composi"&amp;"tion, and grazing rates of MZP were analysed. We observed effects of high CO2, warming, and their interactions on all measured parameters. The occurrence and direction of the effects were dependent on the phytoplankton or MZP community composition. In add"&amp;"ition, the abundance of small-sized phytoplankton was identified as one of the most important factors in shaping the MZP community composition. Overall, our results indicate that an estuarine MZP community used to strong natural fluctuations in CO2 can st"&amp;"ill be affected by a moderate increase in CO2 if it occurs in combination with warming and during a nutrient-deplete post-bloom situation. This highlights the importance of including trophic interactions and seasonality aspects when assessing climate chan"&amp;"ge effects on marine zooplankton communities.")</f>
        <v>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v>
      </c>
      <c r="C187" s="24" t="str">
        <f>IFERROR(__xludf.DUMMYFUNCTION("""COMPUTED_VALUE"""),"10.1007/s00227-020-03683-0")</f>
        <v>10.1007/s00227-020-03683-0</v>
      </c>
      <c r="D187" s="24" t="str">
        <f>IFERROR(__xludf.DUMMYFUNCTION("""COMPUTED_VALUE"""),"Keck et al")</f>
        <v>Keck et al</v>
      </c>
      <c r="E187" s="24" t="str">
        <f>IFERROR(__xludf.DUMMYFUNCTION("""COMPUTED_VALUE"""),"WOS:000529324500001")</f>
        <v>WOS:000529324500001</v>
      </c>
      <c r="F187" s="24" t="str">
        <f>IFERROR(__xludf.DUMMYFUNCTION("""COMPUTED_VALUE"""),"[""ELIGIBLE""]")</f>
        <v>["ELIGIBLE"]</v>
      </c>
    </row>
    <row r="188">
      <c r="A188" s="24" t="str">
        <f>IFERROR(__xludf.DUMMYFUNCTION("""COMPUTED_VALUE"""),"Effects of two decades of rising sea surface temperatures on sublittoral macrobenthos communities in Northern Ireland, UK")</f>
        <v>Effects of two decades of rising sea surface temperatures on sublittoral macrobenthos communities in Northern Ireland, UK</v>
      </c>
      <c r="B188" s="24" t="str">
        <f>IFERROR(__xludf.DUMMYFUNCTION("""COMPUTED_VALUE"""),"We examined whether two decades of rising sea surface temperatures have resulted in significant changes in the benthic community and frequency of occurrence of Northern and Southern species in three areas of Northern Ireland, using visual census data coll"&amp;"ected by SCUBA surveys undertaken during two periods: pre-1986 and post-2006. We found little evidence to suggest that rising sea surface temperatures have contributed to the changes in benthic assemblage structure between the pre-1986 and post-2006 surve"&amp;"ys. However, there were slight but not significant declines in extreme Northern species at Rathlin Island, and increases in the mean number and frequency of occurrence of extreme Southern species in all three areas. There were also substantial declines in"&amp;" the spatial presence of 7 extreme Northern species and notable increases in distribution of 19 extreme Southern species. In contrast, there were no clear trends in the intermediate to Northern and intermediate to Southern species. These results suggest t"&amp;"hat rising sea surface temperatures have had significant impacts on the occurrence of rarer marine invertebrate species at the edges of their biogeographic range however the trends differed between areas in Northern Ireland. (C) 2012 Elsevier Ltd. All rig"&amp;"hts reserved.")</f>
        <v>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v>
      </c>
      <c r="C188" s="24" t="str">
        <f>IFERROR(__xludf.DUMMYFUNCTION("""COMPUTED_VALUE"""),"10.1016/j.marenvres.2012.12.008")</f>
        <v>10.1016/j.marenvres.2012.12.008</v>
      </c>
      <c r="D188" s="24" t="str">
        <f>IFERROR(__xludf.DUMMYFUNCTION("""COMPUTED_VALUE"""),"Keck et al")</f>
        <v>Keck et al</v>
      </c>
      <c r="E188" s="24" t="str">
        <f>IFERROR(__xludf.DUMMYFUNCTION("""COMPUTED_VALUE"""),"WOS:000316504300005")</f>
        <v>WOS:000316504300005</v>
      </c>
      <c r="F188" s="24" t="str">
        <f>IFERROR(__xludf.DUMMYFUNCTION("""COMPUTED_VALUE"""),"[""ELIGIBLE""]")</f>
        <v>["ELIGIBLE"]</v>
      </c>
    </row>
    <row r="189">
      <c r="A189" s="24" t="str">
        <f>IFERROR(__xludf.DUMMYFUNCTION("""COMPUTED_VALUE"""),"Inconsistent effects of nitrogen canopy enrichment and soil warming on black spruce epiphytic phyllosphere bacterial communities, taxa, and functions")</f>
        <v>Inconsistent effects of nitrogen canopy enrichment and soil warming on black spruce epiphytic phyllosphere bacterial communities, taxa, and functions</v>
      </c>
      <c r="B189" s="24" t="str">
        <f>IFERROR(__xludf.DUMMYFUNCTION("""COMPUTED_VALUE"""),"Phyllosphere microbial communities have received considerable attention given their important influence on their plant hosts and on ecosystem functioning. In a context where climate change threatens the sustainability of ecosystems, it is important to und"&amp;"erstand how phyllosphere microbes will respond to changes in their environment. We used 16S rRNA gene amplicon sequencing to quantify phyllosphere bacterial communities of black spruce (Picea mariana (Mill.) B.S.P.) exposed to nitrogen canopy enrichment a"&amp;"nd soil warming in the boreal forest of Quebec, Canada. The treatments were applied from April to September 2015 and the sampling was done in September. Neither treatment influenced the overall community structure and diversity of black spruce phyllospher"&amp;"e bacterial communities. However, some bacterial taxa and inferred microbial functions did differ among treatments, revealing in particular a stronger response of some bacteria to soil warming rather than nitrogen enrichment. Our results suggest that soil"&amp;" warming could potentially induce more changes in phyllosphere bacterial taxa abundances and functions than could nitrogen addition, with potential consequences for microbial diversity and boreal forest ecosystem function under likely climate change scena"&amp;"rios. Our study suggests avenues for further research to integrate a more mechanistic understanding of the importance of phyllosphere microbes for black spruce and boreal forest ecosystems.")</f>
        <v>Phyllosphere microbial communities have received considerable attention given their important influence on their plant hosts and on ecosystem functioning. In a context where climate change threatens the sustainability of ecosystems, it is important to understand how phyllosphere microbes will respond to changes in their environment. We used 16S rRNA gene amplicon sequencing to quantify phyllosphere bacterial communities of black spruce (Picea mariana (Mill.) B.S.P.) exposed to nitrogen canopy enrichment and soil warming in the boreal forest of Quebec, Canada. The treatments were applied from April to September 2015 and the sampling was done in September. Neither treatment influenced the overall community structure and diversity of black spruce phyllosphere bacterial communities. However, some bacterial taxa and inferred microbial functions did differ among treatments, revealing in particular a stronger response of some bacteria to soil warming rather than nitrogen enrichment. Our results suggest that soil warming could potentially induce more changes in phyllosphere bacterial taxa abundances and functions than could nitrogen addition, with potential consequences for microbial diversity and boreal forest ecosystem function under likely climate change scenarios. Our study suggests avenues for further research to integrate a more mechanistic understanding of the importance of phyllosphere microbes for black spruce and boreal forest ecosystems.</v>
      </c>
      <c r="C189" s="24" t="str">
        <f>IFERROR(__xludf.DUMMYFUNCTION("""COMPUTED_VALUE"""),"10.1139/cjfr-2020-0366")</f>
        <v>10.1139/cjfr-2020-0366</v>
      </c>
      <c r="D189" s="24" t="str">
        <f>IFERROR(__xludf.DUMMYFUNCTION("""COMPUTED_VALUE"""),"Keck et al")</f>
        <v>Keck et al</v>
      </c>
      <c r="E189" s="24" t="str">
        <f>IFERROR(__xludf.DUMMYFUNCTION("""COMPUTED_VALUE"""),"WOS:000692990000003")</f>
        <v>WOS:000692990000003</v>
      </c>
      <c r="F189" s="24" t="str">
        <f>IFERROR(__xludf.DUMMYFUNCTION("""COMPUTED_VALUE"""),"[""ELIGIBLE""]")</f>
        <v>["ELIGIBLE"]</v>
      </c>
    </row>
    <row r="190">
      <c r="A190" s="24" t="str">
        <f>IFERROR(__xludf.DUMMYFUNCTION("""COMPUTED_VALUE"""),"The impact of extreme flooding events and anthropogenic stressors on the macrobenthic communities' dynamics")</f>
        <v>The impact of extreme flooding events and anthropogenic stressors on the macrobenthic communities' dynamics</v>
      </c>
      <c r="B190" s="24" t="str">
        <f>IFERROR(__xludf.DUMMYFUNCTION("""COMPUTED_VALUE"""),"Marine and coastal environments are among the most ecologically and socio-economically important habitats on Earth. However, climate change associated with a variety of anthropogenic stressors (e.g. eutrophication) may interact to produce combined impacts"&amp;" on biodiversity and ecosystem functioning, which in turn will have profound implications for marine ecosystems and the economic and social systems that depend upon them. Over period 1980-2000, the environment of the Mondego estuary, Portugal, has deterio"&amp;"rated through eutrophication, manifested in the replacement of seagrasses by opportunistic macroalgae, degradation of water quality and increased turbidity, and the system has also experienced extreme flood events. A restoration plan was implemented in 19"&amp;"98 which aimed to reverse the eutrophication effects, especially to restore the original natural seagrass (Zostera noltii) community. This paper explores the interactions between extreme weather events (e.g. intense floods) and anthropogenic stressors (e."&amp;"g. eutrophication) on the dynamics of the macrobenthic assemblages and the socio-economic implications that follow. We found that during the previous decade, the intensification of extreme flooding events had significant effects on the structure and funct"&amp;"ioning of macrobenthic communities, specifically a decline in total biomass, a decline in species richness and a decline in suspension feeders. However, the earlier eutrophication process also strongly modified the macrobenthic community, seen as a declin"&amp;"e in species richness, increase in detritivores and a decline in herbivores together with a significant increase in small deposit-feeding polychaetes. After the implementation of the management plan, macrobenthic assemblages seemed to be recovering from e"&amp;"utrophication, but it is argued here that those earlier impacts reduced system stability and the resilience of the macrobenthic assemblages, so that its ability to cope with other stressors was compromised. Thus, heavy flooding in the Mondego region durin"&amp;"g the recovery process had more severe effects on these assemblages than expected, effectively re-setting the recovery clock, with significant socio-economic impacts (e.g. high mortality of fish in fish farms, and a large decline of economically important"&amp;" species, such as the bivalves Scrobicularia plana and Cerastoderma edule). The frequency and magnitude of these extreme events is predicted to increase in future years [IPCC WGI, 2001. Climate change 2001: the scientific basis, contribution of working gr"&amp;"oup I to the third assessment report of the Intergovernmental Panel on Climate Change (IPCC). In: Houghton, J.T., Ding, Y., Griggs, D.J., Noguer, M., van der Linden, P.J., Xiaosu, D. (Eds.), Cambridge University Press, UK, 944 p.] and there is a risk that"&amp;" impacted ecosystems will never recover fully, with far-reaching consequences for human well being. (C) 2007 Elsevier Ltd. All rights reserved.")</f>
        <v>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v>
      </c>
      <c r="C190" s="24" t="str">
        <f>IFERROR(__xludf.DUMMYFUNCTION("""COMPUTED_VALUE"""),"10.1016/j.ecss.2007.07.026")</f>
        <v>10.1016/j.ecss.2007.07.026</v>
      </c>
      <c r="D190" s="24" t="str">
        <f>IFERROR(__xludf.DUMMYFUNCTION("""COMPUTED_VALUE"""),"Keck et al")</f>
        <v>Keck et al</v>
      </c>
      <c r="E190" s="24" t="str">
        <f>IFERROR(__xludf.DUMMYFUNCTION("""COMPUTED_VALUE"""),"WOS:000253085200011")</f>
        <v>WOS:000253085200011</v>
      </c>
      <c r="F190" s="24" t="str">
        <f>IFERROR(__xludf.DUMMYFUNCTION("""COMPUTED_VALUE"""),"[""ELIGIBLE""]")</f>
        <v>["ELIGIBLE"]</v>
      </c>
    </row>
    <row r="191">
      <c r="A191" s="24" t="str">
        <f>IFERROR(__xludf.DUMMYFUNCTION("""COMPUTED_VALUE"""),"Multitaxon activity profiling reveals differential microbial response to reduced seawater pH and oil pollution")</f>
        <v>Multitaxon activity profiling reveals differential microbial response to reduced seawater pH and oil pollution</v>
      </c>
      <c r="B191" s="24" t="str">
        <f>IFERROR(__xludf.DUMMYFUNCTION("""COMPUTED_VALUE"""),"There is growing concern that predicted changes to global ocean chemistry will interact with anthropogenic pollution to significantly alter marine microbial composition and function. However, knowledge of the compounding effects of climate change stressor"&amp;"s and anthropogenic pollution is limited. Here, we used 16S and 18S rRNA (cDNA)-based activity profiling to investigate the differential responses of selected microbial taxa to ocean acidification and oil hydrocarbon contamination under controlled laborat"&amp;"ory conditions. Our results revealed that a lower relative abundance of sulphate-reducing bacteria (Desulfosarcina/Desulfococcus clade) due to an adverse effect of seawater acidification and oil hydrocarbon contamination (reduced pH-oil treatment) may be "&amp;"coupled to changes in sediment archaeal communities. In particular, we observed a pronounced compositional shift and marked reduction in the prevalence of otherwise abundant operational taxonomic units (OTUs) belonging to the archaeal Marine Benthic Group"&amp;" B and Marine Hydrothermal Vent Group (MHVG) in the reduced pH-oil treatment. Conversely, the abundance of several putative hydrocarbonoclastic fungal OTUs was higher in the reduced pH-oil treatment. Sediment hydrocarbon profiling, furthermore, revealed h"&amp;"igher concentrations of several alkanes in the reduced pH-oil treatment, corroborating the functional implications of the structural changes to microbial community composition. Collectively, our results advance the understanding of the response of a compl"&amp;"ex microbial community to the interaction between reduced pH and anthropogenic pollution. In future acidified marine environments, oil hydrocarbon contamination may alter the typical mixotrophic and k-/r-strategist composition of surface sediment microbio"&amp;"mes towards a more heterotrophic state with lower doubling rates, thereby impairing the ability of the ecosystem to recover from acute oil contamination events.")</f>
        <v>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v>
      </c>
      <c r="C191" s="24" t="str">
        <f>IFERROR(__xludf.DUMMYFUNCTION("""COMPUTED_VALUE"""),"10.1111/mec.13779")</f>
        <v>10.1111/mec.13779</v>
      </c>
      <c r="D191" s="24" t="str">
        <f>IFERROR(__xludf.DUMMYFUNCTION("""COMPUTED_VALUE"""),"Keck et al")</f>
        <v>Keck et al</v>
      </c>
      <c r="E191" s="24" t="str">
        <f>IFERROR(__xludf.DUMMYFUNCTION("""COMPUTED_VALUE"""),"WOS:000383344400017")</f>
        <v>WOS:000383344400017</v>
      </c>
      <c r="F191" s="24" t="str">
        <f>IFERROR(__xludf.DUMMYFUNCTION("""COMPUTED_VALUE"""),"[""ELIGIBLE""]")</f>
        <v>["ELIGIBLE"]</v>
      </c>
    </row>
    <row r="192">
      <c r="A192" s="24" t="str">
        <f>IFERROR(__xludf.DUMMYFUNCTION("""COMPUTED_VALUE"""),"Resistance and resilience of root fungal communities to water limitation in a temperate agroecosystem")</f>
        <v>Resistance and resilience of root fungal communities to water limitation in a temperate agroecosystem</v>
      </c>
      <c r="B192" s="24" t="str">
        <f>IFERROR(__xludf.DUMMYFUNCTION("""COMPUTED_VALUE"""),"Understanding crop resilience to environmental stress is critical in predicting the consequences of global climate change for agricultural systems worldwide, but to date studies addressing crop resiliency have focused primarily on plant physiological and "&amp;"molecular responses. Arbuscular mycorrhizal fungi (AMF) form mutualisms with many crop species, and these relationships are key in mitigating the effects of abiotic stress in many agricultural systems. However, to date there is little research examining w"&amp;"hether (1) fungal community structure in agroecosystems is resistant to changing environmental conditions, specifically water limitation and (2) resilience of fungal community structure is moderated by agricultural management systems, namely the integrati"&amp;"on of trees into cropping systems. Here, we address these uncertainties through a rainfall reduction field experiment that manipulated short-term water availability in a soybean--based (Glycine max L. Merr.) agroforest in Southern Ontario, Canada. We empl"&amp;"oyed terminal restriction fragment length polymorphism analysis to determine the molecular diversity of both general fungal and AMF communities in soybean roots under no stress, stress (rainfall shelters added), and poststress (rainfall shelters removed)."&amp;" We found that general fungal and AMF communities sampled from soybean roots were resistant to rainfall reduction in a monoculture, but not in an agroforest. While AMF communities were unchanged after stress removal, general fungal communities were signif"&amp;"icantly different poststress in the agroforest, indicating a capacity for resiliency. Our study indicates that generalist fungi and AMF are responsive to changes in environmental conditions and that agroecosystem management plays a key role in the resista"&amp;"nce and resilience of fungal communities to water limitation.")</f>
        <v>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v>
      </c>
      <c r="C192" s="24" t="str">
        <f>IFERROR(__xludf.DUMMYFUNCTION("""COMPUTED_VALUE"""),"10.1002/ece3.2900")</f>
        <v>10.1002/ece3.2900</v>
      </c>
      <c r="D192" s="24" t="str">
        <f>IFERROR(__xludf.DUMMYFUNCTION("""COMPUTED_VALUE"""),"Keck et al")</f>
        <v>Keck et al</v>
      </c>
      <c r="E192" s="24" t="str">
        <f>IFERROR(__xludf.DUMMYFUNCTION("""COMPUTED_VALUE"""),"WOS:000402554700014")</f>
        <v>WOS:000402554700014</v>
      </c>
      <c r="F192" s="24" t="str">
        <f>IFERROR(__xludf.DUMMYFUNCTION("""COMPUTED_VALUE"""),"[""ELIGIBLE""]")</f>
        <v>["ELIGIBLE"]</v>
      </c>
    </row>
    <row r="193">
      <c r="A193" s="24" t="str">
        <f>IFERROR(__xludf.DUMMYFUNCTION("""COMPUTED_VALUE"""),"Response of moths (Lepidoptera: Heterocera) to livestock grazing in Mongolian rangelands")</f>
        <v>Response of moths (Lepidoptera: Heterocera) to livestock grazing in Mongolian rangelands</v>
      </c>
      <c r="B193" s="24" t="str">
        <f>IFERROR(__xludf.DUMMYFUNCTION("""COMPUTED_VALUE"""),"Overgrazing has become an ecological problem in the wide steppes of Mongolia due to rapid livestock growth in the last two decades. Species diversity and productivity of biological communities, along with information on the presence and absence of certain"&amp;" species, can be indicators of environmental health to assess the state of pasture. Moths have been used as indicator species in various studies as they are abundant in many different habitats and sensitive to environmental changes. We used moths as indic"&amp;"ators for pasture degradation in the Mongolian steppe for the first time. In this study, we investigated how overgrazing affected moth species diversity, identified indicator species for degraded pasture and collected baseline data to study distribution a"&amp;"nd migration of moths under future climate change. To accomplish these objectives, we compared moth diversity in plots with different grazing intensity in two locations in central Mongolia. Species diversity of moths was two times higher in lightly grazed"&amp;" plots than in medium-grazed and heavily grazed plots. Thus we conclude that pasture degradation affected moth diversity negatively. As a result of indicator species analysis we identified four indicator species for heavily grazed plots (Leucoma salicis, "&amp;"Autographa buraetica, Mythimna impura and Pelochrista arabescana) and seven indicator species for lightly grazed plots (Panchrysia dives, Gastropacha quercifolia, Selagia argyrella, Lymantria dispar, Mythimna conigera, Stigmatophora micans and Perconia st"&amp;"rigillaria). The meadow moth Loxostege sticticalis was most abundant in all plots. In this study we collected a total of 115 species from Ikhtamir and Undurshireet as baseline data in order to study distribution and migration of moths under future climate"&amp;" change. (C) 2016 Elsevier Ltd. All rights reserved.")</f>
        <v>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v>
      </c>
      <c r="C193" s="24" t="str">
        <f>IFERROR(__xludf.DUMMYFUNCTION("""COMPUTED_VALUE"""),"10.1016/j.ecolind.2016.08.053")</f>
        <v>10.1016/j.ecolind.2016.08.053</v>
      </c>
      <c r="D193" s="24" t="str">
        <f>IFERROR(__xludf.DUMMYFUNCTION("""COMPUTED_VALUE"""),"Keck et al")</f>
        <v>Keck et al</v>
      </c>
      <c r="E193" s="24" t="str">
        <f>IFERROR(__xludf.DUMMYFUNCTION("""COMPUTED_VALUE"""),"WOS:000398426200065")</f>
        <v>WOS:000398426200065</v>
      </c>
      <c r="F193" s="24" t="str">
        <f>IFERROR(__xludf.DUMMYFUNCTION("""COMPUTED_VALUE"""),"[""ELIGIBLE""]")</f>
        <v>["ELIGIBLE"]</v>
      </c>
    </row>
    <row r="194">
      <c r="A194" s="24" t="str">
        <f>IFERROR(__xludf.DUMMYFUNCTION("""COMPUTED_VALUE"""),"Ecological recovery in an Arctic delta following widespread saline incursion")</f>
        <v>Ecological recovery in an Arctic delta following widespread saline incursion</v>
      </c>
      <c r="B194" s="24" t="str">
        <f>IFERROR(__xludf.DUMMYFUNCTION("""COMPUTED_VALUE"""),"Arctic ecosystems are vulnerable to the combined effects of climate change and a range of other anthropogenic perturbations. Predicting the cumulative impact of these stressors requires an improved understanding of the factors affecting ecological resilie"&amp;"nce. In September of 1999, a severe storm surge in the Mackenzie Delta flooded alluvial surfaces up to 30 km inland from the coast with saline waters, driving environmental impacts unprecedented in the last millennium. In this study we combined field moni"&amp;"toring of permanent sampling plots with an analysis of the Landsat archive (1986-2011) to explore the factors affecting the recovery of ecosystems to this disturbance. Soil salinization following the 1999 storm caused the abrupt dieback of more than 30 00"&amp;"0 ha of tundra vegetation. Vegetation cover and soil chemistry show that recovery is occurring, but the rate and spatial extent are strongly dependent on vegetation type, with graminoid- and upright shrub-dominated areas showing recovery after a decade, b"&amp;"ut dwarf shrub tundra exhibiting little to no recovery over this period. Our analyses suggest that recovery from salinization has been strongly influenced by vegetation type and the frequency of freshwater flooding following the storm. With increased ocea"&amp;"n storm activity, rising sea levels, and reduced sea ice cover, Arctic coastal ecosystems will be more likely to experience similar disturbances in the future, highlighting the importance of combining field sampling with regional-scale remote sensing in e"&amp;"fforts to detect, understand, and anticipate environmental change.")</f>
        <v>Arctic ecosystems are vulnerable to the combined effects of climate change and a range of other anthropogenic perturbations. Predicting the cumulative impact of these stressors requires an improved understanding of the factors affecting ecological resilience. In September of 1999, a severe storm surge in the Mackenzie Delta flooded alluvial surfaces up to 30 km inland from the coast with saline waters, driving environmental impacts unprecedented in the last millennium. In this study we combined field monitoring of permanent sampling plots with an analysis of the Landsat archive (1986-2011) to explore the factors affecting the recovery of ecosystems to this disturbance. Soil salinization following the 1999 storm caused the abrupt dieback of more than 30 000 ha of tundra vegetation. Vegetation cover and soil chemistry show that recovery is occurring, but the rate and spatial extent are strongly dependent on vegetation type, with graminoid- and upright shrub-dominated areas showing recovery after a decade, but dwarf shrub tundra exhibiting little to no recovery over this period. Our analyses suggest that recovery from salinization has been strongly influenced by vegetation type and the frequency of freshwater flooding following the storm. With increased ocean storm activity, rising sea levels, and reduced sea ice cover, Arctic coastal ecosystems will be more likely to experience similar disturbances in the future, highlighting the importance of combining field sampling with regional-scale remote sensing in efforts to detect, understand, and anticipate environmental change.</v>
      </c>
      <c r="C194" s="24" t="str">
        <f>IFERROR(__xludf.DUMMYFUNCTION("""COMPUTED_VALUE"""),"10.1890/14-0239.1")</f>
        <v>10.1890/14-0239.1</v>
      </c>
      <c r="D194" s="24" t="str">
        <f>IFERROR(__xludf.DUMMYFUNCTION("""COMPUTED_VALUE"""),"Keck et al")</f>
        <v>Keck et al</v>
      </c>
      <c r="E194" s="24" t="str">
        <f>IFERROR(__xludf.DUMMYFUNCTION("""COMPUTED_VALUE"""),"WOS:000348667900015")</f>
        <v>WOS:000348667900015</v>
      </c>
      <c r="F194" s="24" t="str">
        <f>IFERROR(__xludf.DUMMYFUNCTION("""COMPUTED_VALUE"""),"[""ELIGIBLE""]")</f>
        <v>["ELIGIBLE"]</v>
      </c>
    </row>
    <row r="195">
      <c r="A195" s="24" t="str">
        <f>IFERROR(__xludf.DUMMYFUNCTION("""COMPUTED_VALUE"""),"Effects of Ocean Acidification, Hypoxia, and Warming on the Gut Microbiota of the Thick Shell Mussel Mytilus coruscus Through 16S rRNA Gene Sequencing")</f>
        <v>Effects of Ocean Acidification, Hypoxia, and Warming on the Gut Microbiota of the Thick Shell Mussel Mytilus coruscus Through 16S rRNA Gene Sequencing</v>
      </c>
      <c r="B195" s="24" t="str">
        <f>IFERROR(__xludf.DUMMYFUNCTION("""COMPUTED_VALUE"""),"Gut microbiota play a very important role in the health of the host, such as protecting from pathogens and maintaining homeostasis. However, environmental stressors, such as ocean acidification, hypoxia, and warming can affect microbial communities by cau"&amp;"sing alteration in their structure and relative abundance and by destroying their network. The study aimed to evaluate the combined effects of low pH, low dissolved oxygen (DO) levels, and warming on gut microbiota of the mussel Mytilus coruscus. Mussels "&amp;"were exposed to two pH levels (8.1, 7.7), two DO levels (6, 2 mg L-1), and two temperature levels (20, 30 degrees C) for a total of eight treatments for 30 days. The experiment results showed that ocean acidification, hypoxia, and warming affected the com"&amp;"munity structure, species richness, and diversity of gut microbiota. The most abundant phyla noted were Proteobacteria, Bacteroidetes, and Firmicutes. Principal coordinate analysis (PCoA) revealed that ocean acidification, hypoxia, and warming change micr"&amp;"obial community structure. Low pH, low DO, and increased temperature can cause shifting of microbial communities toward pathogen dominated microbial communities. Linear discriminant analysis effect size (LEfSe) showed that the significantly enriched bioma"&amp;"rkers in each group are significantly different at the genus level. Phylogenetic investigation of communities by reconstruction of unobserved states (PICRUSt) analysis revealed that the gut microbiome of the mussels is associated with many important funct"&amp;"ions, such as amino acid transport and metabolism, transcription, energy production and conservation, cell wall, membrane and envelope biogenesis, and other functions. This study highlights the complexity of interaction among pH, DO, and temperature in ma"&amp;"rine organisms and their effects on the gut microbiota and health of marine mussels.")</f>
        <v>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v>
      </c>
      <c r="C195" s="24" t="str">
        <f>IFERROR(__xludf.DUMMYFUNCTION("""COMPUTED_VALUE"""),"10.3389/fmars.2021.736338")</f>
        <v>10.3389/fmars.2021.736338</v>
      </c>
      <c r="D195" s="24" t="str">
        <f>IFERROR(__xludf.DUMMYFUNCTION("""COMPUTED_VALUE"""),"Keck et al")</f>
        <v>Keck et al</v>
      </c>
      <c r="E195" s="24" t="str">
        <f>IFERROR(__xludf.DUMMYFUNCTION("""COMPUTED_VALUE"""),"WOS:000697823500001")</f>
        <v>WOS:000697823500001</v>
      </c>
      <c r="F195" s="24" t="str">
        <f>IFERROR(__xludf.DUMMYFUNCTION("""COMPUTED_VALUE"""),"[""ELIGIBLE""]")</f>
        <v>["ELIGIBLE"]</v>
      </c>
    </row>
    <row r="196">
      <c r="A196" s="24" t="str">
        <f>IFERROR(__xludf.DUMMYFUNCTION("""COMPUTED_VALUE"""),"Winners and losers: prevalence of non-indigenous species under simulated marine heatwaves and high propagule pressure")</f>
        <v>Winners and losers: prevalence of non-indigenous species under simulated marine heatwaves and high propagule pressure</v>
      </c>
      <c r="B196" s="24" t="str">
        <f>IFERROR(__xludf.DUMMYFUNCTION("""COMPUTED_VALUE"""),"Global warming is increasing the frequency, duration and intensity of extreme events such as marine heat waves (MHWs). The effects of MHWs include a variety of negative environmental impacts. Extreme weather events can interact with other environmental st"&amp;"ressors such as invasion by marine non-indigenous species (NIS). The aim of this study was to (1) compare the responses of fouling assemblages recruited within a harbour (highly invaded) with the responses of those recruited in natural habitats (not invad"&amp;"ed) to simulated MHWs of different temperatures and durations, and (2) evaluate the legacy effects of those MHWs on the invasibility of both types of assemblage by deploying them in a marina environment (high NIS propagule pressure). Experimental assembla"&amp;"ges were sampled after 5 or 10 d of exposure to 1 of 3 different temperature conditions to examine the effects of varying MHW conditions. Later those assemblages were deployed inside a marina facility to test the invasibility of heat-stressed assemblages."&amp;" The results revealed that higher temperatures and longer MHWs had an overall negative impact on both native and non-indigenous assemblages. Shorter MHWs had greater effects on assemblages dominated by NIS, while longer MHWs affected native species more. "&amp;"Increasing MHW duration promoted increased variability in the resulting invasive assemblages. Winner and loser species and homogenisation could potentially alter the legacy effects of MHWs on the pattern of NIS recruitment. This study highlights the impor"&amp;"tance of interactions between environmental stressors to the conservation of coastal communities, crucial ecosystems on oceanic islands.")</f>
        <v>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v>
      </c>
      <c r="C196" s="24" t="str">
        <f>IFERROR(__xludf.DUMMYFUNCTION("""COMPUTED_VALUE"""),"10.3354/meps13710")</f>
        <v>10.3354/meps13710</v>
      </c>
      <c r="D196" s="24" t="str">
        <f>IFERROR(__xludf.DUMMYFUNCTION("""COMPUTED_VALUE"""),"Keck et al")</f>
        <v>Keck et al</v>
      </c>
      <c r="E196" s="24" t="str">
        <f>IFERROR(__xludf.DUMMYFUNCTION("""COMPUTED_VALUE"""),"WOS:000670332700002")</f>
        <v>WOS:000670332700002</v>
      </c>
      <c r="F196" s="24" t="str">
        <f>IFERROR(__xludf.DUMMYFUNCTION("""COMPUTED_VALUE"""),"[""ELIGIBLE""]")</f>
        <v>["ELIGIBLE"]</v>
      </c>
    </row>
    <row r="197">
      <c r="A197" s="24" t="str">
        <f>IFERROR(__xludf.DUMMYFUNCTION("""COMPUTED_VALUE"""),"Climate warming reduces gut microbiota diversity in a vertebrate ectotherm")</f>
        <v>Climate warming reduces gut microbiota diversity in a vertebrate ectotherm</v>
      </c>
      <c r="B197" s="24" t="str">
        <f>IFERROR(__xludf.DUMMYFUNCTION("""COMPUTED_VALUE"""),"Climate change is now considered to be the greatest threat to biodiversity and ecological networks, but its impacts on the bacterial communities associated with plants and animals remain largely unknown. Here, we studied the consequences of climate warmin"&amp;"g on the gut bacterial communities of an ectotherm, the common lizard (Zootoca vivipara), using a semi-natural experimental approach. We found that 2-3 degrees C warmer climates cause a 34% loss of populations' microbiota diversity, with possible negative"&amp;" consequences for host survival.")</f>
        <v>Climate change is now considered to be the greatest threat to biodiversity and ecological networks, but its impacts on the bacterial communities associated with plants and animals remain largely unknown. Here, we studied the consequences of climate warming on the gut bacterial communities of an ectotherm, the common lizard (Zootoca vivipara), using a semi-natural experimental approach. We found that 2-3 degrees C warmer climates cause a 34% loss of populations' microbiota diversity, with possible negative consequences for host survival.</v>
      </c>
      <c r="C197" s="24" t="str">
        <f>IFERROR(__xludf.DUMMYFUNCTION("""COMPUTED_VALUE"""),"10.1038/s41559-017-0161")</f>
        <v>10.1038/s41559-017-0161</v>
      </c>
      <c r="D197" s="24" t="str">
        <f>IFERROR(__xludf.DUMMYFUNCTION("""COMPUTED_VALUE"""),"Keck et al")</f>
        <v>Keck et al</v>
      </c>
      <c r="E197" s="24" t="str">
        <f>IFERROR(__xludf.DUMMYFUNCTION("""COMPUTED_VALUE"""),"WOS:000417174700019")</f>
        <v>WOS:000417174700019</v>
      </c>
      <c r="F197" s="24" t="str">
        <f>IFERROR(__xludf.DUMMYFUNCTION("""COMPUTED_VALUE"""),"[""ELIGIBLE""]")</f>
        <v>["ELIGIBLE"]</v>
      </c>
    </row>
    <row r="198">
      <c r="A198" s="24" t="str">
        <f>IFERROR(__xludf.DUMMYFUNCTION("""COMPUTED_VALUE"""),"Long-term warming affects ecosystem functioning through species turnover and intraspecific trait variation")</f>
        <v>Long-term warming affects ecosystem functioning through species turnover and intraspecific trait variation</v>
      </c>
      <c r="B198" s="24" t="str">
        <f>IFERROR(__xludf.DUMMYFUNCTION("""COMPUTED_VALUE"""),"Effects of climate change on natural ecosystems can be mediated by ecological processes, but also by rapid evolutionary adaptations and/or non-heritable trait changes in organisms. So far, most studies testing the importance of inter- versus intraspecific"&amp;" changes for how communities and their functioning responds to climate change are either short-term laboratory experiments in highly controlled (artificial) environments, or long-term field surveys suffering from lack of experimental manipulation. Here, w"&amp;"e quantified how community composition and functioning has changed in response to long-term warming, including the potential direct and indirect effects via immediate and delayed physiological, non-heritable plastic, ecological, evolutionary and eco-evolu"&amp;"tionary responses. We used a site-for-time approach, sampling sites in an artificially heated basin and a nearby area to quantify how &gt;30 years of experimental warming in situ affects benthic grazer communities and traits of grazer taxa, as well as their "&amp;"contribution to a key ecosystem function: grazing on filamentous algae. The community composition shifted with warming, because a non-native species was highly common, and taxa with higher mobility, became more common in the heated areas compared to the c"&amp;"ontrol sites. Warming altered community functioning but the underlying mechanisms varied between traits: increased metabolism was caused by intraspecific trait change, while increased grazing rate was mainly driven by species turnover. Our results suggest"&amp;" that both population- and community-level processes mediate the responses of natural communities to long-term environmental change, and that the ongoing warming of coastal waters is likely to alter the functioning of key marine ecosystems.")</f>
        <v>Effects of climate change on natural ecosystems can be mediated by ecological processes, but also by rapid evolutionary adaptations and/or non-heritable trait changes in organisms. So far, most studies testing the importance of inter- versus intraspecific changes for how communities and their functioning responds to climate change are either short-term laboratory experiments in highly controlled (artificial) environments, or long-term field surveys suffering from lack of experimental manipulation. Here, we quantified how community composition and functioning has changed in response to long-term warming, including the potential direct and indirect effects via immediate and delayed physiological, non-heritable plastic, ecological, evolutionary and eco-evolutionary responses. We used a site-for-time approach, sampling sites in an artificially heated basin and a nearby area to quantify how &gt;30 years of experimental warming in situ affects benthic grazer communities and traits of grazer taxa, as well as their contribution to a key ecosystem function: grazing on filamentous algae. The community composition shifted with warming, because a non-native species was highly common, and taxa with higher mobility, became more common in the heated areas compared to the control sites. Warming altered community functioning but the underlying mechanisms varied between traits: increased metabolism was caused by intraspecific trait change, while increased grazing rate was mainly driven by species turnover. Our results suggest that both population- and community-level processes mediate the responses of natural communities to long-term environmental change, and that the ongoing warming of coastal waters is likely to alter the functioning of key marine ecosystems.</v>
      </c>
      <c r="C198" s="24" t="str">
        <f>IFERROR(__xludf.DUMMYFUNCTION("""COMPUTED_VALUE"""),"10.1111/oik.06698")</f>
        <v>10.1111/oik.06698</v>
      </c>
      <c r="D198" s="24" t="str">
        <f>IFERROR(__xludf.DUMMYFUNCTION("""COMPUTED_VALUE"""),"Keck et al")</f>
        <v>Keck et al</v>
      </c>
      <c r="E198" s="24" t="str">
        <f>IFERROR(__xludf.DUMMYFUNCTION("""COMPUTED_VALUE"""),"WOS:000510044800013")</f>
        <v>WOS:000510044800013</v>
      </c>
      <c r="F198" s="24" t="str">
        <f>IFERROR(__xludf.DUMMYFUNCTION("""COMPUTED_VALUE"""),"[""ELIGIBLE""]")</f>
        <v>["ELIGIBLE"]</v>
      </c>
    </row>
    <row r="199">
      <c r="A199" s="24" t="str">
        <f>IFERROR(__xludf.DUMMYFUNCTION("""COMPUTED_VALUE"""),"Community response of arbuscular mycorrhizal fungi to extreme drought in a cold-temperate grassland")</f>
        <v>Community response of arbuscular mycorrhizal fungi to extreme drought in a cold-temperate grassland</v>
      </c>
      <c r="B199" s="24" t="str">
        <f>IFERROR(__xludf.DUMMYFUNCTION("""COMPUTED_VALUE"""),"Climate extremes pose enormous threats to natural ecosystems. Arbuscular mycorrhizal (AM) fungi are key plant symbionts that can affect plant community dynamics and ecosystem stability. However, knowledge about how AM fungal communities respond to climate"&amp;" extremes in natural ecosystems remains elusive. Based on a grassland extreme drought experiment in Inner Mongolia, we investigated the response of AM fungal communities to extreme drought in association with plant communities. The experiment simulated tw"&amp;"o types of extreme drought (chronic/intense) of once-in-20-year occurrence. AM fungal richness and community composition exhibited high sensitivity to extreme drought and were more sensitive to intense drought than chronic drought. This community sensitiv"&amp;"ity (i.e. decline in richness and shifts in community composition) of AM fungi can be jointly explained by soil moisture, plant richness, and aboveground productivity. Notably, the robustness of the plant-AM fungal community co-response increased with dro"&amp;"ught intensity. Our results indicate that AM fungal communities are sensitive to climate extremes, and we propose that the plant community mediates AM fungal community responses. Given the ubiquitous nature of AM associations, their climate sensitivity ma"&amp;"y have profound consequences on plant communities and ecosystem stability under climate change.")</f>
        <v>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v>
      </c>
      <c r="C199" s="24" t="str">
        <f>IFERROR(__xludf.DUMMYFUNCTION("""COMPUTED_VALUE"""),"10.1111/nph.17692")</f>
        <v>10.1111/nph.17692</v>
      </c>
      <c r="D199" s="24" t="str">
        <f>IFERROR(__xludf.DUMMYFUNCTION("""COMPUTED_VALUE"""),"Keck et al")</f>
        <v>Keck et al</v>
      </c>
      <c r="E199" s="24" t="str">
        <f>IFERROR(__xludf.DUMMYFUNCTION("""COMPUTED_VALUE"""),"WOS:000695513500001")</f>
        <v>WOS:000695513500001</v>
      </c>
      <c r="F199" s="24" t="str">
        <f>IFERROR(__xludf.DUMMYFUNCTION("""COMPUTED_VALUE"""),"[""ELIGIBLE""]")</f>
        <v>["ELIGIBLE"]</v>
      </c>
    </row>
    <row r="200">
      <c r="A200" s="24" t="str">
        <f>IFERROR(__xludf.DUMMYFUNCTION("""COMPUTED_VALUE"""),"Changes in composition and abundance of functional groups of arctic fungi in response to long-term summer warming")</f>
        <v>Changes in composition and abundance of functional groups of arctic fungi in response to long-term summer warming</v>
      </c>
      <c r="B200" s="24" t="str">
        <f>IFERROR(__xludf.DUMMYFUNCTION("""COMPUTED_VALUE"""),"We characterized fungal communities in dry and moist tundra and investigated the effect of long-term experimental summer warming on three aspects of functional groups of arctic fungi: richness, community composition and species abundance. Warming had prof"&amp;"ound effects on community composition, abundance, and, to a lesser extent, on richness of fungal functional groups. In addition, our data show that even within functional groups, the direction and extent of response to warming tend to be species-specific "&amp;"and we recommend that studies on fungal communities and their roles in nutrient cycling take into account species-level responses.")</f>
        <v>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v>
      </c>
      <c r="C200" s="24" t="str">
        <f>IFERROR(__xludf.DUMMYFUNCTION("""COMPUTED_VALUE"""),"10.1098/rsbl.2016.0503")</f>
        <v>10.1098/rsbl.2016.0503</v>
      </c>
      <c r="D200" s="24" t="str">
        <f>IFERROR(__xludf.DUMMYFUNCTION("""COMPUTED_VALUE"""),"Keck et al")</f>
        <v>Keck et al</v>
      </c>
      <c r="E200" s="24" t="str">
        <f>IFERROR(__xludf.DUMMYFUNCTION("""COMPUTED_VALUE"""),"WOS:000389637100008")</f>
        <v>WOS:000389637100008</v>
      </c>
      <c r="F200" s="24" t="str">
        <f>IFERROR(__xludf.DUMMYFUNCTION("""COMPUTED_VALUE"""),"[""ELIGIBLE""]")</f>
        <v>["ELIGIBLE"]</v>
      </c>
    </row>
    <row r="201">
      <c r="A201" s="24" t="str">
        <f>IFERROR(__xludf.DUMMYFUNCTION("""COMPUTED_VALUE"""),"Effects of forest disturbance and habitat loss on avian communities in a Neotropical biodiversity hotspot")</f>
        <v>Effects of forest disturbance and habitat loss on avian communities in a Neotropical biodiversity hotspot</v>
      </c>
      <c r="B201" s="24" t="str">
        <f>IFERROR(__xludf.DUMMYFUNCTION("""COMPUTED_VALUE"""),"Regenerating forests are increasingly ubiquitous in tropical landscapes. They hold great conservation potential and there is demand for assessments of their biodiversity value. Forest disturbance and forest loss often occur together, yet few studies attem"&amp;"pt to disentangle their separate effects on biological communities. In the Ecuadorian Choco, a biodiversity hotspot, we sampled understory birds in patches with increasing levels of disturbance (old-growth, selectively-logged, and secondary forests) withi"&amp;"n contiguous forest and in fragments. Species richness increased with disturbance but decreased with habitat loss, with a 75% reduction in endemic and threatened species in fragments compared to contiguous forest. This reduction in richness was most prono"&amp;"unced in secondary forest fragments, suggesting that disturbance and habitat loss interact synergistically to maximally reduce avian biodiversity. Species composition was strongly affected by habitat loss and, to a lesser extent, disturbance, with forest "&amp;"fragments and secondary forests presenting distinct communities dominated by generalists with medium-to-low sensitivity to anthropogenic disturbance and reduced proportions of endemics and endangered species. Capture rates also decreased (non-significantl"&amp;"y) with habitat loss, and the relative abundance of dietary guilds varied in response to both habitat loss and disturbance. Our study shows that regenerating patches surrounded by contiguous forest can sustain high biodiversity levels and, when past habit"&amp;"at disturbance is mild, present similar communities to old-growth forests. In contrast, forest loss caused reductions in richness (especially in more disturbed patches), profound changes in community composition, and loss of species of conservation concer"&amp;"n. These results underscore the importance of considering landscape context when evaluating the conservation value of disturbed forests. (C) 2013 Elsevier Ltd. All rights reserved.")</f>
        <v>Regenerating forests are increasingly ubiquitous in tropical landscapes. They hold great conservation potential and there is demand for assessments of their biodiversity value. Forest disturbance and forest loss often occur together, yet few studies attempt to disentangle their separate effects on biological communities. In the Ecuadorian Choco, a biodiversity hotspot, we sampled understory birds in patches with increasing levels of disturbance (old-growth, selectively-logged, and secondary forests) within contiguous forest and in fragments. Species richness increased with disturbance but decreased with habitat loss, with a 75% reduction in endemic and threatened species in fragments compared to contiguous forest. This reduction in richness was most pronounced in secondary forest fragments, suggesting that disturbance and habitat loss interact synergistically to maximally reduce avian biodiversity. Species composition was strongly affected by habitat loss and, to a lesser extent, disturbance, with forest fragments and secondary forests presenting distinct communities dominated by generalists with medium-to-low sensitivity to anthropogenic disturbance and reduced proportions of endemics and endangered species. Capture rates also decreased (non-significantly) with habitat loss, and the relative abundance of dietary guilds varied in response to both habitat loss and disturbance. Our study shows that regenerating patches surrounded by contiguous forest can sustain high biodiversity levels and, when past habitat disturbance is mild, present similar communities to old-growth forests. In contrast, forest loss caused reductions in richness (especially in more disturbed patches), profound changes in community composition, and loss of species of conservation concern. These results underscore the importance of considering landscape context when evaluating the conservation value of disturbed forests. (C) 2013 Elsevier Ltd. All rights reserved.</v>
      </c>
      <c r="C201" s="24" t="str">
        <f>IFERROR(__xludf.DUMMYFUNCTION("""COMPUTED_VALUE"""),"10.1016/j.biocon.2013.07.007")</f>
        <v>10.1016/j.biocon.2013.07.007</v>
      </c>
      <c r="D201" s="24" t="str">
        <f>IFERROR(__xludf.DUMMYFUNCTION("""COMPUTED_VALUE"""),"Keck et al")</f>
        <v>Keck et al</v>
      </c>
      <c r="E201" s="24" t="str">
        <f>IFERROR(__xludf.DUMMYFUNCTION("""COMPUTED_VALUE"""),"WOS:000328523900023")</f>
        <v>WOS:000328523900023</v>
      </c>
      <c r="F201" s="24" t="str">
        <f>IFERROR(__xludf.DUMMYFUNCTION("""COMPUTED_VALUE"""),"[""ELIGIBLE""]")</f>
        <v>["ELIGIBLE"]</v>
      </c>
    </row>
    <row r="202">
      <c r="A202" s="24" t="str">
        <f>IFERROR(__xludf.DUMMYFUNCTION("""COMPUTED_VALUE"""),"From forest to city: Plant community change in northeast Ohio from 1800 to 2014")</f>
        <v>From forest to city: Plant community change in northeast Ohio from 1800 to 2014</v>
      </c>
      <c r="B202" s="24" t="str">
        <f>IFERROR(__xludf.DUMMYFUNCTION("""COMPUTED_VALUE"""),"Questions: This study compares the extent of habitat types, species composition of plant communities and abundance of individual tree species in northeast Ohio between 1800 and 2014. This comparison allows us to test hypotheses about the drivers of commun"&amp;"ity change, including climate change, fire suppression and disturbance frequency, and to evaluate the impact of urbanization on biotic homogenization. Location: Cuyahoga County, Ohio, USA. Methods: Ranked timber observations from early land surveys were c"&amp;"ompared with vegetation plots throughout the Cleveland Metroparks system. We used ordination, cluster analysis and indicator species analysis to compare plant communities in the two time periods. We tested whether differences in species frequency and domi"&amp;"nance from 1800 to 2014 depended on climate, fire and shade tolerance and life-history strategy. Results: In 1800, 94% of Cuyahoga County was forested, 5% wetlands and &lt;1% open oak woods. Most forests in 1800 were dominated by Fagus grandifolia (47%), Que"&amp;"rcus (28%) or Acer (11%). At the community level, the largest changes from 1800 to 2014 were decreases in communities dominated by F.grandifolia and Quercus and an increase in communities dominated by Acer. Fagus grandifolia, Castanea dentata, Tilia ameri"&amp;"cana and Carya decreased in frequency, and Acer, Prunus serotina and Ulmus increased. The best predictor of changes in frequency was life history; species with a ruderal strategy tended to increase. Climate, fire and shade tolerance did not predict change"&amp;"s in frequency. Plant communities in 2014 vegetation plots were more similar to each other than plant communities on the 1800 survey lines. Conclusions: The urbanization of northeast Ohio led to regionally homogenous vegetation and plant communities in wh"&amp;"ich ruderal species are frequent and dominant.")</f>
        <v>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v>
      </c>
      <c r="C202" s="24" t="str">
        <f>IFERROR(__xludf.DUMMYFUNCTION("""COMPUTED_VALUE"""),"10.1111/jvs.12621")</f>
        <v>10.1111/jvs.12621</v>
      </c>
      <c r="D202" s="24" t="str">
        <f>IFERROR(__xludf.DUMMYFUNCTION("""COMPUTED_VALUE"""),"Keck et al")</f>
        <v>Keck et al</v>
      </c>
      <c r="E202" s="24" t="str">
        <f>IFERROR(__xludf.DUMMYFUNCTION("""COMPUTED_VALUE"""),"WOS:000431503000017")</f>
        <v>WOS:000431503000017</v>
      </c>
      <c r="F202" s="24" t="str">
        <f>IFERROR(__xludf.DUMMYFUNCTION("""COMPUTED_VALUE"""),"[""ELIGIBLE""]")</f>
        <v>["ELIGIBLE"]</v>
      </c>
    </row>
    <row r="203">
      <c r="A203" s="24" t="str">
        <f>IFERROR(__xludf.DUMMYFUNCTION("""COMPUTED_VALUE"""),"SIMULATED CLIMATE-CHANGE - A FIELD MANIPULATION STUDY OF POLAR MICROARTHROPOD COMMUNITY RESPONSE TO GLOBAL WARMING")</f>
        <v>SIMULATED CLIMATE-CHANGE - A FIELD MANIPULATION STUDY OF POLAR MICROARTHROPOD COMMUNITY RESPONSE TO GLOBAL WARMING</v>
      </c>
      <c r="B203" s="24" t="str">
        <f>IFERROR(__xludf.DUMMYFUNCTION("""COMPUTED_VALUE"""),"Passive cloches were deployed at three altitudinally distinct sites on Signy Island, maritime Antarctica, to investigate the effect of ameliorated thermal environment upon fellfield microarthropod communities. Temperature was monitored at 1.5 m height, at"&amp;" ground surface level, and at 5 cm depth in cloche and control plots. During summer (December - March), cloches elevated monthly mean temperatures by up to 2.46-degrees-C at the soil surface and 2.20-degrees-C at 5 cm depth. Integrated air temperatures ov"&amp;"er consecutive 10 d periods were up to 4.65-degrees-C warmer in cloches than controls. During winter (April - November), snow cover of the fellfield sites buffered temperature variation and reduced the treatment effect. After eight years of these manipula"&amp;"tions, sampling of the upper 50 mm of soil revealed consistently greater microarthropod populations within cloches than in controls (treatment effect: p &lt; 0.05). Maximum difference occurred at high altitude where thermal amelioration was greatest (site ef"&amp;"fect: p &lt; 0.05). Cloche populations of the numerically dominant collembolan Cryptopygus antarcticus Willem contained an increased proportion of small (length &lt; 750 mum) individuals. No species new to Signy Island were recorded. Relating these microarthrop"&amp;"od populations to the ameliorated thermal environment suggests that Antarctic invertebrate communities may respond to global warming, as predicted by global circulation models, with an increase in abundance with little increase in diversity. However, this"&amp;" response could be indirect, the intermediate controlling factor being the percentage cover of the soil surface by vegetation, itself a function of climate change.")</f>
        <v>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v>
      </c>
      <c r="C203" s="24" t="str">
        <f>IFERROR(__xludf.DUMMYFUNCTION("""COMPUTED_VALUE"""),"10.1111/j.1600-0587.1994.tb00085.x")</f>
        <v>10.1111/j.1600-0587.1994.tb00085.x</v>
      </c>
      <c r="D203" s="24" t="str">
        <f>IFERROR(__xludf.DUMMYFUNCTION("""COMPUTED_VALUE"""),"Keck et al")</f>
        <v>Keck et al</v>
      </c>
      <c r="E203" s="24" t="str">
        <f>IFERROR(__xludf.DUMMYFUNCTION("""COMPUTED_VALUE"""),"WOS:A1994NW41700003")</f>
        <v>WOS:A1994NW41700003</v>
      </c>
      <c r="F203" s="24" t="str">
        <f>IFERROR(__xludf.DUMMYFUNCTION("""COMPUTED_VALUE"""),"[""ELIGIBLE""]")</f>
        <v>["ELIGIBLE"]</v>
      </c>
    </row>
    <row r="204">
      <c r="A204" s="24" t="str">
        <f>IFERROR(__xludf.DUMMYFUNCTION("""COMPUTED_VALUE"""),"Impacts of environmental stress on resistance and resilience of algal-associated bacterial communities")</f>
        <v>Impacts of environmental stress on resistance and resilience of algal-associated bacterial communities</v>
      </c>
      <c r="B204" s="24" t="str">
        <f>IFERROR(__xludf.DUMMYFUNCTION("""COMPUTED_VALUE"""),"Algal-associated bacteria are fundamental to the ecological success of marine green macroalgae such as Caulerpa. The resistance and resilience of algal-associated microbiota to environmental stress can promote algal health and genetic adaptation to changi"&amp;"ng environments. The composition of bacterial communities has been shown to be unique to algal morphological niches. Therefore, the level of response to various environmental perturbations may in fact be different for each niche-specific community. Factor"&amp;"ial in situ experiments were set up to investigate the effect of nutrient enrichment and temperature stress on the bacterial communities associated with Caulerpa cylindracea. Bacteria were characterized using the 16S rRNA gene, and the community compositi"&amp;"ons were compared between different parts of the algal thallus (endo-, epi-, and rhizomicrobiome). Resistance and resilience were calculated to further understand the changes of microbial composition in response to perturbations. The results of this study"&amp;" provide evidence that nutrient enrichment has a significant influence on the taxonomic and functional structure of the epimicrobiota, with a low community resistance index observed for both. Temperature and nutrient stress had a significant effect on the"&amp;" rhizomicrobiota taxonomic composition, exhibiting the lowest overall resistance to change. The functional performance of the rhizomicrobiota had low resilience to the combination of stressors, indicating potential additive effects. Interestingly, the end"&amp;"omicrobiota had the highest overall resistance, yet the lowest overall resilience to environmental stress. This further contributes to our understanding of algal microbiome dynamics in response to environmental changes.")</f>
        <v>Algal-associated bacteria are fundamental to the ecological success of marine green macroalgae such as Caulerpa. The resistance and resilience of algal-associated microbiota to environmental stress can promote algal health and genetic adaptation to changing environments. The composition of bacterial communities has been shown to be unique to algal morphological niches. Therefore, the level of response to various environmental perturbations may in fact be different for each niche-specific community. Factorial in situ experiments were set up to investigate the effect of nutrient enrichment and temperature stress on the bacterial communities associated with Caulerpa cylindracea. Bacteria were characterized using the 16S rRNA gene, and the community compositions were compared between different parts of the algal thallus (endo-, epi-, and rhizomicrobiome). Resistance and resilience were calculated to further understand the changes of microbial composition in response to perturbations. The results of this study provide evidence that nutrient enrichment has a significant influence on the taxonomic and functional structure of the epimicrobiota, with a low community resistance index observed for both. Temperature and nutrient stress had a significant effect on the rhizomicrobiota taxonomic composition, exhibiting the lowest overall resistance to change. The functional performance of the rhizomicrobiota had low resilience to the combination of stressors, indicating potential additive effects. Interestingly, the endomicrobiota had the highest overall resistance, yet the lowest overall resilience to environmental stress. This further contributes to our understanding of algal microbiome dynamics in response to environmental changes.</v>
      </c>
      <c r="C204" s="24" t="str">
        <f>IFERROR(__xludf.DUMMYFUNCTION("""COMPUTED_VALUE"""),"10.1002/ece3.8184")</f>
        <v>10.1002/ece3.8184</v>
      </c>
      <c r="D204" s="24" t="str">
        <f>IFERROR(__xludf.DUMMYFUNCTION("""COMPUTED_VALUE"""),"Keck et al")</f>
        <v>Keck et al</v>
      </c>
      <c r="E204" s="24" t="str">
        <f>IFERROR(__xludf.DUMMYFUNCTION("""COMPUTED_VALUE"""),"WOS:000703941100001")</f>
        <v>WOS:000703941100001</v>
      </c>
      <c r="F204" s="24" t="str">
        <f>IFERROR(__xludf.DUMMYFUNCTION("""COMPUTED_VALUE"""),"[""ELIGIBLE""]")</f>
        <v>["ELIGIBLE"]</v>
      </c>
    </row>
    <row r="205">
      <c r="A205" s="24" t="str">
        <f>IFERROR(__xludf.DUMMYFUNCTION("""COMPUTED_VALUE"""),"Absence of snow cover reduces understory plant cover and alters plant community composition in boreal forests")</f>
        <v>Absence of snow cover reduces understory plant cover and alters plant community composition in boreal forests</v>
      </c>
      <c r="B205" s="24" t="str">
        <f>IFERROR(__xludf.DUMMYFUNCTION("""COMPUTED_VALUE"""),"Snow regimes affect biogeochemistry of boreal ecosystems and are altered by climate change. The effects on plant communities, however, are largely unexplored despite their influence on relevant processes. Here, the impact of snow cover on understory commu"&amp;"nity composition and below-ground production in a boreal Picea abies forest was investigated using a long-term (8-year) snow cover manipulation experiment consisting of the treatments: snow removal, increased insulation (styrofoam pellets), and control. T"&amp;"he snow removal treatment caused longer (118 vs. 57 days) and deeper soil frost (mean minimum temperature -5.5 vs. -2.2 degrees C) at 10 cm soil depth in comparison to control. Understory species composition was strongly altered by the snow cover manipula"&amp;"tions; vegetation cover declined by more than 50% in the snow removal treatment. In particular, the dominant dwarf shrub Vaccinium myrtillus (-82%) and the most abundant mosses Pleurozium schreberi (-74%) and Dicranum scoparium (-60%) declined strongly. T"&amp;"he C:N ratio in V. myrtillus leaves and plant available N in the soil indicated no altered nitrogen nutrition. Fine-root biomass in summer, however, was negatively affected by the reduced snow cover (-50%). Observed effects are attributed to direct frost "&amp;"damage of roots and/or shoots. Besides the obvious relevance of winter processes on plant ecology and distribution, we propose that shifts in the vegetation caused by frost damage may be an important driver of the reported alterations in biogeochemistry i"&amp;"n response to altered snow cover. Understory plant performance clearly needs to be considered in the biogeochemistry of boreal systems in the face of climate change.")</f>
        <v>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v>
      </c>
      <c r="C205" s="24" t="str">
        <f>IFERROR(__xludf.DUMMYFUNCTION("""COMPUTED_VALUE"""),"10.1007/s00442-011-2092-z")</f>
        <v>10.1007/s00442-011-2092-z</v>
      </c>
      <c r="D205" s="24" t="str">
        <f>IFERROR(__xludf.DUMMYFUNCTION("""COMPUTED_VALUE"""),"Keck et al")</f>
        <v>Keck et al</v>
      </c>
      <c r="E205" s="24" t="str">
        <f>IFERROR(__xludf.DUMMYFUNCTION("""COMPUTED_VALUE"""),"WOS:000301705700026")</f>
        <v>WOS:000301705700026</v>
      </c>
      <c r="F205" s="24" t="str">
        <f>IFERROR(__xludf.DUMMYFUNCTION("""COMPUTED_VALUE"""),"[""ELIGIBLE""]")</f>
        <v>["ELIGIBLE"]</v>
      </c>
    </row>
    <row r="206">
      <c r="A206" s="24" t="str">
        <f>IFERROR(__xludf.DUMMYFUNCTION("""COMPUTED_VALUE"""),"Drought intensification drives turnover of structure and function in stream invertebrate communities")</f>
        <v>Drought intensification drives turnover of structure and function in stream invertebrate communities</v>
      </c>
      <c r="B206" s="24" t="str">
        <f>IFERROR(__xludf.DUMMYFUNCTION("""COMPUTED_VALUE"""),"Climatic extremes are becoming more frequent and intense across much of the globe, potentially transforming the biodiversity and functioning of affected ecosystems. In freshwaters, hydrological extremes such as drought can regulate beta diversity, acting "&amp;"as powerful environmental filters to dictate the complement of species and functional traits found at local and landscape scales. New methods that enable beta diversity and its functional equivalent to be partitioned into turnover (replacement of species/"&amp;"functions) and nestedness-resultant (gain/loss of species/functions) components may offer novel insights into the parallel impacts of drought on ecosystem structure and function. Using a series of artificial channels (mesocosms) designed to mimic perennia"&amp;"l headwater streams, we experimentally manipulated streamflows to simulate a gradient of drought intensity. We then modelled taxonomic and functional turnover and nestedness of macroinvertebrate communities along this gradient, validating direct gradient "&amp;"approaches (bootstrapping, Mantel tests) against null models of nestedness. Drought intensification produced significant environmental distance decay trends (i.e. communities became increasingly taxonomically and functionally dissimilar the more different"&amp;"ially disturbed by drought they were). Taxonomic distance decay was primarily driven by turnover, while the functional trend reflected a combination of richness differences and turnover at different points along the gradient. Taxonomic and functional dist"&amp;"ance decay slopes were not significantly different, implying that communities were functionally vulnerable to drying. The increased frequency and intensity of droughts predicted under most climate change scenarios could thus profoundly modify not only the"&amp;" structure of running water invertebrate communities, but also the ecosystem functions they underpin.")</f>
        <v>Climatic extremes are becoming more frequent and intense across much of the globe, potentially transforming the biodiversity and functioning of affected ecosystems. In freshwaters, hydrological extremes such as drought can regulate beta diversity, acting as powerful environmental filters to dictate the complement of species and functional traits found at local and landscape scales. New methods that enable beta diversity and its functional equivalent to be partitioned into turnover (replacement of species/functions) and nestedness-resultant (gain/loss of species/functions) components may offer novel insights into the parallel impacts of drought on ecosystem structure and function. Using a series of artificial channels (mesocosms) designed to mimic perennial headwater streams, we experimentally manipulated streamflows to simulate a gradient of drought intensity. We then modelled taxonomic and functional turnover and nestedness of macroinvertebrate communities along this gradient, validating direct gradient approaches (bootstrapping, Mantel tests) against null models of nestedness. Drought intensification produced significant environmental distance decay trends (i.e. communities became increasingly taxonomically and functionally dissimilar the more differentially disturbed by drought they were). Taxonomic distance decay was primarily driven by turnover, while the functional trend reflected a combination of richness differences and turnover at different points along the gradient. Taxonomic and functional distance decay slopes were not significantly different, implying that communities were functionally vulnerable to drying. The increased frequency and intensity of droughts predicted under most climate change scenarios could thus profoundly modify not only the structure of running water invertebrate communities, but also the ecosystem functions they underpin.</v>
      </c>
      <c r="C206" s="24" t="str">
        <f>IFERROR(__xludf.DUMMYFUNCTION("""COMPUTED_VALUE"""),"10.1111/ecog.03711")</f>
        <v>10.1111/ecog.03711</v>
      </c>
      <c r="D206" s="24" t="str">
        <f>IFERROR(__xludf.DUMMYFUNCTION("""COMPUTED_VALUE"""),"Keck et al")</f>
        <v>Keck et al</v>
      </c>
      <c r="E206" s="24" t="str">
        <f>IFERROR(__xludf.DUMMYFUNCTION("""COMPUTED_VALUE"""),"WOS:000451829900006")</f>
        <v>WOS:000451829900006</v>
      </c>
      <c r="F206" s="24" t="str">
        <f>IFERROR(__xludf.DUMMYFUNCTION("""COMPUTED_VALUE"""),"[""ELIGIBLE""]")</f>
        <v>["ELIGIBLE"]</v>
      </c>
    </row>
    <row r="207">
      <c r="A207" s="24" t="str">
        <f>IFERROR(__xludf.DUMMYFUNCTION("""COMPUTED_VALUE"""),"Design for ground beetle abundance and diversity sampling within the National Ecological Observatory Network")</f>
        <v>Design for ground beetle abundance and diversity sampling within the National Ecological Observatory Network</v>
      </c>
      <c r="B207" s="24" t="str">
        <f>IFERROR(__xludf.DUMMYFUNCTION("""COMPUTED_VALUE"""),"The National Ecological Observatory Network (NEON) will monitor ground beetle populations across a network of broadly distributed sites because beetles are prevalent in food webs, are sensitive to abiotic factors, and have an established role as indicator"&amp;" species of habitat and climatic shifts. We describe the design of ground beetle population sampling in the context of NEON's long-term, continentalscale monitoring program, emphasizing the sampling design, priorities, and collection methods. Freely avail"&amp;"able NEON ground beetle data and associated field and laboratory samples will increase scientific understanding of how biological communities are responding to land-use and climate change.")</f>
        <v>The National Ecological Observatory Network (NEON) will monitor ground beetle populations across a network of broadly distributed sites because beetles are prevalent in food webs, are sensitive to abiotic factors, and have an established role as indicator species of habitat and climatic shifts. We describe the design of ground beetle population sampling in the context of NEON's long-term, continentalscale monitoring program, emphasizing the sampling design, priorities, and collection methods. Freely available NEON ground beetle data and associated field and laboratory samples will increase scientific understanding of how biological communities are responding to land-use and climate change.</v>
      </c>
      <c r="C207" s="24" t="str">
        <f>IFERROR(__xludf.DUMMYFUNCTION("""COMPUTED_VALUE"""),"10.1002/ecs2.1744")</f>
        <v>10.1002/ecs2.1744</v>
      </c>
      <c r="D207" s="24" t="str">
        <f>IFERROR(__xludf.DUMMYFUNCTION("""COMPUTED_VALUE"""),"Keck et al")</f>
        <v>Keck et al</v>
      </c>
      <c r="E207" s="24" t="str">
        <f>IFERROR(__xludf.DUMMYFUNCTION("""COMPUTED_VALUE"""),"WOS:000400985300011")</f>
        <v>WOS:000400985300011</v>
      </c>
      <c r="F207" s="24" t="str">
        <f>IFERROR(__xludf.DUMMYFUNCTION("""COMPUTED_VALUE"""),"[""ELIGIBLE""]")</f>
        <v>["ELIGIBLE"]</v>
      </c>
    </row>
    <row r="208">
      <c r="A208" s="24" t="str">
        <f>IFERROR(__xludf.DUMMYFUNCTION("""COMPUTED_VALUE"""),"Independent effects of warming and altered precipitation pattern on nematode community structure in an arable field")</f>
        <v>Independent effects of warming and altered precipitation pattern on nematode community structure in an arable field</v>
      </c>
      <c r="B208" s="24" t="str">
        <f>IFERROR(__xludf.DUMMYFUNCTION("""COMPUTED_VALUE"""),"Global environmental change is causing increases in soil temperatures and alternations in precipitation patterns, which are affecting soil biota in natural and managed systems. Arable soils, generally disturbed due to management practice, are particularly"&amp;" sensitive to a changing environment. However, little is known how warming interacts with precipitation pattern to affect soil fauna and thereby ecosystem functions. In an arable system, we investigated the interactions of soil warming and altered precipi"&amp;"tation amount and frequency on soil conditions and health using nematodes as bioindicators. Our findings showed that the nematode population density was significantly increased by warming and decreased by reduced precipitation frequency. Warming mainly fo"&amp;"stered the density of fungal feeders and obligatory plant parasites, with the latter suggesting higher crop damage. Rootassociated plant feeders were further affected by changes in precipitation pattern; their density declined with reduced precipitation f"&amp;"requency and increased with the alternated precipitation amount. The nematode abundance was generally low in the arable ecosystem and remained stable under the simulated environmental change. In response to warming, the major soil decomposition channel vi"&amp;"a bacteria was reduced, and the fungal mediated pathway fostered, implying more fungal dominated depleted and degraded soil conditions. Soil decomposition pathways were not affected by altered precipitation pattern, neither by amount nor by frequency. Ove"&amp;"rall, warming and precipitation independently altered the soil nematode fauna and the functioning of belowground food webs. Therefore, our study highlights the need for more research considering the interactions of environmental variables to see if this l"&amp;"ack is a general pattern and to develop strategies for agroecosystem's management under climate change.")</f>
        <v>Global environmental change is causing increases in soil temperatures and alternations in precipitation patterns, which are affecting soil biota in natural and managed systems. Arable soils, generally disturbed due to management practice, are particularly sensitive to a changing environment. However, little is known how warming interacts with precipitation pattern to affect soil fauna and thereby ecosystem functions. In an arable system, we investigated the interactions of soil warming and altered precipitation amount and frequency on soil conditions and health using nematodes as bioindicators. Our findings showed that the nematode population density was significantly increased by warming and decreased by reduced precipitation frequency. Warming mainly fostered the density of fungal feeders and obligatory plant parasites, with the latter suggesting higher crop damage. Rootassociated plant feeders were further affected by changes in precipitation pattern; their density declined with reduced precipitation frequency and increased with the alternated precipitation amount. The nematode abundance was generally low in the arable ecosystem and remained stable under the simulated environmental change. In response to warming, the major soil decomposition channel via bacteria was reduced, and the fungal mediated pathway fostered, implying more fungal dominated depleted and degraded soil conditions. Soil decomposition pathways were not affected by altered precipitation pattern, neither by amount nor by frequency. Overall, warming and precipitation independently altered the soil nematode fauna and the functioning of belowground food webs. Therefore, our study highlights the need for more research considering the interactions of environmental variables to see if this lack is a general pattern and to develop strategies for agroecosystem's management under climate change.</v>
      </c>
      <c r="C208" s="24" t="str">
        <f>IFERROR(__xludf.DUMMYFUNCTION("""COMPUTED_VALUE"""),"10.1016/j.agee.2021.107467")</f>
        <v>10.1016/j.agee.2021.107467</v>
      </c>
      <c r="D208" s="24" t="str">
        <f>IFERROR(__xludf.DUMMYFUNCTION("""COMPUTED_VALUE"""),"Keck et al")</f>
        <v>Keck et al</v>
      </c>
      <c r="E208" s="24" t="str">
        <f>IFERROR(__xludf.DUMMYFUNCTION("""COMPUTED_VALUE"""),"WOS:000653013500010")</f>
        <v>WOS:000653013500010</v>
      </c>
      <c r="F208" s="24" t="str">
        <f>IFERROR(__xludf.DUMMYFUNCTION("""COMPUTED_VALUE"""),"[""ELIGIBLE""]")</f>
        <v>["ELIGIBLE"]</v>
      </c>
    </row>
    <row r="209">
      <c r="A209" s="24" t="str">
        <f>IFERROR(__xludf.DUMMYFUNCTION("""COMPUTED_VALUE"""),"Sixty-year legacy of human impacts on a high Arctic ecosystem")</f>
        <v>Sixty-year legacy of human impacts on a high Arctic ecosystem</v>
      </c>
      <c r="B209" s="24" t="str">
        <f>IFERROR(__xludf.DUMMYFUNCTION("""COMPUTED_VALUE"""),"1. The high Arctic is the world's fasting warming biome, allowing access to sections of previously inaccessible land for resource extraction. Starting in 2011, exploration of one of the Earth's largest undeveloped coal seams was initiated in a relatively "&amp;"pristine, polar desert environment in the Canadian high Arctic. Due to the relative lack of historic anthropogenic disturbance, significant gaps in knowledge exist on how the landscape will be impacted by development. 2. At an abandoned airstrip located n"&amp;"ear the area of current exploration, we used a disturbance case-control approach to evaluate the long-term ecological consequences of high Arctic infrastructure disturbance to vegetation and sensitive, ice-rich permafrost. We quantified: (i) long-term eff"&amp;"ects on vegetation diversity, soil nutrients and abiotic ground conditions and (ii) the alteration of the ground surface topography and legacy of subsurface thermal changes. 3. We found that in over 60 years since abandonment, the disturbed landscape has "&amp;"not recovered to initial conditions but instead reflects a disturbance-initiated succession towards a different stable-state community. 4. Microtopography greatly influenced recovery patterns in the landscape. The terrain overlaying buried ice (ice-wedge "&amp;"polygon troughs) was the most sensitive to disturbance and had a different species composition, decreased plot-level species richness, significant increases in vegetation cover and a drastically reduced seasonal fluctuation in subsurface temperatures. In "&amp;"contrast, disturbed polygon tops showed resiliency in vegetation recovery, but still had remarkable increases in depth of seasonal soil thaw (active layer). 5. Synthesis and applications. Our results indicate that disturbance effects differ depending on m"&amp;"icrotopographic features, leading to an increased patchiness of the landscape as found elsewhere in the Arctic. Managers who wish to lessen their impact on high Arctic environments should avoid areas of sensitive, ice-rich permafrost, constrain the geogra"&amp;"phic scale of near-surface ground disturbance, limit vegetation removal where possible and reseed disturbed areas with native species.")</f>
        <v>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v>
      </c>
      <c r="C209" s="24" t="str">
        <f>IFERROR(__xludf.DUMMYFUNCTION("""COMPUTED_VALUE"""),"10.1111/1365-2664.12603")</f>
        <v>10.1111/1365-2664.12603</v>
      </c>
      <c r="D209" s="24" t="str">
        <f>IFERROR(__xludf.DUMMYFUNCTION("""COMPUTED_VALUE"""),"Keck et al")</f>
        <v>Keck et al</v>
      </c>
      <c r="E209" s="24" t="str">
        <f>IFERROR(__xludf.DUMMYFUNCTION("""COMPUTED_VALUE"""),"WOS:000380065400027")</f>
        <v>WOS:000380065400027</v>
      </c>
      <c r="F209" s="24" t="str">
        <f>IFERROR(__xludf.DUMMYFUNCTION("""COMPUTED_VALUE"""),"[""ELIGIBLE""]")</f>
        <v>["ELIGIBLE"]</v>
      </c>
    </row>
    <row r="210">
      <c r="A210" s="24" t="str">
        <f>IFERROR(__xludf.DUMMYFUNCTION("""COMPUTED_VALUE"""),"Elevated seawater temperature disrupts the microbiome of an ecologically important bioeroding sponge")</f>
        <v>Elevated seawater temperature disrupts the microbiome of an ecologically important bioeroding sponge</v>
      </c>
      <c r="B210" s="24" t="str">
        <f>IFERROR(__xludf.DUMMYFUNCTION("""COMPUTED_VALUE"""),"Bioeroding sponges break down calcium carbonate substratum, including coral skeleton, and their capacity for reef erosion is expected to increase in warmer and more acidic oceans. However, elevated temperature can disrupt the functionally important microb"&amp;"ial symbionts of some sponge species, often with adverse consequences for host health. Here, we provide the first detailed description of the microbial community of the bioeroding sponge Cliona orientalis and assess how the community responds to seawater "&amp;"temperatures incrementally increasing from 23 degrees C to 32 degrees C. The microbiome, identified using 16S rRNA gene sequencing, was dominated by Alphaproteobacteria, including a single operational taxonomic unit (OTU; Rhodothalassium sp.) that represe"&amp;"nted 21% of all sequences. The core microbial community (taxa present in &gt;80% of samples) included putative nitrogen fixers and ammonia oxidizers, suggesting that symbiotic nitrogen metabolism may be a key function of the C. orientalis holobiont. The C. o"&amp;"rientalis microbiome was generally stable at temperatures up to 27 degrees C; however, a community shift occurred at 29 degrees C, including changes in the relative abundance and turnover of microbial OTUs. Notably, this microbial shift occurred at a lowe"&amp;"r temperature than the 32 degrees C threshold that induced sponge bleaching, indicating that changes in the microbiome may play a role in the destabilization of the C. orientalis holobiont. C. orientalis failed to regain Symbiodinium or restore its baseli"&amp;"ne microbial community following bleaching, suggesting that the sponge has limited ability to recover from extreme thermal exposure, at least under aquarium conditions.")</f>
        <v>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v>
      </c>
      <c r="C210" s="24" t="str">
        <f>IFERROR(__xludf.DUMMYFUNCTION("""COMPUTED_VALUE"""),"10.1111/mec.14544")</f>
        <v>10.1111/mec.14544</v>
      </c>
      <c r="D210" s="24" t="str">
        <f>IFERROR(__xludf.DUMMYFUNCTION("""COMPUTED_VALUE"""),"Keck et al")</f>
        <v>Keck et al</v>
      </c>
      <c r="E210" s="24" t="str">
        <f>IFERROR(__xludf.DUMMYFUNCTION("""COMPUTED_VALUE"""),"WOS:000431667800027")</f>
        <v>WOS:000431667800027</v>
      </c>
      <c r="F210" s="24" t="str">
        <f>IFERROR(__xludf.DUMMYFUNCTION("""COMPUTED_VALUE"""),"[""ELIGIBLE""]")</f>
        <v>["ELIGIBLE"]</v>
      </c>
    </row>
    <row r="211">
      <c r="A211" s="24" t="str">
        <f>IFERROR(__xludf.DUMMYFUNCTION("""COMPUTED_VALUE"""),"Measuring the effects of reduced snow cover on Australia's alpine arthropods")</f>
        <v>Measuring the effects of reduced snow cover on Australia's alpine arthropods</v>
      </c>
      <c r="B211" s="24" t="str">
        <f>IFERROR(__xludf.DUMMYFUNCTION("""COMPUTED_VALUE"""),"Snow is one of the most important factors in the ecology of alpine ecosystems. In Australia, both the depth and duration of snow cover have declined significantly in recent decades and this trend is projected to continue with global warming. Many small ar"&amp;"thropods remain active throughout the winter, within a space beneath the snowpack (subnivean) where the snow's insulation creates a thermally stable environment. Using field surveys and experimental manipulation of snow depth at two locations in the Austr"&amp;"alian alpine region, we explored the diversity of winter-active arthropods and their response to reduced snow. Individuals from 18 arthropod Orders were detected beneath the snow during winter, with Collembola, Araneae, Acari and Coleoptera accounting for"&amp;" 95-98% of the individuals collected. The subnivean taxa represented a distinct subset of those active outside the winter months. Removal of the snow layer increased daily temperature fluctuations, increased the number of days below freezing and raised th"&amp;"e mean surface temperatures. Community composition was altered by snow removal, driven by changes in the numbers of two abundant springtail taxa at each location. We found a strong reduction in the abundances of both taxa at one study site, and contrastin"&amp;"g responses (one strong positive and one strong negative) to snow removal at the second study site. Subnivean arthropod communities in Australia thus appear sensitive to snow conditions at small spatial scales.")</f>
        <v>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v>
      </c>
      <c r="C211" s="24" t="str">
        <f>IFERROR(__xludf.DUMMYFUNCTION("""COMPUTED_VALUE"""),"10.1111/aec.12507")</f>
        <v>10.1111/aec.12507</v>
      </c>
      <c r="D211" s="24" t="str">
        <f>IFERROR(__xludf.DUMMYFUNCTION("""COMPUTED_VALUE"""),"Keck et al")</f>
        <v>Keck et al</v>
      </c>
      <c r="E211" s="24" t="str">
        <f>IFERROR(__xludf.DUMMYFUNCTION("""COMPUTED_VALUE"""),"WOS:000413405000010")</f>
        <v>WOS:000413405000010</v>
      </c>
      <c r="F211" s="24" t="str">
        <f>IFERROR(__xludf.DUMMYFUNCTION("""COMPUTED_VALUE"""),"[""ELIGIBLE""]")</f>
        <v>["ELIGIBLE"]</v>
      </c>
    </row>
    <row r="212">
      <c r="A212" s="24" t="str">
        <f>IFERROR(__xludf.DUMMYFUNCTION("""COMPUTED_VALUE"""),"Agriculture erases climate-driven β-diversity in Neotropical bird communities")</f>
        <v>Agriculture erases climate-driven β-diversity in Neotropical bird communities</v>
      </c>
      <c r="B212" s="24" t="str">
        <f>IFERROR(__xludf.DUMMYFUNCTION("""COMPUTED_VALUE"""),"Earth is experiencing multiple global changes that will, together, determine the fate of many species. Yet, how biological communities respond to concurrent stressors at local-to-regional scales remains largely unknown. In particular, understanding how lo"&amp;"cal habitat conversion interacts with regional climate change to shape patterns in beta-diversity-differences among sites in their species compositions-is critical to forecast communities in the Anthropocene. Here, we study patterns in bird beta-diversity"&amp;" across land-use and precipitation gradients in Costa Rica. We mapped forest cover, modeled regional precipitation, and collected data on bird community composition, vegetation structure, and tree diversity across 120 sites on 20 farms to answer three que"&amp;"stions. First, do bird communities respond more strongly to changes in land use or climate in northwest Costa Rica? Second, does habitat conversion eliminate beta-diversity across climate gradients? Third, does regional climate control how communities res"&amp;"pond to habitat conversion and, if so, how? After correcting for imperfect detection, we found that local land-use determined community shifts along the climate gradient. In forests, bird communities were distinct between sites that differed in vegetation"&amp;" structure or precipitation. In agriculture, however, vegetation structure was more uniform, contributing to 7%-11% less bird turnover than in forests. In addition, bird responses to agriculture and climate were linked: agricultural communities across the"&amp;" precipitation gradient shared more species with dry than wet forest communities. These findings suggest that habitat conversion and anticipated climate drying will act together to exacerbate biotic homogenization.")</f>
        <v>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v>
      </c>
      <c r="C212" s="24" t="str">
        <f>IFERROR(__xludf.DUMMYFUNCTION("""COMPUTED_VALUE"""),"10.1111/gcb.13821")</f>
        <v>10.1111/gcb.13821</v>
      </c>
      <c r="D212" s="24" t="str">
        <f>IFERROR(__xludf.DUMMYFUNCTION("""COMPUTED_VALUE"""),"Keck et al")</f>
        <v>Keck et al</v>
      </c>
      <c r="E212" s="24" t="str">
        <f>IFERROR(__xludf.DUMMYFUNCTION("""COMPUTED_VALUE"""),"WOS:000426506100056")</f>
        <v>WOS:000426506100056</v>
      </c>
      <c r="F212" s="24" t="str">
        <f>IFERROR(__xludf.DUMMYFUNCTION("""COMPUTED_VALUE"""),"[""ELIGIBLE""]")</f>
        <v>["ELIGIBLE"]</v>
      </c>
    </row>
    <row r="213">
      <c r="A213" s="24" t="str">
        <f>IFERROR(__xludf.DUMMYFUNCTION("""COMPUTED_VALUE"""),"Effects of of fire severity on the composition and functional traits of litter-dwelling macroinvertebrates in a temperate forest")</f>
        <v>Effects of of fire severity on the composition and functional traits of litter-dwelling macroinvertebrates in a temperate forest</v>
      </c>
      <c r="B213" s="24" t="str">
        <f>IFERROR(__xludf.DUMMYFUNCTION("""COMPUTED_VALUE"""),"High severity fires are likely to become more prevalent with global climate change, so it is critical that we understand their effects on forest ecosystems. Leaf litter dependent fauna are likely to be particularly vulnerable to habitat loss resulting fro"&amp;"m fire, which often destroys their leaf litter habitat. We hypothesised that, as fire severity increased: (1) richness and abundance of macroinvertebrate litter fauna would decline; (2) species composition would change; and (3) species responses would dep"&amp;"end on morphological and trophic traits, with proportions of larger, winged and predatory species increasing with fire severity. To test the effects of fire severity on the composition and functional traits of litter-dwelling macroinvertebrates, we collec"&amp;"ted macro invertebrates using litterbags and standardised hand searches of logs at unbumt, low severity (ground burnt) and high severity (crown burnt) burnt eucalyptus forests (n = 7) in south eastern Australia, three years after fire. Litter-dwelling mac"&amp;"roinvertebrates were larger, less abundant and less species-rich at high severity burnt than unburnt sites and species composition differed from unburnt and low severity burnt sites. Fire severity did not affect the proportion of winged species or individ"&amp;"uals. Thus, we suggest small bodied species may struggle to recolonize through limited dispersal ability or may be limited by the drier post-fire environment. Increases in large scale, high severity fires may therefore result in assemblages dominated by l"&amp;"arger macroinvertebrate species, but will also be associated with lower species richness.")</f>
        <v>High severity fires are likely to become more prevalent with global climate change, so it is critical that we understand their effects on forest ecosystems. Leaf litter dependent fauna are likely to be particularly vulnerable to habitat loss resulting from fire, which often destroys their leaf litter habitat. We hypothesised that, as fire severity increased: (1) richness and abundance of macroinvertebrate litter fauna would decline; (2) species composition would change; and (3) species responses would depend on morphological and trophic traits, with proportions of larger, winged and predatory species increasing with fire severity. To test the effects of fire severity on the composition and functional traits of litter-dwelling macroinvertebrates, we collected macro invertebrates using litterbags and standardised hand searches of logs at unbumt, low severity (ground burnt) and high severity (crown burnt) burnt eucalyptus forests (n = 7) in south eastern Australia, three years after fire. Litter-dwelling macroinvertebrates were larger, less abundant and less species-rich at high severity burnt than unburnt sites and species composition differed from unburnt and low severity burnt sites. Fire severity did not affect the proportion of winged species or individuals. Thus, we suggest small bodied species may struggle to recolonize through limited dispersal ability or may be limited by the drier post-fire environment. Increases in large scale, high severity fires may therefore result in assemblages dominated by larger macroinvertebrate species, but will also be associated with lower species richness.</v>
      </c>
      <c r="C213" s="24" t="str">
        <f>IFERROR(__xludf.DUMMYFUNCTION("""COMPUTED_VALUE"""),"10.1016/j.foreco.2018.12.030")</f>
        <v>10.1016/j.foreco.2018.12.030</v>
      </c>
      <c r="D213" s="24" t="str">
        <f>IFERROR(__xludf.DUMMYFUNCTION("""COMPUTED_VALUE"""),"Keck et al")</f>
        <v>Keck et al</v>
      </c>
      <c r="E213" s="24" t="str">
        <f>IFERROR(__xludf.DUMMYFUNCTION("""COMPUTED_VALUE"""),"WOS:000457657100026")</f>
        <v>WOS:000457657100026</v>
      </c>
      <c r="F213" s="24" t="str">
        <f>IFERROR(__xludf.DUMMYFUNCTION("""COMPUTED_VALUE"""),"[""ELIGIBLE""]")</f>
        <v>["ELIGIBLE"]</v>
      </c>
    </row>
    <row r="214">
      <c r="A214" s="24" t="str">
        <f>IFERROR(__xludf.DUMMYFUNCTION("""COMPUTED_VALUE"""),"Shifts in aquatic insect composition in a tropical forest stream after three decades of climatic warming")</f>
        <v>Shifts in aquatic insect composition in a tropical forest stream after three decades of climatic warming</v>
      </c>
      <c r="B214" s="24" t="str">
        <f>IFERROR(__xludf.DUMMYFUNCTION("""COMPUTED_VALUE"""),"The effects of climatic warming on tropical streams have received little attention, and field studies of such changes are generally lacking. Drifting insects from a Hong Kong forest stream were sampled for 36 months between 2013 and 2016, and compared wit"&amp;"h samples collected using identical methods in 1983-84. Mean air temperatures rose by similar to 0.5 degrees C (0.17 degrees C per decade) over this period. The stream drained an uninhabited protected area, so no climate-change effects were confounded by "&amp;"anthropogenic disturbance. In total, 105 taxa and &gt;77,000 individuals were collected. Richness of samples in the historic and contemporary datasets did not differ, but true diversity of drifting insects was highest in 1983-84, and declined between 2013-14"&amp;" and 2015-16. There was considerable disparity in assemblage composition between 1983-84 and 2013-16, and smaller between-year changes in the contemporary dataset. Nine indicator species of the historic dataset were identified. Most were mayflies, particu"&amp;"larly Baetidae, which were greatly reduced in relative abundance in 2013-16. Diptera became more numerous, and tanypodine chironomids were the sole contemporary indicator taxon. Relative abundance of eight of 19 drifting species (comprising 60% of total i"&amp;"nsects) was lower in 2013-16, when the dominant baetid mayfly during 1983-84 had declined by almost 90%; only one of the 19 species occurred at higher abundance. Eight species were affected by seasonal temperature variability, but these responses were not"&amp;" correlated with any tendency to exhibit long-term changes in abundance. Substantial shifts in composition, including declines in mayfly relative abundance and assemblage diversity, occurred after three decades of warming, despite the broad annual range o"&amp;"f stream temperatures (similar to 16 degrees C) in Hong Kong. This contradicts the well-known prediction that organisms from variable climates have evolved wider thermal tolerances that reflect prevailing environmental conditions. The observed composition"&amp;"al reorganization indicates that variability, rather than stability, may be typical of undisturbed tropical stream communities.")</f>
        <v>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v>
      </c>
      <c r="C214" s="24" t="str">
        <f>IFERROR(__xludf.DUMMYFUNCTION("""COMPUTED_VALUE"""),"10.1111/gcb.15325")</f>
        <v>10.1111/gcb.15325</v>
      </c>
      <c r="D214" s="24" t="str">
        <f>IFERROR(__xludf.DUMMYFUNCTION("""COMPUTED_VALUE"""),"Keck et al")</f>
        <v>Keck et al</v>
      </c>
      <c r="E214" s="24" t="str">
        <f>IFERROR(__xludf.DUMMYFUNCTION("""COMPUTED_VALUE"""),"WOS:000570554900001")</f>
        <v>WOS:000570554900001</v>
      </c>
      <c r="F214" s="24" t="str">
        <f>IFERROR(__xludf.DUMMYFUNCTION("""COMPUTED_VALUE"""),"[""ELIGIBLE""]")</f>
        <v>["ELIGIBLE"]</v>
      </c>
    </row>
    <row r="215">
      <c r="A215" s="24" t="str">
        <f>IFERROR(__xludf.DUMMYFUNCTION("""COMPUTED_VALUE"""),"Plant-mediated effects of long-term warming on soil microorganisms on the Qinghai-Tibet Plateau")</f>
        <v>Plant-mediated effects of long-term warming on soil microorganisms on the Qinghai-Tibet Plateau</v>
      </c>
      <c r="B215" s="24" t="str">
        <f>IFERROR(__xludf.DUMMYFUNCTION("""COMPUTED_VALUE"""),"Exploring the feedback of the soil microbial community and associated processes to global warming represents a major global challenge. To date, the focus has been placed on the direct effects of warming on soil microbial communities, overlooking how concu"&amp;"rrent changes in plant communities may mediate these effects. Additionally, few studies have examined long-term effects of warming in more than one environmental context. In the present study, we conducted a long-term simulated warming experiment to inves"&amp;"tigate how changes to the plant community within two different environmental contexts affect the responses of soil microorganisms and their respiration to warming. We analyzed the abundance, diversity, and community composition of plants and soil microbes"&amp;", in addition to soil microbial interaction networks and soil microbial respiration, in two typical ecosystems of the Qinghai-Tibet Plateau. Following long-term warming, the soil microbial composition, structure, and interactions changed, and the shifts d"&amp;"epended on the aboveground plant type. Specifically, the co-occurring networks containing different microbial communities tended to be more complex in a shrubland than in a grassland after warming, leading to higher carbon use efficiency. Additionally, lo"&amp;"ng-term warming changed the structure of soil microbial communities, increasing the relative abundances of oligotrophic taxa in the shrubland but not in the grassland. The shifts in community structure and interaction patterns could be explained by vegeta"&amp;"tion community attributes, highlighting the strong effect of plants on soil microbial responses. These plant-mediated effects on community structure and interactions subsequently could explain changes in soil microbial respiration rates. Microbial respira"&amp;"tion showed a positive response to elevated temperature in the grassland but no response to temperature in the shrubland. These results indicate that interactions between soil microbial communities and plant communities determine how soil microbes respond"&amp;" to global warming. Therefore, future research on soil microbial community composition and associated carbon feedbacks to the climate change should include plant-mediated effects, which can provide a scientific basis for effectively mitigating global warm"&amp;"ing.")</f>
        <v>Exploring the feedback of the soil microbial community and associated processes to global warming represents a major global challenge. To date, the focus has been placed on the direct effects of warming on soil microbial communities, overlooking how concurrent changes in plant communities may mediate these effects. Additionally, few studies have examined long-term effects of warming in more than one environmental context. In the present study, we conducted a long-term simulated warming experiment to investigate how changes to the plant community within two different environmental contexts affect the responses of soil microorganisms and their respiration to warming. We analyzed the abundance, diversity, and community composition of plants and soil microbes, in addition to soil microbial interaction networks and soil microbial respiration, in two typical ecosystems of the Qinghai-Tibet Plateau. Following long-term warming, the soil microbial composition, structure, and interactions changed, and the shifts depended on the aboveground plant type. Specifically, the co-occurring networks containing different microbial communities tended to be more complex in a shrubland than in a grassland after warming, leading to higher carbon use efficiency. Additionally, long-term warming changed the structure of soil microbial communities, increasing the relative abundances of oligotrophic taxa in the shrubland but not in the grassland. The shifts in community structure and interaction patterns could be explained by vegetation community attributes, highlighting the strong effect of plants on soil microbial responses. These plant-mediated effects on community structure and interactions subsequently could explain changes in soil microbial respiration rates. Microbial respiration showed a positive response to elevated temperature in the grassland but no response to temperature in the shrubland. These results indicate that interactions between soil microbial communities and plant communities determine how soil microbes respond to global warming. Therefore, future research on soil microbial community composition and associated carbon feedbacks to the climate change should include plant-mediated effects, which can provide a scientific basis for effectively mitigating global warming.</v>
      </c>
      <c r="C215" s="24" t="str">
        <f>IFERROR(__xludf.DUMMYFUNCTION("""COMPUTED_VALUE"""),"10.1016/j.catena.2021.105391")</f>
        <v>10.1016/j.catena.2021.105391</v>
      </c>
      <c r="D215" s="24" t="str">
        <f>IFERROR(__xludf.DUMMYFUNCTION("""COMPUTED_VALUE"""),"Keck et al")</f>
        <v>Keck et al</v>
      </c>
      <c r="E215" s="24" t="str">
        <f>IFERROR(__xludf.DUMMYFUNCTION("""COMPUTED_VALUE"""),"WOS:000657369600015")</f>
        <v>WOS:000657369600015</v>
      </c>
      <c r="F215" s="24" t="str">
        <f>IFERROR(__xludf.DUMMYFUNCTION("""COMPUTED_VALUE"""),"[""ELIGIBLE""]")</f>
        <v>["ELIGIBLE"]</v>
      </c>
    </row>
    <row r="216">
      <c r="A216" s="24" t="str">
        <f>IFERROR(__xludf.DUMMYFUNCTION("""COMPUTED_VALUE"""),"Alien turf: Overfishing, overgrazing and invader domination in south-eastern Levant reef ecosystems")</f>
        <v>Alien turf: Overfishing, overgrazing and invader domination in south-eastern Levant reef ecosystems</v>
      </c>
      <c r="B216" s="24" t="str">
        <f>IFERROR(__xludf.DUMMYFUNCTION("""COMPUTED_VALUE"""),"Coastal reefs are highly diverse marine ecosystems that in many regions suffer today from growing pressures by human activities. Among the most highly-stressed are those found in the Levantine basin (south-eastern Mediterranean Sea). The Levant represents"&amp;" the trailing-edge of distribution of native species where they are exposed to the most extreme temperature and salinity conditions, and the region is also fast-warming and exposed to a great many alien species and strong fishing pressure. In this study, "&amp;"the ecological state of reefs in the south-eastern Levant was assessed quantitatively (including inside a small marine reserve) using current, extensive, survey data with reference to anecdotal historical information on their more pristine past. 0002The r"&amp;"esults of very extensive subtidal community surveys that were conducted in north Israel indicate that reefs in this area are currently dominated by turf-forming algae and aliens, and sustain low numbers of top predators. Specifically, it was found that on"&amp;" these Levant reefs: (1) commercial species represent a very small part of the fish assemblage (except inside the reserve); (2) alien species constitute a considerable portion (23-44%) of the fish assemblage (including in the reserve) and 95-99% of epi-be"&amp;"nthic molluscs, including inside the marine reserve; and (3) turf barrens are the dominant substrate cover, while cover of native brown algae canopy is limited to small patches occurring only during winter and spring. 0003These findings suggest that the L"&amp;"evant reefs have been highly transformed by overfishing and alien invasions, and probably also climate change, and that even well managed marine reserves had little effect on alien species presence. From a biogeographic-conservation perspective, as both w"&amp;"arming and bioinvasions continue in the Mediterranean, it is expected that this degraded reef state will gradually advance westward. Alleviating fishing pressure with marine reserves might make the reefs more resilient to these regional pressures, but ali"&amp;"en invaders will remain a dominant feature in the system. Therefore, a more realistic conservation target might be the preservation or restoration of ecosystem functions rather than the original native biodiversity.")</f>
        <v>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v>
      </c>
      <c r="C216" s="24" t="str">
        <f>IFERROR(__xludf.DUMMYFUNCTION("""COMPUTED_VALUE"""),"10.1002/aqc.2862")</f>
        <v>10.1002/aqc.2862</v>
      </c>
      <c r="D216" s="24" t="str">
        <f>IFERROR(__xludf.DUMMYFUNCTION("""COMPUTED_VALUE"""),"Keck et al")</f>
        <v>Keck et al</v>
      </c>
      <c r="E216" s="24" t="str">
        <f>IFERROR(__xludf.DUMMYFUNCTION("""COMPUTED_VALUE"""),"WOS:000429696900009")</f>
        <v>WOS:000429696900009</v>
      </c>
      <c r="F216" s="24" t="str">
        <f>IFERROR(__xludf.DUMMYFUNCTION("""COMPUTED_VALUE"""),"[""ELIGIBLE""]")</f>
        <v>["ELIGIBLE"]</v>
      </c>
    </row>
    <row r="217">
      <c r="A217" s="24" t="str">
        <f>IFERROR(__xludf.DUMMYFUNCTION("""COMPUTED_VALUE"""),"The combined effects of an extreme heatwave and wildfire on tallgrass prairie vegetation")</f>
        <v>The combined effects of an extreme heatwave and wildfire on tallgrass prairie vegetation</v>
      </c>
      <c r="B217" s="24" t="str">
        <f>IFERROR(__xludf.DUMMYFUNCTION("""COMPUTED_VALUE"""),"Questions Climate extremes are predicted to become more common in many ecosystems. Climate extremes can promote and interact with disturbances, but the combined effects of climate extremes and disturbances have not been quantified in many ecosystems. In t"&amp;"his study, we ask whether the dual impact of a climate extreme and concomitant disturbance (wildfire) has a greater affect than a climate extreme alone. Location Tallgrass prairie in the Konza Prairie Biological Station, northeastern Kansas, USA. Methods "&amp;"We quantified the response of a tallgrass prairie plant community to a 2-year climate extreme of low growing-season precipitation and high temperatures. In the first year of the climate extreme, a subset of plots was burned by a growing-season wildfire. T"&amp;"his natural experiment allowed us to compare community responses to a climate extreme with and without wildfire. Results In plots exposed to the climate extreme but not wildfire, community structure, diversity, and composition showed minor to insignifican"&amp;"t changes, such as a 20% reduction in grass cover and a slight increase in species diversity. Plots exposed to both the climate extreme and wildfire underwent larger changes, including an 80% reduction in grass cover, 50% increase in forb cover, and incre"&amp;"ased plant diversity. Two years after the climate extreme, structural shifts in burned plots showed little sign of recovery, indicating a potentially lasting shift in plant community structure. Conclusions Our results suggest that community responses to c"&amp;"limate extremes need to account for climate-related disturbances - in this case, high temperatures, drought and wildfire. This response diverged from our expectation that heat, drought, and an additional fire would favor grasses. Although growing-season w"&amp;"ildfires in tallgrass prairie have been rare in recent decades, they will likely become more common with climate change, potentially leading to changes in grassland structure.")</f>
        <v>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v>
      </c>
      <c r="C217" s="24" t="str">
        <f>IFERROR(__xludf.DUMMYFUNCTION("""COMPUTED_VALUE"""),"10.1111/jvs.12750")</f>
        <v>10.1111/jvs.12750</v>
      </c>
      <c r="D217" s="24" t="str">
        <f>IFERROR(__xludf.DUMMYFUNCTION("""COMPUTED_VALUE"""),"Keck et al")</f>
        <v>Keck et al</v>
      </c>
      <c r="E217" s="24" t="str">
        <f>IFERROR(__xludf.DUMMYFUNCTION("""COMPUTED_VALUE"""),"WOS:000474629200010")</f>
        <v>WOS:000474629200010</v>
      </c>
      <c r="F217" s="24" t="str">
        <f>IFERROR(__xludf.DUMMYFUNCTION("""COMPUTED_VALUE"""),"[""ELIGIBLE""]")</f>
        <v>["ELIGIBLE"]</v>
      </c>
    </row>
    <row r="218">
      <c r="A218" s="24" t="str">
        <f>IFERROR(__xludf.DUMMYFUNCTION("""COMPUTED_VALUE"""),"Does structural change in the zooplankton community affect larval fish feeding in anthropogenically disturbed tropical waters?")</f>
        <v>Does structural change in the zooplankton community affect larval fish feeding in anthropogenically disturbed tropical waters?</v>
      </c>
      <c r="B218" s="24" t="str">
        <f>IFERROR(__xludf.DUMMYFUNCTION("""COMPUTED_VALUE"""),"Anthropogenic perturbations and climate change have altered the zooplankton community structure in the Klang Strait during the past 30 years, in that the taxa of large-bodied crustaceans (Acartiidae, Calanidae, Pseudodiaptomidae) are being replaced by tho"&amp;"se of small-bodied crustaceans (Oithonidae, Ectinosomatidae), gelatinous jellyfish, and appendicularians. Since zooplankton constitutes the main larval food, we questioned: have bottom-up effects impacted larval fish feeding via the food chain? Larval fis"&amp;"h that were sampled previously (1985-1986) and nearly three decades thereafter (2013-2014) were analysed for their dietary composition. Despite the dramatic replacements of zooplankton taxa due to escalating anthropogenic disturbances, the dominant copepo"&amp;"d families, Paracalanidae, Oithonidae and Euterpinidae, remain the major prey for fish larvae. Dietary shifts in prey composition from before to after impact depend on the larval fish family and their ontogenetic stage. Dietary changes are observed in the"&amp;" Bregmacerotidae, Engraulidae, Gobiidae and Sciaenidae that opportunistically feed on the small-bodied copepods (oithonids and Parvocalanus crassirostris), whereas the Callionymidae, Clupeidae and Cynoglossidae naturally feed on these copepods even before"&amp;" these prey become numerically dominant with anthropogenic disturbance. There is no dietary shift in the Leiognathidae, exceptional in that they are specialists feeding mainly on detritus and polychaete larvae. Since the bottom-up effects are not comprehe"&amp;"nsive among fish families and dietary plasticity is evident, it is postulated that only the intolerant or non-adaptable larval species are adversely affected by the environmental perturbations.")</f>
        <v>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v>
      </c>
      <c r="C218" s="24" t="str">
        <f>IFERROR(__xludf.DUMMYFUNCTION("""COMPUTED_VALUE"""),"10.1007/s10641-021-01189-2")</f>
        <v>10.1007/s10641-021-01189-2</v>
      </c>
      <c r="D218" s="24" t="str">
        <f>IFERROR(__xludf.DUMMYFUNCTION("""COMPUTED_VALUE"""),"Keck et al")</f>
        <v>Keck et al</v>
      </c>
      <c r="E218" s="24" t="str">
        <f>IFERROR(__xludf.DUMMYFUNCTION("""COMPUTED_VALUE"""),"WOS:000722475100001")</f>
        <v>WOS:000722475100001</v>
      </c>
      <c r="F218" s="24" t="str">
        <f>IFERROR(__xludf.DUMMYFUNCTION("""COMPUTED_VALUE"""),"[""ELIGIBLE""]")</f>
        <v>["ELIGIBLE"]</v>
      </c>
    </row>
    <row r="219">
      <c r="A219" s="24" t="str">
        <f>IFERROR(__xludf.DUMMYFUNCTION("""COMPUTED_VALUE"""),"Fire and distance from unburned forest influence bird assemblages in Southern Andean Yungas of Northwest Argentina: a case study")</f>
        <v>Fire and distance from unburned forest influence bird assemblages in Southern Andean Yungas of Northwest Argentina: a case study</v>
      </c>
      <c r="B219" s="24" t="str">
        <f>IFERROR(__xludf.DUMMYFUNCTION("""COMPUTED_VALUE"""),"Background Wildfires affect vegetation structure, functions, and other attributes of forest ecosystems. Among these attributes, bird assemblages may be influenced by the distance from undisturbed to fire-disturbed forests. Information about this influence"&amp;" is essential for designing management plans aimed at conserving birds' diversity in undisturbed forests, which contributes to their sustainability. In Northwest Argentina, timber extraction and man-caused fires threaten the sustainability of Southern And"&amp;"ean Yungas forests. In this region, we evaluated, in relation to a reference unburned forest, the effects of close and distant fire-disturbed patches on bird assemblages, exploring also relationships between burned and unburned forest structures on bird a"&amp;"ssemblages. On each site, we determined forest structural variables, and twice per year, from 2015 to 2017, we recorded birds seen or heard on every site, from dawn to 1000 hours, at 30 0.5 ha counting points. Results Abundance and richness of bird specie"&amp;"s were lower in the unburned reference site than in close- and distant-burned sites; the farther the distance of burned sites to the unburned site, the less similarity in bird assemblages. Bird assemblage abundance appeared to be associated with snag heig"&amp;"ht and basal area. However, bird species in mature forests were present at all sites and outnumbered those typically found in forest edges, or secondary or disturbed forests. Conclusions Connected areas between unburned and burned forest patches provide h"&amp;"abitat for birds living in both environments. Preventing forest fragmentation by reducing the number and size of wildfires, promoting selective timber logging, and banning post-fire snag removal will help promote suitable habitat for different bird assemb"&amp;"lages and contribute to Yungas forests' sustainability. This study is the first step toward understanding how fire-patch distances to unburned forests may affect bird assemblages in subtropical Southern Andean Yungas forests in South America and provide a"&amp;" basis for comparison with other subtropical ecosystems around the world.")</f>
        <v>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v>
      </c>
      <c r="C219" s="24" t="str">
        <f>IFERROR(__xludf.DUMMYFUNCTION("""COMPUTED_VALUE"""),"10.1186/s42408-020-00074-0")</f>
        <v>10.1186/s42408-020-00074-0</v>
      </c>
      <c r="D219" s="24" t="str">
        <f>IFERROR(__xludf.DUMMYFUNCTION("""COMPUTED_VALUE"""),"Keck et al")</f>
        <v>Keck et al</v>
      </c>
      <c r="E219" s="24" t="str">
        <f>IFERROR(__xludf.DUMMYFUNCTION("""COMPUTED_VALUE"""),"WOS:000542625800001")</f>
        <v>WOS:000542625800001</v>
      </c>
      <c r="F219" s="24" t="str">
        <f>IFERROR(__xludf.DUMMYFUNCTION("""COMPUTED_VALUE"""),"[""ELIGIBLE""]")</f>
        <v>["ELIGIBLE"]</v>
      </c>
    </row>
    <row r="220">
      <c r="A220" s="24" t="str">
        <f>IFERROR(__xludf.DUMMYFUNCTION("""COMPUTED_VALUE"""),"Sustained impacts of a hiking trail on changing Windswept Feldmark vegetation in the Australian Alps")</f>
        <v>Sustained impacts of a hiking trail on changing Windswept Feldmark vegetation in the Australian Alps</v>
      </c>
      <c r="B220" s="24" t="str">
        <f>IFERROR(__xludf.DUMMYFUNCTION("""COMPUTED_VALUE"""),"Damage to vegetation from tourism and recreation includes the impacts of hiking trails, which may favour trampling-tolerant plants over those that are more sensitive to this type of disturbance. Toassess how continued use of a hiking trail coupled with ch"&amp;"anges in local climate affect a rare Australian alpine plant community, we compared plant composition at different distances from a trail in 2013 during wetter conditions with that 10 years prior during a drought in 2003. In both years, only a few trampli"&amp;"ng-tolerant graminoids and cushion plants were found on the trail surface, which runs along the ridgeline. Species richness and cover in both surveys generally increased with distance from the trail, but there were differences between the windward and lee"&amp;"ward sides of the trail. This included increased abundance of some species but continued disruption of shrub succession on the leeward side of the trail. There was an overall increase in species richness between the two surveys, and changes in the abundan"&amp;"ce of many species independent of trampling effects, possibly reflecting the more favourable/wetter conditions for plant growth in 2013. These results suggest that changes in climatic conditions can affect community composition, but that this has not nega"&amp;"ted the impact of the hiking trail on this rare community. With average temperatures increasing, and snow cover declining in the Australian Alps, it is likely that there will be even more changes in the Windswept Feldmark, including the potential colonisa"&amp;"tion of these ridges by more competitive species, such as graminoids, at the expense of the dominant shrub and some herbs that are already adversely affected by trampling. Longer term monitoring of this rare community is imperative to better understand co"&amp;"mmunity processes in relation to the impacts of trail use and climate change. Management options to reduce these impacts are discussed.")</f>
        <v>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v>
      </c>
      <c r="C220" s="24" t="str">
        <f>IFERROR(__xludf.DUMMYFUNCTION("""COMPUTED_VALUE"""),"10.1071/BT14114")</f>
        <v>10.1071/BT14114</v>
      </c>
      <c r="D220" s="24" t="str">
        <f>IFERROR(__xludf.DUMMYFUNCTION("""COMPUTED_VALUE"""),"Keck et al")</f>
        <v>Keck et al</v>
      </c>
      <c r="E220" s="24" t="str">
        <f>IFERROR(__xludf.DUMMYFUNCTION("""COMPUTED_VALUE"""),"WOS:000341588000001")</f>
        <v>WOS:000341588000001</v>
      </c>
      <c r="F220" s="24" t="str">
        <f>IFERROR(__xludf.DUMMYFUNCTION("""COMPUTED_VALUE"""),"[""ELIGIBLE""]")</f>
        <v>["ELIGIBLE"]</v>
      </c>
    </row>
    <row r="221">
      <c r="A221" s="24" t="str">
        <f>IFERROR(__xludf.DUMMYFUNCTION("""COMPUTED_VALUE"""),"Alterations in the macrobenthic fauna from Guadarranque River (Southern Spain) associated with sediment-seawater acidification deriving from CO2 leakage")</f>
        <v>Alterations in the macrobenthic fauna from Guadarranque River (Southern Spain) associated with sediment-seawater acidification deriving from CO2 leakage</v>
      </c>
      <c r="B221" s="24" t="str">
        <f>IFERROR(__xludf.DUMMYFUNCTION("""COMPUTED_VALUE"""),"Nowadays, Carbon Storage in Sub-Seabed Geological Structures (CS-SSGS) is having much interest. Nonetheless, these technologies are still under development, especially the leakage of the stored CO2 and the consequent acidification of the environment. Ther"&amp;"efore, the goal of this study is to test the impact of CO2-induced acidification on a macrobenthic community due to leakages from CS-SSGS using a mesocosm-based experiment. Results confirmed the significant correlation between the abundance of the species"&amp;" and the pH (positively), and the alkalinity (negatively). Additionally, the BIOENV analysis showed that the majority of the variability in the abundance of the total species was explained for the alkalinity. The correlation analysis showed differential v"&amp;"ulnerabilities of different species, especially Cyathura carinata and a non-calcifier species as Hediste diversicolor. Nevertheless, these results showed the importance of taking into account the indirect effect associated with acidification processes, as"&amp;" metal release from sediment. (C) 2015 Elsevier Ltd. All rights reserved.")</f>
        <v>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v>
      </c>
      <c r="C221" s="24" t="str">
        <f>IFERROR(__xludf.DUMMYFUNCTION("""COMPUTED_VALUE"""),"10.1016/j.marpolbul.2015.05.044")</f>
        <v>10.1016/j.marpolbul.2015.05.044</v>
      </c>
      <c r="D221" s="24" t="str">
        <f>IFERROR(__xludf.DUMMYFUNCTION("""COMPUTED_VALUE"""),"Keck et al")</f>
        <v>Keck et al</v>
      </c>
      <c r="E221" s="24" t="str">
        <f>IFERROR(__xludf.DUMMYFUNCTION("""COMPUTED_VALUE"""),"WOS:000357348900021")</f>
        <v>WOS:000357348900021</v>
      </c>
      <c r="F221" s="24" t="str">
        <f>IFERROR(__xludf.DUMMYFUNCTION("""COMPUTED_VALUE"""),"[""ELIGIBLE""]")</f>
        <v>["ELIGIBLE"]</v>
      </c>
    </row>
    <row r="222">
      <c r="A222" s="24" t="str">
        <f>IFERROR(__xludf.DUMMYFUNCTION("""COMPUTED_VALUE"""),"DNA from lake sediments reveals long-term ecosystem changes after a biological invasion")</f>
        <v>DNA from lake sediments reveals long-term ecosystem changes after a biological invasion</v>
      </c>
      <c r="B222" s="24" t="str">
        <f>IFERROR(__xludf.DUMMYFUNCTION("""COMPUTED_VALUE"""),"What are the long-term consequences of invasive species? After invasion, how long do ecosystems require to reach a new equilibrium? Answering these questions requires long-term, high-resolution data that are vanishingly rare. We combined the analysis of e"&amp;"nvironmental DNA extracted from a lake sediment core, coprophilous fungi, and sedimentological analyses to reconstruct 600 years of ecosystem dynamics on a sub-Antarctic island and to identify the impact of invasive rabbits. Plant communities remained sta"&amp;"ble from AD 1400 until the 1940s, when the DNA of invasive rabbits was detected in sediments. Rabbit detection corresponded to abrupt changes of plant communities, with a continuous decline of a dominant plant species. Furthermore, erosion rate abruptly i"&amp;"ncreased with rabbit abundance. Rabbit impacts were very fast and were stronger than the effects of climate change during the 20th century. Lake sediments can allow an integrated temporal analysis of ecosystems, revealing the impact of invasive species ov"&amp;"er time and improving our understanding of underlying mechanisms.")</f>
        <v>What are the long-term consequences of invasive species? After invasion, how long do ecosystems require to reach a new equilibrium? Answering these questions requires long-term, high-resolution data that are vanishingly rare. We combined the analysis of environmental DNA extracted from a lake sediment core, coprophilous fungi, and sedimentological analyses to reconstruct 600 years of ecosystem dynamics on a sub-Antarctic island and to identify the impact of invasive rabbits. Plant communities remained stable from AD 1400 until the 1940s, when the DNA of invasive rabbits was detected in sediments. Rabbit detection corresponded to abrupt changes of plant communities, with a continuous decline of a dominant plant species. Furthermore, erosion rate abruptly increased with rabbit abundance. Rabbit impacts were very fast and were stronger than the effects of climate change during the 20th century. Lake sediments can allow an integrated temporal analysis of ecosystems, revealing the impact of invasive species over time and improving our understanding of underlying mechanisms.</v>
      </c>
      <c r="C222" s="24" t="str">
        <f>IFERROR(__xludf.DUMMYFUNCTION("""COMPUTED_VALUE"""),"10.1126/sciadv.aar4292")</f>
        <v>10.1126/sciadv.aar4292</v>
      </c>
      <c r="D222" s="24" t="str">
        <f>IFERROR(__xludf.DUMMYFUNCTION("""COMPUTED_VALUE"""),"Keck et al")</f>
        <v>Keck et al</v>
      </c>
      <c r="E222" s="24" t="str">
        <f>IFERROR(__xludf.DUMMYFUNCTION("""COMPUTED_VALUE"""),"WOS:000432440600023")</f>
        <v>WOS:000432440600023</v>
      </c>
      <c r="F222" s="24" t="str">
        <f>IFERROR(__xludf.DUMMYFUNCTION("""COMPUTED_VALUE"""),"[""ELIGIBLE""]")</f>
        <v>["ELIGIBLE"]</v>
      </c>
    </row>
    <row r="223">
      <c r="A223" s="24" t="str">
        <f>IFERROR(__xludf.DUMMYFUNCTION("""COMPUTED_VALUE"""),"Impacts of Different Land-use Patterns on the Carabid Beetle Diversity and Species Assemblages in South Korea")</f>
        <v>Impacts of Different Land-use Patterns on the Carabid Beetle Diversity and Species Assemblages in South Korea</v>
      </c>
      <c r="B223" s="24" t="str">
        <f>IFERROR(__xludf.DUMMYFUNCTION("""COMPUTED_VALUE"""),"This work was performed to assess the effect of urbanization on habitat loss. Carabid beetle assemblages were examined from agricultural, forested, and urban areas. Environmental variables, which had the greatest impact on the carabid assemblages, were li"&amp;"tter, tree cover, slope, shrub cover, exchangeable calcium, and pH. Eighteen carabid species were collected and identified with respect to the eight land-use types. Natural forest and agricultural habitats both supported higher levels of species richness,"&amp;" relative to urbanized areas. However, both fragmented and managed forests (urban subtypes) also maintained their level of species richness, relative to garden lawns (urban subtype). Comparatively, in rural areas, habitat loss and changes in agricultural "&amp;"practices over time have shown to be more damaging to natural ecosystems than the impact of urbanization on urban landscapes. Alternatively, with a full grasp of the knowledge of the original habitat and the influence of the effects of urbanization on nat"&amp;"ural landscapes, the biodiversity of urban landscapes can be facultatively improved. More importantly, sustainable management programs such as those aimed at inner city urban agriculture and habitat creation programs are supportive in maintaining ecosyste"&amp;"m biodiversity.")</f>
        <v>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v>
      </c>
      <c r="C223" s="24" t="str">
        <f>IFERROR(__xludf.DUMMYFUNCTION("""COMPUTED_VALUE"""),"10.5053/ekoloji.2012.842")</f>
        <v>10.5053/ekoloji.2012.842</v>
      </c>
      <c r="D223" s="24" t="str">
        <f>IFERROR(__xludf.DUMMYFUNCTION("""COMPUTED_VALUE"""),"Keck et al")</f>
        <v>Keck et al</v>
      </c>
      <c r="E223" s="24" t="str">
        <f>IFERROR(__xludf.DUMMYFUNCTION("""COMPUTED_VALUE"""),"WOS:000311128800002")</f>
        <v>WOS:000311128800002</v>
      </c>
      <c r="F223" s="24" t="str">
        <f>IFERROR(__xludf.DUMMYFUNCTION("""COMPUTED_VALUE"""),"[""ELIGIBLE""]")</f>
        <v>["ELIGIBLE"]</v>
      </c>
    </row>
    <row r="224">
      <c r="A224" s="24" t="str">
        <f>IFERROR(__xludf.DUMMYFUNCTION("""COMPUTED_VALUE"""),"Biotic homogenization of herb layer composition between two contrasting beech forest communities on limestone over 50 years")</f>
        <v>Biotic homogenization of herb layer composition between two contrasting beech forest communities on limestone over 50 years</v>
      </c>
      <c r="B224" s="24" t="str">
        <f>IFERROR(__xludf.DUMMYFUNCTION("""COMPUTED_VALUE"""),"Questions: How do vegetation changes in a limestone beech forest community on dry and nutrient-poor slopes differ from changes in a community on moist and nutrient-rich soils over the past 50 yr? Have temporal changes led to a further differentiation betw"&amp;"een communities? Location: Ancient, beech-dominated forest region on limestone in central Germany. Methods: We compared vegetation releves sampled between 1955 and 1960 and resurveyed between 2009 and 2012 on quasi-permanent plots in the CariciFagetum pri"&amp;"muletosum (n = 26) on dry, nutrient-poor and sun-exposed slopes, and in the Hordelymo-Fagetum allietosum ( n = 25) on nutrient-rich plateau sites with mesic soils in spring. We concentrated on changes in species richness, vegetation structure and vegetati"&amp;"on composition, identified winner and loser species and calculated pair-wise dissimilarity indices within and between communities to test for differentiation or homogenization over time. Results: Our results show a more pronounced change in community comp"&amp;"osition in the Carici-Fagetum primuletosum within 50 yr compared to the Hordelymo-Fagetum allietosum. Despite no significant increase in total canopy cover, shade-tolerant, mesophilous, nutrient-demanding species expanded, whereas light-demanding, drought"&amp;"-tolerant, oligotrophic, often Red List species decreased. Changes in the Hordelymo-Fagetum allietosum were more random. Overall, vegetation dynamics led to a homogenization between the two contrasting communities caused by a loss of specialized species f"&amp;"rom the CariciFagetum community and a gain in generalist species in both communities. Conclusion: The drastic changes in the Carici-Fagetum community indicate the higher susceptibility of marginal sites - that often have a high conservation value - to loc"&amp;"al environmental changes. In particular, N deposition and the abandonment of former ( more traditional) forestmanagement, such as coppicewith- standards and wood pasture, are responsible for this development. On the other hand, the increasing temperatures"&amp;" from climate change are not sufficient to secure the survival of the once frequent thermophilous species. Therefore, adequate forest management and conservation measures, such as the removal of competitive or exotic tree species or the re-establishment o"&amp;"f coppice-withstandards management, are necessary to counteract the on- going biotic homogenization of beech forest communities and should focus onmarginal sites.")</f>
        <v>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v>
      </c>
      <c r="C224" s="24" t="str">
        <f>IFERROR(__xludf.DUMMYFUNCTION("""COMPUTED_VALUE"""),"10.1111/avsc.12255")</f>
        <v>10.1111/avsc.12255</v>
      </c>
      <c r="D224" s="24" t="str">
        <f>IFERROR(__xludf.DUMMYFUNCTION("""COMPUTED_VALUE"""),"Keck et al")</f>
        <v>Keck et al</v>
      </c>
      <c r="E224" s="24" t="str">
        <f>IFERROR(__xludf.DUMMYFUNCTION("""COMPUTED_VALUE"""),"WOS:000398083700012")</f>
        <v>WOS:000398083700012</v>
      </c>
      <c r="F224" s="24" t="str">
        <f>IFERROR(__xludf.DUMMYFUNCTION("""COMPUTED_VALUE"""),"[""ELIGIBLE""]")</f>
        <v>["ELIGIBLE"]</v>
      </c>
    </row>
    <row r="225">
      <c r="A225" s="24" t="str">
        <f>IFERROR(__xludf.DUMMYFUNCTION("""COMPUTED_VALUE"""),"Effects of fire frequency on savanna butterfly diversity and composition: A preliminary study")</f>
        <v>Effects of fire frequency on savanna butterfly diversity and composition: A preliminary study</v>
      </c>
      <c r="B225" s="24" t="str">
        <f>IFERROR(__xludf.DUMMYFUNCTION("""COMPUTED_VALUE"""),"Fire plays a major role in many biomes, is widely used as a management tool and is likely to be affected by climate change. For effective conservation management, it is essential to understand how fire regimes affect different taxa, yet responses of inver"&amp;"tebrates are particularly poorly documented. We tested how different fire frequencies influence savanna butterfly diversity and composition by using a long-term savanna fire experiment initiated in 1954 in the Kruger National Park (South Africa). We compa"&amp;"red butterfly abundance, species richness and community composition across three fire frequencies: high (burnt annually), medium (burnt triennially) and low (burnt twice in 60 years). Plots with high fire frequency hosted higher abundance than medium- or "&amp;"low-frequency plots. Fire frequencies did not affect species richness, but they led to distinct communities of butterflies. Our findings suggest that, in view of the three fire frequencies tested, a spatial diversity of fire frequencies may increase butte"&amp;"rfly diversity at the landscape level in wet savannas. Managers may need to promote a greater diversity of fire frequencies by increasing fire frequency in some areas to provide habitat for species requiring high fire frequency, and by decreasing fire fre"&amp;"quency in a large proportion of the landscape to provide fire refuges. This study provides new insights for butterfly conservation in savannas and highlights several knowledge gaps, which further studies should address for insect responses to be given ade"&amp;"quate consideration in fire management strategies. Conservation implications: A spatial diversity of fire frequencies may increase butterfly diversity. Managers may need to promote a greater diversity of fire frequencies by increasing fire frequency in so"&amp;"me areas to provide habitat for species requiring high fire frequency, and by decreasing fire frequency in other areas to provide fire refuges.")</f>
        <v>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v>
      </c>
      <c r="C225" s="24" t="str">
        <f>IFERROR(__xludf.DUMMYFUNCTION("""COMPUTED_VALUE"""),"10.4102/koedoe.v62i1.1617")</f>
        <v>10.4102/koedoe.v62i1.1617</v>
      </c>
      <c r="D225" s="24" t="str">
        <f>IFERROR(__xludf.DUMMYFUNCTION("""COMPUTED_VALUE"""),"Keck et al")</f>
        <v>Keck et al</v>
      </c>
      <c r="E225" s="24" t="str">
        <f>IFERROR(__xludf.DUMMYFUNCTION("""COMPUTED_VALUE"""),"WOS:000580335200001")</f>
        <v>WOS:000580335200001</v>
      </c>
      <c r="F225" s="24" t="str">
        <f>IFERROR(__xludf.DUMMYFUNCTION("""COMPUTED_VALUE"""),"[""ELIGIBLE""]")</f>
        <v>["ELIGIBLE"]</v>
      </c>
    </row>
    <row r="226">
      <c r="A226" s="24" t="str">
        <f>IFERROR(__xludf.DUMMYFUNCTION("""COMPUTED_VALUE"""),"Temperature but not nutrient addition affects abundance and assemblage structure of colonizing aquatic insects")</f>
        <v>Temperature but not nutrient addition affects abundance and assemblage structure of colonizing aquatic insects</v>
      </c>
      <c r="B226" s="24" t="str">
        <f>IFERROR(__xludf.DUMMYFUNCTION("""COMPUTED_VALUE"""),"Abiotic conditions are important considerations in the species sorting process, which ultimately determines the distribution and abundance of species. Freshwater ecosystems will be impacted by ongoing temperature rise and other anthropogenically induced c"&amp;"hanges, such as nutrient enrichment and eutrophication. Changing characteristics of freshwater habitats will likely impact organisms in numerous ways, including through effects on colonization dynamics. Species are expected to colonize habitat patches whe"&amp;"re fitness will be the highest for themselves and their offspring, and how habitat selection interacts with changing environments remains an important question. We conducted a warming experiment to test the habitat selection preferences of aquatic beetles"&amp;" and hemipterans between habitat patches (mesocosms) of varying temperatures (via heaters), nutrient addition, and their interaction. Overall, insect abundance and richness were higher in unheated patches, with taxon-specific variation in response to heat"&amp;"ing. Although nutrients had limited effects on environmental conditions in mesocosms, their addition had no significant effects on insects. Insect assemblages had unique structures across heating treatments, with lower beta diversity and higher effective "&amp;"numbers of species in the warmest mesocosms. Our data support the importance of spatial variation in abiotic factors during the habitat selection process, and in determining species distributions and abundances as shallow lentic ecosystems are impacted by"&amp;" rising global temperatures.")</f>
        <v>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v>
      </c>
      <c r="C226" s="24" t="str">
        <f>IFERROR(__xludf.DUMMYFUNCTION("""COMPUTED_VALUE"""),"10.1002/ecy.3209")</f>
        <v>10.1002/ecy.3209</v>
      </c>
      <c r="D226" s="24" t="str">
        <f>IFERROR(__xludf.DUMMYFUNCTION("""COMPUTED_VALUE"""),"Keck et al")</f>
        <v>Keck et al</v>
      </c>
      <c r="E226" s="24" t="str">
        <f>IFERROR(__xludf.DUMMYFUNCTION("""COMPUTED_VALUE"""),"WOS:000584609600001")</f>
        <v>WOS:000584609600001</v>
      </c>
      <c r="F226" s="24" t="str">
        <f>IFERROR(__xludf.DUMMYFUNCTION("""COMPUTED_VALUE"""),"[""ELIGIBLE""]")</f>
        <v>["ELIGIBLE"]</v>
      </c>
    </row>
    <row r="227">
      <c r="A227" s="24" t="str">
        <f>IFERROR(__xludf.DUMMYFUNCTION("""COMPUTED_VALUE"""),"Temperature modulates phototrophic periphyton response to chronic copper exposure")</f>
        <v>Temperature modulates phototrophic periphyton response to chronic copper exposure</v>
      </c>
      <c r="B227" s="24" t="str">
        <f>IFERROR(__xludf.DUMMYFUNCTION("""COMPUTED_VALUE"""),"Streams located in vineyard areas are highly prone to metal pollution. In a context of global change, aquatic systems are generally subjected to multi-stress conditions due to multiple chemical and/or physical pressures. Among various environmental factor"&amp;"s that modulate the ecological effects of toxicants, special attention should be paid to climate change, which is driving an increase in extreme climate events such as sharp temperature rises. In lotic ecosystems, periphyton ensures key ecological functio"&amp;"ns such as primary production and nutrient cycling. However, although the effects of metals on microbial communities are relatively well known, there is scant data on possible interactions between temperature increase and metal pollution. Here we led a st"&amp;"udy to evaluate the influence of temperature on the response of phototrophic periphyton to copper (Cu) exposure. Winter communities, collected in a 8 degrees C river water, were subjected for six weeks to four thermal conditions in microcosms in presence "&amp;"or not of Cu (nominal concentration of 15 mu g L-1). At the initial river temperature (8 degrees C), our results confirmed the chronic impact of Cu on periphyton, both in terms of structure (biomass, distribution of algal groups, diatomic composition) and"&amp;" function (photosynthetic efficiency). At higher temperatures (13, 18 and 23 degrees C), Cu effects were modulated. Indeed, temperature increase reduced Cu effects on algal biomass, algal class proportions, diatom assemblage composition and photosynthetic"&amp;" efficiency. This reduction of Cu effects on periphyton may be related to lower bioaccumulation of Cu and/or to selection of more Cu-tolerant species at higher temperatures. (C) 2015 Elsevier Ltd. All rights reserved.")</f>
        <v>Streams located in vineyard areas are highly prone to metal pollution. In a context of global change, aquatic systems are generally subjected to multi-stress conditions due to multiple chemical and/or physical pressures. Among various environmental factors that modulate the ecological effects of toxicants, special attention should be paid to climate change, which is driving an increase in extreme climate events such as sharp temperature rises. In lotic ecosystems, periphyton ensures key ecological functions such as primary production and nutrient cycling. However, although the effects of metals on microbial communities are relatively well known, there is scant data on possible interactions between temperature increase and metal pollution. Here we led a study to evaluate the influence of temperature on the response of phototrophic periphyton to copper (Cu) exposure. Winter communities, collected in a 8 degrees C river water, were subjected for six weeks to four thermal conditions in microcosms in presence or not of Cu (nominal concentration of 15 mu g L-1). At the initial river temperature (8 degrees C), our results confirmed the chronic impact of Cu on periphyton, both in terms of structure (biomass, distribution of algal groups, diatomic composition) and function (photosynthetic efficiency). At higher temperatures (13, 18 and 23 degrees C), Cu effects were modulated. Indeed, temperature increase reduced Cu effects on algal biomass, algal class proportions, diatom assemblage composition and photosynthetic efficiency. This reduction of Cu effects on periphyton may be related to lower bioaccumulation of Cu and/or to selection of more Cu-tolerant species at higher temperatures. (C) 2015 Elsevier Ltd. All rights reserved.</v>
      </c>
      <c r="C227" s="24" t="str">
        <f>IFERROR(__xludf.DUMMYFUNCTION("""COMPUTED_VALUE"""),"10.1016/j.envpol.2015.11.004")</f>
        <v>10.1016/j.envpol.2015.11.004</v>
      </c>
      <c r="D227" s="24" t="str">
        <f>IFERROR(__xludf.DUMMYFUNCTION("""COMPUTED_VALUE"""),"Keck et al")</f>
        <v>Keck et al</v>
      </c>
      <c r="E227" s="24" t="str">
        <f>IFERROR(__xludf.DUMMYFUNCTION("""COMPUTED_VALUE"""),"WOS:000368306500060")</f>
        <v>WOS:000368306500060</v>
      </c>
      <c r="F227" s="24" t="str">
        <f>IFERROR(__xludf.DUMMYFUNCTION("""COMPUTED_VALUE"""),"[""ELIGIBLE""]")</f>
        <v>["ELIGIBLE"]</v>
      </c>
    </row>
    <row r="228">
      <c r="A228" s="24" t="str">
        <f>IFERROR(__xludf.DUMMYFUNCTION("""COMPUTED_VALUE"""),"A Century of Change in Kenya's Mammal Communities: Increased Richness and Decreased Uniqueness in Six Protected Areas")</f>
        <v>A Century of Change in Kenya's Mammal Communities: Increased Richness and Decreased Uniqueness in Six Protected Areas</v>
      </c>
      <c r="B228" s="24" t="str">
        <f>IFERROR(__xludf.DUMMYFUNCTION("""COMPUTED_VALUE"""),"The potential for large-scale biodiversity losses as a result of climate change and human impact presents major challenges for ecology and conservation science. Governments around the world have established national parks and wildlife reserves to help pro"&amp;"tect biodiversity, but there are few studies on the long-term consequences of this strategy. We use Kenya as a case study to investigate species richness and other attributes of mammal communities in 6 protected areas over the past century. Museum records"&amp;" from African expeditions that comprehensively sampled mammals from these same areas in the early 1900's provide a baseline for evaluating changes in species richness and community structure over time. We compare species lists assembled from archived spec"&amp;"imens (1896-1950) to those of corresponding modern protected areas (19502013). Species richness in Kenya was stable or increased at 5 out of 6 sites from historical to modern times. Beta-diversity, in contrast, decreased across all sites. Potential biases"&amp;" such as variable historical vs. modern collection effort and detection of small-bodied, rare, and low-visibility species do not account for the observed results. We attribute the pattern of decreased beta diversity primarily to increased site occupancy b"&amp;"y common species across all body size classes. Despite a decrease in land area available to wildlife, our data do not show the extinctions predicted by species-area relationships. Moreover, the results indicate that species-area curves based solely on pro"&amp;"tected areas could underestimate diversity because they do not account for mammal species whose ranges extend beyond protected area boundaries. We conclude that the 6 protected areas have been effective in preserving species richness in spite of continuin"&amp;"g conversion of wild grasslands to cropland, but the overall decrease in beta diversity indicates a decline in the uniqueness of mammal communities that historically characterized Kenya's varied landscape.")</f>
        <v>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v>
      </c>
      <c r="C228" s="24" t="str">
        <f>IFERROR(__xludf.DUMMYFUNCTION("""COMPUTED_VALUE"""),"10.1371/journal.pone.0093092")</f>
        <v>10.1371/journal.pone.0093092</v>
      </c>
      <c r="D228" s="24" t="str">
        <f>IFERROR(__xludf.DUMMYFUNCTION("""COMPUTED_VALUE"""),"Keck et al")</f>
        <v>Keck et al</v>
      </c>
      <c r="E228" s="24" t="str">
        <f>IFERROR(__xludf.DUMMYFUNCTION("""COMPUTED_VALUE"""),"WOS:000334339000027")</f>
        <v>WOS:000334339000027</v>
      </c>
      <c r="F228" s="24" t="str">
        <f>IFERROR(__xludf.DUMMYFUNCTION("""COMPUTED_VALUE"""),"[""ELIGIBLE""]")</f>
        <v>["ELIGIBLE"]</v>
      </c>
    </row>
    <row r="229">
      <c r="A229" s="24" t="str">
        <f>IFERROR(__xludf.DUMMYFUNCTION("""COMPUTED_VALUE"""),"Short-term CO2 exposure and temperature rise effects on metazoan meiofauna and free-living nematodes in sandy and muddy sediments: Results from a flume experiment")</f>
        <v>Short-term CO2 exposure and temperature rise effects on metazoan meiofauna and free-living nematodes in sandy and muddy sediments: Results from a flume experiment</v>
      </c>
      <c r="B229" s="24" t="str">
        <f>IFERROR(__xludf.DUMMYFUNCTION("""COMPUTED_VALUE"""),"Global concern over increasing CO2 emissions, and the resultant CO2 driven temperature rises and changes in seawater chemistry, necessitates the advancement of understanding into how these changes will affect marine life now and in the future. Here we rep"&amp;"ort on an experimental investigation into the effects of increased CO2 concentration and elevated temperature on sedimentary meiofaunal communities. Cohesive (muddy) and noncohesive (sandy) sediments were collected from the Eden Estuary in St. Andrews, Sc"&amp;"otland, UK, placed within a flume setup and exposed to 2 levels of CO2 concentration (380 and 750 ppmv, current at the time of the experiment, and predicted CO2 concentration by 2100, respectively) and 2 temperature levels (12 degrees C and 16 degrees C, "&amp;"current in-situ and predicted temperature by 2100, respectively). We investigated the metazoan meiofauna and nematode communities before and after 28 days of exposure under these experimental conditions. The most determinative factor for abundance, divers"&amp;"ity and community structure of meiofauna and nematodes was sediment type: on all levels, communities were significantly different between sand and mud sediments which agrees with what is generally known about the influence of sediment structure on meiofau"&amp;"nal organisms. Few CO2 and temperature effects were observed, suggesting that meiofauna and nematodes are generally much less responsive than, for instance, microbial communities and macrofauna to these environmental changes in estuarine environments, whe"&amp;"re organisms are naturally exposed to a fluctuating environment. This was corroborated by the observed effects related to the different seasons in which the samples were taken from the field to run the experiment. After 28 days, meiofauna and nematode com"&amp;"munities in muddy sediments showed a greater response to increased CO2 concentration and temperature rise than in sandy sediments. However, further study is needed to investigate the underlying mechanisms and meiofauna species-specific resilience and resp"&amp;"onses to ocean acidification and warming, and their interactions with other biota, to understand what such changes may mean for meiofauna communities and the ecosystem processes and functions they contribute to.")</f>
        <v>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v>
      </c>
      <c r="C229" s="24" t="str">
        <f>IFERROR(__xludf.DUMMYFUNCTION("""COMPUTED_VALUE"""),"10.1016/j.jembe.2017.07.012")</f>
        <v>10.1016/j.jembe.2017.07.012</v>
      </c>
      <c r="D229" s="24" t="str">
        <f>IFERROR(__xludf.DUMMYFUNCTION("""COMPUTED_VALUE"""),"Keck et al")</f>
        <v>Keck et al</v>
      </c>
      <c r="E229" s="24" t="str">
        <f>IFERROR(__xludf.DUMMYFUNCTION("""COMPUTED_VALUE"""),"WOS:000430034100021")</f>
        <v>WOS:000430034100021</v>
      </c>
      <c r="F229" s="24" t="str">
        <f>IFERROR(__xludf.DUMMYFUNCTION("""COMPUTED_VALUE"""),"[""ELIGIBLE""]")</f>
        <v>["ELIGIBLE"]</v>
      </c>
    </row>
    <row r="230">
      <c r="A230" s="24" t="str">
        <f>IFERROR(__xludf.DUMMYFUNCTION("""COMPUTED_VALUE"""),"Changes in subtidal assemblages in a scenario of warming: Proliferations of ephemeral benthic algae in the Canary Islands (eastern Atlantic Ocean)")</f>
        <v>Changes in subtidal assemblages in a scenario of warming: Proliferations of ephemeral benthic algae in the Canary Islands (eastern Atlantic Ocean)</v>
      </c>
      <c r="B230" s="24" t="str">
        <f>IFERROR(__xludf.DUMMYFUNCTION("""COMPUTED_VALUE"""),"The present work analysed the main changes in subtidal algal assemblages in the last decade in an oceanic archipelago (Canary Islands - eastern Atlantic Ocean). Changes result from increases in cover of ephemeral benthic algae, such as the non-native chlo"&amp;"rophyte Pseudotetraspora marina and the native cyanophytes Blennothrix lyngbyacea, Schizothrix calcicola and Schizothrix mexicana. Ephemeral algae overgrow subtidal assemblages which are extensively dominated by Lobophora variegata, but competitively do n"&amp;"ot exclude other species. Increases in the abundance of species coincided with a warming of about 2 degrees C in surface seawater temperature (SST) linked to the weakening of the Cold Canary Current and the Northwestern African upwelling. Shifts in the di"&amp;"stribution and cover of ephemeral species follow the SST gradient from warmer waters in the western islands to colder waters in the eastern ones. While in the warmest western islands, species have spread quickly colonizing all type of substrates in just a"&amp;" few years (2005-2008), the occurrence of ephemerals towards the coldest eastern islands is yet inconspicuous. (C) 2012 Elsevier Ltd. All rights reserved.")</f>
        <v>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v>
      </c>
      <c r="C230" s="24" t="str">
        <f>IFERROR(__xludf.DUMMYFUNCTION("""COMPUTED_VALUE"""),"10.1016/j.marenvres.2012.03.004")</f>
        <v>10.1016/j.marenvres.2012.03.004</v>
      </c>
      <c r="D230" s="24" t="str">
        <f>IFERROR(__xludf.DUMMYFUNCTION("""COMPUTED_VALUE"""),"Keck et al")</f>
        <v>Keck et al</v>
      </c>
      <c r="E230" s="24" t="str">
        <f>IFERROR(__xludf.DUMMYFUNCTION("""COMPUTED_VALUE"""),"WOS:000304296700015")</f>
        <v>WOS:000304296700015</v>
      </c>
      <c r="F230" s="24" t="str">
        <f>IFERROR(__xludf.DUMMYFUNCTION("""COMPUTED_VALUE"""),"[""ELIGIBLE""]")</f>
        <v>["ELIGIBLE"]</v>
      </c>
    </row>
    <row r="231">
      <c r="A231" s="24" t="str">
        <f>IFERROR(__xludf.DUMMYFUNCTION("""COMPUTED_VALUE"""),"Urban areas may serve as habitat and corridors for dry-adapted, heat tolerant species; an example from ants")</f>
        <v>Urban areas may serve as habitat and corridors for dry-adapted, heat tolerant species; an example from ants</v>
      </c>
      <c r="B231" s="24" t="str">
        <f>IFERROR(__xludf.DUMMYFUNCTION("""COMPUTED_VALUE"""),"We collected ants from six urban and one forest land-use types in Raleigh, NC to examine the effects of urbanization on species richness and assemblage composition. Since urban areas are warmer (i.e., heat island effect) we also tested if cities were inha"&amp;"bited by species from warmer/drier environments. Species richness was lower in industrial areas relative to other urban and natural environments. There are two distinct ant assemblages; 1) areas with thick canopy cover, and 2) more disturbed open urban ar"&amp;"eas. Native ant assemblages in open environments have more southwestern (i.e., warmer/drier) distributions than forest assemblages. High native species richness suggests that urban environments may allow species to persist that are disappearing from natur"&amp;"al habitat fragments. The subset of species adapted to warmer/drier environments indicates that urban areas may facilitate the movement of some species. This suggests that urban adapted ants may be particularly successful at tracking future climate change"&amp;".")</f>
        <v>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v>
      </c>
      <c r="C231" s="24" t="str">
        <f>IFERROR(__xludf.DUMMYFUNCTION("""COMPUTED_VALUE"""),"10.1007/s11252-010-0150-7")</f>
        <v>10.1007/s11252-010-0150-7</v>
      </c>
      <c r="D231" s="24" t="str">
        <f>IFERROR(__xludf.DUMMYFUNCTION("""COMPUTED_VALUE"""),"Keck et al")</f>
        <v>Keck et al</v>
      </c>
      <c r="E231" s="24" t="str">
        <f>IFERROR(__xludf.DUMMYFUNCTION("""COMPUTED_VALUE"""),"WOS:000289684900001")</f>
        <v>WOS:000289684900001</v>
      </c>
      <c r="F231" s="24" t="str">
        <f>IFERROR(__xludf.DUMMYFUNCTION("""COMPUTED_VALUE"""),"[""ELIGIBLE""]")</f>
        <v>["ELIGIBLE"]</v>
      </c>
    </row>
    <row r="232">
      <c r="A232" s="24" t="str">
        <f>IFERROR(__xludf.DUMMYFUNCTION("""COMPUTED_VALUE"""),"Effect of water warming on the structure of biofilm-dwelling communities")</f>
        <v>Effect of water warming on the structure of biofilm-dwelling communities</v>
      </c>
      <c r="B232" s="24" t="str">
        <f>IFERROR(__xludf.DUMMYFUNCTION("""COMPUTED_VALUE"""),"Water warming, either resulting from global or local drivers, is of growing concern for aquatic environments. Changes in thermal regimes may alter the functioning and the trophic dynamics of river ecosystems as most aquatic biota like micro-algae, inverte"&amp;"brates, or fish are poikilotherms. Because biofilms integrate basal and intermediate components of aquatic food webs, examination of their responses to warming should contribute to a better understanding of the effects of ongoing climate change on river e"&amp;"cosystems. In this study, we considered sites that were or were not exposed directly to thermal effluents from a nuclear power plant as in situ la-boratories of the effect of climate change and water warming. To compare the structure of algal and in-verte"&amp;"brate communities dwelling in epilithic biofilms subjected to different thermal regimes in the Garonne River, sets of concrete tiles were placed in the river and the biofilm growing on these standard substrates was sampled after two months of colonisation"&amp;". The site located within the thermal plume directly downstream of the thermal effluents showed warmer average water temperature (mean Delta T of about 1.5 degrees C over the study period) and greater daily temperature fluctuations in comparison to the co"&amp;"ntrol site. Algal and invertebrate biomass did not differ significantly, but the structure of communities differed markedly between sites. At the heated site, the proportion of cyanobacteria was higher, while there were fewer micro-crustaceans and larvae "&amp;"of insects and bivalves. However, the population of chironomids showed a greater proportion of relatively large individuals. Interestingly, nematodes were more abundant, and their communities comprised more species at the heated site. Their feeding-types "&amp;"were also more diverse showing a greater proportion of algivores, large-sized omnivorous and predatory species. Changes in the abundance and age structure further showed that some bacterivore species, such as Eumonhystera vulgaris, thrived especially well"&amp;" at the heated site, whereas another bacterivore, Monhystrella paramacrura, thrived well at the control site. In the context of climate change, our results highlight that warmer and more fluctuating water temperatures have the potential to alter the body-"&amp;"size spectrum, species composition, distribution of feeding specialisations and age structure within biofilm-dwelling communities.")</f>
        <v>Water warming, either resulting from global or local drivers, is of growing concern for aquatic environments. Changes in thermal regimes may alter the functioning and the trophic dynamics of river ecosystems as most aquatic biota like micro-algae, invertebrates, or fish are poikilotherms. Because biofilms integrate basal and intermediate components of aquatic food webs, examination of their responses to warming should contribute to a better understanding of the effects of ongoing climate change on river ecosystems. In this study, we considered sites that were or were not exposed directly to thermal effluents from a nuclear power plant as in situ la-boratories of the effect of climate change and water warming. To compare the structure of algal and in-vertebrate communities dwelling in epilithic biofilms subjected to different thermal regimes in the Garonne River, sets of concrete tiles were placed in the river and the biofilm growing on these standard substrates was sampled after two months of colonisation. The site located within the thermal plume directly downstream of the thermal effluents showed warmer average water temperature (mean Delta T of about 1.5 degrees C over the study period) and greater daily temperature fluctuations in comparison to the control site. Algal and invertebrate biomass did not differ significantly, but the structure of communities differed markedly between sites. At the heated site, the proportion of cyanobacteria was higher, while there were fewer micro-crustaceans and larvae of insects and bivalves. However, the population of chironomids showed a greater proportion of relatively large individuals. Interestingly, nematodes were more abundant, and their communities comprised more species at the heated site. Their feeding-types were also more diverse showing a greater proportion of algivores, large-sized omnivorous and predatory species. Changes in the abundance and age structure further showed that some bacterivore species, such as Eumonhystera vulgaris, thrived especially well at the heated site, whereas another bacterivore, Monhystrella paramacrura, thrived well at the control site. In the context of climate change, our results highlight that warmer and more fluctuating water temperatures have the potential to alter the body-size spectrum, species composition, distribution of feeding specialisations and age structure within biofilm-dwelling communities.</v>
      </c>
      <c r="C232" s="24" t="str">
        <f>IFERROR(__xludf.DUMMYFUNCTION("""COMPUTED_VALUE"""),"10.1016/j.ecolind.2020.106622")</f>
        <v>10.1016/j.ecolind.2020.106622</v>
      </c>
      <c r="D232" s="24" t="str">
        <f>IFERROR(__xludf.DUMMYFUNCTION("""COMPUTED_VALUE"""),"Keck et al")</f>
        <v>Keck et al</v>
      </c>
      <c r="E232" s="24" t="str">
        <f>IFERROR(__xludf.DUMMYFUNCTION("""COMPUTED_VALUE"""),"WOS:000555551000014")</f>
        <v>WOS:000555551000014</v>
      </c>
      <c r="F232" s="24" t="str">
        <f>IFERROR(__xludf.DUMMYFUNCTION("""COMPUTED_VALUE"""),"[""ELIGIBLE""]")</f>
        <v>["ELIGIBLE"]</v>
      </c>
    </row>
    <row r="233">
      <c r="A233" s="24" t="str">
        <f>IFERROR(__xludf.DUMMYFUNCTION("""COMPUTED_VALUE"""),"Characterizing deepwater oxygen variability and seafloor community responses using a novel autonomous lander")</f>
        <v>Characterizing deepwater oxygen variability and seafloor community responses using a novel autonomous lander</v>
      </c>
      <c r="B233" s="24" t="str">
        <f>IFERROR(__xludf.DUMMYFUNCTION("""COMPUTED_VALUE"""),"Studies on the impacts of climate change typically focus on changes to mean conditions. However, animals live in temporally variable environments that give rise to different exposure histories that can potentially affect their sensitivities to climate cha"&amp;"nge. Ocean deoxygenation has been observed in nearshore, upper-slope depths in the Southern California Bight, but how these changes compare to the magnitude of natural O-2 variability experienced by seafloor communities at short timescales is largely unkn"&amp;"own. We developed a low-cost and spatially flexible approach for studying nearshore, deep-sea ecosystems and monitoring deepwater oxygen variability and benthic community responses. Using a novel, autonomous, hand-deployable Nanolander (R) with an SBE Mic"&amp;"roCAT and camera system, high-frequency environmental (O-2, T, estimated pH) and seafloor community data were collected at depths between 100 and 400 m off San Diego, CA, to characterize timescales of natural environmental variability, changes in O-2 vari"&amp;"ability with depth, and community responses to O-2 variability. Oxygen variability was strongly linked to tidal processes, and contrary to expectation, oxygen variability did not decline linearly with depth. Depths of 200 and 400 m showed especially high "&amp;"O-2 variability; these conditions may give rise to greater community resilience to deoxygenation stress by exposing animals to periods of reprieve during higher O-2 conditions and invoking physiological acclimation during low O-2 conditions at daily and w"&amp;"eekly timescales. Despite experiencing high O-2 variability, seafloor communities showed limited responses to changing conditions at these shorter timescales. Over 5-month timescales, some differences in seafloor communities may have been related to seaso"&amp;"nal changes in the O-2 regime. Overall, we found lower-oxygen conditions to be associated with a transition from fish-dominated to invertebrate-dominated communities, suggesting this taxonomic shift may be a useful ecological indicator of hypoxia. Due to "&amp;"their small size and ease of use with small boats, hand-deployable Nanolanders can serve as a powerful capacity-building tool in data-poor regions for characterizing environmental variability and examining seafloor community sensitivity to climate-driven "&amp;"changes.")</f>
        <v>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v>
      </c>
      <c r="C233" s="24" t="str">
        <f>IFERROR(__xludf.DUMMYFUNCTION("""COMPUTED_VALUE"""),"10.5194/bg-17-3943-2020")</f>
        <v>10.5194/bg-17-3943-2020</v>
      </c>
      <c r="D233" s="24" t="str">
        <f>IFERROR(__xludf.DUMMYFUNCTION("""COMPUTED_VALUE"""),"Keck et al")</f>
        <v>Keck et al</v>
      </c>
      <c r="E233" s="24" t="str">
        <f>IFERROR(__xludf.DUMMYFUNCTION("""COMPUTED_VALUE"""),"WOS:000558639800005")</f>
        <v>WOS:000558639800005</v>
      </c>
      <c r="F233" s="24" t="str">
        <f>IFERROR(__xludf.DUMMYFUNCTION("""COMPUTED_VALUE"""),"[""ELIGIBLE""]")</f>
        <v>["ELIGIBLE"]</v>
      </c>
    </row>
    <row r="234">
      <c r="A234" s="24" t="str">
        <f>IFERROR(__xludf.DUMMYFUNCTION("""COMPUTED_VALUE"""),"Passive warming reduces stress and shifts reproductive effort in the Antarctic moss, Polytrichastrum alpinum")</f>
        <v>Passive warming reduces stress and shifts reproductive effort in the Antarctic moss, Polytrichastrum alpinum</v>
      </c>
      <c r="B234" s="24" t="str">
        <f>IFERROR(__xludf.DUMMYFUNCTION("""COMPUTED_VALUE"""),"Background and Aims The Western Antarctic Peninsula is one of the most rapidly warming regions on Earth, and many biotic communities inhabiting this dynamic region are responding to these well-documented climatic shifts. Yet some of the most prevalent org"&amp;"anisms of terrestrial Antarctica, the mosses, and their responses to warming have been relatively overlooked and understudied. In this research, the impacts of 6 years of passive warming were investigated using open top chambers (OTCs), on moss communitie"&amp;"s of Fildes Peninsula, King George Island, Antarctica. Methods The effects of experimental passive warming on the morphology, sexual reproductive effort and stress physiology of a common dioicous Antarctic moss, Polytrichastrum alpinum, were tested, gaini"&amp;"ng the first speciesspecific mechanistic insight into moss responses to warming in the Antarctic. Additionally community analyses were conducted examining the impact of warming on overall moss percentage cover and sporophyte production in intact Antarctic"&amp;" moss communities. Key Results Our results show a generally greater percentage moss cover under warming conditions as well as increased gametangia production in P. alpinum. Distinct morphological and physiological shifts in P. alpinum were found under pas"&amp;"sive warming compared with those without warming: warmed mosses reduced investment in cellular stress defences, but invested more towards primary productivity and gametangia development. Conclusions Taken together, results from this study of mosses under "&amp;"passive warming imply that in ice-free moss-dominated regions, continued climate warming will probably have profound impacts on moss biology and colonization along the Western Antarctic Peninsula. Such findings highlight the fundamental role that mosses w"&amp;"ill play in influencing the terrestrialization of a warming Antarctica.")</f>
        <v>Background and Aims The Western Antarctic Peninsula is one of the most rapidly warming regions on Earth, and many biotic communities inhabiting this dynamic region are responding to these well-documented climatic shifts. Yet some of the most prevalent organisms of terrestrial Antarctica, the mosses, and their responses to warming have been relatively overlooked and understudied. In this research, the impacts of 6 years of passive warming were investigated using open top chambers (OTCs), on moss communities of Fildes Peninsula, King George Island, Antarctica. Methods The effects of experimental passive warming on the morphology, sexual reproductive effort and stress physiology of a common dioicous Antarctic moss, Polytrichastrum alpinum, were tested, gaining the first speciesspecific mechanistic insight into moss responses to warming in the Antarctic. Additionally community analyses were conducted examining the impact of warming on overall moss percentage cover and sporophyte production in intact Antarctic moss communities. Key Results Our results show a generally greater percentage moss cover under warming conditions as well as increased gametangia production in P. alpinum. Distinct morphological and physiological shifts in P. alpinum were found under passive warming compared with those without warming: warmed mosses reduced investment in cellular stress defences, but invested more towards primary productivity and gametangia development. Conclusions Taken together, results from this study of mosses under passive warming imply that in ice-free moss-dominated regions, continued climate warming will probably have profound impacts on moss biology and colonization along the Western Antarctic Peninsula. Such findings highlight the fundamental role that mosses will play in influencing the terrestrialization of a warming Antarctica.</v>
      </c>
      <c r="C234" s="24" t="str">
        <f>IFERROR(__xludf.DUMMYFUNCTION("""COMPUTED_VALUE"""),"10.1093/aob/mcw201")</f>
        <v>10.1093/aob/mcw201</v>
      </c>
      <c r="D234" s="24" t="str">
        <f>IFERROR(__xludf.DUMMYFUNCTION("""COMPUTED_VALUE"""),"Keck et al")</f>
        <v>Keck et al</v>
      </c>
      <c r="E234" s="24" t="str">
        <f>IFERROR(__xludf.DUMMYFUNCTION("""COMPUTED_VALUE"""),"WOS:000395621900003")</f>
        <v>WOS:000395621900003</v>
      </c>
      <c r="F234" s="24" t="str">
        <f>IFERROR(__xludf.DUMMYFUNCTION("""COMPUTED_VALUE"""),"[""ELIGIBLE""]")</f>
        <v>["ELIGIBLE"]</v>
      </c>
    </row>
    <row r="235">
      <c r="A235" s="24" t="str">
        <f>IFERROR(__xludf.DUMMYFUNCTION("""COMPUTED_VALUE"""),"Simulated future conditions of ocean warming and acidification disrupt the microbiome of the calcifying foraminifera Marginopora vertebralis across life stages")</f>
        <v>Simulated future conditions of ocean warming and acidification disrupt the microbiome of the calcifying foraminifera Marginopora vertebralis across life stages</v>
      </c>
      <c r="B235" s="24" t="str">
        <f>IFERROR(__xludf.DUMMYFUNCTION("""COMPUTED_VALUE"""),"Foraminifera host diverse microbial communities that can shift in response to changing environmental conditions. To characterize climate change impacts on the foraminifera microbiome across life stages, we exposed adult Marginopora vertebralis (Large Bent"&amp;"hic Foraminifera) to pCO(2) and temperature scenarios representing present-day, 2050 and 2100 levels and raised juveniles under present-day and 2050 conditions. While treatment condition had no significant effect on the seawater microbial communities, exp"&amp;"osure to future scenarios significantly altered both adult and juvenile microbiomes. In adults, divergence between present-day and 2050 or 2100 conditions was primarily driven by a reduced relative abundance of Oxyphotobacteria under elevated temperature "&amp;"and pCO(2). In juveniles, the microbial shift predominantly resulted from changes in the proportion of Proteobacteria. Indicator species analysis identified numerous treatment-specific indicator taxa, most of which were indicative of present-day condition"&amp;"s. Oxyphotobacteria, previously reported as putative symbionts of foraminifera, were indicative of present-day and 2050 conditions in adults, but of present-day conditions only in juveniles. Overall, we show that the sensitivity of the M. vertebralis micr"&amp;"obiome to climate change scenarios extends to both life stages and primarily correlates with declines in Oxyphotobacteria and shifts in Proteobacteria under elevated temperature and pCO(2).")</f>
        <v>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v>
      </c>
      <c r="C235" s="24" t="str">
        <f>IFERROR(__xludf.DUMMYFUNCTION("""COMPUTED_VALUE"""),"10.1111/1758-2229.12900")</f>
        <v>10.1111/1758-2229.12900</v>
      </c>
      <c r="D235" s="24" t="str">
        <f>IFERROR(__xludf.DUMMYFUNCTION("""COMPUTED_VALUE"""),"Keck et al")</f>
        <v>Keck et al</v>
      </c>
      <c r="E235" s="24" t="str">
        <f>IFERROR(__xludf.DUMMYFUNCTION("""COMPUTED_VALUE"""),"WOS:000582953500001")</f>
        <v>WOS:000582953500001</v>
      </c>
      <c r="F235" s="24" t="str">
        <f>IFERROR(__xludf.DUMMYFUNCTION("""COMPUTED_VALUE"""),"[""ELIGIBLE""]")</f>
        <v>["ELIGIBLE"]</v>
      </c>
    </row>
    <row r="236">
      <c r="A236" s="24" t="str">
        <f>IFERROR(__xludf.DUMMYFUNCTION("""COMPUTED_VALUE"""),"Separate and combined effects of copper and freshwater on the biodiversity and functioning of fouling assemblages")</f>
        <v>Separate and combined effects of copper and freshwater on the biodiversity and functioning of fouling assemblages</v>
      </c>
      <c r="B236" s="24" t="str">
        <f>IFERROR(__xludf.DUMMYFUNCTION("""COMPUTED_VALUE"""),"Increased levels of anthropogenic stressors in the marine environment are leading to complex changes in its diversity and functioning. Many marine ecosystems are exposed simultaneously to multiple stressors, and their combined effects are difficult to pre"&amp;"dict. Climate change will intensify the input of terrestrial pollutants and increase the flow of water to coastal systems through increased precipitation. Subtidal assemblages were subjected to factorial combinations of copper and freshwater to test effec"&amp;"ts on their structure and on ecosystem processes. Assemblages were also subjected to seawater to separate the intended effects of water flow and salinity. For the first three months, no effects of copper or freshwater were found. After three months, coppe"&amp;"r significantly reduced the taxon richness and the percentage cover of taxa, and reduced the rate of community respiration and gross primary production. The flow of water also reduced community respiration, regardless of whether the water was fresh or sal"&amp;"ine. (C) 2016 Elsevier Ltd. All rights reserved.")</f>
        <v>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v>
      </c>
      <c r="C236" s="24" t="str">
        <f>IFERROR(__xludf.DUMMYFUNCTION("""COMPUTED_VALUE"""),"10.1016/j.marpolbul.2016.04.008")</f>
        <v>10.1016/j.marpolbul.2016.04.008</v>
      </c>
      <c r="D236" s="24" t="str">
        <f>IFERROR(__xludf.DUMMYFUNCTION("""COMPUTED_VALUE"""),"Keck et al")</f>
        <v>Keck et al</v>
      </c>
      <c r="E236" s="24" t="str">
        <f>IFERROR(__xludf.DUMMYFUNCTION("""COMPUTED_VALUE"""),"WOS:000377726700030")</f>
        <v>WOS:000377726700030</v>
      </c>
      <c r="F236" s="24" t="str">
        <f>IFERROR(__xludf.DUMMYFUNCTION("""COMPUTED_VALUE"""),"[""ELIGIBLE""]")</f>
        <v>["ELIGIBLE"]</v>
      </c>
    </row>
    <row r="237">
      <c r="A237" s="24" t="str">
        <f>IFERROR(__xludf.DUMMYFUNCTION("""COMPUTED_VALUE"""),"Elevated atmospheric carbon dioxide and ozone alter forest insect abundance and community composition")</f>
        <v>Elevated atmospheric carbon dioxide and ozone alter forest insect abundance and community composition</v>
      </c>
      <c r="B237" s="24" t="str">
        <f>IFERROR(__xludf.DUMMYFUNCTION("""COMPUTED_VALUE"""),"1. Human-induced climate changes threaten the health of forest ecosystems. In particular, carbon dioxide (CO2) and tropospheric ozone (O-3) will likely have significant but opposing impacts on forests and their associated insect communities. Compared with"&amp;" other animal groups, insect communities are expected to be especially sensitive to changes in global climate. 2. This study examined the effects of elevated CO2 and O-3 (eCO(2) and eO(2)) individually and in combination on the abundance, diversity and co"&amp;"mposition of forest insect communities. Insects were sampled using yellow pan traps in an aggrading aspen-birch forest at the Aspen Free Air CO2 Enrichment (FACE) site in northern Wisconsin, USA. We trapped for 24 h every 10-15 days throughout the summers"&amp;" ( June to September) of 2000-2003. 3. We examined 47 415 insects from 4 orders and 83 families. Elevated CO2 reduced abundance of phloem-feeding herbivores and increased abundance of chewing herbivores, although results were not statistically significant"&amp;". Enriched CO2 increased numbers of some parasitoids. The effects of eO(3) on insect abundance were generally opposite those of eCO(2). No significant differences in arthropod family richness were found among treatments. However, eCO(2), eO(3), or both si"&amp;"gnificantly affected insect community composition in all years. 4. Carbon dioxide and tropospheric ozone have the potential to alter significantly forest insect communities. Feeding guild may strongly influence insect response to environmental change and "&amp;"may provide the best opportunity to generalise for conservation efforts. Because insect communities influence forest health and ecosystem services, continued research on their response to global change is critically important to forest management and cons"&amp;"ervation.")</f>
        <v>1. Human-induced climate changes threaten the health of forest ecosystems. In particular, carbon dioxide (CO2) and tropospheric ozone (O-3) will likely have significant but opposing impacts on forests and their associated insect communities. Compared with other animal groups, insect communities are expected to be especially sensitive to changes in global climate. 2. This study examined the effects of elevated CO2 and O-3 (eCO(2) and eO(2)) individually and in combination on the abundance, diversity and composition of forest insect communities. Insects were sampled using yellow pan traps in an aggrading aspen-birch forest at the Aspen Free Air CO2 Enrichment (FACE) site in northern Wisconsin, USA. We trapped for 24 h every 10-15 days throughout the summers ( June to September) of 2000-2003. 3. We examined 47 415 insects from 4 orders and 83 families. Elevated CO2 reduced abundance of phloem-feeding herbivores and increased abundance of chewing herbivores, although results were not statistically significant. Enriched CO2 increased numbers of some parasitoids. The effects of eO(3) on insect abundance were generally opposite those of eCO(2). No significant differences in arthropod family richness were found among treatments. However, eCO(2), eO(3), or both significantly affected insect community composition in all years. 4. Carbon dioxide and tropospheric ozone have the potential to alter significantly forest insect communities. Feeding guild may strongly influence insect response to environmental change and may provide the best opportunity to generalise for conservation efforts. Because insect communities influence forest health and ecosystem services, continued research on their response to global change is critically important to forest management and conservation.</v>
      </c>
      <c r="C237" s="24" t="str">
        <f>IFERROR(__xludf.DUMMYFUNCTION("""COMPUTED_VALUE"""),"10.1111/j.1752-4598.2008.00031.x")</f>
        <v>10.1111/j.1752-4598.2008.00031.x</v>
      </c>
      <c r="D237" s="24" t="str">
        <f>IFERROR(__xludf.DUMMYFUNCTION("""COMPUTED_VALUE"""),"Keck et al")</f>
        <v>Keck et al</v>
      </c>
      <c r="E237" s="24" t="str">
        <f>IFERROR(__xludf.DUMMYFUNCTION("""COMPUTED_VALUE"""),"WOS:000262759300006")</f>
        <v>WOS:000262759300006</v>
      </c>
      <c r="F237" s="24" t="str">
        <f>IFERROR(__xludf.DUMMYFUNCTION("""COMPUTED_VALUE"""),"[""ELIGIBLE""]")</f>
        <v>["ELIGIBLE"]</v>
      </c>
    </row>
    <row r="238">
      <c r="A238" s="24" t="str">
        <f>IFERROR(__xludf.DUMMYFUNCTION("""COMPUTED_VALUE"""),"Climate change and glacier retreat drive shifts in an Antarctic benthic ecosystem")</f>
        <v>Climate change and glacier retreat drive shifts in an Antarctic benthic ecosystem</v>
      </c>
      <c r="B238" s="24" t="str">
        <f>IFERROR(__xludf.DUMMYFUNCTION("""COMPUTED_VALUE"""),"The Antarctic Peninsula (AP) is one of the three places on Earth that registered the most intense warming in the last 50 years, almost five times the global mean. This warming has strongly affected the cryosphere, causing the largest ice-shelf collapses e"&amp;"ver observed and the retreat of 87% of glaciers. Ecosystem responses, although increasingly predicted, have been mainly reported for pelagic systems. However, and despite most Antarctic species being benthic, responses in the Antarctic benthos have been d"&amp;"etected in only a few species, and major effects at assemblage level are unknown. This is probably due to the scarcity of baselines against which to assess change. We performed repeat surveys of coastal benthos in 1994, 1998, and 2010, analyzing community"&amp;" structure and environmental variables at King George Island, Antarctica. We report a marked shift in an Antarctic benthic community that can be linked to ongoing climate change. However, rather than temperature as the primary factor, we highlight the res"&amp;"ulting increased sediment runoff, triggered by glacier retreat, as the potential causal factor. The sudden shift from a filter feeders-ascidian domination to a mixed assemblage suggests that thresholds (for example, of tolerable sedimentation) and alterna"&amp;"tive equilibrium states, depending on the reversibility of the changes, could be possible traits of this ecosystem. Sedimentation processes will be increasing under the current scenario of glacier retreat, and attention needs to be paid to its effects alo"&amp;"ng the AP.")</f>
        <v>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v>
      </c>
      <c r="C238" s="24" t="str">
        <f>IFERROR(__xludf.DUMMYFUNCTION("""COMPUTED_VALUE"""),"10.1126/sciadv.1500050")</f>
        <v>10.1126/sciadv.1500050</v>
      </c>
      <c r="D238" s="24" t="str">
        <f>IFERROR(__xludf.DUMMYFUNCTION("""COMPUTED_VALUE"""),"Keck et al")</f>
        <v>Keck et al</v>
      </c>
      <c r="E238" s="24" t="str">
        <f>IFERROR(__xludf.DUMMYFUNCTION("""COMPUTED_VALUE"""),"WOS:000216599300011")</f>
        <v>WOS:000216599300011</v>
      </c>
      <c r="F238" s="24" t="str">
        <f>IFERROR(__xludf.DUMMYFUNCTION("""COMPUTED_VALUE"""),"[""ELIGIBLE""]")</f>
        <v>["ELIGIBLE"]</v>
      </c>
    </row>
    <row r="239">
      <c r="A239" s="24" t="str">
        <f>IFERROR(__xludf.DUMMYFUNCTION("""COMPUTED_VALUE"""),"Climatic drivers and ecological impacts of a rapid range expansion by non-native smallmouth bass")</f>
        <v>Climatic drivers and ecological impacts of a rapid range expansion by non-native smallmouth bass</v>
      </c>
      <c r="B239" s="24" t="str">
        <f>IFERROR(__xludf.DUMMYFUNCTION("""COMPUTED_VALUE"""),"Smallmouth bass (Micropterus dolomieu) are a globally introduced fish species that have experienced widespread range expansions in recent decades and which can have deleterious effects on native fish communities. Rapidly assessing their expansions will ai"&amp;"d conservation and management actions geared towards controlling their spread and mitigating their impacts. Smallmouth bass have recently experienced a rapid upstream expansion in a Great Plains river (Laramie River, Wyoming, USA), which provided an oppor"&amp;"tunity to evaluate the drivers and impacts of this expansion by using a modified before-after, control-impact (BACI) design. Our objectives were to test whether climatic drivers (temperature, precipitation, flow) were related to this range expansion and s"&amp;"ubsequent effects of the expansion on native fish communities. Smallmouth bass population size in Grayrocks Reservoir increased following a climatically extreme wet year, with statistically extreme amounts of spring-time and June precipitation creating hi"&amp;"gh discharge events that coincided with the upstream expansion. Unlike previous studies highlighting the invasive nature of smallmouth bass, the modified BACI analysis revealed no declines in species richness induced by the expansion. However, there was e"&amp;"vidence that native small-bodied minnow species (family Leuciscidae) declined in relative abundance and that community-level and species-level trophic niches were compressed for invaded sites. Our findings provide important insight into how climatic extre"&amp;"mes can prompt biological invasions that can alter community composition and food web structure even if local extirpations do not occur.")</f>
        <v>Smallmouth bass (Micropterus dolomieu) are a globally introduced fish species that have experienced widespread range expansions in recent decades and which can have deleterious effects on native fish communities. Rapidly assessing their expansions will aid conservation and management actions geared towards controlling their spread and mitigating their impacts. Smallmouth bass have recently experienced a rapid upstream expansion in a Great Plains river (Laramie River, Wyoming, USA), which provided an opportunity to evaluate the drivers and impacts of this expansion by using a modified before-after, control-impact (BACI) design. Our objectives were to test whether climatic drivers (temperature, precipitation, flow) were related to this range expansion and subsequent effects of the expansion on native fish communities. Smallmouth bass population size in Grayrocks Reservoir increased following a climatically extreme wet year, with statistically extreme amounts of spring-time and June precipitation creating high discharge events that coincided with the upstream expansion. Unlike previous studies highlighting the invasive nature of smallmouth bass, the modified BACI analysis revealed no declines in species richness induced by the expansion. However, there was evidence that native small-bodied minnow species (family Leuciscidae) declined in relative abundance and that community-level and species-level trophic niches were compressed for invaded sites. Our findings provide important insight into how climatic extremes can prompt biological invasions that can alter community composition and food web structure even if local extirpations do not occur.</v>
      </c>
      <c r="C239" s="24" t="str">
        <f>IFERROR(__xludf.DUMMYFUNCTION("""COMPUTED_VALUE"""),"10.1007/s10530-021-02724-z")</f>
        <v>10.1007/s10530-021-02724-z</v>
      </c>
      <c r="D239" s="24" t="str">
        <f>IFERROR(__xludf.DUMMYFUNCTION("""COMPUTED_VALUE"""),"Keck et al")</f>
        <v>Keck et al</v>
      </c>
      <c r="E239" s="24" t="str">
        <f>IFERROR(__xludf.DUMMYFUNCTION("""COMPUTED_VALUE"""),"WOS:000738433500001")</f>
        <v>WOS:000738433500001</v>
      </c>
      <c r="F239" s="24" t="str">
        <f>IFERROR(__xludf.DUMMYFUNCTION("""COMPUTED_VALUE"""),"[""ELIGIBLE""]")</f>
        <v>["ELIGIBLE"]</v>
      </c>
    </row>
    <row r="240">
      <c r="A240" s="24" t="str">
        <f>IFERROR(__xludf.DUMMYFUNCTION("""COMPUTED_VALUE"""),"Response of marine copepods to a changing tropical environment: winners, losers and implications")</f>
        <v>Response of marine copepods to a changing tropical environment: winners, losers and implications</v>
      </c>
      <c r="B240" s="24" t="str">
        <f>IFERROR(__xludf.DUMMYFUNCTION("""COMPUTED_VALUE"""),"Background. Climate change concurrent with anthropogenic disturbances can initiate serial changes that reverberate up the food chain with repercussions for fisheries. To date, there is no information available concerning the combined effects of global war"&amp;"ming and human impacts on tropical marine food webs. While temperate copepods respond differently to warming and environmental stressors, the extent to which tropical copepods can adapt to rising temperature of already warm waters remains unknown. We hypo"&amp;"thesize that sea warming and other anthropogenic disturbances over the long term will have the greatest impact on the copepod community in nearshore waters where their effects are accentuated, and therefore vulnerable and resilient species could be identi"&amp;"fied. Methods. Zooplankton samples were collected during two time periods (1985-86 and 2014-15) interposed by marked anthropogenic disturbances, and at the same five stations located progressively from inshore to offshore in Klang Strait, Malaysia, follow"&amp;"ing the asymmetrical before-after-control-impact (BACI) design. Copepods were identified to species, and results were interpreted by univariate (ANOVA) and multivariate (PERMANOVA, PCO) analyses of the computed species abundance and diversity measures. Re"&amp;"sults. Copepod total abundance was not significantly different among stations but higher after disturbance than before disturbance. However, changes in the abundance of particular species and the community structure between time periods were dramatic. Coa"&amp;"stal large-bodied calanoid species (e.g., Acartia spinicauda, Calanopia thompsoni, Pseudodiaptomus bowmani and Tortanus forcipatus) were the most vulnerable group to disturbance. This however favored the opportunistic species (e.g., Oithona simplex, O. at"&amp;"tenuate, Hemicyclops sp., Pseudomacrochiron sp. and Microsetella norvegica). Small-bodied copepods (e.g., Paracalanus sp., Parvocalanus crassirostris and Euterpina acutifrons) were unaffected. Centropages tenuiremis was likely an introduced species. There"&amp;" was no significant loss in species richness of copepods despite the dramatic changes in community structure. Discussion. Sea warming and other human-induced effects such as eutrophication, acidification and coastal habitat degradation are likely the main"&amp;" factors that have altered copepod community structure. The large-bodied estuarine and coastal calanoid copepods are surmised to be vulnerable to eutrophication and hypoxia, while both resilient and opportunistic species are largely unaffected by, or adap"&amp;"table to, degraded coastal environments and observed sea surface temperature (SST) rise. It is forecasted that SST rise with unmitigated anthropogenic impacts will further reduce large-bodied copepod species the favoured food for fish larvae with dire con"&amp;"sequences for coastal fish production.")</f>
        <v>Background. Climate change concurrent with anthropogenic disturbances can initiate serial changes that reverberate up the food chain with repercussions for fisheries. To date, there is no information available concerning the combined effects of global warming and human impacts on tropical marine food webs. While temperate copepods respond differently to warming and environmental stressors, the extent to which tropical copepods can adapt to rising temperature of already warm waters remains unknown. We hypothesize that sea warming and other anthropogenic disturbances over the long term will have the greatest impact on the copepod community in nearshore waters where their effects are accentuated, and therefore vulnerable and resilient species could be identified. Methods. Zooplankton samples were collected during two time periods (1985-86 and 2014-15) interposed by marked anthropogenic disturbances, and at the same five stations located progressively from inshore to offshore in Klang Strait, Malaysia, following the asymmetrical before-after-control-impact (BACI) design. Copepods were identified to species, and results were interpreted by univariate (ANOVA) and multivariate (PERMANOVA, PCO) analyses of the computed species abundance and diversity measures. Results. Copepod total abundance was not significantly different among stations but higher after disturbance than before disturbance. However, changes in the abundance of particular species and the community structure between time periods were dramatic. Coastal large-bodied calanoid species (e.g., Acartia spinicauda, Calanopia thompsoni, Pseudodiaptomus bowmani and Tortanus forcipatus) were the most vulnerable group to disturbance. This however favored the opportunistic species (e.g., Oithona simplex, O. attenuate, Hemicyclops sp., Pseudomacrochiron sp. and Microsetella norvegica). Small-bodied copepods (e.g., Paracalanus sp., Parvocalanus crassirostris and Euterpina acutifrons) were unaffected. Centropages tenuiremis was likely an introduced species. There was no significant loss in species richness of copepods despite the dramatic changes in community structure. Discussion. Sea warming and other human-induced effects such as eutrophication, acidification and coastal habitat degradation are likely the main factors that have altered copepod community structure. The large-bodied estuarine and coastal calanoid copepods are surmised to be vulnerable to eutrophication and hypoxia, while both resilient and opportunistic species are largely unaffected by, or adaptable to, degraded coastal environments and observed sea surface temperature (SST) rise. It is forecasted that SST rise with unmitigated anthropogenic impacts will further reduce large-bodied copepod species the favoured food for fish larvae with dire consequences for coastal fish production.</v>
      </c>
      <c r="C240" s="24" t="str">
        <f>IFERROR(__xludf.DUMMYFUNCTION("""COMPUTED_VALUE"""),"10.7717/peerj.2052")</f>
        <v>10.7717/peerj.2052</v>
      </c>
      <c r="D240" s="24" t="str">
        <f>IFERROR(__xludf.DUMMYFUNCTION("""COMPUTED_VALUE"""),"Keck et al")</f>
        <v>Keck et al</v>
      </c>
      <c r="E240" s="24" t="str">
        <f>IFERROR(__xludf.DUMMYFUNCTION("""COMPUTED_VALUE"""),"WOS:000377680500005")</f>
        <v>WOS:000377680500005</v>
      </c>
      <c r="F240" s="24" t="str">
        <f>IFERROR(__xludf.DUMMYFUNCTION("""COMPUTED_VALUE"""),"[""ELIGIBLE""]")</f>
        <v>["ELIGIBLE"]</v>
      </c>
    </row>
    <row r="241">
      <c r="A241" s="24" t="str">
        <f>IFERROR(__xludf.DUMMYFUNCTION("""COMPUTED_VALUE"""),"Transgenerational Effects on the Coral Pocillopora damicornis Microbiome Under Ocean Acidification")</f>
        <v>Transgenerational Effects on the Coral Pocillopora damicornis Microbiome Under Ocean Acidification</v>
      </c>
      <c r="B241" s="24" t="str">
        <f>IFERROR(__xludf.DUMMYFUNCTION("""COMPUTED_VALUE"""),"Reef-building corals are inhabited by functionally diverse microorganisms which play important roles in coral health and persistence in the Anthropocene. However, our understanding of the complex associations within coral holobionts is largely limited, pa"&amp;"rticularly transgenerational exposure to environmental stress, like ocean acidification. Here we investigated the microbiome development of an ecologically important coral Pocillopora damicornis following transgenerational exposure to moderate and high pC"&amp;"O(2) (partial pressure of CO2) levels, using amplicon sequencing and analysis. Our results showed that the Symbiodiniaceae community structures in adult and juvenile had similar patterns, all of which were dominated by Durusdinium spp., previously known a"&amp;"s clade D. Conversely, prokaryotic communities varied between adults and juveniles, possibly driven by the effect of host development. Surprisingly, there were no significant changes in both Symbiodiniaceae and prokaryotic communities with different pCO(2"&amp;") treatments, which was independent of the life history stage. This study shows that ocean acidification has no significant effect on P. damicornis microbiome, and warrants further research to test whether transgenerational acclimation exists in coral hol"&amp;"obiont to projected future climate change.")</f>
        <v>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v>
      </c>
      <c r="C241" s="24" t="str">
        <f>IFERROR(__xludf.DUMMYFUNCTION("""COMPUTED_VALUE"""),"10.1007/s00248-021-01690-2")</f>
        <v>10.1007/s00248-021-01690-2</v>
      </c>
      <c r="D241" s="24" t="str">
        <f>IFERROR(__xludf.DUMMYFUNCTION("""COMPUTED_VALUE"""),"Keck et al")</f>
        <v>Keck et al</v>
      </c>
      <c r="E241" s="24" t="str">
        <f>IFERROR(__xludf.DUMMYFUNCTION("""COMPUTED_VALUE"""),"WOS:000617392900002")</f>
        <v>WOS:000617392900002</v>
      </c>
      <c r="F241" s="24" t="str">
        <f>IFERROR(__xludf.DUMMYFUNCTION("""COMPUTED_VALUE"""),"[""ELIGIBLE""]")</f>
        <v>["ELIGIBLE"]</v>
      </c>
    </row>
    <row r="242">
      <c r="A242" s="24" t="str">
        <f>IFERROR(__xludf.DUMMYFUNCTION("""COMPUTED_VALUE"""),"NITOGEN INPUTS REDUCE FUNGAL DIVERSITY AND ALTER COMMUNITY COMPOSITION IN A CHINESE FIR PLANTATION")</f>
        <v>NITOGEN INPUTS REDUCE FUNGAL DIVERSITY AND ALTER COMMUNITY COMPOSITION IN A CHINESE FIR PLANTATION</v>
      </c>
      <c r="B242" s="24" t="str">
        <f>IFERROR(__xludf.DUMMYFUNCTION("""COMPUTED_VALUE"""),"Soil fungi are pivotal drivers of nutrient cycling in forest ecosystems. Nitrogen (N) input is projected to increase with global climate change, but the effect of N addition on fungal diversity and community composition in subtropical forests remains uncl"&amp;"ear. Here, we used high-throughput sequencing of the ITS region to quantify the changes in fungal diversity and community composition in response to an eight years of simulated N addition in subtropical forest ecosystems. Soil nutrient concentrations (NH4"&amp;"+, NO3-, dissolved organic carbon (DOC), and Total N) increased, but pH and fungal alpha diversity decreased with N addition compared to control treatments. Ascomycota and Zygomycota were stimulated by N addition, while Basidiomycota decreased. Principal "&amp;"coordinates analysis showed that fungal community composition in the control treatment was significantly different from various N addition treatments. N additions increased available N concentrations which overwhelmed other factors and played a key role i"&amp;"n decreasing fungal diversity and skewing community composition. Thus, simulated N deposition reduced fungal biodiversity and altered fungal community composition, likely mediated via changes in available nutrients in the soil.")</f>
        <v>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v>
      </c>
      <c r="C242" s="24" t="str">
        <f>IFERROR(__xludf.DUMMYFUNCTION("""COMPUTED_VALUE"""),"10.15666/aeer/1904_26052615")</f>
        <v>10.15666/aeer/1904_26052615</v>
      </c>
      <c r="D242" s="24" t="str">
        <f>IFERROR(__xludf.DUMMYFUNCTION("""COMPUTED_VALUE"""),"Keck et al")</f>
        <v>Keck et al</v>
      </c>
      <c r="E242" s="24" t="str">
        <f>IFERROR(__xludf.DUMMYFUNCTION("""COMPUTED_VALUE"""),"WOS:000693450100001")</f>
        <v>WOS:000693450100001</v>
      </c>
      <c r="F242" s="24" t="str">
        <f>IFERROR(__xludf.DUMMYFUNCTION("""COMPUTED_VALUE"""),"[""ELIGIBLE""]")</f>
        <v>["ELIGIBLE"]</v>
      </c>
    </row>
    <row r="243">
      <c r="A243" s="24" t="str">
        <f>IFERROR(__xludf.DUMMYFUNCTION("""COMPUTED_VALUE"""),"Persisting responses of salt marsh fungal communities to the Deepwater Horizon oil spill")</f>
        <v>Persisting responses of salt marsh fungal communities to the Deepwater Horizon oil spill</v>
      </c>
      <c r="B243" s="24" t="str">
        <f>IFERROR(__xludf.DUMMYFUNCTION("""COMPUTED_VALUE"""),"The plant microbiome, composed of diverse interacting microorganisms, is thought to undergird host integrity and well-being. Though it is well understood that environmental perturbations like oil pollution can alter the diversity and composition of microb"&amp;"iomes, remarkably little is known about how disturbance alters plant-fungal associations. Using Next-Generation sequencing of the 18S rDNA internal transcribed spacer (ITS1) region, we examined outcomes of enduring oil exposure on aboveground leaf and bel"&amp;"owground endophytic root and rhizosphere fungal communities of Spartina alterniflora, a highly valued ecosystem engineer in southeastern Louisiana marshes affected by the 2010 Deepwater Horizon accident. We found that aboveground foliar fungal communities"&amp;" exhibited site-dependent compositional turnover with consequent loss in diversity according to oiling history. Rhizosphere soil communities also exhibited shifts in community composition associated with oiling history, whereas root endophytic communities"&amp;" did not. Oiling did not increase or decrease similarities among aboveground and belowground communities within an individual host, indicating that host plant characteristics exert stronger control than external factors on fungal community composition. Th"&amp;"ese results show that fungal community responses to oiling vary within tissues of the same host plant, and that differences in the local environment, or alternatively, site-specific differences in residual oil constrain the magnitude of exposure responses"&amp;". Our study offers novel perspectives on how environmental contaminants and perturbations can influence plant microbiomes, highlighting the importance of assessing long-term ecological outcomes of oil pollution to better understand how shifts in microbial"&amp;" communities influence plant performance and ecosystem function. Our findings are relevant to coastal management programs tasked with responding to oil spills and increasing pressures arising from intensifying development and climate change. Understanding"&amp;" how modification of plant-micobiorme associations influences plant performance, particularly of ecosystem engineers like S. alterniflora, can help guide efforts to protect and restore at-risk coastal ecosystems. (C) 2018 Elsevier B.V. All rights reserved"&amp;".")</f>
        <v>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v>
      </c>
      <c r="C243" s="24" t="str">
        <f>IFERROR(__xludf.DUMMYFUNCTION("""COMPUTED_VALUE"""),"10.1016/j.scitotenv.2018.06.077")</f>
        <v>10.1016/j.scitotenv.2018.06.077</v>
      </c>
      <c r="D243" s="24" t="str">
        <f>IFERROR(__xludf.DUMMYFUNCTION("""COMPUTED_VALUE"""),"Keck et al")</f>
        <v>Keck et al</v>
      </c>
      <c r="E243" s="24" t="str">
        <f>IFERROR(__xludf.DUMMYFUNCTION("""COMPUTED_VALUE"""),"WOS:000439405600089")</f>
        <v>WOS:000439405600089</v>
      </c>
      <c r="F243" s="24" t="str">
        <f>IFERROR(__xludf.DUMMYFUNCTION("""COMPUTED_VALUE"""),"[""ELIGIBLE""]")</f>
        <v>["ELIGIBLE"]</v>
      </c>
    </row>
    <row r="244">
      <c r="A244" s="24" t="str">
        <f>IFERROR(__xludf.DUMMYFUNCTION("""COMPUTED_VALUE"""),"Temporal trends in live foraminiferal assemblages near a pollution outfall on the Levant shelf")</f>
        <v>Temporal trends in live foraminiferal assemblages near a pollution outfall on the Levant shelf</v>
      </c>
      <c r="B244" s="24" t="str">
        <f>IFERROR(__xludf.DUMMYFUNCTION("""COMPUTED_VALUE"""),"Long and short term effects of activated sewage sludge input on live benthic foraminiferal assemblages of the shallow shelf off Palmachim, Israel were examined at three stations along the eutrophic gradient. Over ten years from 2003 to 2012, foraminiferal"&amp;" abundance decreased dramatically by &gt;50% in all stations. In 2012, new species were found near the discharge point, relative abundance of the dominant species decreased and in-sediment depth increased. In the remote stations the dominant species failed t"&amp;"o bloom seasonally. Each year, dispersion of sludge was accompanied by intense current activity, aeration, and periodic local sediment transport, reintroducing species from nearby. Storm frequency was notably high in 2012. The decrease in numbers over tim"&amp;"e despite seasonal amelioration indicates that the constant OM input is a permanent source of environmental stress. Aside from this stress, natural variability, changes in Nile input, or a hidden impact of long-term climate change may play a role. (C) 201"&amp;"6 Elsevier Ltd. All rights reserved.")</f>
        <v>Long and short term effects of activated sewage sludge input on live benthic foraminiferal assemblages of the shallow shelf off Palmachim, Israel were examined at three stations along the eutrophic gradient. Over ten years from 2003 to 2012, foraminiferal abundance decreased dramatically by &gt;50% in all stations. In 2012, new species were found near the discharge point, relative abundance of the dominant species decreased and in-sediment depth increased. In the remote stations the dominant species failed to bloom seasonally. Each year, dispersion of sludge was accompanied by intense current activity, aeration, and periodic local sediment transport, reintroducing species from nearby. Storm frequency was notably high in 2012. The decrease in numbers over time despite seasonal amelioration indicates that the constant OM input is a permanent source of environmental stress. Aside from this stress, natural variability, changes in Nile input, or a hidden impact of long-term climate change may play a role. (C) 2016 Elsevier Ltd. All rights reserved.</v>
      </c>
      <c r="C244" s="24" t="str">
        <f>IFERROR(__xludf.DUMMYFUNCTION("""COMPUTED_VALUE"""),"10.1016/j.marpolbul.2016.12.045")</f>
        <v>10.1016/j.marpolbul.2016.12.045</v>
      </c>
      <c r="D244" s="24" t="str">
        <f>IFERROR(__xludf.DUMMYFUNCTION("""COMPUTED_VALUE"""),"Keck et al")</f>
        <v>Keck et al</v>
      </c>
      <c r="E244" s="24" t="str">
        <f>IFERROR(__xludf.DUMMYFUNCTION("""COMPUTED_VALUE"""),"WOS:000399258600019")</f>
        <v>WOS:000399258600019</v>
      </c>
      <c r="F244" s="24" t="str">
        <f>IFERROR(__xludf.DUMMYFUNCTION("""COMPUTED_VALUE"""),"[""ELIGIBLE""]")</f>
        <v>["ELIGIBLE"]</v>
      </c>
    </row>
    <row r="245">
      <c r="A245" s="24" t="str">
        <f>IFERROR(__xludf.DUMMYFUNCTION("""COMPUTED_VALUE"""),"Changes in Rocky Intertidal Community Structure During a Marine Heatwave in the Northern Gulf of Alaska")</f>
        <v>Changes in Rocky Intertidal Community Structure During a Marine Heatwave in the Northern Gulf of Alaska</v>
      </c>
      <c r="B245" s="24" t="str">
        <f>IFERROR(__xludf.DUMMYFUNCTION("""COMPUTED_VALUE"""),"Marine heatwaves are global phenomena that can have major impacts on the structure and function of coastal ecosystems. By mid-2014, the Pacific Marine Heatwave (PMH) was evident in intertidal waters of the northern Gulf of Alaska and persisted for multipl"&amp;"e years. While offshore marine ecosystems are known to respond to these warmer waters, the response of rocky intertidal ecosystems to this warming is unclear. Intertidal communities link terrestrial and marine ecosystems and their resources are important "&amp;"to marine and terrestrial predators and to human communities for food and recreation, while simultaneously supporting a growing coastal tourism industry. Given that current climate change projections suggest increased frequency and duration of marine heat"&amp;"waves, monitoring and understanding the impacts of heatwaves on intertidal habitats is important. As part of the Gulf Watch Alaska Long-Term Monitoring program, we examined rocky intertidal community structure at 21 sites across four regions spanning 1,20"&amp;"0 km of coastline: Western Prince William Sound, Kenai Fjords National Park, Kachemak Bay, and Katmai National Park and Preserve. Sites were monitored annually from 2012 to 2019 at mid and low tidal strata. Before-PMH (2012-2014), community structure diff"&amp;"ered among regions. We found macroalgal foundation species declined during this period mirroring patterns observed elsewhere for subtidal habitat formers during heatwave events. The region-wide shift from an autotroph-macroalgal dominated rocky intertidal"&amp;" to a heterotroph-filter-feeder dominated state concurrent with the changing environmental conditions associated with a marine heatwave event suggests the PMH had Gulf-wide impacts to the structure of rocky intertidal communities. During/after-PMH (2015-2"&amp;"019), similarities in community structure increased across regions, leading to a greater homogenization of these communities, due to declines in macroalgal cover, driven mostly by a decline in the rockweed, Fucus distichus, and other fleshy red algae in 2"&amp;"015, followed by an increase in barnacle cover in 2016, and an increase in mussel cover in 2017. Strong, large-scale oceanographic events, like the PMH, may override local drivers to similarly influence patterns of intertidal community structure.")</f>
        <v>Marine heatwaves are global phenomena that can have major impacts on the structure and function of coastal ecosystems. By mid-2014, the Pacific Marine Heatwave (PMH) was evident in intertidal waters of the northern Gulf of Alaska and persisted for multiple years. While offshore marine ecosystems are known to respond to these warmer waters, the response of rocky intertidal ecosystems to this warming is unclear. Intertidal communities link terrestrial and marine ecosystems and their resources are important to marine and terrestrial predators and to human communities for food and recreation, while simultaneously supporting a growing coastal tourism industry. Given that current climate change projections suggest increased frequency and duration of marine heatwaves, monitoring and understanding the impacts of heatwaves on intertidal habitats is important. As part of the Gulf Watch Alaska Long-Term Monitoring program, we examined rocky intertidal community structure at 21 sites across four regions spanning 1,200 km of coastline: Western Prince William Sound, Kenai Fjords National Park, Kachemak Bay, and Katmai National Park and Preserve. Sites were monitored annually from 2012 to 2019 at mid and low tidal strata. Before-PMH (2012-2014), community structure differed among regions. We found macroalgal foundation species declined during this period mirroring patterns observed elsewhere for subtidal habitat formers during heatwave events. The region-wide shift from an autotroph-macroalgal dominated rocky intertidal to a heterotroph-filter-feeder dominated state concurrent with the changing environmental conditions associated with a marine heatwave event suggests the PMH had Gulf-wide impacts to the structure of rocky intertidal communities. During/after-PMH (2015-2019), similarities in community structure increased across regions, leading to a greater homogenization of these communities, due to declines in macroalgal cover, driven mostly by a decline in the rockweed, Fucus distichus, and other fleshy red algae in 2015, followed by an increase in barnacle cover in 2016, and an increase in mussel cover in 2017. Strong, large-scale oceanographic events, like the PMH, may override local drivers to similarly influence patterns of intertidal community structure.</v>
      </c>
      <c r="C245" s="24" t="str">
        <f>IFERROR(__xludf.DUMMYFUNCTION("""COMPUTED_VALUE"""),"10.3389/fmars.2021.556820")</f>
        <v>10.3389/fmars.2021.556820</v>
      </c>
      <c r="D245" s="24" t="str">
        <f>IFERROR(__xludf.DUMMYFUNCTION("""COMPUTED_VALUE"""),"Keck et al")</f>
        <v>Keck et al</v>
      </c>
      <c r="E245" s="24" t="str">
        <f>IFERROR(__xludf.DUMMYFUNCTION("""COMPUTED_VALUE"""),"WOS:000624478200001")</f>
        <v>WOS:000624478200001</v>
      </c>
      <c r="F245" s="24" t="str">
        <f>IFERROR(__xludf.DUMMYFUNCTION("""COMPUTED_VALUE"""),"[""ELIGIBLE""]")</f>
        <v>["ELIGIBLE"]</v>
      </c>
    </row>
    <row r="246">
      <c r="A246" s="24" t="str">
        <f>IFERROR(__xludf.DUMMYFUNCTION("""COMPUTED_VALUE"""),"Human practices promote presence and abundance of disease-transmitting mosquito species")</f>
        <v>Human practices promote presence and abundance of disease-transmitting mosquito species</v>
      </c>
      <c r="B246" s="24" t="str">
        <f>IFERROR(__xludf.DUMMYFUNCTION("""COMPUTED_VALUE"""),"Humans alter the environment at unprecedented rates through habitat destruction, nutrient pollution and the application of agrochemicals. This has recently been proposed to act as a potentially significant driver of pathogen-carrying mosquito species (dis"&amp;"ease vectors) that pose a health risk to humans and livestock. Here, we use a unique set of locations along a large geographical gradient to show that landscapes disturbed by a variety of anthropogenic stressors are consistently associated with vector-dom"&amp;"inated mosquito communities for a wide range of human and livestock infections. This strongly suggests that human alterations to the environment promote the presence and abundance of disease vectors across large spatial extents. As such, it warrants furth"&amp;"er studies aimed at unravelling mechanisms underlying vector prevalence in mosquito communities, and opens up new opportunities for preventative action and predictive modelling of vector borne disease risks in relation to degradation of natural ecosystems"&amp;".")</f>
        <v>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v>
      </c>
      <c r="C246" s="24" t="str">
        <f>IFERROR(__xludf.DUMMYFUNCTION("""COMPUTED_VALUE"""),"10.1038/s41598-020-69858-3")</f>
        <v>10.1038/s41598-020-69858-3</v>
      </c>
      <c r="D246" s="24" t="str">
        <f>IFERROR(__xludf.DUMMYFUNCTION("""COMPUTED_VALUE"""),"Keck et al")</f>
        <v>Keck et al</v>
      </c>
      <c r="E246" s="24" t="str">
        <f>IFERROR(__xludf.DUMMYFUNCTION("""COMPUTED_VALUE"""),"WOS:000561136100012")</f>
        <v>WOS:000561136100012</v>
      </c>
      <c r="F246" s="24" t="str">
        <f>IFERROR(__xludf.DUMMYFUNCTION("""COMPUTED_VALUE"""),"[""ELIGIBLE""]")</f>
        <v>["ELIGIBLE"]</v>
      </c>
    </row>
    <row r="247">
      <c r="A247" s="24" t="str">
        <f>IFERROR(__xludf.DUMMYFUNCTION("""COMPUTED_VALUE"""),"Resilience of Natural Phytoplankton Communities to Pulse Disturbances from Micropollutant Exposure and Vertical Mixing")</f>
        <v>Resilience of Natural Phytoplankton Communities to Pulse Disturbances from Micropollutant Exposure and Vertical Mixing</v>
      </c>
      <c r="B247" s="24" t="str">
        <f>IFERROR(__xludf.DUMMYFUNCTION("""COMPUTED_VALUE"""),"Freshwaters are increasingly exposed to complex mixtures of pharmaceutical and personal care products (PPCPs) from municipal wastewater, which are known to alter freshwater communities' structure and functioning. However, their interaction with other dist"&amp;"urbances and whether their combined effects can impact ecological resilience (i.e., the ability of a system to tolerate disturbances without altering the system's original structure and processes) remain unexplored. Using in situ mesocosms in 2 lakes with"&amp;" different nutrient levels (mesotrophic and eutrophic), we assessed whether a pulse exposure to sublethal concentrations of 12 PPCPs affects the ecological resilience of natural phytoplankton communities that experienced an abrupt environmental change inv"&amp;"olving the destabilization of the water column through mixing. Such mixing events are predicted to increase as the effects of climate change unfold, leading to more frequent storms, which disrupt stratification in lakes and force communities to restructur"&amp;"e. We assessed their combined effects on community metrics (biomass, species richness, and composition) and their relative resilience using 4 indicators (cross-scale, within-scale, aggregation length, and gap length), inferred from phytoplankton communiti"&amp;"es by discontinuity analysis. The mixing disturbance alone had negligible effects on the community metrics, but when combined with chemical contaminants significant changes were measured: reducing total biomass, species richness, and altered community com"&amp;"position of phytoplankton. Once these changes occurred, they persisted until the end of the experiment (day 20), when the communities' structures from the 2 highest exposure levels diverged from the controls. The resilience indicators were not affected by"&amp;" PPCPs but differed significantly between lakes, with lower resilience found in the eutrophic lake. Thus, PPCPs can significantly alter community structures and reinforce mechanisms that maintain ecosystems in a degraded state. Environ Toxicol Chem 2019;0"&amp;"0:1-12. (c) 2019 The Authors. Environmental Toxicology and Chemistry published by Wiley Periodicals, Inc. on behalf of SETAC.")</f>
        <v>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v>
      </c>
      <c r="C247" s="24" t="str">
        <f>IFERROR(__xludf.DUMMYFUNCTION("""COMPUTED_VALUE"""),"10.1002/etc.4536")</f>
        <v>10.1002/etc.4536</v>
      </c>
      <c r="D247" s="24" t="str">
        <f>IFERROR(__xludf.DUMMYFUNCTION("""COMPUTED_VALUE"""),"Keck et al")</f>
        <v>Keck et al</v>
      </c>
      <c r="E247" s="24" t="str">
        <f>IFERROR(__xludf.DUMMYFUNCTION("""COMPUTED_VALUE"""),"WOS:000486765900001")</f>
        <v>WOS:000486765900001</v>
      </c>
      <c r="F247" s="24" t="str">
        <f>IFERROR(__xludf.DUMMYFUNCTION("""COMPUTED_VALUE"""),"[""ELIGIBLE""]")</f>
        <v>["ELIGIBLE"]</v>
      </c>
    </row>
    <row r="248">
      <c r="A248" s="24" t="str">
        <f>IFERROR(__xludf.DUMMYFUNCTION("""COMPUTED_VALUE"""),"Benthic macroinvertebrate community response to environmental changes over seven decades in an urbanized estuary in the northeastern United States")</f>
        <v>Benthic macroinvertebrate community response to environmental changes over seven decades in an urbanized estuary in the northeastern United States</v>
      </c>
      <c r="B248" s="24" t="str">
        <f>IFERROR(__xludf.DUMMYFUNCTION("""COMPUTED_VALUE"""),"Narragansett Bay is representative of New England, USA urbanized estuaries, with colonization in the early 17th century, and development into industrial and transportation centers in the late 18th and early 20th century. Increasing nationwide population a"&amp;"nd lack of infrastructure maintenance led to environmental degradation, and then eventual improvement after implementation of contaminant control and sewage treatment starting in the 1970s. Benthic macroinvertebrate community structure was expected to res"&amp;"pond to these environmental changes. This study assembled data sets from the 1950s through 2010s to examine whether quantitative aggregate patterns in the benthic community corresponded qualitatively to stressors and management actions in the watershed. I"&amp;"n Greenwich Bay and Providence River, patterns of benthic response corresponded to the decline and then improvement in sewage treatment at the Fields Point wastewater treatment plant. In Mount Hope Bay, the benthos corresponded to changes in bay fish popu"&amp;"lations due to thermal discharge from the Brayton Point power plant. The benthos of the Upper West Passage corresponded to climatic changes that caused regime shifts in the plankton and fish communities. Future work will examine the effects of further env"&amp;"ironmental improvements in the face of continued climatic changes and population growth.")</f>
        <v>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v>
      </c>
      <c r="C248" s="24" t="str">
        <f>IFERROR(__xludf.DUMMYFUNCTION("""COMPUTED_VALUE"""),"10.1016/j.marenvres.2021.105323")</f>
        <v>10.1016/j.marenvres.2021.105323</v>
      </c>
      <c r="D248" s="24" t="str">
        <f>IFERROR(__xludf.DUMMYFUNCTION("""COMPUTED_VALUE"""),"Keck et al")</f>
        <v>Keck et al</v>
      </c>
      <c r="E248" s="24" t="str">
        <f>IFERROR(__xludf.DUMMYFUNCTION("""COMPUTED_VALUE"""),"WOS:000675834100003")</f>
        <v>WOS:000675834100003</v>
      </c>
      <c r="F248" s="24" t="str">
        <f>IFERROR(__xludf.DUMMYFUNCTION("""COMPUTED_VALUE"""),"[""ELIGIBLE""]")</f>
        <v>["ELIGIBLE"]</v>
      </c>
    </row>
    <row r="249">
      <c r="A249" s="24" t="str">
        <f>IFERROR(__xludf.DUMMYFUNCTION("""COMPUTED_VALUE"""),"The impacts of an invasive herbivore (Camelus dromedaries) on arid zone freshwater pools: An experimental investigation of the effects of dung on macroinvertebrate colonisation")</f>
        <v>The impacts of an invasive herbivore (Camelus dromedaries) on arid zone freshwater pools: An experimental investigation of the effects of dung on macroinvertebrate colonisation</v>
      </c>
      <c r="B249" s="24" t="str">
        <f>IFERROR(__xludf.DUMMYFUNCTION("""COMPUTED_VALUE"""),"Aquatic ecosystems in arid environments provide important refugia and 'stepping-stones' of connectivity for aquatic fauna. Aquatic ecosystems in central Australia are vulnerable to degradation due to the impacts of invasive herbivores such as camels, whic"&amp;"h degrade small desert waterbodies through drinking, trampling, and fouling with dung. In this study we assessed the impacts of camel dung on the water quality and macroinvertebrate colonization and community composition of small arid zone freshwater pool"&amp;"s using experimental mesocosms. Camel dung (2 kg) was added to half the mesocosms (the treatment), the remaining mesocosms (without camel dung) acted as the controls. All mesocosms were sampled weekly for water quality, nutrients, chlorophyll a and macroi"&amp;"nvertebrate richness and abundance, over an eight week period during summer. Macroinvertebrate abundance was higher in the control mesocosms in comparison to the treatment mesocosms. Pollution tolerant taxa such as mosquito larvae were common in treatment"&amp;" mesocosms, while sensitive fauna, such as larval mayflies and dragonflies were more common in the controls. The latter are predators and appeared to have a major influence on community composition. Our results reinforce the need for active management of "&amp;"invasive herbivores to protect aquatic biodiversity and to manage potential disease-vector species in central Australia waterbodies. (C) 2014 Elsevier Ltd. All rights reserved.")</f>
        <v>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v>
      </c>
      <c r="C249" s="24" t="str">
        <f>IFERROR(__xludf.DUMMYFUNCTION("""COMPUTED_VALUE"""),"10.1016/j.jaridenv.2014.09.011")</f>
        <v>10.1016/j.jaridenv.2014.09.011</v>
      </c>
      <c r="D249" s="24" t="str">
        <f>IFERROR(__xludf.DUMMYFUNCTION("""COMPUTED_VALUE"""),"Keck et al")</f>
        <v>Keck et al</v>
      </c>
      <c r="E249" s="24" t="str">
        <f>IFERROR(__xludf.DUMMYFUNCTION("""COMPUTED_VALUE"""),"WOS:000347137300009")</f>
        <v>WOS:000347137300009</v>
      </c>
      <c r="F249" s="24" t="str">
        <f>IFERROR(__xludf.DUMMYFUNCTION("""COMPUTED_VALUE"""),"[""ELIGIBLE""]")</f>
        <v>["ELIGIBLE"]</v>
      </c>
    </row>
    <row r="250">
      <c r="A250" s="24" t="str">
        <f>IFERROR(__xludf.DUMMYFUNCTION("""COMPUTED_VALUE"""),"Coastal heathland vegetation is surprisingly resistant to experimental drought across successional stages and latitude")</f>
        <v>Coastal heathland vegetation is surprisingly resistant to experimental drought across successional stages and latitude</v>
      </c>
      <c r="B250" s="24" t="str">
        <f>IFERROR(__xludf.DUMMYFUNCTION("""COMPUTED_VALUE"""),"In the last decade, several major dwarf-shrub dieback events have occurred in northern European coastal heathlands. These dieback events occur after extended periods with sub-zero temperatures under snow-free conditions and clear skies, suggesting that co"&amp;"astal heathlands have low resistance to winter drought. As climate projections forecast increased drought frequency, intensity, and duration, coastal heathlands are likely to experience more such diebacks in the future. There are, however, few empirical s"&amp;"tudies of drought impacts and responses on plant communities in humid oceanic ecosystems. We established a drought experiment with two distinct levels of intensified drought to identify responses and thresholds of drought resistance in coastal heathland v"&amp;"egetation. We repeated the experiment in two regions, separated by five degrees latitude, to represent different bioclimatic conditions within the coastal heathlands' wide latitudinal range in Europe. As coastal heathlands are semi-natural habitats manage"&amp;"d by prescribed fire, and we repeated the experiment across three post-fire successional phases within each region. Plant community structure, annual primary production, and primary and secondary growth of the dominant dwarf-shrub Calluna vulgaris varied "&amp;"between climate regions. To our surprise, these wide-ranging vegetation- and plant-level response variables were largely unaffected by the drought treatments. Consequently, our results suggest that northern, coastal heathland vegetation is relatively resi"&amp;"stant to substantial intensification in drought. This experiment represents the world's wettest (2200 mm year(-1)) and northernmost (65 degrees 8'N) drought experiment to date, thus filling important knowledge gaps on ecological drought responses in high-"&amp;"precipitation and high-latitude ecosystems across multiple phases of plant community succession.")</f>
        <v>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v>
      </c>
      <c r="C250" s="24" t="str">
        <f>IFERROR(__xludf.DUMMYFUNCTION("""COMPUTED_VALUE"""),"10.1111/oik.08098")</f>
        <v>10.1111/oik.08098</v>
      </c>
      <c r="D250" s="24" t="str">
        <f>IFERROR(__xludf.DUMMYFUNCTION("""COMPUTED_VALUE"""),"Keck et al")</f>
        <v>Keck et al</v>
      </c>
      <c r="E250" s="24" t="str">
        <f>IFERROR(__xludf.DUMMYFUNCTION("""COMPUTED_VALUE"""),"WOS:000700822000001")</f>
        <v>WOS:000700822000001</v>
      </c>
      <c r="F250" s="24" t="str">
        <f>IFERROR(__xludf.DUMMYFUNCTION("""COMPUTED_VALUE"""),"[""ELIGIBLE""]")</f>
        <v>["ELIGIBLE"]</v>
      </c>
    </row>
    <row r="251">
      <c r="A251" s="24" t="str">
        <f>IFERROR(__xludf.DUMMYFUNCTION("""COMPUTED_VALUE"""),"The impacts of recurrent fires on diversity of fruit-feeding butterflies in a south-eastern Amazon forest")</f>
        <v>The impacts of recurrent fires on diversity of fruit-feeding butterflies in a south-eastern Amazon forest</v>
      </c>
      <c r="B251" s="24" t="str">
        <f>IFERROR(__xludf.DUMMYFUNCTION("""COMPUTED_VALUE"""),"In the south-eastern Amazon, positive feedbacks between land use and severe weather events are increasing the frequency and intensity of fires, threatening local biodiversity. We sampled fruit-feeding butterflies in experimental plots in a south-eastern A"&amp;"mazon forest: one control plot, one plot burned every 3 y, one plot burned yearly. We also measured environmental parameters (canopy cover, temperature, humidity). Our results show no significant differences in overall species richness between plots (34, "&amp;"37 and 33 species respectively), although richness was lower in burned plots during the dry season. We found significant differences in community composition and structure between control and burned plots, but not between burned treatments. In the control"&amp;" plot, forest-specialist species represented 64% of total abundance, decreasing to 50% in burned every 3 y and 54% in yearly burned plots. Savanna specialist species were absent in the control plot, but represented respectively 8% and 3% of total abundanc"&amp;"e in burned plots. The best predictor of the change in spatial community patterns and abundance of forest specialists was canopy cover. Although we found high resilience to forest burning in many species, our study suggests that fire disturbance can still"&amp;" be a threat to forest specialists due to changes in microclimate.")</f>
        <v>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v>
      </c>
      <c r="C251" s="24" t="str">
        <f>IFERROR(__xludf.DUMMYFUNCTION("""COMPUTED_VALUE"""),"10.1017/S0266467416000559")</f>
        <v>10.1017/S0266467416000559</v>
      </c>
      <c r="D251" s="24" t="str">
        <f>IFERROR(__xludf.DUMMYFUNCTION("""COMPUTED_VALUE"""),"Keck et al")</f>
        <v>Keck et al</v>
      </c>
      <c r="E251" s="24" t="str">
        <f>IFERROR(__xludf.DUMMYFUNCTION("""COMPUTED_VALUE"""),"WOS:000392218900003")</f>
        <v>WOS:000392218900003</v>
      </c>
      <c r="F251" s="24" t="str">
        <f>IFERROR(__xludf.DUMMYFUNCTION("""COMPUTED_VALUE"""),"[""ELIGIBLE""]")</f>
        <v>["ELIGIBLE"]</v>
      </c>
    </row>
    <row r="252">
      <c r="A252" s="24" t="str">
        <f>IFERROR(__xludf.DUMMYFUNCTION("""COMPUTED_VALUE"""),"Effects of enhanced loads of nutrients on epiphytes on leaves and rhizomes of Posidonia oceanica")</f>
        <v>Effects of enhanced loads of nutrients on epiphytes on leaves and rhizomes of Posidonia oceanica</v>
      </c>
      <c r="B252" s="24" t="str">
        <f>IFERROR(__xludf.DUMMYFUNCTION("""COMPUTED_VALUE"""),"The increase of anthropogenic activities has severely altered both terrestrial and aquatic systems. Urbanisation, excessive use of agricultural fertilisers, organic runoff and climate change have caused an increase of nutrients in coastal waters, altering"&amp;" the diversity and food-web structure of benthic assemblages. The aims of the present paper were to text if an experimentally increased availability of nutrients, primarily nitrogen and phosphorous, in an oligotrophic basin, would affect epiphytic assembl"&amp;"ages on leaves and rhizomes of P. oceanica and whether this could change rates of consumption of the plant by herbivores. In particular, we tested the hypothesis i) that changes to species composition and abundance of epiphytic assemblages generated by nu"&amp;"trients enrichment would vary between leaves and rhizomes and that ii) alterations to epiphytic assemblages on leaves might, in turn, modify feeding rates of herbivorous fish. After two years, the structure of both leaf and rhizome epiphytic assemblages r"&amp;"esponded to changes in nutrient concentrations before the occurrence of drastic alterations to the host plant, but only the former showed significant changes in terms of species composition. Moreover, a larger intensity of grazing on P. oceanica leaves wa"&amp;"s documented in experimentally enriched areas than in controls. The present findings and conclusions are applicable to other systems where patterns of biodiversity depend on changes in the availability of nutrients due to natural or anthropogenic events, "&amp;"likely interacting with biological processes, such as competition and grazing. (C) 2009 Elsevier B.V. All rights reserved.")</f>
        <v>The increase of anthropogenic activities has severely altered both terrestrial and aquatic systems. Urbanisation, excessive use of agricultural fertilisers, organic runoff and climate change have caused an increase of nutrients in coastal waters, altering the diversity and food-web structure of benthic assemblages. The aims of the present paper were to text if an experimentally increased availability of nutrients, primarily nitrogen and phosphorous, in an oligotrophic basin, would affect epiphytic assemblages on leaves and rhizomes of P. oceanica and whether this could change rates of consumption of the plant by herbivores. In particular, we tested the hypothesis i) that changes to species composition and abundance of epiphytic assemblages generated by nutrients enrichment would vary between leaves and rhizomes and that ii) alterations to epiphytic assemblages on leaves might, in turn, modify feeding rates of herbivorous fish. After two years, the structure of both leaf and rhizome epiphytic assemblages responded to changes in nutrient concentrations before the occurrence of drastic alterations to the host plant, but only the former showed significant changes in terms of species composition. Moreover, a larger intensity of grazing on P. oceanica leaves was documented in experimentally enriched areas than in controls. The present findings and conclusions are applicable to other systems where patterns of biodiversity depend on changes in the availability of nutrients due to natural or anthropogenic events, likely interacting with biological processes, such as competition and grazing. (C) 2009 Elsevier B.V. All rights reserved.</v>
      </c>
      <c r="C252" s="24" t="str">
        <f>IFERROR(__xludf.DUMMYFUNCTION("""COMPUTED_VALUE"""),"10.1016/j.seares.2009.12.001")</f>
        <v>10.1016/j.seares.2009.12.001</v>
      </c>
      <c r="D252" s="24" t="str">
        <f>IFERROR(__xludf.DUMMYFUNCTION("""COMPUTED_VALUE"""),"Keck et al")</f>
        <v>Keck et al</v>
      </c>
      <c r="E252" s="24" t="str">
        <f>IFERROR(__xludf.DUMMYFUNCTION("""COMPUTED_VALUE"""),"WOS:000277545800002")</f>
        <v>WOS:000277545800002</v>
      </c>
      <c r="F252" s="24" t="str">
        <f>IFERROR(__xludf.DUMMYFUNCTION("""COMPUTED_VALUE"""),"[""ELIGIBLE""]")</f>
        <v>["ELIGIBLE"]</v>
      </c>
    </row>
    <row r="253">
      <c r="A253" s="24" t="str">
        <f>IFERROR(__xludf.DUMMYFUNCTION("""COMPUTED_VALUE"""),"Shifts in soil microorganisms in response to warming are consistent across a range of Antarctic environments")</f>
        <v>Shifts in soil microorganisms in response to warming are consistent across a range of Antarctic environments</v>
      </c>
      <c r="B253" s="24" t="str">
        <f>IFERROR(__xludf.DUMMYFUNCTION("""COMPUTED_VALUE"""),"Because of severe abiotic limitations, Antarctic soils represent simplified systems, where microorganisms are the principal drivers of nutrient cycling. This relative simplicity makes these ecosystems particularly vulnerable to perturbations, like global "&amp;"warming, and the Antarctic Peninsula is among the most rapidly warming regions on the planet. However, the consequences of the ongoing warming of Antarctica on microorganisms and the processes they mediate are unknown. Here, using 16S rRNA gene pyrosequen"&amp;"cing and qPCR, we report highly consistent responses in microbial communities across disparate sub-Antarctic and Antarctic environments in response to 3 years of experimental field warming (+0.5 to 2 degrees C). Specifically, we found significant increase"&amp;"s in the abundance of fungi and bacteria and in the Alphaproteobacteria-to-Acidobacteria ratio, which could result in an increase in soil respiration. Furthermore, shifts toward generalist bacterial communities following warming weakened the linkage betwe"&amp;"en the bacterial taxonomic and functional richness. GeoChip microarray analyses also revealed significant warming effects on functional communities, specifically in the N-cycling microorganisms. Our results demonstrate that soil microorganisms across a ra"&amp;"nge of sub-Antarctic and Antarctic environments can respond consistently and rapidly to increasing temperatures. The ISME Journal (2012) 6, 692-702; doi: 10.1038/ismej.2011.124; published online 22 September 2011")</f>
        <v>Because of severe abiotic limitations, Antarctic soils represent simplified systems, where microorganisms are the principal drivers of nutrient cycling. This relative simplicity makes these ecosystems particularly vulnerable to perturbations, like global warming, and the Antarctic Peninsula is among the most rapidly warming regions on the planet. However, the consequences of the ongoing warming of Antarctica on microorganisms and the processes they mediate are unknown. Here, using 16S rRNA gene pyrosequencing and qPCR, we report highly consistent responses in microbial communities across disparate sub-Antarctic and Antarctic environments in response to 3 years of experimental field warming (+0.5 to 2 degrees C). Specifically, we found significant increases in the abundance of fungi and bacteria and in the Alphaproteobacteria-to-Acidobacteria ratio, which could result in an increase in soil respiration. Furthermore, shifts toward generalist bacterial communities following warming weakened the linkage between the bacterial taxonomic and functional richness. GeoChip microarray analyses also revealed significant warming effects on functional communities, specifically in the N-cycling microorganisms. Our results demonstrate that soil microorganisms across a range of sub-Antarctic and Antarctic environments can respond consistently and rapidly to increasing temperatures. The ISME Journal (2012) 6, 692-702; doi: 10.1038/ismej.2011.124; published online 22 September 2011</v>
      </c>
      <c r="C253" s="24" t="str">
        <f>IFERROR(__xludf.DUMMYFUNCTION("""COMPUTED_VALUE"""),"10.1038/ismej.2011.124")</f>
        <v>10.1038/ismej.2011.124</v>
      </c>
      <c r="D253" s="24" t="str">
        <f>IFERROR(__xludf.DUMMYFUNCTION("""COMPUTED_VALUE"""),"Keck et al")</f>
        <v>Keck et al</v>
      </c>
      <c r="E253" s="24" t="str">
        <f>IFERROR(__xludf.DUMMYFUNCTION("""COMPUTED_VALUE"""),"WOS:000300883200021")</f>
        <v>WOS:000300883200021</v>
      </c>
      <c r="F253" s="24" t="str">
        <f>IFERROR(__xludf.DUMMYFUNCTION("""COMPUTED_VALUE"""),"[""ELIGIBLE""]")</f>
        <v>["ELIGIBLE"]</v>
      </c>
    </row>
    <row r="254">
      <c r="A254" s="24" t="str">
        <f>IFERROR(__xludf.DUMMYFUNCTION("""COMPUTED_VALUE"""),"Environmental stability impacts the differential sensitivity of marine microbiomes to increases in temperature and acidity")</f>
        <v>Environmental stability impacts the differential sensitivity of marine microbiomes to increases in temperature and acidity</v>
      </c>
      <c r="B254" s="24" t="str">
        <f>IFERROR(__xludf.DUMMYFUNCTION("""COMPUTED_VALUE"""),"Ambient conditions shape microbiome responses to both short- and long-duration environment changes through processes including physiological acclimation, compositional shifts, and evolution. Thus, we predict that microbial communities inhabiting locations"&amp;" with larger diel, episodic, and annual variability in temperature and pH should be less sensitive to shifts in these climate-change factors. To test this hypothesis, we compared responses of surface ocean microbes from more variable (nearshore) and more "&amp;"constant (offshore) sites to short-term factorial warming (+3 degrees C) and/or acidification (pH -0.3). In all cases, warming alone significantly altered microbial community composition, while acidification had a minor influence. Compared with nearshore "&amp;"microbes, warmed offshore microbiomes exhibited larger changes in community composition, phylotype abundances, respiration rates, and metatranscriptomes, suggesting increased sensitivity of microbes from the less-variable environment. Moreover, while warm"&amp;"ing increased respiration rates, offshore metatranscriptomes yielded evidence of thermal stress responses in protein synthesis, heat shock proteins, and regulation. Future oceans with warmer waters may enhance overall metabolic and biogeochemical rates, b"&amp;"ut they will host altered microbial communities, especially in relatively thermally stable regions of the oceans.")</f>
        <v>Ambient conditions shape microbiome responses to both short- and long-duration environment changes through processes including physiological acclimation, compositional shifts, and evolution. Thus, we predict that microbial communities inhabiting locations with larger diel, episodic, and annual variability in temperature and pH should be less sensitive to shifts in these climate-change factors. To test this hypothesis, we compared responses of surface ocean microbes from more variable (nearshore) and more constant (offshore) sites to short-term factorial warming (+3 degrees C) and/or acidification (pH -0.3). In all cases, warming alone significantly altered microbial community composition, while acidification had a minor influence. Compared with nearshore microbes, warmed offshore microbiomes exhibited larger changes in community composition, phylotype abundances, respiration rates, and metatranscriptomes, suggesting increased sensitivity of microbes from the less-variable environment. Moreover, while warming increased respiration rates, offshore metatranscriptomes yielded evidence of thermal stress responses in protein synthesis, heat shock proteins, and regulation. Future oceans with warmer waters may enhance overall metabolic and biogeochemical rates, but they will host altered microbial communities, especially in relatively thermally stable regions of the oceans.</v>
      </c>
      <c r="C254" s="24" t="str">
        <f>IFERROR(__xludf.DUMMYFUNCTION("""COMPUTED_VALUE"""),"10.1038/s41396-020-00748-2")</f>
        <v>10.1038/s41396-020-00748-2</v>
      </c>
      <c r="D254" s="24" t="str">
        <f>IFERROR(__xludf.DUMMYFUNCTION("""COMPUTED_VALUE"""),"Keck et al")</f>
        <v>Keck et al</v>
      </c>
      <c r="E254" s="24" t="str">
        <f>IFERROR(__xludf.DUMMYFUNCTION("""COMPUTED_VALUE"""),"WOS:000566052200001")</f>
        <v>WOS:000566052200001</v>
      </c>
      <c r="F254" s="24" t="str">
        <f>IFERROR(__xludf.DUMMYFUNCTION("""COMPUTED_VALUE"""),"[""ELIGIBLE""]")</f>
        <v>["ELIGIBLE"]</v>
      </c>
    </row>
    <row r="255">
      <c r="A255" s="24" t="str">
        <f>IFERROR(__xludf.DUMMYFUNCTION("""COMPUTED_VALUE"""),"Spatial and Temporal Examination of Bivalve Communities in Several Estuaries of Southern California and Northern Baja California, MX")</f>
        <v>Spatial and Temporal Examination of Bivalve Communities in Several Estuaries of Southern California and Northern Baja California, MX</v>
      </c>
      <c r="B255" s="24" t="str">
        <f>IFERROR(__xludf.DUMMYFUNCTION("""COMPUTED_VALUE"""),"A combination of historical bivalve surveys spanning 30-50 years and contemporary sampling were used to document the changes in bivalve community structure over time at four southern California and one northern Baja California estuaries. While there are l"&amp;"imitations to the interpretation of historic data, we observed generally similar trends of reduced total bivalve species richness, losses of relatively large and/or deeper-dwelling natives, and gains of relatively small, surface dwelling introduced specie"&amp;"s across the southern California estuaries, despite fairly distinct bivalve communities. A nearly 50-year absence of bivalves from two wetlands surveyed in a Baja California estuary continued. A combination of site history and current characteristics (e.g"&amp;"., location, depth) likely contributes to maintenance of distinct communities, and both episodic and gradual environmental changes likely contribute to within-estuary temporal shifts (or absences). We highlight future research needed to determine mechanis"&amp;"ms underlying patterns so that we can better predict responses of bivalve communities to future scenarios, including climate change and restoration.")</f>
        <v>A combination of historical bivalve surveys spanning 30-50 years and contemporary sampling were used to document the changes in bivalve community structure over time at four southern California and one northern Baja California estuaries. While there are limitations to the interpretation of historic data, we observed generally similar trends of reduced total bivalve species richness, losses of relatively large and/or deeper-dwelling natives, and gains of relatively small, surface dwelling introduced species across the southern California estuaries, despite fairly distinct bivalve communities. A nearly 50-year absence of bivalves from two wetlands surveyed in a Baja California estuary continued. A combination of site history and current characteristics (e.g., location, depth) likely contributes to maintenance of distinct communities, and both episodic and gradual environmental changes likely contribute to within-estuary temporal shifts (or absences). We highlight future research needed to determine mechanisms underlying patterns so that we can better predict responses of bivalve communities to future scenarios, including climate change and restoration.</v>
      </c>
      <c r="C255" s="24" t="str">
        <f>IFERROR(__xludf.DUMMYFUNCTION("""COMPUTED_VALUE"""),"10.1371/journal.pone.0148220")</f>
        <v>10.1371/journal.pone.0148220</v>
      </c>
      <c r="D255" s="24" t="str">
        <f>IFERROR(__xludf.DUMMYFUNCTION("""COMPUTED_VALUE"""),"Keck et al")</f>
        <v>Keck et al</v>
      </c>
      <c r="E255" s="24" t="str">
        <f>IFERROR(__xludf.DUMMYFUNCTION("""COMPUTED_VALUE"""),"WOS:000369550200100")</f>
        <v>WOS:000369550200100</v>
      </c>
      <c r="F255" s="24" t="str">
        <f>IFERROR(__xludf.DUMMYFUNCTION("""COMPUTED_VALUE"""),"[""ELIGIBLE""]")</f>
        <v>["ELIGIBLE"]</v>
      </c>
    </row>
    <row r="256">
      <c r="A256" s="24" t="str">
        <f>IFERROR(__xludf.DUMMYFUNCTION("""COMPUTED_VALUE"""),"Antigonon leptopus invasion is associated with plant community disassembly in a Caribbean island ecosystem")</f>
        <v>Antigonon leptopus invasion is associated with plant community disassembly in a Caribbean island ecosystem</v>
      </c>
      <c r="B256" s="24" t="str">
        <f>IFERROR(__xludf.DUMMYFUNCTION("""COMPUTED_VALUE"""),"Invasions by non-native plant species are widely recognized as a major driver of biodiversity loss. Globally, (sub-)tropical islands form important components of biodiversity hotspots, while being particularly susceptible to invasions by plants in general"&amp;" and vines in particular. We studied the impact of the invasive vine A. leptopus on the diversity and structure of recipient plant communities on the northern Caribbean island St. Eustatius. We used a paired-plot design to study differences in species ric"&amp;"hness, evenness and community structure under A. leptopus-invaded and uninvaded conditions. Community structure was studied through species co-occurrence patterns. We found that in plots invaded by A. leptopus, species richness was 40-50% lower, and these"&amp;" plots also exhibited lower evenness. The magnitude of these negative impacts increased with increasing cover of A. leptopus. Invaded plots also showed higher degrees of homogeneity in species composition. Species co-occurrence patterns indicated that pla"&amp;"nt communities in uninvaded plots were characterized by segregation, whereas recipient plant communities in invaded plots exhibited random co-occurrence patterns. These observations suggest that invasion of A. leptopus is not only associated with reduced "&amp;"species richness and evenness of recipient communities in invaded sites, but also with a community disassembly process that may reduce diversity between sites. Given that A. leptopus is a successful invader of (sub-)tropical islands around the globe, thes"&amp;"e impacts on plant community structure highlight that this invasive species could be a particular conservation concern for these systems.")</f>
        <v>Invasions by non-native plant species are widely recognized as a major driver of biodiversity loss. Globally, (sub-)tropical islands form important components of biodiversity hotspots, while being particularly susceptible to invasions by plants in general and vines in particular. We studied the impact of the invasive vine A. leptopus on the diversity and structure of recipient plant communities on the northern Caribbean island St. Eustatius. We used a paired-plot design to study differences in species richness, evenness and community structure under A. leptopus-invaded and uninvaded conditions. Community structure was studied through species co-occurrence patterns. We found that in plots invaded by A. leptopus, species richness was 40-50% lower, and these plots also exhibited lower evenness. The magnitude of these negative impacts increased with increasing cover of A. leptopus. Invaded plots also showed higher degrees of homogeneity in species composition. Species co-occurrence patterns indicated that plant communities in uninvaded plots were characterized by segregation, whereas recipient plant communities in invaded plots exhibited random co-occurrence patterns. These observations suggest that invasion of A. leptopus is not only associated with reduced species richness and evenness of recipient communities in invaded sites, but also with a community disassembly process that may reduce diversity between sites. Given that A. leptopus is a successful invader of (sub-)tropical islands around the globe, these impacts on plant community structure highlight that this invasive species could be a particular conservation concern for these systems.</v>
      </c>
      <c r="C256" s="24" t="str">
        <f>IFERROR(__xludf.DUMMYFUNCTION("""COMPUTED_VALUE"""),"10.1007/s10530-021-02646-w")</f>
        <v>10.1007/s10530-021-02646-w</v>
      </c>
      <c r="D256" s="24" t="str">
        <f>IFERROR(__xludf.DUMMYFUNCTION("""COMPUTED_VALUE"""),"Keck et al")</f>
        <v>Keck et al</v>
      </c>
      <c r="E256" s="24" t="str">
        <f>IFERROR(__xludf.DUMMYFUNCTION("""COMPUTED_VALUE"""),"WOS:000718717800002")</f>
        <v>WOS:000718717800002</v>
      </c>
      <c r="F256" s="24" t="str">
        <f>IFERROR(__xludf.DUMMYFUNCTION("""COMPUTED_VALUE"""),"[""ELIGIBLE""]")</f>
        <v>["ELIGIBLE"]</v>
      </c>
    </row>
    <row r="257">
      <c r="A257" s="24" t="str">
        <f>IFERROR(__xludf.DUMMYFUNCTION("""COMPUTED_VALUE"""),"Structural impoverishment of the subtidal vegetation of southeastern Bay of Biscay from 1991 to 2013 in the context of climate change")</f>
        <v>Structural impoverishment of the subtidal vegetation of southeastern Bay of Biscay from 1991 to 2013 in the context of climate change</v>
      </c>
      <c r="B257" s="24" t="str">
        <f>IFERROR(__xludf.DUMMYFUNCTION("""COMPUTED_VALUE"""),"This study assesses changes in the taxonomic and functional structure and in the diversity of the shallow (3-9 m) subtidal vegetation off the southeastern coast of the Bay of Biscay by studying 19 locations between 1991 and 2013. Results provide evidence "&amp;"that the three-dimensional assemblages of shallow subtidal bottoms in the study area may be shifting towards less structurally complex communities. Canopy-forming algae are declining whereas simple thallus turfs composed of a combination of filamentous, p"&amp;"olysiphonated and foliose non-corticated algae are becoming abundant along with articulated corallines and crustose species. Moreover, a significant increase in taxa richness and diversity was found, mainly due to the development of opportunistic and morp"&amp;"hologically simple forms with warm-water affinity. The potential ecological consequences of canopy loss for coastal ecosystems are discussed. Given that changes in climate conditions are predicted to intensify, the prevalence of the new turfing space occu"&amp;"piers in the study area here considered seems to be realistic on the basis of their ability to compete for space and resist disturbance. Consequently, major implications for the functioning and diversity of the ecosystem and for ecosystem services may be "&amp;"expected.")</f>
        <v>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v>
      </c>
      <c r="C257" s="24" t="str">
        <f>IFERROR(__xludf.DUMMYFUNCTION("""COMPUTED_VALUE"""),"10.1016/j.seares.2017.06.006")</f>
        <v>10.1016/j.seares.2017.06.006</v>
      </c>
      <c r="D257" s="24" t="str">
        <f>IFERROR(__xludf.DUMMYFUNCTION("""COMPUTED_VALUE"""),"Keck et al")</f>
        <v>Keck et al</v>
      </c>
      <c r="E257" s="24" t="str">
        <f>IFERROR(__xludf.DUMMYFUNCTION("""COMPUTED_VALUE"""),"WOS:000419410100014")</f>
        <v>WOS:000419410100014</v>
      </c>
      <c r="F257" s="24" t="str">
        <f>IFERROR(__xludf.DUMMYFUNCTION("""COMPUTED_VALUE"""),"[""ELIGIBLE""]")</f>
        <v>["ELIGIBLE"]</v>
      </c>
    </row>
    <row r="258">
      <c r="A258" s="24" t="str">
        <f>IFERROR(__xludf.DUMMYFUNCTION("""COMPUTED_VALUE"""),"Spatiotemporal dynamics of intermittent stream fish metacommunities in response to prolonged drought and reconnectivity")</f>
        <v>Spatiotemporal dynamics of intermittent stream fish metacommunities in response to prolonged drought and reconnectivity</v>
      </c>
      <c r="B258" s="24" t="str">
        <f>IFERROR(__xludf.DUMMYFUNCTION("""COMPUTED_VALUE"""),"Hydrological regimes are primary drivers of community structure and dynamics in streams with strong seasonal or annual flood and drought cycles. In the current study, we investigated the dynamics of fish metacommunities in two intermittent streams (Hickor"&amp;"y Creek and Clear Creek) in north Texas, USA, by examining changes in diversity, abundance, assemblage structure and temporal stability associated with prolonged seasonal drought and reconnectivity. Diversity (and ), abundance and stability increased with"&amp;" initial isolation during summer drought but dramatically declined as drought or drying persisted through the winter (November-December). During post-drought reconnectivity in Hickory Creek, diversity and abundance increased and approached pre-drought lev"&amp;"els. Abundance and body size varied greatly among species and indicated species-specific responses (i.e. mortality, recruitment, dispersal) to hydrologic fragmentation and connectivity. Ultimately, assemblage structures were significantly altered by droug"&amp;"ht in Hickory and Clear creeks, and despite a trend towards recovery in Hickory Creek, assemblages did not fully recover during the present study. Intermittent-stream fishes may be generally adapted to natural drought dynamics; however, climate change and"&amp;" human-mediated habitat alterations may result in prolonged and intensified drought conditions that exceed many species mechanisms of resistance or resilience having potentially large impacts on biodiversity across spatial and temporal scales.")</f>
        <v>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v>
      </c>
      <c r="C258" s="24" t="str">
        <f>IFERROR(__xludf.DUMMYFUNCTION("""COMPUTED_VALUE"""),"10.1071/MF15072")</f>
        <v>10.1071/MF15072</v>
      </c>
      <c r="D258" s="24" t="str">
        <f>IFERROR(__xludf.DUMMYFUNCTION("""COMPUTED_VALUE"""),"Keck et al")</f>
        <v>Keck et al</v>
      </c>
      <c r="E258" s="24" t="str">
        <f>IFERROR(__xludf.DUMMYFUNCTION("""COMPUTED_VALUE"""),"WOS:000387256400007")</f>
        <v>WOS:000387256400007</v>
      </c>
      <c r="F258" s="24" t="str">
        <f>IFERROR(__xludf.DUMMYFUNCTION("""COMPUTED_VALUE"""),"[""ELIGIBLE""]")</f>
        <v>["ELIGIBLE"]</v>
      </c>
    </row>
    <row r="259">
      <c r="A259" s="24" t="str">
        <f>IFERROR(__xludf.DUMMYFUNCTION("""COMPUTED_VALUE"""),"Forest understory plant and soil microbial response to an experimentally induced drought and heat-pulse event: the importance of maintaining the continuum")</f>
        <v>Forest understory plant and soil microbial response to an experimentally induced drought and heat-pulse event: the importance of maintaining the continuum</v>
      </c>
      <c r="B259" s="24" t="str">
        <f>IFERROR(__xludf.DUMMYFUNCTION("""COMPUTED_VALUE"""),"Drought duration and intensity are expected to increase with global climate change. How changes in water availability and temperature affect the combined plant-soil-microorganism response remains uncertain. We excavated soil monoliths from a beech (Fagus "&amp;"sylvatica L.) forest, thus keeping the understory plant-microbe communities intact, imposed an extreme climate event, consisting of drought and/or a single heat-pulse event, and followed microbial community dynamics over a time period of 28days. During th"&amp;"e treatment, we labeled the canopy with (CO2)-C-13 with the goal of (i) determining the strength of plant-microbe carbon linkages under control, drought, heat and heat-drought treatments and (ii) characterizing microbial groups that are tightly linked to "&amp;"the plant-soil carbon continuum based on C-13-labeled PLFAs. Additionally, we used 16S rRNA sequencing of bacteria from the Ah horizon to determine the short-term changes in the active microbial community. The treatments did not sever within-plant transpo"&amp;"rt over the experiment, and carbon sinks belowground were still active. Based on the relative distribution of labeled carbon to roots and microbial PLFAs, we determined that soil microbes appear to have a stronger carbon sink strength during environmental"&amp;" stress. High-throughput sequencing of the 16S rRNA revealed multiple trajectories in microbial community shifts within the different treatments. Heat in combination with drought had a clear negative effect on microbial diversity and resulted in a distinc"&amp;"t shift in the microbial community structure that also corresponded to the lowest level of label found in the PLFAs. Hence, the strongest changes in microbial abundances occurred in the heat-drought treatment where plants were most severely affected. Our "&amp;"study suggests that many of the shifts in the microbial communities that we might expect from extreme environmental stress will result from the plant-soil-microbial dynamics rather than from direct effects of drought and heat on soil microbes alone.")</f>
        <v>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v>
      </c>
      <c r="C259" s="24" t="str">
        <f>IFERROR(__xludf.DUMMYFUNCTION("""COMPUTED_VALUE"""),"10.1111/gcb.13270")</f>
        <v>10.1111/gcb.13270</v>
      </c>
      <c r="D259" s="24" t="str">
        <f>IFERROR(__xludf.DUMMYFUNCTION("""COMPUTED_VALUE"""),"Keck et al")</f>
        <v>Keck et al</v>
      </c>
      <c r="E259" s="24" t="str">
        <f>IFERROR(__xludf.DUMMYFUNCTION("""COMPUTED_VALUE"""),"WOS:000380016800018")</f>
        <v>WOS:000380016800018</v>
      </c>
      <c r="F259" s="24" t="str">
        <f>IFERROR(__xludf.DUMMYFUNCTION("""COMPUTED_VALUE"""),"[""ELIGIBLE""]")</f>
        <v>["ELIGIBLE"]</v>
      </c>
    </row>
    <row r="260">
      <c r="A260" s="24" t="str">
        <f>IFERROR(__xludf.DUMMYFUNCTION("""COMPUTED_VALUE"""),"Recovery of subalpine grasslands 15 years after landscape level fires")</f>
        <v>Recovery of subalpine grasslands 15 years after landscape level fires</v>
      </c>
      <c r="B260" s="24" t="str">
        <f>IFERROR(__xludf.DUMMYFUNCTION("""COMPUTED_VALUE"""),"As conditions warm, previously rare landscape level fires are more likely to affect vegetation in the Australian Alps including in subalpine grasslands. The recovery of this community was assessed using paired unburnt and burnt plots (30 x 20 m) at 10 sit"&amp;"es 15 years after largescale fires that burnt &gt;70% of the subalpine zone in Kosciuszko National Park. There were few significant differences found: higher cover of shrubs (17.8% burnt vs 11.3% unburnt plots), and taller vegetation (22.6 vs 19 cm). However"&amp;", vegetation cover (97%), species richness (38 taxa), composition and limited presence of invasive plants (10 species, 8.5% cover) were not significantly different. This differs from results six weeks and one year post-fire, when there were clear differen"&amp;"ces in the cover and composition of vegetation. These results indicate that subalpine grasslands recover from single fires, but with warmer and drier conditions becoming more common, and repeat fires in some areas, the distribution, structure and composit"&amp;"ion of this and other communities in the Australian Alps will change.")</f>
        <v>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v>
      </c>
      <c r="C260" s="24" t="str">
        <f>IFERROR(__xludf.DUMMYFUNCTION("""COMPUTED_VALUE"""),"10.1071/BT19020")</f>
        <v>10.1071/BT19020</v>
      </c>
      <c r="D260" s="24" t="str">
        <f>IFERROR(__xludf.DUMMYFUNCTION("""COMPUTED_VALUE"""),"Keck et al")</f>
        <v>Keck et al</v>
      </c>
      <c r="E260" s="24" t="str">
        <f>IFERROR(__xludf.DUMMYFUNCTION("""COMPUTED_VALUE"""),"WOS:000488042400006")</f>
        <v>WOS:000488042400006</v>
      </c>
      <c r="F260" s="24" t="str">
        <f>IFERROR(__xludf.DUMMYFUNCTION("""COMPUTED_VALUE"""),"[""ELIGIBLE""]")</f>
        <v>["ELIGIBLE"]</v>
      </c>
    </row>
    <row r="261">
      <c r="A261" s="24" t="str">
        <f>IFERROR(__xludf.DUMMYFUNCTION("""COMPUTED_VALUE"""),"Assessing the response of micro-eukaryotic diversity to the Great Acceleration using lake sedimentary DNA")</f>
        <v>Assessing the response of micro-eukaryotic diversity to the Great Acceleration using lake sedimentary DNA</v>
      </c>
      <c r="B261" s="24" t="str">
        <f>IFERROR(__xludf.DUMMYFUNCTION("""COMPUTED_VALUE"""),"Long-term time series have provided evidence that anthropogenic pressures can threaten lakes. Yet it remains unclear how and the extent to which lake biodiversity has changed during the Anthropocene, in particular for microbes. Here, we used DNA preserved"&amp;" in sediments to compare modern micro-eukaryotic communities with those from the end of the 19th century, i.e., before acceleration of the human imprint on ecosystems. Our results obtained for 48 lakes indicate drastic changes in the composition of microb"&amp;"ial communities, coupled with a homogenization of their diversity between lakes. Remote high elevation lakes were globally less impacted than lowland lakes affected by local human activity. All functional groups (micro-algae, parasites, saprotrophs and co"&amp;"nsumers) underwent significant changes in diversity. However, we show that the effects of anthropogenic changes have benefited in particular phototrophic and mixotrophic species, which is consistent with the hypothesis of a global increase of primary prod"&amp;"uctivity in lakes. Sedimentary DNA can be used to infer how organisms responded to changing environmental conditions over millennia. Here, the authors use sedimentary DNA of micro-eukaryotes in low-elevation (human-impacted) and high-elevation (more prist"&amp;"ine) lakes to show how human influences have altered lake community composition in the Anthropocene.")</f>
        <v>Long-term time series have provided evidence that anthropogenic pressures can threaten lakes. Yet it remains unclear how and the extent to which lake biodiversity has changed during the Anthropocene, in particular for microbes. Here, we used DNA preserved in sediments to compare modern micro-eukaryotic communities with those from the end of the 19th century, i.e., before acceleration of the human imprint on ecosystems. Our results obtained for 48 lakes indicate drastic changes in the composition of microbial communities, coupled with a homogenization of their diversity between lakes. Remote high elevation lakes were globally less impacted than lowland lakes affected by local human activity. All functional groups (micro-algae, parasites, saprotrophs and consumers) underwent significant changes in diversity. However, we show that the effects of anthropogenic changes have benefited in particular phototrophic and mixotrophic species, which is consistent with the hypothesis of a global increase of primary productivity in lakes. Sedimentary DNA can be used to infer how organisms responded to changing environmental conditions over millennia. Here, the authors use sedimentary DNA of micro-eukaryotes in low-elevation (human-impacted) and high-elevation (more pristine) lakes to show how human influences have altered lake community composition in the Anthropocene.</v>
      </c>
      <c r="C261" s="24" t="str">
        <f>IFERROR(__xludf.DUMMYFUNCTION("""COMPUTED_VALUE"""),"10.1038/s41467-020-17682-8")</f>
        <v>10.1038/s41467-020-17682-8</v>
      </c>
      <c r="D261" s="24" t="str">
        <f>IFERROR(__xludf.DUMMYFUNCTION("""COMPUTED_VALUE"""),"Keck et al")</f>
        <v>Keck et al</v>
      </c>
      <c r="E261" s="24" t="str">
        <f>IFERROR(__xludf.DUMMYFUNCTION("""COMPUTED_VALUE"""),"WOS:000560366500006")</f>
        <v>WOS:000560366500006</v>
      </c>
      <c r="F261" s="24" t="str">
        <f>IFERROR(__xludf.DUMMYFUNCTION("""COMPUTED_VALUE"""),"[""ELIGIBLE""]")</f>
        <v>["ELIGIBLE"]</v>
      </c>
    </row>
    <row r="262">
      <c r="A262" s="24" t="str">
        <f>IFERROR(__xludf.DUMMYFUNCTION("""COMPUTED_VALUE"""),"Effects of heat shock and salinity changes on coastal Mediterranean phytoplankton in a mesocosm experiment")</f>
        <v>Effects of heat shock and salinity changes on coastal Mediterranean phytoplankton in a mesocosm experiment</v>
      </c>
      <c r="B262" s="24" t="str">
        <f>IFERROR(__xludf.DUMMYFUNCTION("""COMPUTED_VALUE"""),"Decreasing biodiversity is projected as one of the most consistent effects of warming on marine microbial communities. It is predicted that low biodiversity will consequently influence the community sensitivity to additional environmental alterations. Mes"&amp;"ocosms were used to study the response of natural Mediterranean phytoplankton communities (control and heat shock +6 degrees C) to salinity variations (-5psu, control, +5psu). We examined the effect on species composition, species richness as well as phyt"&amp;"oplankton biomass and resource use efficiency. Heat shock was coupled with decreased species richness (30 species in control community while 26 in heat shock) and slightly reduced phytoplankton biomass. Changes in salinity altered the phytoplankton specie"&amp;"s composition (dinoflagellates were absent in decreased salinity treatments) and significantly reduced the phytoplankton species richness. The phytoplankton biomass and the resource use efficiency also decreased with exception of the increased salinity tr"&amp;"eatment in the non-heated community. In general, decreased salinity had stronger negative effects compared to increased salinity as displayed by the lowest species richness and lowest phytoplankton biomass in those treatments. Most notably, we identified "&amp;"a synergistic negative effect of heat shock with increased/decreased salinity which can be attributed to the lower species richness and, thus, decreased stability in the heated community.")</f>
        <v>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v>
      </c>
      <c r="C262" s="24" t="str">
        <f>IFERROR(__xludf.DUMMYFUNCTION("""COMPUTED_VALUE"""),"10.1007/s00227-018-3415-y")</f>
        <v>10.1007/s00227-018-3415-y</v>
      </c>
      <c r="D262" s="24" t="str">
        <f>IFERROR(__xludf.DUMMYFUNCTION("""COMPUTED_VALUE"""),"Keck et al")</f>
        <v>Keck et al</v>
      </c>
      <c r="E262" s="24" t="str">
        <f>IFERROR(__xludf.DUMMYFUNCTION("""COMPUTED_VALUE"""),"WOS:000444497900001")</f>
        <v>WOS:000444497900001</v>
      </c>
      <c r="F262" s="24" t="str">
        <f>IFERROR(__xludf.DUMMYFUNCTION("""COMPUTED_VALUE"""),"[""ELIGIBLE""]")</f>
        <v>["ELIGIBLE"]</v>
      </c>
    </row>
    <row r="263">
      <c r="A263" s="24" t="str">
        <f>IFERROR(__xludf.DUMMYFUNCTION("""COMPUTED_VALUE"""),"Community responses to seawater warming are conserved across diverse biological groupings and taxonomic resolutions")</f>
        <v>Community responses to seawater warming are conserved across diverse biological groupings and taxonomic resolutions</v>
      </c>
      <c r="B263" s="24" t="str">
        <f>IFERROR(__xludf.DUMMYFUNCTION("""COMPUTED_VALUE"""),"Temperature variability is a major driver of ecological pattern, with recent changes in average and extreme temperatures having significant impacts on populations, communities and ecosystems. In themarine realm, very few-experiments have manipulated tempe"&amp;"rature in situ, and current understanding of temperature effects on community dynamics is limited. We developed new technology for precise seawater temperature control to examine warming effects on communities of bacteria, microbial eukaryotes (protists) "&amp;"and metazoans. Despite highly contrasting phylogenies, size spectra and diversity levels, the three community types responded similarly to seawater warming treatments of +3 degrees C and +5 degrees C, highlighting the critical and overarching importance o"&amp;"f temperature in structuring communities. Temperature effects were detectable at coarse taxonomic resolutions and many taxa responded positively to warming, leading to increased abundances at the community-level. Novel field-based experimental approaches "&amp;"are essential to improve mechanistic understanding of how ocean warming will alter the structure and functioning of diverse marine communities.")</f>
        <v>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v>
      </c>
      <c r="C263" s="24" t="str">
        <f>IFERROR(__xludf.DUMMYFUNCTION("""COMPUTED_VALUE"""),"10.1098/rspb.2017.0534")</f>
        <v>10.1098/rspb.2017.0534</v>
      </c>
      <c r="D263" s="24" t="str">
        <f>IFERROR(__xludf.DUMMYFUNCTION("""COMPUTED_VALUE"""),"Keck et al")</f>
        <v>Keck et al</v>
      </c>
      <c r="E263" s="24" t="str">
        <f>IFERROR(__xludf.DUMMYFUNCTION("""COMPUTED_VALUE"""),"WOS:000410610200004")</f>
        <v>WOS:000410610200004</v>
      </c>
      <c r="F263" s="24" t="str">
        <f>IFERROR(__xludf.DUMMYFUNCTION("""COMPUTED_VALUE"""),"[""ELIGIBLE""]")</f>
        <v>["ELIGIBLE"]</v>
      </c>
    </row>
    <row r="264">
      <c r="A264" s="24" t="str">
        <f>IFERROR(__xludf.DUMMYFUNCTION("""COMPUTED_VALUE"""),"No lines in the sand: Impacts of intense mechanized maintenance regimes on sandy beach ecosystems span the intertidal zone on urban coasts")</f>
        <v>No lines in the sand: Impacts of intense mechanized maintenance regimes on sandy beach ecosystems span the intertidal zone on urban coasts</v>
      </c>
      <c r="B264" s="24" t="str">
        <f>IFERROR(__xludf.DUMMYFUNCTION("""COMPUTED_VALUE"""),"As coastal population growth accelerates, intensive management practices increasingly alter urban shorelines, creating major conservation challenges. To evaluate key ecological impacts and identify indicators of coastal urbanization, we compared intertida"&amp;"l macroinvertebrate communities between urban beaches with intense maintenance regimes (sediment filling and grooming) and reference beaches lacking such maintenance in densely populated southern California. On urban beaches, intertidal communities were h"&amp;"ighly impacted with significantly reduced species richness, abundance, and biomass (effect sizes: 79%, 49%, 30%, respectively). Urban impacts affected macroinvertebrates across all intertidal zones, with greatest effects on upper intertidal wrack-associat"&amp;"ed taxa. On urban beaches altered intertidal communities were remarkably homogeneous across littoral cells in a biogeographically complex region. Functional diversity comparisons suggested degraded ecological functioning on urban beaches. No taxa flourish"&amp;"ed on urban beaches, but we identified several vulnerable indicator taxa. Our results suggest intense maintenance regimes on urban coasts are negatively impacting sandy beach ecosystems on a landscape scale. Beaches not subject to intense mechanized maint"&amp;"enance, can support high biodiversity, even near major urban centers.")</f>
        <v>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v>
      </c>
      <c r="C264" s="24" t="str">
        <f>IFERROR(__xludf.DUMMYFUNCTION("""COMPUTED_VALUE"""),"10.1016/j.ecolind.2019.105457")</f>
        <v>10.1016/j.ecolind.2019.105457</v>
      </c>
      <c r="D264" s="24" t="str">
        <f>IFERROR(__xludf.DUMMYFUNCTION("""COMPUTED_VALUE"""),"Keck et al")</f>
        <v>Keck et al</v>
      </c>
      <c r="E264" s="24" t="str">
        <f>IFERROR(__xludf.DUMMYFUNCTION("""COMPUTED_VALUE"""),"WOS:000490577900025")</f>
        <v>WOS:000490577900025</v>
      </c>
      <c r="F264" s="24" t="str">
        <f>IFERROR(__xludf.DUMMYFUNCTION("""COMPUTED_VALUE"""),"[""ELIGIBLE""]")</f>
        <v>["ELIGIBLE"]</v>
      </c>
    </row>
    <row r="265">
      <c r="A265" s="24" t="str">
        <f>IFERROR(__xludf.DUMMYFUNCTION("""COMPUTED_VALUE"""),"Benthic eDNA metabarcoding provides accurate assessments of impact from oil extraction, and ecological insights")</f>
        <v>Benthic eDNA metabarcoding provides accurate assessments of impact from oil extraction, and ecological insights</v>
      </c>
      <c r="B265" s="24" t="str">
        <f>IFERROR(__xludf.DUMMYFUNCTION("""COMPUTED_VALUE"""),"Apart from its contribution to climate change, offshore oil and gas extraction is also a potential threat to the diversity and function of marine ecosystems. Routine monitoring of the environmental status of affected areas is therefore critical for effect"&amp;"ive management. While current morphology-based monitoring is relatively time consuming, costly and prone to identification bias, environmental DNA metabarcoding offers an attractive alternative for assessing the impacts of oil drilling, extraction or spil"&amp;"ls. However, to be ready for routine monitoring, its performance needs to be demonstrated through agreement with assessments based on physicochemical measurements and current bioindicators. To this end, we applied metabarcoding to sequence the metazoan (C"&amp;"OI) and total eukaryotic (18S) benthic components. We targeted a range of sites, with a gradient of low to high level of impact, located near active production installations and reference sites, in the North and Barents Seas. Alpha diversity and community"&amp;" structure of both datasets correlated strongly with a physicochemical pressure index (PI) based on total hydrocarbons (THC), PAH16, Ba and Cu. Calculations of the macroinvertebrate-based Norwegian Sensitivity Index (NSI) based on COI metabarcoding data a"&amp;"greed well with corresponding morpho-taxonomy values and with the PI. Further, we identified a set of bioindicator taxa from both metabarcoding datasets, to develop novel biotic indices and demonstrate their predictive performance using cross-validation. "&amp;"Finally, we compared co-occurrence networks from impacted vs. non-impacted sites, to improve the understanding of the ecological consequences of impacts. Our study demonstrates that metabarcoding can act as a meaningful and relatively accurate complement "&amp;"to the current morpho-taxonomic approach.")</f>
        <v>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v>
      </c>
      <c r="C265" s="24" t="str">
        <f>IFERROR(__xludf.DUMMYFUNCTION("""COMPUTED_VALUE"""),"10.1016/j.ecolind.2021.108064")</f>
        <v>10.1016/j.ecolind.2021.108064</v>
      </c>
      <c r="D265" s="24" t="str">
        <f>IFERROR(__xludf.DUMMYFUNCTION("""COMPUTED_VALUE"""),"Keck et al")</f>
        <v>Keck et al</v>
      </c>
      <c r="E265" s="24" t="str">
        <f>IFERROR(__xludf.DUMMYFUNCTION("""COMPUTED_VALUE"""),"WOS:000692561800014")</f>
        <v>WOS:000692561800014</v>
      </c>
      <c r="F265" s="24" t="str">
        <f>IFERROR(__xludf.DUMMYFUNCTION("""COMPUTED_VALUE"""),"[""ELIGIBLE""]")</f>
        <v>["ELIGIBLE"]</v>
      </c>
    </row>
    <row r="266">
      <c r="A266" s="24" t="str">
        <f>IFERROR(__xludf.DUMMYFUNCTION("""COMPUTED_VALUE"""),"Short-term warming increases root-associated fungal community dissimilarities among host plant species on the Qinghai-Tibetan Plateau")</f>
        <v>Short-term warming increases root-associated fungal community dissimilarities among host plant species on the Qinghai-Tibetan Plateau</v>
      </c>
      <c r="B266" s="24" t="str">
        <f>IFERROR(__xludf.DUMMYFUNCTION("""COMPUTED_VALUE"""),"Background and aims Root-associated fungi link resource fluxes between the soil and roots, thus influencing plant growth and ecosystem function. However, at present, the impact of global warming on these fungi and their plant host specialization, especial"&amp;"ly in ecosystems on the Qinghai-Tibetan Plateau is obscure. Methods Here, pot experiments were conducted to examine the root-associated fungal community structure of 14 host plant species undergoing two years of experimental warming on the Qinghai-Tibetan"&amp;" Plateau. Infrared heaters were used to raise the soil temperature to 2.0 celcius higher than the relative ambient temperature. Subsequently, the endophytic and rhizoplane fungal communities were explored by sequencing the fungal internal transcribed spac"&amp;"er (ITS) region. Results A total of 1564 OTUs were identified, which were dominated by ascomycetes (82.71%). Similar root-associated fungal diversity and community composition were identified under ambient and warming environments. The root-associated fun"&amp;"gal community composition significantly varied among different host plant species, and this dissimilarity was enhanced under experimental warming. Root N concentration was essential in shaping the structure of the root-associated fungal community. Conclus"&amp;"ions Although the root-associated fungal community was resilient to short-term warming, our study highlights that climate warming can induce higher host specificity of root-associated fungal communities in the alpine meadow ecosystem.")</f>
        <v>Background and aims Root-associated fungi link resource fluxes between the soil and roots, thus influencing plant growth and ecosystem function. However, at present, the impact of global warming on these fungi and their plant host specialization, especially in ecosystems on the Qinghai-Tibetan Plateau is obscure. Methods Here, pot experiments were conducted to examine the root-associated fungal community structure of 14 host plant species undergoing two years of experimental warming on the Qinghai-Tibetan Plateau. Infrared heaters were used to raise the soil temperature to 2.0 celcius higher than the relative ambient temperature. Subsequently, the endophytic and rhizoplane fungal communities were explored by sequencing the fungal internal transcribed spacer (ITS) region. Results A total of 1564 OTUs were identified, which were dominated by ascomycetes (82.71%). Similar root-associated fungal diversity and community composition were identified under ambient and warming environments. The root-associated fungal community composition significantly varied among different host plant species, and this dissimilarity was enhanced under experimental warming. Root N concentration was essential in shaping the structure of the root-associated fungal community. Conclusions Although the root-associated fungal community was resilient to short-term warming, our study highlights that climate warming can induce higher host specificity of root-associated fungal communities in the alpine meadow ecosystem.</v>
      </c>
      <c r="C266" s="24" t="str">
        <f>IFERROR(__xludf.DUMMYFUNCTION("""COMPUTED_VALUE"""),"10.1007/s11104-021-05073-x")</f>
        <v>10.1007/s11104-021-05073-x</v>
      </c>
      <c r="D266" s="24" t="str">
        <f>IFERROR(__xludf.DUMMYFUNCTION("""COMPUTED_VALUE"""),"Keck et al")</f>
        <v>Keck et al</v>
      </c>
      <c r="E266" s="24" t="str">
        <f>IFERROR(__xludf.DUMMYFUNCTION("""COMPUTED_VALUE"""),"WOS:000673903900004")</f>
        <v>WOS:000673903900004</v>
      </c>
      <c r="F266" s="24" t="str">
        <f>IFERROR(__xludf.DUMMYFUNCTION("""COMPUTED_VALUE"""),"[""ELIGIBLE""]")</f>
        <v>["ELIGIBLE"]</v>
      </c>
    </row>
    <row r="267">
      <c r="A267" s="24" t="str">
        <f>IFERROR(__xludf.DUMMYFUNCTION("""COMPUTED_VALUE"""),"Response of Microbial Communities on Culturing Plates of Post-settlement Sea Cucumbers to Seawater Acidification and Warming")</f>
        <v>Response of Microbial Communities on Culturing Plates of Post-settlement Sea Cucumbers to Seawater Acidification and Warming</v>
      </c>
      <c r="B267" s="24" t="str">
        <f>IFERROR(__xludf.DUMMYFUNCTION("""COMPUTED_VALUE"""),"Seawater acidification and warming have been found to affect the early life of many marine organisms, but their effects on the microbial community in the environment related to the early development stage of aquaculture species have been rarely investigat"&amp;"ed. To understand how seawater acidification and warming impact the microbial community in aquaculture systems, we designed four microcosms to monitor and characterize the microbial composition on the corrugated plates in the Apostichopus japonicus cultur"&amp;"e tanks during its post-settlement stage. High-throughput 16S rRNA sequencing revealed that the bacterial community composition varied significantly in different periods of incubation. The bacterial diversity and community composition were obviously chang"&amp;"ed by seawater acidification and warming in the early period and then tended to revert to the level of the control group. Acidification significantly increased the relative abundance of dominant families Rhodobacteraceae and Flavobacteriaceae in the early"&amp;" period, suggesting that microbiota could increase the abundance of predominant taxa to adapt to increased CO2 concentration and reconstruct a stable community structure. No interaction effect of both factors was observed in the combined group. Results re"&amp;"veal that the microbial communities on the corrugated plates in A. japonicus culture tank were affected in the early period of incubation, and could then acclimatize to the increased CO2 and temperature. This study provides new insights into the variation"&amp;" and adaptation responses of the microbiota in aquaculture systems to seawater acidification and warming.")</f>
        <v>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v>
      </c>
      <c r="C267" s="24" t="str">
        <f>IFERROR(__xludf.DUMMYFUNCTION("""COMPUTED_VALUE"""),"10.3389/fmars.2021.802023")</f>
        <v>10.3389/fmars.2021.802023</v>
      </c>
      <c r="D267" s="24" t="str">
        <f>IFERROR(__xludf.DUMMYFUNCTION("""COMPUTED_VALUE"""),"Keck et al")</f>
        <v>Keck et al</v>
      </c>
      <c r="E267" s="24" t="str">
        <f>IFERROR(__xludf.DUMMYFUNCTION("""COMPUTED_VALUE"""),"WOS:000730263700001")</f>
        <v>WOS:000730263700001</v>
      </c>
      <c r="F267" s="24" t="str">
        <f>IFERROR(__xludf.DUMMYFUNCTION("""COMPUTED_VALUE"""),"[""ELIGIBLE""]")</f>
        <v>["ELIGIBLE"]</v>
      </c>
    </row>
    <row r="268">
      <c r="A268" s="24" t="str">
        <f>IFERROR(__xludf.DUMMYFUNCTION("""COMPUTED_VALUE"""),"Ocean warming alters predicted microbiome functionality in a common sea urchin")</f>
        <v>Ocean warming alters predicted microbiome functionality in a common sea urchin</v>
      </c>
      <c r="B268" s="24" t="str">
        <f>IFERROR(__xludf.DUMMYFUNCTION("""COMPUTED_VALUE"""),"The microbiome of sea urchins plays a role in maintaining digestive health and innate immunity. Here, we investigated the effects of long-term (90 day) exposure to elevated seawater temperatures on the microbiome of the common, subtropical sea urchin Lyte"&amp;"chinus variegatus. The community composition and diversity of microbes varied according to the type of sample collected from the sea urchin (seawater, feed, intestines, coelomic fluid, digested pellet and faeces), with the lowest microbial diversity (pred"&amp;"ominately the order Campylobacterales) located in the intestinal tissue. Sea urchins exposed to near-future seawater temperatures maintained the community structure and diversity of microbes associated with their tissues. However, marginal, non-significan"&amp;"t shifts in microbial community structure with elevated temperature resulted in significant changes in predicted metagenomic functions such as membrane transport and amino acid and carbohydrate metabolism. The predicted changes in key metabolic categories"&amp;" suggest that near-future climate-induced increases in seawater temperature could shift microbial community function and impact sea urchin digestive and immune physiology.")</f>
        <v>The microbiome of sea urchins plays a role in maintaining digestive health and innate immunity. Here, we investigated the effects of long-term (90 day) exposure to elevated seawater temperatures on the microbiome of the common, subtropical sea urchin Lytechinus variegatus. The community composition and diversity of microbes varied according to the type of sample collected from the sea urchin (seawater, feed, intestines, coelomic fluid, digested pellet and faeces), with the lowest microbial diversity (predominately the order Campylobacterales) located in the intestinal tissue. Sea urchins exposed to near-future seawater temperatures maintained the community structure and diversity of microbes associated with their tissues. However, marginal, non-significant shifts in microbial community structure with elevated temperature resulted in significant changes in predicted metagenomic functions such as membrane transport and amino acid and carbohydrate metabolism. The predicted changes in key metabolic categories suggest that near-future climate-induced increases in seawater temperature could shift microbial community function and impact sea urchin digestive and immune physiology.</v>
      </c>
      <c r="C268" s="24" t="str">
        <f>IFERROR(__xludf.DUMMYFUNCTION("""COMPUTED_VALUE"""),"10.1098/rspb.2018.0340")</f>
        <v>10.1098/rspb.2018.0340</v>
      </c>
      <c r="D268" s="24" t="str">
        <f>IFERROR(__xludf.DUMMYFUNCTION("""COMPUTED_VALUE"""),"Keck et al")</f>
        <v>Keck et al</v>
      </c>
      <c r="E268" s="24" t="str">
        <f>IFERROR(__xludf.DUMMYFUNCTION("""COMPUTED_VALUE"""),"WOS:000436565200006")</f>
        <v>WOS:000436565200006</v>
      </c>
      <c r="F268" s="24" t="str">
        <f>IFERROR(__xludf.DUMMYFUNCTION("""COMPUTED_VALUE"""),"[""ELIGIBLE""]")</f>
        <v>["ELIGIBLE"]</v>
      </c>
    </row>
    <row r="269">
      <c r="A269" s="24" t="str">
        <f>IFERROR(__xludf.DUMMYFUNCTION("""COMPUTED_VALUE"""),"Monitoring elasmobranch assemblages in a data-poor country from the Eastern Tropical Pacific using baited remote underwater video stations")</f>
        <v>Monitoring elasmobranch assemblages in a data-poor country from the Eastern Tropical Pacific using baited remote underwater video stations</v>
      </c>
      <c r="B269" s="24" t="str">
        <f>IFERROR(__xludf.DUMMYFUNCTION("""COMPUTED_VALUE"""),"Understanding how threatened species are distributed in space and time can have direct applications to conservation planning. However, implementing standardized methods to monitor populations of wide-ranging species is often expensive and challenging. In "&amp;"this study, we used baited remote underwater video stations (BRUVS) to quantify elasmobranch abundance and distribution patterns across a gradient of protection in the Pacific waters of Costa Rica. Our BRUVS survey detected 29 species, which represents 54"&amp;"% of the entire elasmobranch diversity reported to date in shallow waters (&lt;60 m) of the Pacific of Costa Rica. Our data demonstrated that elasmobranchs benefit from no-take MPAs, yet large predators are relatively uncommon or absent from open-fishing sit"&amp;"es. We showed that BRUVS are capable of providing fast and reliable estimates of the distribution and abundance of data-poor elasmobranch species over large spatial and temporal scales, and in doing so, they can provide critical information for detecting "&amp;"population-level changes in response to multiple threats such as overfishing, habitat degradation and climate change. Moreover, given that 66% of the species detected are threatened, a well-designed BRUVS survey may provide crucial population data for ass"&amp;"essing the conservation status of elasmobranchs. These efforts led to the establishment of a national monitoring program focused on elasmobranchs and key marine megafauna that could guide monitoring efforts at a regional scale.")</f>
        <v>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v>
      </c>
      <c r="C269" s="24" t="str">
        <f>IFERROR(__xludf.DUMMYFUNCTION("""COMPUTED_VALUE"""),"10.1038/s41598-020-74282-8")</f>
        <v>10.1038/s41598-020-74282-8</v>
      </c>
      <c r="D269" s="24" t="str">
        <f>IFERROR(__xludf.DUMMYFUNCTION("""COMPUTED_VALUE"""),"Keck et al")</f>
        <v>Keck et al</v>
      </c>
      <c r="E269" s="24" t="str">
        <f>IFERROR(__xludf.DUMMYFUNCTION("""COMPUTED_VALUE"""),"WOS:000582678400005")</f>
        <v>WOS:000582678400005</v>
      </c>
      <c r="F269" s="24" t="str">
        <f>IFERROR(__xludf.DUMMYFUNCTION("""COMPUTED_VALUE"""),"[""ELIGIBLE""]")</f>
        <v>["ELIGIBLE"]</v>
      </c>
    </row>
    <row r="270">
      <c r="A270" s="24" t="str">
        <f>IFERROR(__xludf.DUMMYFUNCTION("""COMPUTED_VALUE"""),"Global warming transforms coral reef assemblages")</f>
        <v>Global warming transforms coral reef assemblages</v>
      </c>
      <c r="B270" s="24" t="str">
        <f>IFERROR(__xludf.DUMMYFUNCTION("""COMPUTED_VALUE"""),"Global warming is rapidly emerging as a universal threat to ecological integrity and function, highlighting the urgent need for a better understanding of the impact of heat exposure on the resilience of ecosystems and the people who depend on them(1). Her"&amp;"e we show that in the aftermath of the record-breaking marine heatwave on the Great Barrier Reef in 2016(2), corals began to die immediately on reefs where the accumulated heat exposure exceeded a critical threshold of degree heating weeks, which was 3-4 "&amp;"degrees C-weeks. After eight months, an exposure of 6 degrees C-weeks or more drove an unprecedented, regional-scale shift in the composition of coral assemblages, reflecting markedly divergent responses to heat stress by different taxa. Fast-growing stag"&amp;"horn and tabular corals suffered a catastrophic die-off, transforming the three-dimensionality and ecological functioning of 29% of the 3,863 reefs comprising the world's largest coral reef system. Our study bridges the gap between the theory and practice"&amp;" of assessing the risk of ecosystem collapse, under the emerging framework for the International Union for Conservation of Nature (IUCN) Red List of Ecosystems(3), by rigorously defining both the initial and collapsed states, identifying the major driver "&amp;"of change, and establishing quantitative collapse thresholds. The increasing prevalence of post-bleaching mass mortality of corals represents a radical shift in the disturbance regimes of tropical reefs, both adding to and far exceeding the influence of r"&amp;"ecurrent cyclones and other local pulse events, presenting a fundamental challenge to the long-term future of these iconic ecosystems.")</f>
        <v>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v>
      </c>
      <c r="C270" s="24" t="str">
        <f>IFERROR(__xludf.DUMMYFUNCTION("""COMPUTED_VALUE"""),"10.1038/s41586-018-0041-2")</f>
        <v>10.1038/s41586-018-0041-2</v>
      </c>
      <c r="D270" s="24" t="str">
        <f>IFERROR(__xludf.DUMMYFUNCTION("""COMPUTED_VALUE"""),"Keck et al")</f>
        <v>Keck et al</v>
      </c>
      <c r="E270" s="24" t="str">
        <f>IFERROR(__xludf.DUMMYFUNCTION("""COMPUTED_VALUE"""),"WOS:000430793000045")</f>
        <v>WOS:000430793000045</v>
      </c>
      <c r="F270" s="24" t="str">
        <f>IFERROR(__xludf.DUMMYFUNCTION("""COMPUTED_VALUE"""),"[""ELIGIBLE""]")</f>
        <v>["ELIGIBLE"]</v>
      </c>
    </row>
    <row r="271">
      <c r="A271" s="24" t="str">
        <f>IFERROR(__xludf.DUMMYFUNCTION("""COMPUTED_VALUE"""),"Vegetation changes in the understory of nitrogen-sensitive temperate forests over the past 70 years")</f>
        <v>Vegetation changes in the understory of nitrogen-sensitive temperate forests over the past 70 years</v>
      </c>
      <c r="B271" s="24" t="str">
        <f>IFERROR(__xludf.DUMMYFUNCTION("""COMPUTED_VALUE"""),"Since the industrial revolution, atmospheric nitrogen deposition has increased strongly and has been shown to alter nitrogen cycles, species composition and diversity in many ecosystems, including forests. At the same time, nitrogen removal from forests t"&amp;"hrough biomass extraction via historical management techniques has decreased considerably. A proven tool to analyze the effects of long-term environmental changes are vegetation resurveys. In this study, we tested whether environmental changes resulting f"&amp;"rom atmospheric nitrogen deposition and altered forest management are reflected in the vegetation composition of temperate forest understories in six acidophilic and oligo-mesophilic forest types in south-western Germany. We compared historical surveys fr"&amp;"om 1950 to 1976 with surveys from 2017/18 and examined changes in the vegetation using NMDS ordinations and Ellenberg indicator values. While an increase in the number of nitrophilic species was detected in all forest types, only the acidophytic and oligo"&amp;"trophic Vaccinio-Abietetum and Luzulo-Quercetum forests (dominated by Abies alba (Mill.) and Quercus spec., respectively) exhibited a replacement of oligotrophic species by nitrophilic species, amounting to an overall trend of eutrophication. Despite the "&amp;"uncertainties resulting from different plot locations and the slow dynamics of forests, we demonstrate a significant trend in the understory vegetation composition, which is likely caused by atmospheric N deposition. Differences in the sensitivity of diff"&amp;"erent forest types indicate an influence of geological and climatic site characteristics and historical land use on the effects of environmental changes.")</f>
        <v>Since the industrial revolution, atmospheric nitrogen deposition has increased strongly and has been shown to alter nitrogen cycles, species composition and diversity in many ecosystems, including forests. At the same time, nitrogen removal from forests through biomass extraction via historical management techniques has decreased considerably. A proven tool to analyze the effects of long-term environmental changes are vegetation resurveys. In this study, we tested whether environmental changes resulting from atmospheric nitrogen deposition and altered forest management are reflected in the vegetation composition of temperate forest understories in six acidophilic and oligo-mesophilic forest types in south-western Germany. We compared historical surveys from 1950 to 1976 with surveys from 2017/18 and examined changes in the vegetation using NMDS ordinations and Ellenberg indicator values. While an increase in the number of nitrophilic species was detected in all forest types, only the acidophytic and oligotrophic Vaccinio-Abietetum and Luzulo-Quercetum forests (dominated by Abies alba (Mill.) and Quercus spec., respectively) exhibited a replacement of oligotrophic species by nitrophilic species, amounting to an overall trend of eutrophication. Despite the uncertainties resulting from different plot locations and the slow dynamics of forests, we demonstrate a significant trend in the understory vegetation composition, which is likely caused by atmospheric N deposition. Differences in the sensitivity of different forest types indicate an influence of geological and climatic site characteristics and historical land use on the effects of environmental changes.</v>
      </c>
      <c r="C271" s="24" t="str">
        <f>IFERROR(__xludf.DUMMYFUNCTION("""COMPUTED_VALUE"""),"10.1016/j.foreco.2021.119754")</f>
        <v>10.1016/j.foreco.2021.119754</v>
      </c>
      <c r="D271" s="24" t="str">
        <f>IFERROR(__xludf.DUMMYFUNCTION("""COMPUTED_VALUE"""),"Keck et al")</f>
        <v>Keck et al</v>
      </c>
      <c r="E271" s="24" t="str">
        <f>IFERROR(__xludf.DUMMYFUNCTION("""COMPUTED_VALUE"""),"WOS:000710171800004")</f>
        <v>WOS:000710171800004</v>
      </c>
      <c r="F271" s="24" t="str">
        <f>IFERROR(__xludf.DUMMYFUNCTION("""COMPUTED_VALUE"""),"[""ELIGIBLE""]")</f>
        <v>["ELIGIBLE"]</v>
      </c>
    </row>
    <row r="272">
      <c r="A272" s="24" t="str">
        <f>IFERROR(__xludf.DUMMYFUNCTION("""COMPUTED_VALUE"""),"Tracking the changes of wetland soil bacterial community and metabolic potentials under drought and flooding conditions in experimental microcosms")</f>
        <v>Tracking the changes of wetland soil bacterial community and metabolic potentials under drought and flooding conditions in experimental microcosms</v>
      </c>
      <c r="B272" s="24" t="str">
        <f>IFERROR(__xludf.DUMMYFUNCTION("""COMPUTED_VALUE"""),"Purpose Wetland soils may face more severe water stress under future climate change. Our aim was to assess the change characteristics of wetland soil bacterial community and metabolic potentials under drought and flood conditions. Methods Wetland soil was"&amp;" incubated under five different water environments (including constant moisture at 30%, natural air-dried, and 3 types of flooding depths) by conducting experimental microcosms. After 1, 21, and 132 days of incubation, the soil bacterial community structu"&amp;"re and metabolic potential were examined by the 16S rRNA gene sequencing and Biolog-Ecoplates method, respectively. Results The results showed that Actinobacteria and Firmicutes were significantly enriched under drought and flooding treatments, respective"&amp;"ly. Compared to flooding, drought decreased soil microbial biomass and carbon metabolism more severely. However, the depth of flooding did not significantly change bacterial community composition and carbon metabolism. In addition, the responses of soil m"&amp;"etabolic functions to drought were more sensitive than the change of bacterial community composition. When the wetland soil faced water stress (drought and flooding), its metabolic functions showed close correlations with bacterial community composition a"&amp;"nd were negatively affected by most of environmental factors (such as pH, NO3-N, and NH4-N). Conclusions The results indicate that the drying condition is more severe and rapid than flooding in threatening soil microbial metabolic activity. In addition, t"&amp;"he depth of flooding does not significantly change bacterial community composition and carbon metabolism.")</f>
        <v>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v>
      </c>
      <c r="C272" s="24" t="str">
        <f>IFERROR(__xludf.DUMMYFUNCTION("""COMPUTED_VALUE"""),"10.1007/s11368-021-02920-3")</f>
        <v>10.1007/s11368-021-02920-3</v>
      </c>
      <c r="D272" s="24" t="str">
        <f>IFERROR(__xludf.DUMMYFUNCTION("""COMPUTED_VALUE"""),"Keck et al")</f>
        <v>Keck et al</v>
      </c>
      <c r="E272" s="24" t="str">
        <f>IFERROR(__xludf.DUMMYFUNCTION("""COMPUTED_VALUE"""),"WOS:000635886000002")</f>
        <v>WOS:000635886000002</v>
      </c>
      <c r="F272" s="24" t="str">
        <f>IFERROR(__xludf.DUMMYFUNCTION("""COMPUTED_VALUE"""),"[""ELIGIBLE""]")</f>
        <v>["ELIGIBLE"]</v>
      </c>
    </row>
    <row r="273">
      <c r="A273" s="24" t="str">
        <f>IFERROR(__xludf.DUMMYFUNCTION("""COMPUTED_VALUE"""),"Stability in temperate reef communities over a decadal time scale despite concurrent ocean warming")</f>
        <v>Stability in temperate reef communities over a decadal time scale despite concurrent ocean warming</v>
      </c>
      <c r="B273" s="24" t="str">
        <f>IFERROR(__xludf.DUMMYFUNCTION("""COMPUTED_VALUE"""),"Despite increasing scientific and public concerns on the potential impacts of global ocean warming on marine biodiversity, very few empirical data on community-level responses to rising water temperatures are available other than for coral reefs. This stu"&amp;"dy describes changes in temperate subtidal reef communities over decadal and regional scales in a location that has undergone considerable warming in recent decades and is forecast to be a 'hotspot' for future warming. Plant and animal communities at 136 "&amp;"rocky reef sites around Tasmania (south-east Australia) were censused between 1992 and 1995, and again in 2006 and 2007. Despite evidence of major ecological changes before the period of study, reef communities appeared to remain relatively stable over th"&amp;"e past decade. Multivariate analyses and univariate metrics of biotic communities revealed few changes with time, although some species-level responses could be interpreted as symptomatic of ocean warming. These included fishes detected in Tasmania only i"&amp;"n recent surveys and several species with warmer water affinities that appeared to extend their distributions further south. The most statistically significant changes observed in species abundances, however, were not related to their biogeographical affi"&amp;"nities. The majority of species with changing abundance possessed lower to mid-range abundances rather than being common, raising questions for biodiversity monitoring and management. We suggest that our study encompassed a relatively stable period follow"&amp;"ing more abrupt change, and that community responses to ocean warming may follow nonlinear, step-like trajectories.")</f>
        <v>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v>
      </c>
      <c r="C273" s="24" t="str">
        <f>IFERROR(__xludf.DUMMYFUNCTION("""COMPUTED_VALUE"""),"10.1111/j.1365-2486.2009.01955.x")</f>
        <v>10.1111/j.1365-2486.2009.01955.x</v>
      </c>
      <c r="D273" s="24" t="str">
        <f>IFERROR(__xludf.DUMMYFUNCTION("""COMPUTED_VALUE"""),"Keck et al")</f>
        <v>Keck et al</v>
      </c>
      <c r="E273" s="24" t="str">
        <f>IFERROR(__xludf.DUMMYFUNCTION("""COMPUTED_VALUE"""),"WOS:000274419200011")</f>
        <v>WOS:000274419200011</v>
      </c>
      <c r="F273" s="24" t="str">
        <f>IFERROR(__xludf.DUMMYFUNCTION("""COMPUTED_VALUE"""),"[""ELIGIBLE""]")</f>
        <v>["ELIGIBLE"]</v>
      </c>
    </row>
    <row r="274">
      <c r="A274" s="24" t="str">
        <f>IFERROR(__xludf.DUMMYFUNCTION("""COMPUTED_VALUE"""),"Response of avian communities to edges of tropical montane forests: Implications for the future of endemic habitat specialists")</f>
        <v>Response of avian communities to edges of tropical montane forests: Implications for the future of endemic habitat specialists</v>
      </c>
      <c r="B274" s="24" t="str">
        <f>IFERROR(__xludf.DUMMYFUNCTION("""COMPUTED_VALUE"""),"Tropical montane landscapes harbor diverse flora and fauna, and many species there are ecological specialists with narrow elevational distributions, limited geographic ranges, and small global populations. Along elevational gradients, environmental condit"&amp;"ions and community composition change dramatically over small spatial scales. As forests are disturbed and edges formed with modified habitat, natural communities could be affected differently across elevations by the many physical and biotic changes at e"&amp;"dges. We asked whether forest edges produced altered patterns of avian species composition along a cloud forest - dry forest gradient on the Pacific slope of the Tilar ' an mountains in Monteverde, Costa Rica. A strong moisture gradient produces cloud for"&amp;"ests near the ridgetops, with a concentration of species endemic to the Costa Rica - Panama highlands that are habitat specialists. We conducted 552 point counts across 110 locations from 1100 to 1800 m elevation, yielding 6586 detections of 115 species i"&amp;"n 10 km2 of montane forest. We analyzed differences in species composition and single-species abundances between interior and near-edge forest habitats for species grouped by geographic range size. Species composition changed markedly from forest edge to "&amp;"interior in cloud forest habitats, but not in drier forests downslope. Endemic species, especially in cloud forest, were detected less frequently in mature forest near edges than in mature forest interior, and this difference was more pronounced than for "&amp;"cosmopolitan species. On tropical mountainsides, we can expect habitatspecialist endemic species to be more sensitive to further habitat modification. This sensitivity could limit the resilience of tropical bird communities.")</f>
        <v>Tropical montane landscapes harbor diverse flora and fauna, and many species there are ecological specialists with narrow elevational distributions, limited geographic ranges, and small global populations. Along elevational gradients, environmental conditions and community composition change dramatically over small spatial scales. As forests are disturbed and edges formed with modified habitat, natural communities could be affected differently across elevations by the many physical and biotic changes at edges. We asked whether forest edges produced altered patterns of avian species composition along a cloud forest - dry forest gradient on the Pacific slope of the Tilar ' an mountains in Monteverde, Costa Rica. A strong moisture gradient produces cloud forests near the ridgetops, with a concentration of species endemic to the Costa Rica - Panama highlands that are habitat specialists. We conducted 552 point counts across 110 locations from 1100 to 1800 m elevation, yielding 6586 detections of 115 species in 10 km2 of montane forest. We analyzed differences in species composition and single-species abundances between interior and near-edge forest habitats for species grouped by geographic range size. Species composition changed markedly from forest edge to interior in cloud forest habitats, but not in drier forests downslope. Endemic species, especially in cloud forest, were detected less frequently in mature forest near edges than in mature forest interior, and this difference was more pronounced than for cosmopolitan species. On tropical mountainsides, we can expect habitatspecialist endemic species to be more sensitive to further habitat modification. This sensitivity could limit the resilience of tropical bird communities.</v>
      </c>
      <c r="C274" s="24" t="str">
        <f>IFERROR(__xludf.DUMMYFUNCTION("""COMPUTED_VALUE"""),"10.1016/j.gecco.2021.e01776")</f>
        <v>10.1016/j.gecco.2021.e01776</v>
      </c>
      <c r="D274" s="24" t="str">
        <f>IFERROR(__xludf.DUMMYFUNCTION("""COMPUTED_VALUE"""),"Keck et al")</f>
        <v>Keck et al</v>
      </c>
      <c r="E274" s="24" t="str">
        <f>IFERROR(__xludf.DUMMYFUNCTION("""COMPUTED_VALUE"""),"WOS:000697343100005")</f>
        <v>WOS:000697343100005</v>
      </c>
      <c r="F274" s="24" t="str">
        <f>IFERROR(__xludf.DUMMYFUNCTION("""COMPUTED_VALUE"""),"[""ELIGIBLE""]")</f>
        <v>["ELIGIBLE"]</v>
      </c>
    </row>
    <row r="275">
      <c r="A275" s="24" t="str">
        <f>IFERROR(__xludf.DUMMYFUNCTION("""COMPUTED_VALUE"""),"Climate-driven changes in macrobenthic communities in the Mediterranean Sea: A 10-year study in the Bay of Banyuls-sur-Mer")</f>
        <v>Climate-driven changes in macrobenthic communities in the Mediterranean Sea: A 10-year study in the Bay of Banyuls-sur-Mer</v>
      </c>
      <c r="B275" s="24" t="str">
        <f>IFERROR(__xludf.DUMMYFUNCTION("""COMPUTED_VALUE"""),"Marine ecosystems worldwide are affected by both natural variation and human activities; to disentangle and understand their individual role in influencing the macrobenthic community composition is challenging. The relationship between interannual variabi"&amp;"lity in atmospheric circulation, dictated by the climatic oscillation indices, and the benthic macrofauna composition was assessed at four sampling sites located in the Bay of Banyuls-sur-Mer (NW Mediterranean Sea). Between 2004 and 2013, these sites were"&amp;" sampled annually during autumn/winter and analyzed for sediment grain-size and benthic macrofauna composition (species richness, abundance, and biomass). Temporal changes in these descriptors were correlated with two climatic indices (NAO and WeMO indice"&amp;"s) and a set of environmental parameters integrated over three different time periods (i.e., whole year, springtime, and wintertime). Our results confirm the occurrence of major temporal changes in the composition of macrobenthic communities within the Gu"&amp;"lf of Lions. More specifically, the results indicate that (a) the WeMO appears to be more closely related to benthic macrofauna composition in the Bay of Banyuls-sur-Mer than the NAO, (b) winter is a better integration period than spring or the whole year"&amp;" as a proxy for community composition changes, and (c) Rhone River water flow is likely involved in the control of benthic macrofauna composition in the whole Gulf of Lions. The present study highlights the importance of WeMO as a regional proxy, which ca"&amp;"n be used to evaluate changes in benthic macrofauna linked to climatic variability.")</f>
        <v>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v>
      </c>
      <c r="C275" s="24" t="str">
        <f>IFERROR(__xludf.DUMMYFUNCTION("""COMPUTED_VALUE"""),"10.1002/ece3.5569")</f>
        <v>10.1002/ece3.5569</v>
      </c>
      <c r="D275" s="24" t="str">
        <f>IFERROR(__xludf.DUMMYFUNCTION("""COMPUTED_VALUE"""),"Keck et al")</f>
        <v>Keck et al</v>
      </c>
      <c r="E275" s="24" t="str">
        <f>IFERROR(__xludf.DUMMYFUNCTION("""COMPUTED_VALUE"""),"WOS:000484120700001")</f>
        <v>WOS:000484120700001</v>
      </c>
      <c r="F275" s="24" t="str">
        <f>IFERROR(__xludf.DUMMYFUNCTION("""COMPUTED_VALUE"""),"[""ELIGIBLE""]")</f>
        <v>["ELIGIBLE"]</v>
      </c>
    </row>
    <row r="276">
      <c r="A276" s="24" t="str">
        <f>IFERROR(__xludf.DUMMYFUNCTION("""COMPUTED_VALUE"""),"Soil bacterial communities in the Brazilian Cerrado: Response to vegetation type and management")</f>
        <v>Soil bacterial communities in the Brazilian Cerrado: Response to vegetation type and management</v>
      </c>
      <c r="B276" s="24" t="str">
        <f>IFERROR(__xludf.DUMMYFUNCTION("""COMPUTED_VALUE"""),"Pasture degradation in the Brazilian Cerrado, the second largest biome in South America, is a widespread problem that leads to serious environmental consequences. Thus pasture restoration is crucial, not only because of the economic importance of meat pro"&amp;"duction in Brazil, but also for mitigation of soil erosion and the effects of climate change. Furthermore, ecosystem productivity depends on nutrient cycling and organic matter transformation in soils, highlighting the need to better understand the biolog"&amp;"ical functioning of soil in natural and managed systems. Soil microbiota can be analyzed to monitor changes in soil functions, thereby serving as an indicator of ecological restoration. In the present study, we used a barcoded pyrosequencing approach to a"&amp;"ssess soil bacterial communities under three different conditions: a native cerrado area, an active pasture, and a degraded pasture that was planted with native tree species. In the three study areas, Acidobacteria was dominant phylum (20-38%), followed b"&amp;"y Proteobacteria (8-13%), AD3 (4-12%), Verrucomicrobia (3-11%), and Firmicutes (3-8%). However, the results demonstrated a clear differentiation of soil microbial communities under native vegetation cover and pasture regardless of rainfall seasonality. Th"&amp;"e higher abundance of AD3 in the native cerrado area was an important variable differentiating natural and managed areas. Comparing the two pasture areas, the pasture under restoration treatment differed from the active pasture in terms of abundance of th"&amp;"e most dominant phyla in the rainy period but not in the dry period. Proteobacteria was lower in the degraded pasture planted with native trees than in the active pasture, while the relative abundance of Acidobacteria showed the opposite trend. Changes in"&amp;" the abundance of main bacterial phyla even in the initial phases of the restoration process, point out for the relevance of microbiological parameters as additional indicators in the monitoring of degradation recovery.")</f>
        <v>Pasture degradation in the Brazilian Cerrado, the second largest biome in South America, is a widespread problem that leads to serious environmental consequences. Thus pasture restoration is crucial, not only because of the economic importance of meat production in Brazil, but also for mitigation of soil erosion and the effects of climate change. Furthermore, ecosystem productivity depends on nutrient cycling and organic matter transformation in soils, highlighting the need to better understand the biological functioning of soil in natural and managed systems. Soil microbiota can be analyzed to monitor changes in soil functions, thereby serving as an indicator of ecological restoration. In the present study, we used a barcoded pyrosequencing approach to assess soil bacterial communities under three different conditions: a native cerrado area, an active pasture, and a degraded pasture that was planted with native tree species. In the three study areas, Acidobacteria was dominant phylum (20-38%), followed by Proteobacteria (8-13%), AD3 (4-12%), Verrucomicrobia (3-11%), and Firmicutes (3-8%). However, the results demonstrated a clear differentiation of soil microbial communities under native vegetation cover and pasture regardless of rainfall seasonality. The higher abundance of AD3 in the native cerrado area was an important variable differentiating natural and managed areas. Comparing the two pasture areas, the pasture under restoration treatment differed from the active pasture in terms of abundance of the most dominant phyla in the rainy period but not in the dry period. Proteobacteria was lower in the degraded pasture planted with native trees than in the active pasture, while the relative abundance of Acidobacteria showed the opposite trend. Changes in the abundance of main bacterial phyla even in the initial phases of the restoration process, point out for the relevance of microbiological parameters as additional indicators in the monitoring of degradation recovery.</v>
      </c>
      <c r="C276" s="24" t="str">
        <f>IFERROR(__xludf.DUMMYFUNCTION("""COMPUTED_VALUE"""),"10.1016/j.actao.2019.103463")</f>
        <v>10.1016/j.actao.2019.103463</v>
      </c>
      <c r="D276" s="24" t="str">
        <f>IFERROR(__xludf.DUMMYFUNCTION("""COMPUTED_VALUE"""),"Keck et al")</f>
        <v>Keck et al</v>
      </c>
      <c r="E276" s="24" t="str">
        <f>IFERROR(__xludf.DUMMYFUNCTION("""COMPUTED_VALUE"""),"WOS:000491685600002")</f>
        <v>WOS:000491685600002</v>
      </c>
      <c r="F276" s="24" t="str">
        <f>IFERROR(__xludf.DUMMYFUNCTION("""COMPUTED_VALUE"""),"[""ELIGIBLE""]")</f>
        <v>["ELIGIBLE"]</v>
      </c>
    </row>
    <row r="277">
      <c r="A277" s="24" t="str">
        <f>IFERROR(__xludf.DUMMYFUNCTION("""COMPUTED_VALUE"""),"Reliable, verifiable and efficient monitoring of biodiversity via metabarcoding")</f>
        <v>Reliable, verifiable and efficient monitoring of biodiversity via metabarcoding</v>
      </c>
      <c r="B277" s="24" t="str">
        <f>IFERROR(__xludf.DUMMYFUNCTION("""COMPUTED_VALUE"""),"Abstract To manage and conserve biodiversity, one must know what is being lost, where, and why, as well as which remedies are likely to be most effective. Metabarcoding technology can characterise the species compositions of mass samples of eukaryotes or "&amp;"of environmental DNA. Here, we validate metabarcoding by testing it against three high-quality standard data sets that were collected in Malaysia (tropical), China (subtropical) and the United Kingdom (temperate) and that comprised 55,813 arthropod and bi"&amp;"rd specimens identified to species level with the expenditure of 2,505 person-hours of taxonomic expertise. The metabarcode and standard data sets exhibit statistically correlated alpha- and beta-diversities, and the two data sets produce similar policy c"&amp;"onclusions for two conservation applications: restoration ecology and systematic conservation planning. Compared with standard biodiversity data sets, metabarcoded samples are taxonomically more comprehensive, many times quicker to produce, less reliant o"&amp;"n taxonomic expertise and auditable by third parties, which is essential for dispute resolution.")</f>
        <v>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v>
      </c>
      <c r="C277" s="24" t="str">
        <f>IFERROR(__xludf.DUMMYFUNCTION("""COMPUTED_VALUE"""),"10.1111/ele.12162")</f>
        <v>10.1111/ele.12162</v>
      </c>
      <c r="D277" s="24" t="str">
        <f>IFERROR(__xludf.DUMMYFUNCTION("""COMPUTED_VALUE"""),"Keck et al")</f>
        <v>Keck et al</v>
      </c>
      <c r="E277" s="24" t="str">
        <f>IFERROR(__xludf.DUMMYFUNCTION("""COMPUTED_VALUE"""),"WOS:000324313600003")</f>
        <v>WOS:000324313600003</v>
      </c>
      <c r="F277" s="24" t="str">
        <f>IFERROR(__xludf.DUMMYFUNCTION("""COMPUTED_VALUE"""),"[""ELIGIBLE""]")</f>
        <v>["ELIGIBLE"]</v>
      </c>
    </row>
    <row r="278">
      <c r="A278" s="24" t="str">
        <f>IFERROR(__xludf.DUMMYFUNCTION("""COMPUTED_VALUE"""),"Biological responses to liming in boreal lakes: an assessment using plankton, macroinvertebrate and fish communities")</f>
        <v>Biological responses to liming in boreal lakes: an assessment using plankton, macroinvertebrate and fish communities</v>
      </c>
      <c r="B278" s="24" t="str">
        <f>IFERROR(__xludf.DUMMYFUNCTION("""COMPUTED_VALUE"""),"P&gt;1. Biological responses to liming of acidified surface waters are equivocal and limit the overall assessment of food web responses. In this study, we analysed community structure in limed, acidified and circumneutral lakes, based on the analyses of phyt"&amp;"oplankton, zooplankton, macroinvertebrates (littoral, sublittoral, profundal) and fish between 2000 and 2004. We also studied associations between functional feeding groups in food webs. 2. Most univariate metrics of structure and function revealed simila"&amp;"r community attributes among lake types, suggesting that community responses to natural recovery from acidification and liming management converge with those observed in circumneutral lakes. These trends were less clear in the multivariate analyses which "&amp;"showed significant community differences among lake types. For phytoplankton, these patterns were partly mediated by the invasive raphidophycean flagellate Gonyostomum semen. 3. The associations between functional feeding groups indicated less connectivit"&amp;"y and food web complexity in limed lakes relative to the other lake types. We speculate that repeated lime applications comprise frequent pulse disturbances which offset the establishment of stable trophic relationships in the food webs of limed lakes. 4."&amp;" Synthesis and applications. The limited structural and functional food web similarity among lake types supports the argument that liming constitutes an ecosystem-level disturbance. Managers should be aware of the ecosystem impacts of altered disturbance "&amp;"regimes when designing their management schemes because this can influence the success of restoration programmes. Furthermore, the lack of recovery, mediated in part by species invasions, suggests that impacts derived from global change are likely to lead"&amp;" to novel environmental situations. This calls for adaptive management strategies where managers are challenged to tackle multiple forms of anthropogenic stress simultaneously.")</f>
        <v>P&gt;1. Biological responses to liming of acidified surface waters are equivocal and limit the overall assessment of food web responses. In this study, we analysed community structure in limed, acidified and circumneutral lakes, based on the analyses of phytoplankton, zooplankton, macroinvertebrates (littoral, sublittoral, profundal) and fish between 2000 and 2004. We also studied associations between functional feeding groups in food webs. 2. Most univariate metrics of structure and function revealed similar community attributes among lake types, suggesting that community responses to natural recovery from acidification and liming management converge with those observed in circumneutral lakes. These trends were less clear in the multivariate analyses which showed significant community differences among lake types. For phytoplankton, these patterns were partly mediated by the invasive raphidophycean flagellate Gonyostomum semen. 3. The associations between functional feeding groups indicated less connectivity and food web complexity in limed lakes relative to the other lake types. We speculate that repeated lime applications comprise frequent pulse disturbances which offset the establishment of stable trophic relationships in the food webs of limed lakes. 4. Synthesis and applications. The limited structural and functional food web similarity among lake types supports the argument that liming constitutes an ecosystem-level disturbance. Managers should be aware of the ecosystem impacts of altered disturbance regimes when designing their management schemes because this can influence the success of restoration programmes. Furthermore, the lack of recovery, mediated in part by species invasions, suggests that impacts derived from global change are likely to lead to novel environmental situations. This calls for adaptive management strategies where managers are challenged to tackle multiple forms of anthropogenic stress simultaneously.</v>
      </c>
      <c r="C278" s="24" t="str">
        <f>IFERROR(__xludf.DUMMYFUNCTION("""COMPUTED_VALUE"""),"10.1111/j.1365-2664.2010.01794.x")</f>
        <v>10.1111/j.1365-2664.2010.01794.x</v>
      </c>
      <c r="D278" s="24" t="str">
        <f>IFERROR(__xludf.DUMMYFUNCTION("""COMPUTED_VALUE"""),"Keck et al")</f>
        <v>Keck et al</v>
      </c>
      <c r="E278" s="24" t="str">
        <f>IFERROR(__xludf.DUMMYFUNCTION("""COMPUTED_VALUE"""),"WOS:000275334400027")</f>
        <v>WOS:000275334400027</v>
      </c>
      <c r="F278" s="24" t="str">
        <f>IFERROR(__xludf.DUMMYFUNCTION("""COMPUTED_VALUE"""),"[""ELIGIBLE""]")</f>
        <v>["ELIGIBLE"]</v>
      </c>
    </row>
    <row r="279">
      <c r="A279" s="24" t="str">
        <f>IFERROR(__xludf.DUMMYFUNCTION("""COMPUTED_VALUE"""),"Seaweed assemblage changes in the eastern Cantabrian Sea and their potential relationship to climate change")</f>
        <v>Seaweed assemblage changes in the eastern Cantabrian Sea and their potential relationship to climate change</v>
      </c>
      <c r="B279" s="24" t="str">
        <f>IFERROR(__xludf.DUMMYFUNCTION("""COMPUTED_VALUE"""),"Rising sea-surface temperatures (SSTs) over the last three decades in the south-eastern part of the Bay of Biscay could be affecting phytobenthic assemblage distributions. This study assesses recent changes in species abundance and diversity along the wes"&amp;"tern Basque coast by studying 18 locations in summer 1991 and in 2008. There were substantial changes in the structure of subtidal vegetation between the two surveys: 1) an increase in coralline algae; 2) changes in the distribution patterns of the canopy"&amp;" species; 3) disappearance of kelps; 4) increases in warm-water species, mainly morphologically simple forms; 5) introduction and expansion of non-indigenous species, and 6) increases in species richness and diversity. These results are consistent with th"&amp;"e rise detected in SST, particularly in summer when SST was found to have risen by as much as 1 degrees C from 1980 to 2008. Furthermore, two extreme warming events occurred in the summers of 2003 and 2006. However, some biological shifts cannot be explai"&amp;"ned by warmer waters alone. Only limited data are available on changes in nutrient concentrations and water transparency, but these factors are also thought to be involved in the biological changes detected. (C) 2012 Elsevier Ltd. All rights reserved.")</f>
        <v>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v>
      </c>
      <c r="C279" s="24" t="str">
        <f>IFERROR(__xludf.DUMMYFUNCTION("""COMPUTED_VALUE"""),"10.1016/j.ecss.2011.12.027")</f>
        <v>10.1016/j.ecss.2011.12.027</v>
      </c>
      <c r="D279" s="24" t="str">
        <f>IFERROR(__xludf.DUMMYFUNCTION("""COMPUTED_VALUE"""),"Keck et al")</f>
        <v>Keck et al</v>
      </c>
      <c r="E279" s="24" t="str">
        <f>IFERROR(__xludf.DUMMYFUNCTION("""COMPUTED_VALUE"""),"WOS:000302448300011")</f>
        <v>WOS:000302448300011</v>
      </c>
      <c r="F279" s="24" t="str">
        <f>IFERROR(__xludf.DUMMYFUNCTION("""COMPUTED_VALUE"""),"[""ELIGIBLE""]")</f>
        <v>["ELIGIBLE"]</v>
      </c>
    </row>
    <row r="280">
      <c r="A280" s="24" t="str">
        <f>IFERROR(__xludf.DUMMYFUNCTION("""COMPUTED_VALUE"""),"Assessing skeleton and microbiome responses of a calcareous sponge under thermal and pH stresses")</f>
        <v>Assessing skeleton and microbiome responses of a calcareous sponge under thermal and pH stresses</v>
      </c>
      <c r="B280" s="24" t="str">
        <f>IFERROR(__xludf.DUMMYFUNCTION("""COMPUTED_VALUE"""),"Ocean higher temperature and acidity levels affect its carbonate chemistry, and calcifying organisms that depend on the calcium carbonate saturation state (Omega CaCO3) to build their skeleton may be vulnerable to these changes. Despite their important ro"&amp;"les in the marine environment, little is known about the vulnerability of calcareous sponges under these stressors. We performed an acute short-term experiment (9 days) with thermal and pH stresses to explore their effects on the skeleton and microbiome o"&amp;"f the calcareous sponge Sycettusa hastifera. We observed that sponge spicules showed no corrosion and no Mg/Ca ratio variation when exposed to stress conditions. However, the outermost spicules were smaller in low pH treatment, although these effects were"&amp;" often diminished when higher temperatures were also applied. In general, the sponges synthesized normally shaped spicules under stress conditions, but the proportion of deformed spicules increased significantly in elevated temperature. In addition, we ob"&amp;"served a stable host-microbiome association in which there is microbiome flexibility under thermal and pH stresses with a significantly increase in abundance of some associated bacteria. Our results suggest that S. hastifera has low vulnerability under th"&amp;"e future ocean conditions here designed, since it showed indications of resistance that could help them adapt and survive.")</f>
        <v>Ocean higher temperature and acidity levels affect its carbonate chemistry, and calcifying organisms that depend on the calcium carbonate saturation state (Omega CaCO3) to build their skeleton may be vulnerable to these changes. Despite their important roles in the marine environment, little is known about the vulnerability of calcareous sponges under these stressors. We performed an acute short-term experiment (9 days) with thermal and pH stresses to explore their effects on the skeleton and microbiome of the calcareous sponge Sycettusa hastifera. We observed that sponge spicules showed no corrosion and no Mg/Ca ratio variation when exposed to stress conditions. However, the outermost spicules were smaller in low pH treatment, although these effects were often diminished when higher temperatures were also applied. In general, the sponges synthesized normally shaped spicules under stress conditions, but the proportion of deformed spicules increased significantly in elevated temperature. In addition, we observed a stable host-microbiome association in which there is microbiome flexibility under thermal and pH stresses with a significantly increase in abundance of some associated bacteria. Our results suggest that S. hastifera has low vulnerability under the future ocean conditions here designed, since it showed indications of resistance that could help them adapt and survive.</v>
      </c>
      <c r="C280" s="24" t="str">
        <f>IFERROR(__xludf.DUMMYFUNCTION("""COMPUTED_VALUE"""),"10.1093/icesjms/fsaa231")</f>
        <v>10.1093/icesjms/fsaa231</v>
      </c>
      <c r="D280" s="24" t="str">
        <f>IFERROR(__xludf.DUMMYFUNCTION("""COMPUTED_VALUE"""),"Keck et al")</f>
        <v>Keck et al</v>
      </c>
      <c r="E280" s="24" t="str">
        <f>IFERROR(__xludf.DUMMYFUNCTION("""COMPUTED_VALUE"""),"WOS:000731911900008")</f>
        <v>WOS:000731911900008</v>
      </c>
      <c r="F280" s="24" t="str">
        <f>IFERROR(__xludf.DUMMYFUNCTION("""COMPUTED_VALUE"""),"[""ELIGIBLE""]")</f>
        <v>["ELIGIBLE"]</v>
      </c>
    </row>
    <row r="281">
      <c r="A281" s="24" t="str">
        <f>IFERROR(__xludf.DUMMYFUNCTION("""COMPUTED_VALUE"""),"A century of change in North Sea plankton communities explored through integrating historical datasets")</f>
        <v>A century of change in North Sea plankton communities explored through integrating historical datasets</v>
      </c>
      <c r="B281" s="24" t="str">
        <f>IFERROR(__xludf.DUMMYFUNCTION("""COMPUTED_VALUE"""),"Plankton communities make useful ecosystem indicators, and taking a historical perspective on plankton community composition provides insights into large-scale environmental change. Much of our understanding of long temporal-scale change in plankton commu"&amp;"nities in the North Sea has been provided by the Continuous Plankton Recorder (CPR) survey, operating since 1931, with consistent time-series data available since 1958. This article further increases the temporal scale of our understanding of community ch"&amp;"ange in the North Sea by combining the CPR dataset with a digitized collection of plankton surveys undertaken by ICES from 1902 to 1912. After steps taken to integrate the two disparate datasets, differences in overall community composition between time p"&amp;"eriods suggest that the multidecadal changes observed through the CPR survey time period may have occurred from a non-stable baseline that was already on a trajectory of change. Therefore, a stable historical time period in which plankton communities are "&amp;"assessed against for any impact of human pressures may be hard to define for the North Sea and instead underlying variation needs to be encompassed within any baseline chosen. Further evidence for the influence of large-scale changes in sea surface temper"&amp;"ature driving change in plankton community composition was found using the extended dataset.")</f>
        <v>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v>
      </c>
      <c r="C281" s="24" t="str">
        <f>IFERROR(__xludf.DUMMYFUNCTION("""COMPUTED_VALUE"""),"10.1093/icesjms/fsy148")</f>
        <v>10.1093/icesjms/fsy148</v>
      </c>
      <c r="D281" s="24" t="str">
        <f>IFERROR(__xludf.DUMMYFUNCTION("""COMPUTED_VALUE"""),"Keck et al")</f>
        <v>Keck et al</v>
      </c>
      <c r="E281" s="24" t="str">
        <f>IFERROR(__xludf.DUMMYFUNCTION("""COMPUTED_VALUE"""),"WOS:000462735600012")</f>
        <v>WOS:000462735600012</v>
      </c>
      <c r="F281" s="24" t="str">
        <f>IFERROR(__xludf.DUMMYFUNCTION("""COMPUTED_VALUE"""),"[""ELIGIBLE""]")</f>
        <v>["ELIGIBLE"]</v>
      </c>
    </row>
    <row r="282">
      <c r="A282" s="24" t="str">
        <f>IFERROR(__xludf.DUMMYFUNCTION("""COMPUTED_VALUE"""),"Climate warming promotes deterministic assembly of arbuscular mycorrhizal fungal communities")</f>
        <v>Climate warming promotes deterministic assembly of arbuscular mycorrhizal fungal communities</v>
      </c>
      <c r="B282" s="24" t="str">
        <f>IFERROR(__xludf.DUMMYFUNCTION("""COMPUTED_VALUE"""),"Arbuscular mycorrhizal fungi (AMF) significantly contribute to plant resource acquisition and play important roles in mediating plant interactions and soil carbon (C) dynamics. However, it remains unclear how AMF communities respond to climate change. We "&amp;"assessed impacts of warming and precipitation alterations (30% increase or decrease) on soil AMF communities, and examined major ecological processes shaping the AMF community assemblage in a Tibetan alpine meadow. Our results showed that warming signific"&amp;"antly increased root biomass, and available nitrogen (N) and phosphorus (P) in soil. While precipitation alterations increased AMF abundances, they did not significantly affect the composition or diversity of AMF communities. In contrast, warming altered "&amp;"the composition of AMF communities and reduced their Shannon-Wiener index and Pielou's evenness. In particular, warming shifted the AMF community composition in favor of Diversisporaceae over Glomeraceae, likely through its impact on soil N and P availabi"&amp;"lity. In addition, AMF communities were phylogenetically random in the unwarmed control but clustered in warming plots, implying more deterministic community assembly under climate warming. Warming enhancement of root growth, N and P availability likely r"&amp;"educed plant C-allocation to AMF, imposing stronger environmental filtering on AMF communities. We further proposed a conceptual framework that integrates biological and geochemical processes into a mechanistic understanding of warming and precipitation c"&amp;"hanges' effects on AMF. Taken together, these results suggest that soil AMF communities may be more sensitive to warming than expected, highlighting the need to monitor their community structure and associated functional consequences on plant communities "&amp;"and soil C dynamics under the future warmer climate.")</f>
        <v>Arbuscular mycorrhizal fungi (AMF) significantly contribute to plant resource acquisition and play important roles in mediating plant interactions and soil carbon (C) dynamics. However, it remains unclear how AMF communities respond to climate change. We assessed impacts of warming and precipitation alterations (30% increase or decrease) on soil AMF communities, and examined major ecological processes shaping the AMF community assemblage in a Tibetan alpine meadow. Our results showed that warming significantly increased root biomass, and available nitrogen (N) and phosphorus (P) in soil. While precipitation alterations increased AMF abundances, they did not significantly affect the composition or diversity of AMF communities. In contrast, warming altered the composition of AMF communities and reduced their Shannon-Wiener index and Pielou's evenness. In particular, warming shifted the AMF community composition in favor of Diversisporaceae over Glomeraceae, likely through its impact on soil N and P availability. In addition, AMF communities were phylogenetically random in the unwarmed control but clustered in warming plots, implying more deterministic community assembly under climate warming. Warming enhancement of root growth, N and P availability likely reduced plant C-allocation to AMF, imposing stronger environmental filtering on AMF communities. We further proposed a conceptual framework that integrates biological and geochemical processes into a mechanistic understanding of warming and precipitation changes' effects on AMF. Taken together, these results suggest that soil AMF communities may be more sensitive to warming than expected, highlighting the need to monitor their community structure and associated functional consequences on plant communities and soil C dynamics under the future warmer climate.</v>
      </c>
      <c r="C282" s="24" t="str">
        <f>IFERROR(__xludf.DUMMYFUNCTION("""COMPUTED_VALUE"""),"10.1111/gcb.15945")</f>
        <v>10.1111/gcb.15945</v>
      </c>
      <c r="D282" s="24" t="str">
        <f>IFERROR(__xludf.DUMMYFUNCTION("""COMPUTED_VALUE"""),"Keck et al")</f>
        <v>Keck et al</v>
      </c>
      <c r="E282" s="24" t="str">
        <f>IFERROR(__xludf.DUMMYFUNCTION("""COMPUTED_VALUE"""),"WOS:000715328600001")</f>
        <v>WOS:000715328600001</v>
      </c>
      <c r="F282" s="24" t="str">
        <f>IFERROR(__xludf.DUMMYFUNCTION("""COMPUTED_VALUE"""),"[""ELIGIBLE""]")</f>
        <v>["ELIGIBLE"]</v>
      </c>
    </row>
    <row r="283">
      <c r="A283" s="24" t="str">
        <f>IFERROR(__xludf.DUMMYFUNCTION("""COMPUTED_VALUE"""),"Fine-scale heterogeneity across Manhattan's urban habitat mosaic is associated with variation in ant composition and richness")</f>
        <v>Fine-scale heterogeneity across Manhattan's urban habitat mosaic is associated with variation in ant composition and richness</v>
      </c>
      <c r="B283" s="24" t="str">
        <f>IFERROR(__xludf.DUMMYFUNCTION("""COMPUTED_VALUE"""),"Global urbanisation is rapidly expanding and most of the world's humans now live in cities. Most ecological studies have, however, focused on protected areas. To address this issue, we tested predictions from studies of protected areas in urban ecosystems"&amp;". Because most cities are heterogeneous habitat mosaics which include habitats with varying levels of chronic environmental stress, we focused on predictions from studies of less modified ecosystems about community-wide responses to variation in chronic s"&amp;"tress. We sampled ants across Manhattan's urban habitat mosaic, at sites with varying levels of chronic environmental stress. Many predictions derived from less modified ecosystems were supported by our findings: despite being the most intensively sampled"&amp;" habitat, high stress urban medians had less variability in ant composition -both within and among sites - than either urban parks or urban forests, the lowest stress habitat - urban forests-had significantly more accumulated species and a higher number o"&amp;"f unique species than higher stress habitats, and urban parks, which have intermediate levels of chronic environmental stress, also had intermediate levels of variation in among-site species composition, accumulated species richness, and the incidence of "&amp;"unique species. The most common species also differed across Manhattan's urban habitat mosaic. Nevertheless, the prediction that exotic species would occur more frequently in higher stress habitats was not supported; exotic species were equally common acr"&amp;"oss all habitats. These findings suggest that fine-scale heterogeneity in the chronic stress of urban habitats may be an underappreciated, but important structuring force for urban animal communities.")</f>
        <v>Global urbanisation is rapidly expanding and most of the world's humans now live in cities. Most ecological studies have, however, focused on protected areas. To address this issue, we tested predictions from studies of protected areas in urban ecosystems. Because most cities are heterogeneous habitat mosaics which include habitats with varying levels of chronic environmental stress, we focused on predictions from studies of less modified ecosystems about community-wide responses to variation in chronic stress. We sampled ants across Manhattan's urban habitat mosaic, at sites with varying levels of chronic environmental stress. Many predictions derived from less modified ecosystems were supported by our findings: despite being the most intensively sampled habitat, high stress urban medians had less variability in ant composition -both within and among sites - than either urban parks or urban forests, the lowest stress habitat - urban forests-had significantly more accumulated species and a higher number of unique species than higher stress habitats, and urban parks, which have intermediate levels of chronic environmental stress, also had intermediate levels of variation in among-site species composition, accumulated species richness, and the incidence of unique species. The most common species also differed across Manhattan's urban habitat mosaic. Nevertheless, the prediction that exotic species would occur more frequently in higher stress habitats was not supported; exotic species were equally common across all habitats. These findings suggest that fine-scale heterogeneity in the chronic stress of urban habitats may be an underappreciated, but important structuring force for urban animal communities.</v>
      </c>
      <c r="C283" s="24" t="str">
        <f>IFERROR(__xludf.DUMMYFUNCTION("""COMPUTED_VALUE"""),"10.1111/icad.12098")</f>
        <v>10.1111/icad.12098</v>
      </c>
      <c r="D283" s="24" t="str">
        <f>IFERROR(__xludf.DUMMYFUNCTION("""COMPUTED_VALUE"""),"Keck et al")</f>
        <v>Keck et al</v>
      </c>
      <c r="E283" s="24" t="str">
        <f>IFERROR(__xludf.DUMMYFUNCTION("""COMPUTED_VALUE"""),"WOS:000354569100003")</f>
        <v>WOS:000354569100003</v>
      </c>
      <c r="F283" s="24" t="str">
        <f>IFERROR(__xludf.DUMMYFUNCTION("""COMPUTED_VALUE"""),"[""ELIGIBLE""]")</f>
        <v>["ELIGIBLE"]</v>
      </c>
    </row>
    <row r="284">
      <c r="A284" s="24" t="str">
        <f>IFERROR(__xludf.DUMMYFUNCTION("""COMPUTED_VALUE"""),"A case study of rangeland vegetation changes from 1979 to 2016 in the Middle Atlas Mountains of Morocco")</f>
        <v>A case study of rangeland vegetation changes from 1979 to 2016 in the Middle Atlas Mountains of Morocco</v>
      </c>
      <c r="B284" s="24" t="str">
        <f>IFERROR(__xludf.DUMMYFUNCTION("""COMPUTED_VALUE"""),"This case study assessed changes in vegetation composition of a 0.8 ha rangeland site over the past four decades, in relation to changes in temperature and to an increase in grazing pressure. The frequency and standing crop (biomass) of species and functi"&amp;"onal groups were sampled in the spring of 1979 and 2016. Mean annual temperature increased, whereas changes in frequency varied between species and functional groups. Species that decreased included perennial plants, whereas species that increased were co"&amp;"mprised mostly of annuals and unpalatable herbaceous plants. An NMDS ordination showed significant differences in species composition between 1979 and 2016. Total biomass, as well as the biomass of annual and perennial grasses and forbs did not differ bet"&amp;"ween 1979 and 2016. Shrub biomass, however, decreased by 60% between years. Biomass of the 'graminoids' (e.g. Carex divisa), on the other hand, increased fourfold between 1979 and 2016. Species richness and the Shannon-Weaver diversity index H ' declined "&amp;"in 2016. This, together with a decline in the frequency of palatable species and a shift in species composition, could signal a decline in resilience over the long term. Changes in vegetation were most likely driven by a combination of higher temperatures"&amp;" and increased grazing pressure.")</f>
        <v>This case study assessed changes in vegetation composition of a 0.8 ha rangeland site over the past four decades, in relation to changes in temperature and to an increase in grazing pressure. The frequency and standing crop (biomass) of species and functional groups were sampled in the spring of 1979 and 2016. Mean annual temperature increased, whereas changes in frequency varied between species and functional groups. Species that decreased included perennial plants, whereas species that increased were comprised mostly of annuals and unpalatable herbaceous plants. An NMDS ordination showed significant differences in species composition between 1979 and 2016. Total biomass, as well as the biomass of annual and perennial grasses and forbs did not differ between 1979 and 2016. Shrub biomass, however, decreased by 60% between years. Biomass of the 'graminoids' (e.g. Carex divisa), on the other hand, increased fourfold between 1979 and 2016. Species richness and the Shannon-Weaver diversity index H ' declined in 2016. This, together with a decline in the frequency of palatable species and a shift in species composition, could signal a decline in resilience over the long term. Changes in vegetation were most likely driven by a combination of higher temperatures and increased grazing pressure.</v>
      </c>
      <c r="C284" s="24" t="str">
        <f>IFERROR(__xludf.DUMMYFUNCTION("""COMPUTED_VALUE"""),"10.2989/10220119.2020.1855474")</f>
        <v>10.2989/10220119.2020.1855474</v>
      </c>
      <c r="D284" s="24" t="str">
        <f>IFERROR(__xludf.DUMMYFUNCTION("""COMPUTED_VALUE"""),"Keck et al")</f>
        <v>Keck et al</v>
      </c>
      <c r="E284" s="24" t="str">
        <f>IFERROR(__xludf.DUMMYFUNCTION("""COMPUTED_VALUE"""),"WOS:000624936400013")</f>
        <v>WOS:000624936400013</v>
      </c>
      <c r="F284" s="24" t="str">
        <f>IFERROR(__xludf.DUMMYFUNCTION("""COMPUTED_VALUE"""),"[""ELIGIBLE""]")</f>
        <v>["ELIGIBLE"]</v>
      </c>
    </row>
    <row r="285">
      <c r="A285" s="24" t="str">
        <f>IFERROR(__xludf.DUMMYFUNCTION("""COMPUTED_VALUE"""),"Forest fragmentation and impacts of intensive agriculture: Responses from different tree functional groups")</f>
        <v>Forest fragmentation and impacts of intensive agriculture: Responses from different tree functional groups</v>
      </c>
      <c r="B285" s="24" t="str">
        <f>IFERROR(__xludf.DUMMYFUNCTION("""COMPUTED_VALUE"""),"Agricultural landscapes are seen as areas of extreme importance for studying and developing strategies which integrate biodiversity conservation and ecosystem services with food production. The main strategies for intensifying agriculture are based on con"&amp;"ventional agricultural practices of frequently using inputs for fertilization and correcting soil pH. Some studies show that these practices generate impacts on nearby forest fragments through soil contamination and increasing nutrient content. The object"&amp;"ive of this study was to identify the impacts on the functional groups of sciophilous (late successional/shade-tolerant species) and heliophilous (pioneer/sun-loving) species of a tree community of 14 forest fragments near pasture areas and agricultural a"&amp;"reas under conventional practices, raising the hypothesis that higher-fertility forest fragments adjacent to intensive agriculture modify the floristic composition of the tree community. Consequently, this study is based on the following questions: i) Do "&amp;"forest fragments within intensive farming environments present differences in floristic composition of species?; ii) Does the soil fertility influence the tree species composition?; iii) Which variables influence species abundance and richness in the fore"&amp;"st fragments with different types of use around their environment? The floristic composition of fragments close to agricultural areas are more similar to each other than the composition of fragments close to pasture areas. Furthermore, the General Linear "&amp;"Model (GLM) results show a clear influence of the intensive farming environment on the richness and abundance of the two functional groups in the forest fragments, directly benefiting the abundance of heliophilous species, which are also benefited by the "&amp;"greater declivity and smaller fragment area, while the abundance of sciophytes is negatively correlated with these last two variables. The increase of calcium content is beneficial for the richness of heliophilous species, while the increase in phosphorus"&amp;" content influences a reduction in the richness of sciophyte species, which also strongly respond to the isolation between fragments. The results indicate a dominance trend of pioneer species in fragments with nutritionally enriched soils, providing evide"&amp;"nce that the intense adoption of inputs in cultivated areas causes concrete impacts on the diversity of the tree community.")</f>
        <v>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v>
      </c>
      <c r="C285" s="24" t="str">
        <f>IFERROR(__xludf.DUMMYFUNCTION("""COMPUTED_VALUE"""),"10.1371/journal.pone.0212725")</f>
        <v>10.1371/journal.pone.0212725</v>
      </c>
      <c r="D285" s="24" t="str">
        <f>IFERROR(__xludf.DUMMYFUNCTION("""COMPUTED_VALUE"""),"Keck et al")</f>
        <v>Keck et al</v>
      </c>
      <c r="E285" s="24" t="str">
        <f>IFERROR(__xludf.DUMMYFUNCTION("""COMPUTED_VALUE"""),"WOS:000484987900003")</f>
        <v>WOS:000484987900003</v>
      </c>
      <c r="F285" s="24" t="str">
        <f>IFERROR(__xludf.DUMMYFUNCTION("""COMPUTED_VALUE"""),"[""ELIGIBLE""]")</f>
        <v>["ELIGIBLE"]</v>
      </c>
    </row>
    <row r="286">
      <c r="A286" s="24" t="str">
        <f>IFERROR(__xludf.DUMMYFUNCTION("""COMPUTED_VALUE"""),"Phase shift to algal dominated communities at mesophotic depths associated with lionfish (Pterois volitans) invasion on a Bahamian coral reef")</f>
        <v>Phase shift to algal dominated communities at mesophotic depths associated with lionfish (Pterois volitans) invasion on a Bahamian coral reef</v>
      </c>
      <c r="B286" s="24" t="str">
        <f>IFERROR(__xludf.DUMMYFUNCTION("""COMPUTED_VALUE"""),"Mesophotic coral reefs (30-150 m) have been assumed to be physically and biologically connected to their shallow-water counterparts, and thus may serve as refugia for important taxonomic groups such as corals, sponges, and fish. The recent invasion of the"&amp;" Indo-Pacific lionfish (Pterois volitans) onto shallow reefs of the Caribbean and Bahamas has had significant, negative, effects on shallow coral reef fish populations. In the Bahamas, lionfish have extended their habitat range into mesophotic depths down"&amp;" to 91 m where they have reduced the diversity of several important fish guilds, including herbivores. A phase shift to an algal dominated (&gt; 50% benthic cover) community occurred simultaneously with the loss of herbivores to a depth of 61 m and caused a "&amp;"significant decline in corals and sponges at mesophotic depths. The effects of this invasive lionfish on mesophotic coral reefs and the subsequent changes in benthic community structure could not be explained by coral bleaching, overfishing, hurricanes, o"&amp;"r disease independently or in combination. The significant ecological effects of the lionfish invasion into mesophotic depths of coral reefs casts doubt on whether these communities have the resilience to recover themselves or contribute to the recovery o"&amp;"f their shallow water counterparts as refugia for key coral reef taxa.")</f>
        <v>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v>
      </c>
      <c r="C286" s="24" t="str">
        <f>IFERROR(__xludf.DUMMYFUNCTION("""COMPUTED_VALUE"""),"10.1007/s10530-011-0005-z")</f>
        <v>10.1007/s10530-011-0005-z</v>
      </c>
      <c r="D286" s="24" t="str">
        <f>IFERROR(__xludf.DUMMYFUNCTION("""COMPUTED_VALUE"""),"Keck et al")</f>
        <v>Keck et al</v>
      </c>
      <c r="E286" s="24" t="str">
        <f>IFERROR(__xludf.DUMMYFUNCTION("""COMPUTED_VALUE"""),"WOS:000292556200014")</f>
        <v>WOS:000292556200014</v>
      </c>
      <c r="F286" s="24" t="str">
        <f>IFERROR(__xludf.DUMMYFUNCTION("""COMPUTED_VALUE"""),"[""ELIGIBLE""]")</f>
        <v>["ELIGIBLE"]</v>
      </c>
    </row>
    <row r="287">
      <c r="A287" s="24" t="str">
        <f>IFERROR(__xludf.DUMMYFUNCTION("""COMPUTED_VALUE"""),"An analysis of weed floras in nurseries: Do polytunnels serve as ports of entry for alien plant species?")</f>
        <v>An analysis of weed floras in nurseries: Do polytunnels serve as ports of entry for alien plant species?</v>
      </c>
      <c r="B287" s="24" t="str">
        <f>IFERROR(__xludf.DUMMYFUNCTION("""COMPUTED_VALUE"""),"The introduction of alien species into new regions has become a defining feature of global environmental change. It has been argued that greenhouses and polytunnels may serve as invasion foci for emerging plant invaders of agricultural ecosystems under fu"&amp;"ture warmer climates. To test this hypothesis we selected 15 organically producing plant nurseries in lowland eastern Austria. There species coverage was recorded in 73 plots inside and in 60 plots outside polytunnels. In total, 109 species were identifie"&amp;"d (including plant seedlings which could only be determined to the genus level), consisting of 27 neophytes, 6 archaeophytes and 76 native plant species. Although average weed species numbers were significantly higher inside polytunnels compared to refere"&amp;"nce plots outdoor, nonmetric multidimensional scaling revealed no significant differences in species composition. Similarly, we found no differences in the weed community indices, i.e., the proportion of species preferring low or high temperatures, low or"&amp;" high precipitation, and low or high soil fertility, between plots located in polytunnels and outdoor. This holds true for total species number as well as for subsets of species of different residence time. The recorded neophytes are native to Asia, Europ"&amp;"e, North and South America at almost equal proportions, most neophytes (22 species) are introduced intentionally, while unintentionally introduced species were more abundant on average. In polytunnels, neophyte species number was dependent on the crop cat"&amp;"egory only, and archaeophyte species numbers were influenced by size of the polytunnels, whereas native and total species numbers were again influenced by the crop species. In outdoor plots, archaeophyte numbers were influenced by mean annual temperature."&amp;" Overall, weed vegetation in polytunnels and outdoors differs only little in terms of species composition and abundance. We thus conclude that sheltered environments (as polytunnels), which mimic warmer climates, do not serve as entry points for emerging "&amp;"neophytes of agricultural ecosystems. (C) 2015 Elsevier GmbH. All rights reserved.")</f>
        <v>The introduction of alien species into new regions has become a defining feature of global environmental change. It has been argued that greenhouses and polytunnels may serve as invasion foci for emerging plant invaders of agricultural ecosystems under future warmer climates. To test this hypothesis we selected 15 organically producing plant nurseries in lowland eastern Austria. There species coverage was recorded in 73 plots inside and in 60 plots outside polytunnels. In total, 109 species were identified (including plant seedlings which could only be determined to the genus level), consisting of 27 neophytes, 6 archaeophytes and 76 native plant species. Although average weed species numbers were significantly higher inside polytunnels compared to reference plots outdoor, nonmetric multidimensional scaling revealed no significant differences in species composition. Similarly, we found no differences in the weed community indices, i.e., the proportion of species preferring low or high temperatures, low or high precipitation, and low or high soil fertility, between plots located in polytunnels and outdoor. This holds true for total species number as well as for subsets of species of different residence time. The recorded neophytes are native to Asia, Europe, North and South America at almost equal proportions, most neophytes (22 species) are introduced intentionally, while unintentionally introduced species were more abundant on average. In polytunnels, neophyte species number was dependent on the crop category only, and archaeophyte species numbers were influenced by size of the polytunnels, whereas native and total species numbers were again influenced by the crop species. In outdoor plots, archaeophyte numbers were influenced by mean annual temperature. Overall, weed vegetation in polytunnels and outdoors differs only little in terms of species composition and abundance. We thus conclude that sheltered environments (as polytunnels), which mimic warmer climates, do not serve as entry points for emerging neophytes of agricultural ecosystems. (C) 2015 Elsevier GmbH. All rights reserved.</v>
      </c>
      <c r="C287" s="24" t="str">
        <f>IFERROR(__xludf.DUMMYFUNCTION("""COMPUTED_VALUE"""),"10.1016/j.flora.2015.03.004")</f>
        <v>10.1016/j.flora.2015.03.004</v>
      </c>
      <c r="D287" s="24" t="str">
        <f>IFERROR(__xludf.DUMMYFUNCTION("""COMPUTED_VALUE"""),"Keck et al")</f>
        <v>Keck et al</v>
      </c>
      <c r="E287" s="24" t="str">
        <f>IFERROR(__xludf.DUMMYFUNCTION("""COMPUTED_VALUE"""),"WOS:000357232300002")</f>
        <v>WOS:000357232300002</v>
      </c>
      <c r="F287" s="24" t="str">
        <f>IFERROR(__xludf.DUMMYFUNCTION("""COMPUTED_VALUE"""),"[""ELIGIBLE""]")</f>
        <v>["ELIGIBLE"]</v>
      </c>
    </row>
    <row r="288">
      <c r="A288" s="24" t="str">
        <f>IFERROR(__xludf.DUMMYFUNCTION("""COMPUTED_VALUE"""),"Drivers of total and pathogenic soil-borne fungal communities in grassland plant species")</f>
        <v>Drivers of total and pathogenic soil-borne fungal communities in grassland plant species</v>
      </c>
      <c r="B288" s="24" t="str">
        <f>IFERROR(__xludf.DUMMYFUNCTION("""COMPUTED_VALUE"""),"Soil-borne fungi are considered important drivers of plant community structure, diversity and ecosystem process in terrestrial ecosystems. Yet, our understanding of their identity and belowground association with different plant species in natural ecosyst"&amp;"ems such as grasslands is limited. We identified the soil-borne fungal communities in the roots of a range of plant species representing the main families occurring in natural grasslands using next generation sequencing of the ITS1 region, alongside FUNGu"&amp;"ild and a literature review to determine the ecological role of the fungal taxa detected. Our results show clear differences in the total and the pathogenic soil-borne fungal communities between the two main plant functional groups in grasslands (grasses "&amp;"and forbs) and between species within both functional groups, which could to a large extent be explained by plant phylogenetic structure. In addition, our results show that drought can increase the relative abundance of pathogenic fungi. These findings on"&amp;" a range of plant species provide a baseline for future studies revealing the importance of belowground plant-fungal interactions in diverse natural grasslands. (C) 2020 The Authors. Published by Elsevier Ltd.")</f>
        <v>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v>
      </c>
      <c r="C288" s="24" t="str">
        <f>IFERROR(__xludf.DUMMYFUNCTION("""COMPUTED_VALUE"""),"10.1016/j.funeco.2020.100987")</f>
        <v>10.1016/j.funeco.2020.100987</v>
      </c>
      <c r="D288" s="24" t="str">
        <f>IFERROR(__xludf.DUMMYFUNCTION("""COMPUTED_VALUE"""),"Keck et al")</f>
        <v>Keck et al</v>
      </c>
      <c r="E288" s="24" t="str">
        <f>IFERROR(__xludf.DUMMYFUNCTION("""COMPUTED_VALUE"""),"WOS:000583820500005")</f>
        <v>WOS:000583820500005</v>
      </c>
      <c r="F288" s="24" t="str">
        <f>IFERROR(__xludf.DUMMYFUNCTION("""COMPUTED_VALUE"""),"[""ELIGIBLE""]")</f>
        <v>["ELIGIBLE"]</v>
      </c>
    </row>
    <row r="289">
      <c r="A289" s="24" t="str">
        <f>IFERROR(__xludf.DUMMYFUNCTION("""COMPUTED_VALUE"""),"Forb community responses to an extensive drought in two contrasting land-use types of a semi-arid Lowveld savanna")</f>
        <v>Forb community responses to an extensive drought in two contrasting land-use types of a semi-arid Lowveld savanna</v>
      </c>
      <c r="B289" s="24" t="str">
        <f>IFERROR(__xludf.DUMMYFUNCTION("""COMPUTED_VALUE"""),"Projected increases in the frequency and severity of drought events are expected to impose changes in the ecology of native forb communities in semi-arid ecosystems. We examined the state of forb communities during, and directly after an extreme drought e"&amp;"vent across two contrasting land-use types, which included a protected area (high diversity of free roaming wild herbivores) and communal rangeland (long history of intensive cattle grazing) in a semi-arid Lowveld savanna of the Gazankulu area, South Afri"&amp;"ca. Forb floristic data were collected towards the end of the drought and repeated after the drought release a few months later. Forb community composition was significantly different among land-use types. Community changes were not induced by annual forb"&amp;" emergence alone, but through species-specific dominance shifts, which differed among land-use types. Forb richness, diversity and biomass were equally low at both land-use types and increased significantly after the drought release, although the magnitud"&amp;"e of response was much stronger in the protected area, whereas drought contributed to a directional change in the protected area with a complete post-drought turnover in both annual and perennial forb species, much less variability was observed in the com"&amp;"munal rangeland, which may suggest long-term effects imposed by land-use history.")</f>
        <v>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v>
      </c>
      <c r="C289" s="24" t="str">
        <f>IFERROR(__xludf.DUMMYFUNCTION("""COMPUTED_VALUE"""),"10.2989/10220119.2020.1726464")</f>
        <v>10.2989/10220119.2020.1726464</v>
      </c>
      <c r="D289" s="24" t="str">
        <f>IFERROR(__xludf.DUMMYFUNCTION("""COMPUTED_VALUE"""),"Keck et al")</f>
        <v>Keck et al</v>
      </c>
      <c r="E289" s="24" t="str">
        <f>IFERROR(__xludf.DUMMYFUNCTION("""COMPUTED_VALUE"""),"WOS:000521279400005")</f>
        <v>WOS:000521279400005</v>
      </c>
      <c r="F289" s="24" t="str">
        <f>IFERROR(__xludf.DUMMYFUNCTION("""COMPUTED_VALUE"""),"[""ELIGIBLE""]")</f>
        <v>["ELIGIBLE"]</v>
      </c>
    </row>
    <row r="290">
      <c r="A290" s="24" t="str">
        <f>IFERROR(__xludf.DUMMYFUNCTION("""COMPUTED_VALUE"""),"Down the up staircase: Equatorward march of a cold-water ascidian and broader implications for invasion ecology")</f>
        <v>Down the up staircase: Equatorward march of a cold-water ascidian and broader implications for invasion ecology</v>
      </c>
      <c r="B290" s="24" t="str">
        <f>IFERROR(__xludf.DUMMYFUNCTION("""COMPUTED_VALUE"""),"Aim While warming temperatures are expected to facilitate the poleward movement of species previously restricted to more equatorial waters, the arrival and persistence of cold-water species in more equatorward waters are relatively unprecedented. The nati"&amp;"ve north-east Pacific ascidian Corella inflata Huntsman, 1912, has spread southward and invaded new regions along the North American Pacific coast, a rare example of a marine species moving towards the equator. Here, we document C. inflata's equatorward m"&amp;"ovement and potential impact, assess several hypotheses for its spread and consider implications for invasion ecology. Location North American Pacific Coast (Puget Sound to San Francisco Bay). Methods We recorded the southward movement of C. inflata by co"&amp;"mpiling records from the literature, conducting informal searches and conducting standardized fouling community surveys at sites from the southern border of C. inflata's native range in Puget Sound to San Francisco Bay. Within San Francisco Bay, we record"&amp;"ed C. inflata's arrival and potential impact by conducting standardized surveys across an 18-year period encompassing the invasion. Results First collected outside its native range in Coos Bay, Oregon, in 2004, C. inflata was subsequently detected 1,000 k"&amp;"m south of its historical distribution by 2008 in San Francisco and Humboldt Bays, California. At times, this large, conspicuous solitary ascidian became locally abundant in San Francisco Bay fouling communities, which showed significant shifts in species"&amp;" composition and relative abundance at invaded sites concomitant with C. inflata's arrival. Main conclusions The recent southward movement of C. inflata runs counter to global warming expectations and may be linked to undetected changes in vessel traffic "&amp;"patterns, rather than natural range expansion. However, an understanding of the one or more processes that would serve to explain the equatorward movement of this cold-water affinity marine species remains elusive.")</f>
        <v>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v>
      </c>
      <c r="C290" s="24" t="str">
        <f>IFERROR(__xludf.DUMMYFUNCTION("""COMPUTED_VALUE"""),"10.1111/ddi.13055")</f>
        <v>10.1111/ddi.13055</v>
      </c>
      <c r="D290" s="24" t="str">
        <f>IFERROR(__xludf.DUMMYFUNCTION("""COMPUTED_VALUE"""),"Keck et al")</f>
        <v>Keck et al</v>
      </c>
      <c r="E290" s="24" t="str">
        <f>IFERROR(__xludf.DUMMYFUNCTION("""COMPUTED_VALUE"""),"WOS:000527070200001")</f>
        <v>WOS:000527070200001</v>
      </c>
      <c r="F290" s="24" t="str">
        <f>IFERROR(__xludf.DUMMYFUNCTION("""COMPUTED_VALUE"""),"[""ELIGIBLE""]")</f>
        <v>["ELIGIBLE"]</v>
      </c>
    </row>
    <row r="291">
      <c r="A291" s="24" t="str">
        <f>IFERROR(__xludf.DUMMYFUNCTION("""COMPUTED_VALUE"""),"Meadow degradation increases spatial turnover rates of the fungal community through both niche selection and dispersal limitation")</f>
        <v>Meadow degradation increases spatial turnover rates of the fungal community through both niche selection and dispersal limitation</v>
      </c>
      <c r="B291" s="24" t="str">
        <f>IFERROR(__xludf.DUMMYFUNCTION("""COMPUTED_VALUE"""),"The alpine meadow ecosystem, as the main ecosystem of the Qinghai-Tibet Plateau, has been heavily degraded over the past several decades due to overgrazing and climate change. Although soil microorganisms play key roles in the stability and succession of "&amp;"grassland ecosystems, their response to grassland degradation has not been investigated at spatial scale. Here, we systematically analyzed the spatial turnover rates of soil prokaryotic and fungal communities in degraded and undegraded meadows through dis"&amp;"tance-decay relationship (DDR) and species area relationship (SAR), as well as the community assembly mechanisms behind them. Although the composition and structure of both fungal and prokaryotic communities showed significant changes between undegraded a"&amp;"nd degraded meadows, steeper spatial turnover rates were only observed in fungi (Degraded Alpine Meadow beta = 0.0142, Undegraded Alpine Meadow beta = 0.0077, P &lt; 0.05). Mantel tests indicated that edaphic variables and vegetation factors showed significa"&amp;"nt correlations to the beta diversity of fungal community only in degraded meadow, suggesting soil and vegetation heterogeneity both contributed to the variation of fungal community in that system. Correspondingly, a novel phylogenetic null model analysis"&amp;" demonstrated that environmental selection was enhanced in the fungal community assembly process during meadow degradation. Interestingly, dispersal limitation was also enhanced for the fungal community in the degraded meadow, and its relative contributio"&amp;"n to other assembly process (i.e. selection and drift) showed a significant linear increase with spatial distance, suggesting that dispersal limitation played a greater role as distance increased. Our findings indicated the spatial scaling of the fungal c"&amp;"ommunity is altered during meadow degradation by both niche selec-tion and dispersal limitation. This study provides a new perspective for the assessment of soil microbial responses to vegetation changes in alpine areas. (c) 2021 Elsevier B.V. All rights "&amp;"reserved.")</f>
        <v>The alpine meadow ecosystem, as the main ecosystem of the Qinghai-Tibet Plateau, has been heavily degraded over the past several decades due to overgrazing and climate change. Although soil microorganisms play key roles in the stability and succession of grassland ecosystems, their response to grassland degradation has not been investigated at spatial scale. Here, we systematically analyzed the spatial turnover rates of soil prokaryotic and fungal communities in degraded and undegraded meadows through distance-decay relationship (DDR) and species area relationship (SAR), as well as the community assembly mechanisms behind them. Although the composition and structure of both fungal and prokaryotic communities showed significant changes between undegraded and degraded meadows, steeper spatial turnover rates were only observed in fungi (Degraded Alpine Meadow beta = 0.0142, Undegraded Alpine Meadow beta = 0.0077, P &lt; 0.05). Mantel tests indicated that edaphic variables and vegetation factors showed significant correlations to the beta diversity of fungal community only in degraded meadow, suggesting soil and vegetation heterogeneity both contributed to the variation of fungal community in that system. Correspondingly, a novel phylogenetic null model analysis demonstrated that environmental selection was enhanced in the fungal community assembly process during meadow degradation. Interestingly, dispersal limitation was also enhanced for the fungal community in the degraded meadow, and its relative contribution to other assembly process (i.e. selection and drift) showed a significant linear increase with spatial distance, suggesting that dispersal limitation played a greater role as distance increased. Our findings indicated the spatial scaling of the fungal community is altered during meadow degradation by both niche selec-tion and dispersal limitation. This study provides a new perspective for the assessment of soil microbial responses to vegetation changes in alpine areas. (c) 2021 Elsevier B.V. All rights reserved.</v>
      </c>
      <c r="C291" s="24" t="str">
        <f>IFERROR(__xludf.DUMMYFUNCTION("""COMPUTED_VALUE"""),"10.1016/j.scitotenv.2021.149362")</f>
        <v>10.1016/j.scitotenv.2021.149362</v>
      </c>
      <c r="D291" s="24" t="str">
        <f>IFERROR(__xludf.DUMMYFUNCTION("""COMPUTED_VALUE"""),"Keck et al")</f>
        <v>Keck et al</v>
      </c>
      <c r="E291" s="24" t="str">
        <f>IFERROR(__xludf.DUMMYFUNCTION("""COMPUTED_VALUE"""),"WOS:000701768400007")</f>
        <v>WOS:000701768400007</v>
      </c>
      <c r="F291" s="24" t="str">
        <f>IFERROR(__xludf.DUMMYFUNCTION("""COMPUTED_VALUE"""),"[""ELIGIBLE""]")</f>
        <v>["ELIGIBLE"]</v>
      </c>
    </row>
    <row r="292">
      <c r="A292" s="24" t="str">
        <f>IFERROR(__xludf.DUMMYFUNCTION("""COMPUTED_VALUE"""),"Marine protected areas increase temporal stability of community structure, but not density or diversity, of tropical seagrass fish communities")</f>
        <v>Marine protected areas increase temporal stability of community structure, but not density or diversity, of tropical seagrass fish communities</v>
      </c>
      <c r="B292" s="24" t="str">
        <f>IFERROR(__xludf.DUMMYFUNCTION("""COMPUTED_VALUE"""),"Marine protected areas (MPAs) have been shown to increase long-term temporal stability of fish communities and enhance ecosystem resilience to anthropogenic disturbance. Yet, the potential ability of MPAs to buffer effects of environmental variability at "&amp;"shorter time scales remains widely unknown. In the tropics, the yearly monsoon cycle is a major natural force affecting marine organisms in tropical regions, and its timing and severity are predicted to change over the coming century, with potentially sev"&amp;"ere effects on marine organisms, ecosystems and ecosystem services. Here, we assessed the ability of MPAs to buffer effects of monsoon seasonality on seagrass-associated fish communities, using a field survey in two MPAs (no-take zones) and two unprotecte"&amp;"d (open-access) sites around Zanzibar (Tanzania). We assessed the temporal stability of fish density and community structure within and outside MPAs during three monsoon seasons in 2014-2015, and investigated several possible mechanisms that could regulat"&amp;"e temporal stability. Our results show that MPAs did not affect fish density and diversity, but that juvenile fish densities were temporally more stable within MPAs. Second, fish community structure was more stable within MPAs for juvenile and adult fish,"&amp;" but not for subadult fish or the total fish community. Third, the observed effects may be due to a combination of direct and indirect (seagrass-mediated) effects of seasonality and, potentially, fluctuating fishing pressure outside MPAs. In summary, thes"&amp;"e MPAs may not have the ability to enhance fish density and diversity and to buffer effects of monsoon seasonality on the whole fish community. However, they may increase the temporal stability of certain groups, such as juvenile fish. Consequently, our r"&amp;"esults question whether MPAs play a general role in the maintenance of biodiversity and ecosystem functioning under changing environmental conditions in tropical seagrass fish communities.")</f>
        <v>Marine protected areas (MPAs) have been shown to increase long-term temporal stability of fish communities and enhance ecosystem resilience to anthropogenic disturbance. Yet, the potential ability of MPAs to buffer effects of environmental variability at shorter time scales remains widely unknown. In the tropics, the yearly monsoon cycle is a major natural force affecting marine organisms in tropical regions, and its timing and severity are predicted to change over the coming century, with potentially severe effects on marine organisms, ecosystems and ecosystem services. Here, we assessed the ability of MPAs to buffer effects of monsoon seasonality on seagrass-associated fish communities, using a field survey in two MPAs (no-take zones) and two unprotected (open-access) sites around Zanzibar (Tanzania). We assessed the temporal stability of fish density and community structure within and outside MPAs during three monsoon seasons in 2014-2015, and investigated several possible mechanisms that could regulate temporal stability. Our results show that MPAs did not affect fish density and diversity, but that juvenile fish densities were temporally more stable within MPAs. Second, fish community structure was more stable within MPAs for juvenile and adult fish, but not for subadult fish or the total fish community. Third, the observed effects may be due to a combination of direct and indirect (seagrass-mediated) effects of seasonality and, potentially, fluctuating fishing pressure outside MPAs. In summary, these MPAs may not have the ability to enhance fish density and diversity and to buffer effects of monsoon seasonality on the whole fish community. However, they may increase the temporal stability of certain groups, such as juvenile fish. Consequently, our results question whether MPAs play a general role in the maintenance of biodiversity and ecosystem functioning under changing environmental conditions in tropical seagrass fish communities.</v>
      </c>
      <c r="C292" s="24" t="str">
        <f>IFERROR(__xludf.DUMMYFUNCTION("""COMPUTED_VALUE"""),"10.1371/journal.pone.0183999")</f>
        <v>10.1371/journal.pone.0183999</v>
      </c>
      <c r="D292" s="24" t="str">
        <f>IFERROR(__xludf.DUMMYFUNCTION("""COMPUTED_VALUE"""),"Keck et al")</f>
        <v>Keck et al</v>
      </c>
      <c r="E292" s="24" t="str">
        <f>IFERROR(__xludf.DUMMYFUNCTION("""COMPUTED_VALUE"""),"WOS:000408693600076")</f>
        <v>WOS:000408693600076</v>
      </c>
      <c r="F292" s="24" t="str">
        <f>IFERROR(__xludf.DUMMYFUNCTION("""COMPUTED_VALUE"""),"[""ELIGIBLE""]")</f>
        <v>["ELIGIBLE"]</v>
      </c>
    </row>
    <row r="293">
      <c r="A293" s="24" t="str">
        <f>IFERROR(__xludf.DUMMYFUNCTION("""COMPUTED_VALUE"""),"Oil palm monoculture induces drastic erosion of an Amazonian forest mammal fauna")</f>
        <v>Oil palm monoculture induces drastic erosion of an Amazonian forest mammal fauna</v>
      </c>
      <c r="B293" s="24" t="str">
        <f>IFERROR(__xludf.DUMMYFUNCTION("""COMPUTED_VALUE"""),"Oil palm monoculture comprises one of the most financially attractive land-use options in tropical forests, but cropland suitability overlaps the distribution of many highly threatened vertebrate species. We investigated how forest mammals respond to a la"&amp;"ndscape mosaic, including mature oil palm plantations and primary forest patches in Eastern Amazonia. Using both line-transect censuses (LTC) and camera-trapping (CT), we quantified the general patterns of mammal community structure and attempted to ident"&amp;"ify both species life-history traits and the environmental and spatial covariates that govern species intolerance to oil palm monoculture. Considering mammal species richness, abundance, and species composition, oil palm plantations were consistently depa"&amp;"uperate compared to the adjacent primary forest, but responses differed between functional groups. The degree of forest habitat dependency was a leading trait, determining compositional dissimilarities across habitats. Considering both the LTC and CT data"&amp;", distance from the forest-plantation interface had a significant effect on mammal assemblages within each habitat type. Approximately 87% of all species detected within oil palm were never farther than 1300 m from the forest edge. Our study clearly reinf"&amp;"orces the notion that conventional oil palm plantations are extremely hostile to native tropical forest biodiversity, which does not bode well given prospects for oil palm expansion in both aging and new Amazonian deforestation frontiers.")</f>
        <v>Oil palm monoculture comprises one of the most financially attractive land-use options in tropical forests, but cropland suitability overlaps the distribution of many highly threatened vertebrate species. We investigated how forest mammals respond to a landscape mosaic, including mature oil palm plantations and primary forest patches in Eastern Amazonia. Using both line-transect censuses (LTC) and camera-trapping (CT), we quantified the general patterns of mammal community structure and attempted to identify both species life-history traits and the environmental and spatial covariates that govern species intolerance to oil palm monoculture. Considering mammal species richness, abundance, and species composition, oil palm plantations were consistently depauperate compared to the adjacent primary forest, but responses differed between functional groups. The degree of forest habitat dependency was a leading trait, determining compositional dissimilarities across habitats. Considering both the LTC and CT data, distance from the forest-plantation interface had a significant effect on mammal assemblages within each habitat type. Approximately 87% of all species detected within oil palm were never farther than 1300 m from the forest edge. Our study clearly reinforces the notion that conventional oil palm plantations are extremely hostile to native tropical forest biodiversity, which does not bode well given prospects for oil palm expansion in both aging and new Amazonian deforestation frontiers.</v>
      </c>
      <c r="C293" s="24" t="str">
        <f>IFERROR(__xludf.DUMMYFUNCTION("""COMPUTED_VALUE"""),"10.1371/journal.pone.0187650")</f>
        <v>10.1371/journal.pone.0187650</v>
      </c>
      <c r="D293" s="24" t="str">
        <f>IFERROR(__xludf.DUMMYFUNCTION("""COMPUTED_VALUE"""),"Keck et al")</f>
        <v>Keck et al</v>
      </c>
      <c r="E293" s="24" t="str">
        <f>IFERROR(__xludf.DUMMYFUNCTION("""COMPUTED_VALUE"""),"WOS:000414659600054")</f>
        <v>WOS:000414659600054</v>
      </c>
      <c r="F293" s="24" t="str">
        <f>IFERROR(__xludf.DUMMYFUNCTION("""COMPUTED_VALUE"""),"[""ELIGIBLE""]")</f>
        <v>["ELIGIBLE"]</v>
      </c>
    </row>
    <row r="294">
      <c r="A294" s="24" t="str">
        <f>IFERROR(__xludf.DUMMYFUNCTION("""COMPUTED_VALUE"""),"New climatic targets against global warming: will the maximum 2 °C temperature rise affect estuarine benthic communities?")</f>
        <v>New climatic targets against global warming: will the maximum 2 °C temperature rise affect estuarine benthic communities?</v>
      </c>
      <c r="B294" s="24" t="str">
        <f>IFERROR(__xludf.DUMMYFUNCTION("""COMPUTED_VALUE"""),"The Paris Agreement signed by 195 countries in 2015 sets out a global action plan to avoid dangerous climate change by limiting global warming to remain below 2 degrees C. Under that premise, in situ experiments were run to test the effects of 2 degrees C"&amp;" temperature increase on the benthic communities in a seagrass bed and adjacent bare sediment, from a temperate European estuary. Temperature was artificially increased in situ and diversity and ecosystem functioning components measured after 10 and 30 da"&amp;"ys. Despite some warmness effects on the analysed components, significant impacts were not verified on macro and microfauna structure, bioturbation or in the fluxes of nutrients. The effect of site/ habitat seemed more important than the effects of the wa"&amp;"rmness, with the seagrass habitat providing more homogenous results and being less impacted by warmness than the adjacent bare sediment. The results reinforce that most ecological responses to global changes are context dependent and that ecosystem stabil"&amp;"ity depends not only on biological diversity but also on the availability of different habitats and niches, highlighting the role of coastal wetlands. In the context of the Paris Agreement it seems that estuarine benthic ecosystems will be able to cope if"&amp;" global warming remains below 2 degrees C.")</f>
        <v>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v>
      </c>
      <c r="C294" s="24" t="str">
        <f>IFERROR(__xludf.DUMMYFUNCTION("""COMPUTED_VALUE"""),"10.1038/s41598-017-04309-0")</f>
        <v>10.1038/s41598-017-04309-0</v>
      </c>
      <c r="D294" s="24" t="str">
        <f>IFERROR(__xludf.DUMMYFUNCTION("""COMPUTED_VALUE"""),"Keck et al")</f>
        <v>Keck et al</v>
      </c>
      <c r="E294" s="24" t="str">
        <f>IFERROR(__xludf.DUMMYFUNCTION("""COMPUTED_VALUE"""),"WOS:000403643900071")</f>
        <v>WOS:000403643900071</v>
      </c>
      <c r="F294" s="24" t="str">
        <f>IFERROR(__xludf.DUMMYFUNCTION("""COMPUTED_VALUE"""),"[""ELIGIBLE""]")</f>
        <v>["ELIGIBLE"]</v>
      </c>
    </row>
    <row r="295">
      <c r="A295" s="24" t="str">
        <f>IFERROR(__xludf.DUMMYFUNCTION("""COMPUTED_VALUE"""),"Long-term dynamics in microbial eukaryotes communities: a palaeolimnological view based on sedimentary DNA")</f>
        <v>Long-term dynamics in microbial eukaryotes communities: a palaeolimnological view based on sedimentary DNA</v>
      </c>
      <c r="B295" s="24" t="str">
        <f>IFERROR(__xludf.DUMMYFUNCTION("""COMPUTED_VALUE"""),"Assessing the extent to which changes in lacustrine biodiversity are affected by anthropogenic or climatic forces requires extensive palaeolimnological data. We used high-throughput sequencing to generate time-series data encompassing over 2200 years of m"&amp;"icrobial eukaryotes (protists and Fungi) diversity changes from the sedimentary DNA record of two lakes (Lake Bourget in French Alps and Lake Igaliku in Greenland). From 176 samples, we sequenced a large diversity of microbial eukaryotes, with a total 16 "&amp;"386 operational taxonomic units distributed within 50 phylogenetic groups. Thus, microbial groups, such as Chlorophyta, Dinophyceae, Haptophyceae and Ciliophora, that were not previously considered in lacustrine sediment record analyses appeared to be pot"&amp;"ential biological markers of trophic status changes. Our data suggest that shifts in relative abundance of extant species, including shifts between rare and abundant taxa, drive ecosystem responses to local and global environmental changes. Community stru"&amp;"cture shift events were concomitant with major climate variations (more particularly in Lake Igaliku). However, this study shows that the impacts of climatic fluctuations may be overpassed by the high-magnitude eutrophication impacts, as observed in the e"&amp;"utrophicated Lake Bourget. Overall, our data show that DNA preserved in sediment constitutes a precious archive of information on past biodiversity changes.")</f>
        <v>Assessing the extent to which changes in lacustrine biodiversity are affected by anthropogenic or climatic forces requires extensive palaeolimnological data. We used high-throughput sequencing to generate time-series data encompassing over 2200 years of microbial eukaryotes (protists and Fungi) diversity changes from the sedimentary DNA record of two lakes (Lake Bourget in French Alps and Lake Igaliku in Greenland). From 176 samples, we sequenced a large diversity of microbial eukaryotes, with a total 16 386 operational taxonomic units distributed within 50 phylogenetic groups. Thus, microbial groups, such as Chlorophyta, Dinophyceae, Haptophyceae and Ciliophora, that were not previously considered in lacustrine sediment record analyses appeared to be potential biological markers of trophic status changes. Our data suggest that shifts in relative abundance of extant species, including shifts between rare and abundant taxa, drive ecosystem responses to local and global environmental changes. Community structure shift events were concomitant with major climate variations (more particularly in Lake Igaliku). However, this study shows that the impacts of climatic fluctuations may be overpassed by the high-magnitude eutrophication impacts, as observed in the eutrophicated Lake Bourget. Overall, our data show that DNA preserved in sediment constitutes a precious archive of information on past biodiversity changes.</v>
      </c>
      <c r="C295" s="24" t="str">
        <f>IFERROR(__xludf.DUMMYFUNCTION("""COMPUTED_VALUE"""),"10.1111/mec.13893")</f>
        <v>10.1111/mec.13893</v>
      </c>
      <c r="D295" s="24" t="str">
        <f>IFERROR(__xludf.DUMMYFUNCTION("""COMPUTED_VALUE"""),"Keck et al")</f>
        <v>Keck et al</v>
      </c>
      <c r="E295" s="24" t="str">
        <f>IFERROR(__xludf.DUMMYFUNCTION("""COMPUTED_VALUE"""),"WOS:000389133700008")</f>
        <v>WOS:000389133700008</v>
      </c>
      <c r="F295" s="24" t="str">
        <f>IFERROR(__xludf.DUMMYFUNCTION("""COMPUTED_VALUE"""),"[""ELIGIBLE""]")</f>
        <v>["ELIGIBLE"]</v>
      </c>
    </row>
    <row r="296">
      <c r="A296" s="24" t="str">
        <f>IFERROR(__xludf.DUMMYFUNCTION("""COMPUTED_VALUE"""),"Variation in the structure of subtidal landscapes in the NW Mediterranean Sea")</f>
        <v>Variation in the structure of subtidal landscapes in the NW Mediterranean Sea</v>
      </c>
      <c r="B296" s="24" t="str">
        <f>IFERROR(__xludf.DUMMYFUNCTION("""COMPUTED_VALUE"""),"Compounded effects of climate change and local human activities are threatening marine biodiversity worldwide. At a regional scale (10s to 100s km), comparisons among areas characterized by the prevalence of different human activities provide an insight i"&amp;"nto the effects of anthropogenic disturbances at multiple levels of ecological organization (i.e. from landscapes to assemblages). At the landscape scale (1000s m), we hypothesized that patchiness in habitat distribution and proportion of degraded assembl"&amp;"ages would increase with increasing levels of disturbance, as a result of the decline of habitat-forming species. In addition, we hypothesized that prevailing human influences would affect the structure and variability of rocky benthic assemblages at smal"&amp;"ler spatial scales (10s cm to 10s m). An extensive survey encompassing areas subjected to different human influences (i.e. from urbanized to protected areas) was carried out along the coasts of Tuscany (NW Mediterranean Sea). Seagrass beds and macroalgal "&amp;"canopy stands were the dominant habitats in relatively pristine areas, while macroalgal turfs and dead rhizomes of Posidonia oceanica were the most extended habitats in urbanized areas. In general, habitat fragmentation did not vary among areas subjected "&amp;"to different human influences. At a smaller scale (10s cm to 10s m), urbanization favored dominance by opportunistic species and promoted biotic homogenization. Our study shows that regional variations in the composition of landscapes and assemblages can "&amp;"be predicted on the basis of prevailing human activities. Our results also suggest that variations in landscape composition could be an effective descriptor of the effects of multiple human stressors in marine environments.")</f>
        <v>Compounded effects of climate change and local human activities are threatening marine biodiversity worldwide. At a regional scale (10s to 100s km), comparisons among areas characterized by the prevalence of different human activities provide an insight into the effects of anthropogenic disturbances at multiple levels of ecological organization (i.e. from landscapes to assemblages). At the landscape scale (1000s m), we hypothesized that patchiness in habitat distribution and proportion of degraded assemblages would increase with increasing levels of disturbance, as a result of the decline of habitat-forming species. In addition, we hypothesized that prevailing human influences would affect the structure and variability of rocky benthic assemblages at smaller spatial scales (10s cm to 10s m). An extensive survey encompassing areas subjected to different human influences (i.e. from urbanized to protected areas) was carried out along the coasts of Tuscany (NW Mediterranean Sea). Seagrass beds and macroalgal canopy stands were the dominant habitats in relatively pristine areas, while macroalgal turfs and dead rhizomes of Posidonia oceanica were the most extended habitats in urbanized areas. In general, habitat fragmentation did not vary among areas subjected to different human influences. At a smaller scale (10s cm to 10s m), urbanization favored dominance by opportunistic species and promoted biotic homogenization. Our study shows that regional variations in the composition of landscapes and assemblages can be predicted on the basis of prevailing human activities. Our results also suggest that variations in landscape composition could be an effective descriptor of the effects of multiple human stressors in marine environments.</v>
      </c>
      <c r="C296" s="24" t="str">
        <f>IFERROR(__xludf.DUMMYFUNCTION("""COMPUTED_VALUE"""),"10.3354/meps09703")</f>
        <v>10.3354/meps09703</v>
      </c>
      <c r="D296" s="24" t="str">
        <f>IFERROR(__xludf.DUMMYFUNCTION("""COMPUTED_VALUE"""),"Keck et al")</f>
        <v>Keck et al</v>
      </c>
      <c r="E296" s="24" t="str">
        <f>IFERROR(__xludf.DUMMYFUNCTION("""COMPUTED_VALUE"""),"WOS:000306755000004")</f>
        <v>WOS:000306755000004</v>
      </c>
      <c r="F296" s="24" t="str">
        <f>IFERROR(__xludf.DUMMYFUNCTION("""COMPUTED_VALUE"""),"[""ELIGIBLE""]")</f>
        <v>["ELIGIBLE"]</v>
      </c>
    </row>
    <row r="297">
      <c r="A297" s="24" t="str">
        <f>IFERROR(__xludf.DUMMYFUNCTION("""COMPUTED_VALUE"""),"Extreme Levels of Ocean Acidification Restructure the Plankton Community and Biogeochemistry of a Temperate Coastal Ecosystem: A Mesocosm Study")</f>
        <v>Extreme Levels of Ocean Acidification Restructure the Plankton Community and Biogeochemistry of a Temperate Coastal Ecosystem: A Mesocosm Study</v>
      </c>
      <c r="B297" s="24" t="str">
        <f>IFERROR(__xludf.DUMMYFUNCTION("""COMPUTED_VALUE"""),"The oceans' uptake of anthropogenic carbon dioxide (CO2) decreases seawater pH and alters the inorganic carbon speciation - summarized in the term ocean acidification (OA). Already today, coastal regions experience episodic pH events during which surface "&amp;"layer pH drops below values projected for the surface ocean at the end of the century. Future OA is expected to further enhance the intensity of these coastal extreme pH events. To evaluate the influence of such episodic OA events in coastal regions, we d"&amp;"eployed eight pelagic mesocosms for 53 days in Raunefjord, Norway, and enclosed 56-61 m(3) of local seawater containing a natural plankton community under nutrient limited post-bloom conditions. Four mesocosms were enriched with CO2 to simulate extreme pC"&amp;"O2 levels of 1978 - 2069 mu atm while the other four served as untreated controls. Here, we present results from multivariate analyses on OA-induced changes in the phyto-, micro-, and mesozooplankton community structure. Pronounced differences in the plan"&amp;"kton community emerged early in the experiment, and were amplified by enhanced top-down control throughout the study period. The plankton groups responding most profoundly to high CO2 conditions were cyanobacteria (negative), chlorophyceae (negative), aut"&amp;"oand heterotrophic microzooplankton (negative), and a variety of mesozooplanktonic taxa, including copepoda (mixed), appendicularia (positive), hydrozoa (positive), fish larvae (positive), and gastropoda (negative). The restructuring of the community coin"&amp;"cided with significant changes in the concentration and elemental stoichiometry of particulate organic matter. Results imply that extreme CO2 events can lead to a substantial reorganization of the planktonic food web, affecting multiple trophic levels fro"&amp;"m phytoplankton to primary and secondary consumers.")</f>
        <v>The oceans' uptake of anthropogenic carbon dioxide (CO2) decreases seawater pH and alters the inorganic carbon speciation - summarized in the term ocean acidification (OA). Already today, coastal regions experience episodic pH events during which surface layer pH drops below values projected for the surface ocean at the end of the century. Future OA is expected to further enhance the intensity of these coastal extreme pH events. To evaluate the influence of such episodic OA events in coastal regions, we deployed eight pelagic mesocosms for 53 days in Raunefjord, Norway, and enclosed 56-61 m(3) of local seawater containing a natural plankton community under nutrient limited post-bloom conditions. Four mesocosms were enriched with CO2 to simulate extreme pCO2 levels of 1978 - 2069 mu atm while the other four served as untreated controls. Here, we present results from multivariate analyses on OA-induced changes in the phyto-, micro-, and mesozooplankton community structure. Pronounced differences in the plankton community emerged early in the experiment, and were amplified by enhanced top-down control throughout the study period. The plankton groups responding most profoundly to high CO2 conditions were cyanobacteria (negative), chlorophyceae (negative), autoand heterotrophic microzooplankton (negative), and a variety of mesozooplanktonic taxa, including copepoda (mixed), appendicularia (positive), hydrozoa (positive), fish larvae (positive), and gastropoda (negative). The restructuring of the community coincided with significant changes in the concentration and elemental stoichiometry of particulate organic matter. Results imply that extreme CO2 events can lead to a substantial reorganization of the planktonic food web, affecting multiple trophic levels from phytoplankton to primary and secondary consumers.</v>
      </c>
      <c r="C297" s="24" t="str">
        <f>IFERROR(__xludf.DUMMYFUNCTION("""COMPUTED_VALUE"""),"10.3389/fmars.2020.611157")</f>
        <v>10.3389/fmars.2020.611157</v>
      </c>
      <c r="D297" s="24" t="str">
        <f>IFERROR(__xludf.DUMMYFUNCTION("""COMPUTED_VALUE"""),"Keck et al")</f>
        <v>Keck et al</v>
      </c>
      <c r="E297" s="24" t="str">
        <f>IFERROR(__xludf.DUMMYFUNCTION("""COMPUTED_VALUE"""),"WOS:000613331600001")</f>
        <v>WOS:000613331600001</v>
      </c>
      <c r="F297" s="24" t="str">
        <f>IFERROR(__xludf.DUMMYFUNCTION("""COMPUTED_VALUE"""),"[""ELIGIBLE""]")</f>
        <v>["ELIGIBLE"]</v>
      </c>
    </row>
    <row r="298">
      <c r="A298" s="24" t="str">
        <f>IFERROR(__xludf.DUMMYFUNCTION("""COMPUTED_VALUE"""),"Macroinvertebrate functional feeding group alterations in response to habitat degradation of headwater Austral streams")</f>
        <v>Macroinvertebrate functional feeding group alterations in response to habitat degradation of headwater Austral streams</v>
      </c>
      <c r="B298" s="24" t="str">
        <f>IFERROR(__xludf.DUMMYFUNCTION("""COMPUTED_VALUE"""),"Protecting the structural and functional integrity of lotic ecosystems is becoming increasingly important as many ecological systems face escalating pressures from human population growth and environmental impacts. Knowledge on the functional composition "&amp;"of macroinvertebrates in austral temperate streams is generally lacking hindering the design and implementation of water management and restoration goals. Therefore, this study examined the effects of urban land-use activities on the benthic macroinverteb"&amp;"rate functional feeding guild structure among different stream orders in an austral river system (Bloukrans River) in the Eastern Cape Province of South Africa. Water quality and macroinvertebrate community data were collected across two seasons from 18 s"&amp;"ites in two different stream order categories (i.e. 1, 2 + 3), following standard methods. We separated macroinvertebrates into functional feeding groups (ITGs), which we then used to assess the effects of riparian condition on FIG organization. Linear mi"&amp;"xed effects model (LMM) results demonstrated that total dissolved solids (TDS), canopy cover, phosphate and channel width were the key variables that described the major sources of variation in macroinvertebrate FFGs. Based on FFG proportions, collector-g"&amp;"atherers were the most abundant in the Bloukrans River and represented 713% of the macroinvertebrate assemblages. The FFG ratios indicated that all the eighteen sites were strongly heterotrophic (i.e. streams received additional sources of energy from lea"&amp;"f litter and other organic matter), showed below expected linkage with riparian input and stable substrates were limited. The FFG ratios offered some insights into the overall functioning of Bloukrans River system. Our results highlight the importance of "&amp;"including macroinvertebrate functional diversity as a complementary approach to assess the ecological integrity in management and restoration plans of river systems. (C) 2019 Elsevier B.V. All rights reserved.")</f>
        <v>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v>
      </c>
      <c r="C298" s="24" t="str">
        <f>IFERROR(__xludf.DUMMYFUNCTION("""COMPUTED_VALUE"""),"10.1016/j.scitotenv.2019.133910")</f>
        <v>10.1016/j.scitotenv.2019.133910</v>
      </c>
      <c r="D298" s="24" t="str">
        <f>IFERROR(__xludf.DUMMYFUNCTION("""COMPUTED_VALUE"""),"Keck et al")</f>
        <v>Keck et al</v>
      </c>
      <c r="E298" s="24" t="str">
        <f>IFERROR(__xludf.DUMMYFUNCTION("""COMPUTED_VALUE"""),"WOS:000496802200108")</f>
        <v>WOS:000496802200108</v>
      </c>
      <c r="F298" s="24" t="str">
        <f>IFERROR(__xludf.DUMMYFUNCTION("""COMPUTED_VALUE"""),"[""ELIGIBLE""]")</f>
        <v>["ELIGIBLE"]</v>
      </c>
    </row>
    <row r="299">
      <c r="A299" s="24" t="str">
        <f>IFERROR(__xludf.DUMMYFUNCTION("""COMPUTED_VALUE"""),"Changes in biodiversity and environmental stressors influence community structure of an experimental eelgrass Zostera marina system")</f>
        <v>Changes in biodiversity and environmental stressors influence community structure of an experimental eelgrass Zostera marina system</v>
      </c>
      <c r="B299" s="24" t="str">
        <f>IFERROR(__xludf.DUMMYFUNCTION("""COMPUTED_VALUE"""),"Changes in biodiversity can result in decreased ecosystem functioning and loss of ecosystem services, but altered biodiversity is only one of many stressors impacting ecosystems. In many estuaries, environmental stressors such as warming water temperature"&amp;"s and eutrophication are increasing and negatively impacting biological communities, particularly seagrasses such as the important habitat-forming species Zostera marina (eelgrass). These negative impacts may change the diversity, composition, and functio"&amp;"ning of this important ecosystem, but the interactions of stressors with changes in biodiversity are poorly understood. We manipulated eelgrass communities in a factorial experiment to test how changes in crustacean grazer diversity, warmer water temperat"&amp;"ures, and nutrient enrichment interact to affect ecosystem biomass, stability, and community composition. We found that the presence and richness of crustacean grazers had a larger effect on grazer, algal, and sessile invertebrate biomass than experimenta"&amp;"l warming or nutrient enrichment. Diverse grazer assemblages stabilized epiphytic algal biomass in the face of stressors, and counteracted the promotion of epiphytic microalgae by stressors. Nutrient enrichment and warming both promoted epiphytic microalg"&amp;"ae, while reducing macroalgae and eelgrass. A more diverse grazer assemblage stabilized epiphytic algal biomass, but we did not detect interactions among environmental stressors and grazer diversity. These results emphasize that loss of herbivore diversit"&amp;"y can exacerbate the impacts of environmental stressors on grazing, relative dominance of microalgae versus macrophytes, producer biomass, and stability.")</f>
        <v>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v>
      </c>
      <c r="C299" s="24" t="str">
        <f>IFERROR(__xludf.DUMMYFUNCTION("""COMPUTED_VALUE"""),"10.3354/meps10006")</f>
        <v>10.3354/meps10006</v>
      </c>
      <c r="D299" s="24" t="str">
        <f>IFERROR(__xludf.DUMMYFUNCTION("""COMPUTED_VALUE"""),"Keck et al")</f>
        <v>Keck et al</v>
      </c>
      <c r="E299" s="24" t="str">
        <f>IFERROR(__xludf.DUMMYFUNCTION("""COMPUTED_VALUE"""),"WOS:000311968200004")</f>
        <v>WOS:000311968200004</v>
      </c>
      <c r="F299" s="24" t="str">
        <f>IFERROR(__xludf.DUMMYFUNCTION("""COMPUTED_VALUE"""),"[""ELIGIBLE""]")</f>
        <v>["ELIGIBLE"]</v>
      </c>
    </row>
    <row r="300">
      <c r="A300" s="24" t="str">
        <f>IFERROR(__xludf.DUMMYFUNCTION("""COMPUTED_VALUE"""),"From exotic to invasive in record time: The extreme impact of Rugulopteryx okamurae (Dictyotales, Ochrophyta) in the strait of Gibraltar")</f>
        <v>From exotic to invasive in record time: The extreme impact of Rugulopteryx okamurae (Dictyotales, Ochrophyta) in the strait of Gibraltar</v>
      </c>
      <c r="B300" s="24" t="str">
        <f>IFERROR(__xludf.DUMMYFUNCTION("""COMPUTED_VALUE"""),"In 2015, the exotic seaweed Rugulopteryx okamurae was detected for the first time on the south side of the Strait of Gibraltar, in Ceuta (northern Africa). This highly sensitive area is ideal for monitoring local environmental impacts arising from global "&amp;"warming, as well as the intrusion of alien species. Within one year, R. okamurae became an invasive species with an overflowing competitive capacity and growth. In 2015, more than 5000 tons of upstream biomass was extracted from beaches in Ceuta, and it h"&amp;"as since spread irrepressibly on rocky illuminated bottoms of the subtidal zone to a maximum observed depth of 40 m. The highest coverage (80-90%) of R. okamurae in Ceuta was observed between 10 and 20 m depth in illuminated habitats, where it was having "&amp;"a severe impact on local benthic communities which were displaced. Between 5 and 30 m depth, coverage of R. okamurae exceeded 70% over a wide variety of substrate types. A submarine sentinel sessile bioindicators permanent quadrats (SBPQ) station installe"&amp;"d in 2013 on poorly lit, vertical, and shady substrate in the El Estrecho Natural Park, on the north side of the Strait of Gibraltar (Tarifa), detected the presence of R. okamurae in July 2016 and recorded the subsequent increase in coverage. These findin"&amp;"gs reveal the useful role of this type of monitoring SBPQ sentinel station for the detection of impacts and exotic species in marine protected areas, and for the monitoring of global warming based on indicator species. We conclude that the catastrophic bl"&amp;"oom of R. okamurae exhibited an initial geographical expansion (2015-2017) to the northern coastal area of the Strait of Gibraltar (Tarifa-Gibraltar) and subsequent extension in the south of the Iberian Peninsula, towards the Atlantic coast (2018) and the"&amp;" Mediterranean coast (2019). This bloom could have been associated with the temperature peak in July 2015 and was thus possibly linked to global warming. (C) 2019 Elsevier B.V. All rights reserved.")</f>
        <v>In 2015, the exotic seaweed Rugulopteryx okamurae was detected for the first time on the south side of the Strait of Gibraltar, in Ceuta (northern Africa). This highly sensitive area is ideal for monitoring local environmental impacts arising from global warming, as well as the intrusion of alien species. Within one year, R. okamurae became an invasive species with an overflowing competitive capacity and growth. In 2015, more than 5000 tons of upstream biomass was extracted from beaches in Ceuta, and it has since spread irrepressibly on rocky illuminated bottoms of the subtidal zone to a maximum observed depth of 40 m. The highest coverage (80-90%) of R. okamurae in Ceuta was observed between 10 and 20 m depth in illuminated habitats, where it was having a severe impact on local benthic communities which were displaced. Between 5 and 30 m depth, coverage of R. okamurae exceeded 70% over a wide variety of substrate types. A submarine sentinel sessile bioindicators permanent quadrats (SBPQ) station installed in 2013 on poorly lit, vertical, and shady substrate in the El Estrecho Natural Park, on the north side of the Strait of Gibraltar (Tarifa), detected the presence of R. okamurae in July 2016 and recorded the subsequent increase in coverage. These findings reveal the useful role of this type of monitoring SBPQ sentinel station for the detection of impacts and exotic species in marine protected areas, and for the monitoring of global warming based on indicator species. We conclude that the catastrophic bloom of R. okamurae exhibited an initial geographical expansion (2015-2017) to the northern coastal area of the Strait of Gibraltar (Tarifa-Gibraltar) and subsequent extension in the south of the Iberian Peninsula, towards the Atlantic coast (2018) and the Mediterranean coast (2019). This bloom could have been associated with the temperature peak in July 2015 and was thus possibly linked to global warming. (C) 2019 Elsevier B.V. All rights reserved.</v>
      </c>
      <c r="C300" s="24" t="str">
        <f>IFERROR(__xludf.DUMMYFUNCTION("""COMPUTED_VALUE"""),"10.1016/j.scitotenv.2019.135408")</f>
        <v>10.1016/j.scitotenv.2019.135408</v>
      </c>
      <c r="D300" s="24" t="str">
        <f>IFERROR(__xludf.DUMMYFUNCTION("""COMPUTED_VALUE"""),"Keck et al")</f>
        <v>Keck et al</v>
      </c>
      <c r="E300" s="24" t="str">
        <f>IFERROR(__xludf.DUMMYFUNCTION("""COMPUTED_VALUE"""),"WOS:000504672800064")</f>
        <v>WOS:000504672800064</v>
      </c>
      <c r="F300" s="24" t="str">
        <f>IFERROR(__xludf.DUMMYFUNCTION("""COMPUTED_VALUE"""),"[""ELIGIBLE""]")</f>
        <v>["ELIGIBLE"]</v>
      </c>
    </row>
    <row r="301">
      <c r="A301" s="24" t="str">
        <f>IFERROR(__xludf.DUMMYFUNCTION("""COMPUTED_VALUE"""),"Downstream impacts of dams: shifts in benthic invertivorous fish assemblages")</f>
        <v>Downstream impacts of dams: shifts in benthic invertivorous fish assemblages</v>
      </c>
      <c r="B301" s="24" t="str">
        <f>IFERROR(__xludf.DUMMYFUNCTION("""COMPUTED_VALUE"""),"Impoundments alter connectivity, sediment transport and water discharge in rivers and floodplains, affecting recruitment, habitat and resource availability for fish including benthic invertivorous fish, which represent an important link between primary pr"&amp;"oducers and higher trophic levels in tropical aquatic ecosystems. We investigated long-term changes to water regime, water quality, and invertivorous fish assemblages pre and post impoundment in three rivers downstream of Porto Primavera Reservoir in sout"&amp;"h Brazil: Parana, Baia and Ivinhema rivers. Impacts were distinct in the Parana River, which is fully obstructed by the dam, less evident in the Baia River which is partially obstructed by the dam, but absent in the unimpounded Ivinhema River. Changes in "&amp;"water regime were reflected mainly as changes in water-level fluctuation with little effect on timing. Water transparency increased in the Parana River post impoundment but did not change in the Baia and Ivinhema rivers. Changes in fish assemblages includ"&amp;"ed a decrease in benthic invertivorous fish in the Parana River and a shift in invertivorous fish assemblage structure in the Baia and Parana rivers but not in the unimpounded Ivinhema River. Changes in water regime and water transparency, caused by impou"&amp;"ndment, directly or indirectly impacted invertivorous fish assemblages. Alterations of fish assemblages following environmental changes have consequences over the entire ecosystem, including a potential decrease in the diversity of mechanisms for energy f"&amp;"low. We suggest that keeping existing unimpounded tributaries free of dams, engineering artificial floods, and intensive management of fish habitat within the floodplain may preserve native fish assemblages and help maintain functionality and ecosystem se"&amp;"rvices in highly impounded rivers.")</f>
        <v>Impoundments alter connectivity, sediment transport and water discharge in rivers and floodplains, affecting recruitment, habitat and resource availability for fish including benthic invertivorous fish, which represent an important link between primary producers and higher trophic levels in tropical aquatic ecosystems. We investigated long-term changes to water regime, water quality, and invertivorous fish assemblages pre and post impoundment in three rivers downstream of Porto Primavera Reservoir in south Brazil: Parana, Baia and Ivinhema rivers. Impacts were distinct in the Parana River, which is fully obstructed by the dam, less evident in the Baia River which is partially obstructed by the dam, but absent in the unimpounded Ivinhema River. Changes in water regime were reflected mainly as changes in water-level fluctuation with little effect on timing. Water transparency increased in the Parana River post impoundment but did not change in the Baia and Ivinhema rivers. Changes in fish assemblages included a decrease in benthic invertivorous fish in the Parana River and a shift in invertivorous fish assemblage structure in the Baia and Parana rivers but not in the unimpounded Ivinhema River. Changes in water regime and water transparency, caused by impoundment, directly or indirectly impacted invertivorous fish assemblages. Alterations of fish assemblages following environmental changes have consequences over the entire ecosystem, including a potential decrease in the diversity of mechanisms for energy flow. We suggest that keeping existing unimpounded tributaries free of dams, engineering artificial floods, and intensive management of fish habitat within the floodplain may preserve native fish assemblages and help maintain functionality and ecosystem services in highly impounded rivers.</v>
      </c>
      <c r="C301" s="24" t="str">
        <f>IFERROR(__xludf.DUMMYFUNCTION("""COMPUTED_VALUE"""),"10.1007/s00027-018-0579-y")</f>
        <v>10.1007/s00027-018-0579-y</v>
      </c>
      <c r="D301" s="24" t="str">
        <f>IFERROR(__xludf.DUMMYFUNCTION("""COMPUTED_VALUE"""),"Keck et al")</f>
        <v>Keck et al</v>
      </c>
      <c r="E301" s="24" t="str">
        <f>IFERROR(__xludf.DUMMYFUNCTION("""COMPUTED_VALUE"""),"WOS:000435456200003")</f>
        <v>WOS:000435456200003</v>
      </c>
      <c r="F301" s="24" t="str">
        <f>IFERROR(__xludf.DUMMYFUNCTION("""COMPUTED_VALUE"""),"[""ELIGIBLE""]")</f>
        <v>["ELIGIBLE"]</v>
      </c>
    </row>
    <row r="302">
      <c r="A302" s="24" t="str">
        <f>IFERROR(__xludf.DUMMYFUNCTION("""COMPUTED_VALUE"""),"Effects of sub-seabed CO2 leakage: Short- and medium-term responses of benthic macrofaunal assemblages")</f>
        <v>Effects of sub-seabed CO2 leakage: Short- and medium-term responses of benthic macrofaunal assemblages</v>
      </c>
      <c r="B302" s="24" t="str">
        <f>IFERROR(__xludf.DUMMYFUNCTION("""COMPUTED_VALUE"""),"The continued rise in atmospheric carbon dioxide (CO2) levels is driving climate change and temperature shifts at a global scale. CO2 Capture and Storage (CCS) technologies have been suggested as a feasible option for reducing CO2 emissions and mitigating"&amp;" their effects. However, before CCS can be employed at an industrial scale, any environmental risks associated with this activity should be identified and quantified. Significant leakage of CO2 from CCS reservoirs and pipelines is considered to be unlikel"&amp;"y, however direct and/or indirect effects of CO2 leakage on marine life and ecosystem functioning must be assessed, with particular consideration given to spatial (e.g. distance from the source) and temporal (e.g. duration) scales at which leakage impacts"&amp;" could occur. In the current mesocosm experiment we tested the potential effects of CO2 leakage on macrobenthic assemblages by exposing infaunal sediment communities to different levels of CO2 concentration (400, 1000, 2000, 10,000 and 20,000 ppm CO2), si"&amp;"mulating a gradient of distance from a hypothetic leakage, over short-term (a few weeks) and medium-term (several months). A significant impact on community structure, abundance and species richness of macrofauna was observed in the short-term exposure. I"&amp;"ndividual taxa showed idiosyncratic responses to acidification. We conclude that the main impact of CO2 leakage on macrofaunal assemblages occurs almost exclusively at the higher CO2 concentration and over short time periods, tending to fade and disappear"&amp;" at increasing distance and exposure time. Although under the cautious perspective required by the possible context-dependency of the present findings, this study contributes to the cost-benefit analysis (environmental risk versus the achievement of the i"&amp;"ntended objectives) of CCS strategies.")</f>
        <v>The continued rise in atmospheric carbon dioxide (CO2) levels is driving climate change and temperature shifts at a global scale. CO2 Capture and Storage (CCS) technologies have been suggested as a feasible option for reducing CO2 emissions and mitigating their effects. However, before CCS can be employed at an industrial scale, any environmental risks associated with this activity should be identified and quantified. Significant leakage of CO2 from CCS reservoirs and pipelines is considered to be unlikely, however direct and/or indirect effects of CO2 leakage on marine life and ecosystem functioning must be assessed, with particular consideration given to spatial (e.g. distance from the source) and temporal (e.g. duration) scales at which leakage impacts could occur. In the current mesocosm experiment we tested the potential effects of CO2 leakage on macrobenthic assemblages by exposing infaunal sediment communities to different levels of CO2 concentration (400, 1000, 2000, 10,000 and 20,000 ppm CO2), simulating a gradient of distance from a hypothetic leakage, over short-term (a few weeks) and medium-term (several months). A significant impact on community structure, abundance and species richness of macrofauna was observed in the short-term exposure. Individual taxa showed idiosyncratic responses to acidification. We conclude that the main impact of CO2 leakage on macrofaunal assemblages occurs almost exclusively at the higher CO2 concentration and over short time periods, tending to fade and disappear at increasing distance and exposure time. Although under the cautious perspective required by the possible context-dependency of the present findings, this study contributes to the cost-benefit analysis (environmental risk versus the achievement of the intended objectives) of CCS strategies.</v>
      </c>
      <c r="C302" s="24" t="str">
        <f>IFERROR(__xludf.DUMMYFUNCTION("""COMPUTED_VALUE"""),"10.1016/j.marpolbul.2018.01.068")</f>
        <v>10.1016/j.marpolbul.2018.01.068</v>
      </c>
      <c r="D302" s="24" t="str">
        <f>IFERROR(__xludf.DUMMYFUNCTION("""COMPUTED_VALUE"""),"Keck et al")</f>
        <v>Keck et al</v>
      </c>
      <c r="E302" s="24" t="str">
        <f>IFERROR(__xludf.DUMMYFUNCTION("""COMPUTED_VALUE"""),"WOS:000430645600059")</f>
        <v>WOS:000430645600059</v>
      </c>
      <c r="F302" s="24" t="str">
        <f>IFERROR(__xludf.DUMMYFUNCTION("""COMPUTED_VALUE"""),"[""ELIGIBLE""]")</f>
        <v>["ELIGIBLE"]</v>
      </c>
    </row>
    <row r="303">
      <c r="A303" s="24" t="str">
        <f>IFERROR(__xludf.DUMMYFUNCTION("""COMPUTED_VALUE"""),"DNA metabarcoding reveals the responses of prokaryotes and eukaryotes microbiota to warming: Are the patterns similar between taxonomic and trophic groups?")</f>
        <v>DNA metabarcoding reveals the responses of prokaryotes and eukaryotes microbiota to warming: Are the patterns similar between taxonomic and trophic groups?</v>
      </c>
      <c r="B303" s="24" t="str">
        <f>IFERROR(__xludf.DUMMYFUNCTION("""COMPUTED_VALUE"""),"The aquatic microbiota is involved in crucial ecosystem functions. Thus, investigating the effects of global warming on these organisms is highly relevant, especially given the numerous climatic changes expected by the end of the century. In this study, w"&amp;"e used an experimental approach and high-throughput sequencing to evaluate the shortterm effect of warming predicted by different future scenarios in the composition of the planktonic freshwater bacteria and microeukaryotes, and to verify if the same effe"&amp;"cts occur for each trophic level separately (autotrophic, heterotrophic and mixotrophic). Our experiment demonstrated that the composition for eukaryotes and prokaryotes based on DNA metabarcoding is affected by the increase in temperature and these have "&amp;"a similar pattern of response to warming. This highlights the temperature importance in structuring the communities of different groups. Modifications in the communities were observed through the substitution of specific taxa, which occurred mainly in war"&amp;"mer levels. Changes in community composition were also identified when trophic levels were assessed separately. Mixotrophic eukaryotes organisms are more sensitive to warming, modifying the patterns of composition with an increase in temperature of 2 degr"&amp;"ees C. Microeukaryotes and heterotrophic bacteria were more resistant, with alterations in the communities composition visualized only in higher warming levels. The composition of autotrophic organisms was not affected by the increase in water temperature"&amp;" in any of the biological classifications evaluated, although the richness of eukaryotic autotrophic has decreased with warming. Our results contribute to predict how different biological levels and trophic groups of the aquatic microbiota respond to glob"&amp;"al warming. This approach is relevant because warming leads to changes in community composition and affects ecosystem processes essentials to the aquatic environment.")</f>
        <v>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v>
      </c>
      <c r="C303" s="24" t="str">
        <f>IFERROR(__xludf.DUMMYFUNCTION("""COMPUTED_VALUE"""),"10.1016/j.ecolind.2020.106452")</f>
        <v>10.1016/j.ecolind.2020.106452</v>
      </c>
      <c r="D303" s="24" t="str">
        <f>IFERROR(__xludf.DUMMYFUNCTION("""COMPUTED_VALUE"""),"Keck et al")</f>
        <v>Keck et al</v>
      </c>
      <c r="E303" s="24" t="str">
        <f>IFERROR(__xludf.DUMMYFUNCTION("""COMPUTED_VALUE"""),"WOS:000561438700033")</f>
        <v>WOS:000561438700033</v>
      </c>
      <c r="F303" s="24" t="str">
        <f>IFERROR(__xludf.DUMMYFUNCTION("""COMPUTED_VALUE"""),"[""ELIGIBLE""]")</f>
        <v>["ELIGIBLE"]</v>
      </c>
    </row>
    <row r="304">
      <c r="A304" s="24" t="str">
        <f>IFERROR(__xludf.DUMMYFUNCTION("""COMPUTED_VALUE"""),"Effects of bushfire on macroinvertebrate communities in south-east Australian streams affected by a megadrought")</f>
        <v>Effects of bushfire on macroinvertebrate communities in south-east Australian streams affected by a megadrought</v>
      </c>
      <c r="B304" s="24" t="str">
        <f>IFERROR(__xludf.DUMMYFUNCTION("""COMPUTED_VALUE"""),"Bushfires occur in most environments in Australia and yet there are few studies about fire effects on aquatic ecosystems. To study the effects of fire on aquatic macroinvertebrates we sampled three streams in burnt catchments (i.e. burnt) and three stream"&amp;"s in unburnt catchments (i.e. control), nine months after severe bushfires in northern Victoria. The sampling period coincided with a severe and prolonged period of drought - during the 8th year of a series of thirteen consecutive years of below average r"&amp;"ainfall. There was a significant effect of bushfire on macroinvertebrate richness, composition and function. At the burnt sites, there was lower taxon richness but a 4-fold increase in abundance, which was mainly to the result of increases in taxa such as"&amp;" Chironomidae, Simuliidae, Dinotoperla sp. and Taschorema sp. A higher percentage of gathering collectors was found at the burnt sites, whereas scrapers and shredders were co-dominant in the control streams. The responses of the macroinvertebrates may hav"&amp;"e been impaired by post-fire persistence of low flows associated with the continuing drought, in comparison with the rapid recovery of the catchment overstorey vegetation (Eucalyptus spp.). The consequences of the megadrought combined with catchment bushf"&amp;"ires, have no doubt reduced the resilience of the macroinvertebrate communities.")</f>
        <v>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v>
      </c>
      <c r="C304" s="24" t="str">
        <f>IFERROR(__xludf.DUMMYFUNCTION("""COMPUTED_VALUE"""),"10.1071/MF13039")</f>
        <v>10.1071/MF13039</v>
      </c>
      <c r="D304" s="24" t="str">
        <f>IFERROR(__xludf.DUMMYFUNCTION("""COMPUTED_VALUE"""),"Keck et al")</f>
        <v>Keck et al</v>
      </c>
      <c r="E304" s="24" t="str">
        <f>IFERROR(__xludf.DUMMYFUNCTION("""COMPUTED_VALUE"""),"WOS:000333180800008")</f>
        <v>WOS:000333180800008</v>
      </c>
      <c r="F304" s="24" t="str">
        <f>IFERROR(__xludf.DUMMYFUNCTION("""COMPUTED_VALUE"""),"[""ELIGIBLE""]")</f>
        <v>["ELIGIBLE"]</v>
      </c>
    </row>
    <row r="305">
      <c r="A305" s="24" t="str">
        <f>IFERROR(__xludf.DUMMYFUNCTION("""COMPUTED_VALUE"""),"Community level response to climate change: The long-term study of the fish and crustacean community of the Bristol Channel")</f>
        <v>Community level response to climate change: The long-term study of the fish and crustacean community of the Bristol Channel</v>
      </c>
      <c r="B305" s="24" t="str">
        <f>IFERROR(__xludf.DUMMYFUNCTION("""COMPUTED_VALUE"""),"Results from a 30-year study of fish and crustacean abundance at Hinkley Point, Somerset, England are reported. Standard community ecology metrics, including annual total species number recorded, alpha diversity and dominance indices, the rank-abundance c"&amp;"urve and the assemblage of permanently present species, have all shown notable stability and no trend over the study period. In contrast, community structure has shown clear change which can be related to the fact that the abundances of many species have "&amp;"shown long-term trends. Of the 30 most abundant species, which together comprise more than 99% of the total species number and biomass collected, 17 have shown a long-term trend in log abundance indicative of exponential change. 9 species have shown appro"&amp;"ximately exponential increases, and 8 exponential decreases in abundance. This remarkable variation in individual species' abundance has been shown for some species to be related to changes in sea water temperature, the North Atlantic Oscillation Index, a"&amp;"nd salinity. While annual species richness has not increased, the number of species present each month has, on average, increased. This has been caused by changes in seasonal presence, with summer-autumn species extending their presence further into the w"&amp;"inter. For fish, the dominant species show no trend, and it is argued they are likely to be under density-dependent control. It may be that while the most abundant species are constrained by resources, the majority of less abundant forms are dynamically u"&amp;"nstable and more likely to be responsive to environmental change. (C) 2011 Elsevier B.V. All rights reserved.")</f>
        <v>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v>
      </c>
      <c r="C305" s="24" t="str">
        <f>IFERROR(__xludf.DUMMYFUNCTION("""COMPUTED_VALUE"""),"10.1016/j.jembe.2011.02.028")</f>
        <v>10.1016/j.jembe.2011.02.028</v>
      </c>
      <c r="D305" s="24" t="str">
        <f>IFERROR(__xludf.DUMMYFUNCTION("""COMPUTED_VALUE"""),"Keck et al")</f>
        <v>Keck et al</v>
      </c>
      <c r="E305" s="24" t="str">
        <f>IFERROR(__xludf.DUMMYFUNCTION("""COMPUTED_VALUE"""),"WOS:000291143900007")</f>
        <v>WOS:000291143900007</v>
      </c>
      <c r="F305" s="24" t="str">
        <f>IFERROR(__xludf.DUMMYFUNCTION("""COMPUTED_VALUE"""),"[""ELIGIBLE""]")</f>
        <v>["ELIGIBLE"]</v>
      </c>
    </row>
    <row r="306">
      <c r="A306" s="24" t="str">
        <f>IFERROR(__xludf.DUMMYFUNCTION("""COMPUTED_VALUE"""),"Spartina alterniflora invasion alters soil bacterial communities and enhances soil N2O emissions by stimulating soil denitrification in mangrove wetland")</f>
        <v>Spartina alterniflora invasion alters soil bacterial communities and enhances soil N2O emissions by stimulating soil denitrification in mangrove wetland</v>
      </c>
      <c r="B306" s="24" t="str">
        <f>IFERROR(__xludf.DUMMYFUNCTION("""COMPUTED_VALUE"""),"Chinese mangrove, an important ecosystem in coastal wetlands, is sensitive to the invasive alien species Spartina alterniflora. However, the effects of the S. alterniflora invasion on mangrove soil N2O emissions and the underlying mechanisms by which emis"&amp;"sions are affected have not been well studied. In this study, the N2O emitted from soils dominated by two typical native mangroves (i.e. Kandelia obovata: KO; Avicennia marina: AM), one invaded by S. alterniflora (SA), and one bare mudflat (Mud) were moni"&amp;"tored at Zhangjiang Mangrove Estuary (where S. alterniflora is exotic). Together with soil biogeochemical properties, the potential denitrification rate and the composition of soil bacterial communities were determined simultaneously by (NO3-)-N-15 tracer"&amp;" and high-throughput sequencing techniques, respectively. Our results showed that S. alterniflora invasion significantly (p &lt; 0.05) increases soil N2O emissions by 15-28-fold. In addition, isotope results revealed that the soil potential denitrification r"&amp;"ate was significantly (p &lt; 0.05) enhanced after S. alterniflora invasion. Moreover, the S. alterniflora invasion significantly (p &lt; 0.05) decreased soil bacterial alpha-diversity and strongly modified soil bacterial communities. Indicator groups strongly "&amp;"associated with S. alterniflora were Chloroflexia, Alphaproteobacteria, and Bacilli, each of which was abundant and acts as connector in the co-occurrence network. FAPROTAX analysis implied that the S. alterniflora invasion stimulated soil denitrification"&amp;" and nitrification while depressing anaerobic ammonium oxidation (anammox) and dissimilatory nitrate reduction to ammonium(DNRA). Redundancy analysis (RDA) found that soil organicmatter (SOM) and pH were the most important environmental factors in alterin"&amp;"g soil bacterial communities. Taken together, our results imply that the S. alterniflora invasion in mangrove wetlands significantly stimulates soil denitrification and N2O emissions, thereby contributing N2O to the atmosphere and contributing to global c"&amp;"limate change. (c) 2018 Elsevier B.V. All rights reserved.")</f>
        <v>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v>
      </c>
      <c r="C306" s="24" t="str">
        <f>IFERROR(__xludf.DUMMYFUNCTION("""COMPUTED_VALUE"""),"10.1016/j.scitotenv.2018.10.277")</f>
        <v>10.1016/j.scitotenv.2018.10.277</v>
      </c>
      <c r="D306" s="24" t="str">
        <f>IFERROR(__xludf.DUMMYFUNCTION("""COMPUTED_VALUE"""),"Keck et al")</f>
        <v>Keck et al</v>
      </c>
      <c r="E306" s="24" t="str">
        <f>IFERROR(__xludf.DUMMYFUNCTION("""COMPUTED_VALUE"""),"WOS:000458626800024")</f>
        <v>WOS:000458626800024</v>
      </c>
      <c r="F306" s="24" t="str">
        <f>IFERROR(__xludf.DUMMYFUNCTION("""COMPUTED_VALUE"""),"[""ELIGIBLE""]")</f>
        <v>["ELIGIBLE"]</v>
      </c>
    </row>
    <row r="307">
      <c r="A307" s="24" t="str">
        <f>IFERROR(__xludf.DUMMYFUNCTION("""COMPUTED_VALUE"""),"Responses of wetland soil bacterial community and edaphic factors to two-year experimental warming and Spartina alterniflora invasion in Chongming Island")</f>
        <v>Responses of wetland soil bacterial community and edaphic factors to two-year experimental warming and Spartina alterniflora invasion in Chongming Island</v>
      </c>
      <c r="B307" s="24" t="str">
        <f>IFERROR(__xludf.DUMMYFUNCTION("""COMPUTED_VALUE"""),"Climate warming and plant invasions are among the most serious threads to biodiversity and stability in terrestrial ecosystems. A particular challenge is to predict how soil microbial communities and edaphic factors will change under future conditions. De"&amp;"spite evidence that soil microbial community structure can be shifted by experimental warming and plant invasion, few studies were conducted to quantify the interactive effect of both factors. Here, we compared soil microbial diversity, bacterial communit"&amp;"y, and soil physiochemical properties in both surface (0-5 cm) and subsurface (5-20 cm) soils of two-year open-top chambers (OTCs) warming and Spartina alterniflora (S. alterniflora) invasion treatments with no warming and Phragmites australis (P. austral"&amp;"is) treatments. Results showed that surface soil water content, total organic carbon, total nitrogen (TN), and the ratio of TN to total phosphorous (N:P) were significantly decreased by experimental warming, while pH was significantly enhanced. Soil TN wa"&amp;"s significantly enhanced in the mixed community of P. australis and S. alterniflora compared with single species community. Soil TP was gradually decreased with the proportion of S. alterniflora increasing by experimental warming. Soil bacterial alpha div"&amp;"ersity was not changed by either experimental warming or S. alterniflora invasion. Experimental warming significantly shifted soil bacterial community, whereas S. alterniflora invasion and their interaction showed no impact. Redundancy analysis showed soi"&amp;"l bacterial community structure was highly correlated with soil edaphic factors (i.e. pH, TN, and NH4+-N). Prediction of microbial function profiles revealed that several bacterial functions, especially carbon and nitrogen metabolism pathways, were adjust"&amp;"ed to tolerate warming. Overall, our results demonstrated that experimental warming significantly altered soil bacterial community and physiochemical properties of S. alterniflora and P. australis communities, and should be considered in ecologically sust"&amp;"ainable development of Chongming Island and wetland ecosystem. (C) 2019 Elsevier Ltd. All rights reserved.")</f>
        <v>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v>
      </c>
      <c r="C307" s="24" t="str">
        <f>IFERROR(__xludf.DUMMYFUNCTION("""COMPUTED_VALUE"""),"10.1016/j.jclepro.2019.119502")</f>
        <v>10.1016/j.jclepro.2019.119502</v>
      </c>
      <c r="D307" s="24" t="str">
        <f>IFERROR(__xludf.DUMMYFUNCTION("""COMPUTED_VALUE"""),"Keck et al")</f>
        <v>Keck et al</v>
      </c>
      <c r="E307" s="24" t="str">
        <f>IFERROR(__xludf.DUMMYFUNCTION("""COMPUTED_VALUE"""),"WOS:000508829800082")</f>
        <v>WOS:000508829800082</v>
      </c>
      <c r="F307" s="24" t="str">
        <f>IFERROR(__xludf.DUMMYFUNCTION("""COMPUTED_VALUE"""),"[""ELIGIBLE""]")</f>
        <v>["ELIGIBLE"]</v>
      </c>
    </row>
    <row r="308">
      <c r="A308" s="24" t="str">
        <f>IFERROR(__xludf.DUMMYFUNCTION("""COMPUTED_VALUE"""),"Changes in soil fungal community composition depend on functional group and forest disturbance type")</f>
        <v>Changes in soil fungal community composition depend on functional group and forest disturbance type</v>
      </c>
      <c r="B308" s="24" t="str">
        <f>IFERROR(__xludf.DUMMYFUNCTION("""COMPUTED_VALUE"""),"Disturbances have altered community dynamics in boreal forests with unknown consequences for belowground ecological processes. Soil fungi are particularly sensitive to such disturbances; however, the individual response of fungal guilds to different distu"&amp;"rbance types is poorly understood. Here, we profiled soil fungal communities in lodgepole pine forests following a bark beetle outbreak, wildfire, clear-cut logging, and salvage-logging. Using Illumina MiSeq to sequence ITS1 and SSU rDNA, we characterized"&amp;" communities of ectomycorrhizal, arbuscular mycorrhizal, saprotrophic, and pathogenic fungi in sites representing each disturbance type paired with intact forests. We also quantified soil fungal biomass by measuring ergosterol. Abiotic disturbances change"&amp;"d the community composition of ectomycorrhizal fungi and shifted the dominance from ectomycorrhizal to saprotrophic fungi compared to intact forests. The disruption of the soil organic layer with disturbances correlated with the decline of ectomycorrhizal"&amp;" and the increase of arbuscular mycorrhizal fungi. Wildfire changed the community composition of pathogenic fungi but did not affect their proportion and diversity. Fungal biomass declined with disturbances that disrupted the forest floor. Our results sug"&amp;"gest that the disruption of the forest floor with disturbances, and the changes in C and nutrient dynamics it may promote, structure the fungal community with implications for fungal biomass-C.")</f>
        <v>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v>
      </c>
      <c r="C308" s="24" t="str">
        <f>IFERROR(__xludf.DUMMYFUNCTION("""COMPUTED_VALUE"""),"10.1111/nph.16749")</f>
        <v>10.1111/nph.16749</v>
      </c>
      <c r="D308" s="24" t="str">
        <f>IFERROR(__xludf.DUMMYFUNCTION("""COMPUTED_VALUE"""),"Keck et al")</f>
        <v>Keck et al</v>
      </c>
      <c r="E308" s="24" t="str">
        <f>IFERROR(__xludf.DUMMYFUNCTION("""COMPUTED_VALUE"""),"WOS:000548718000001")</f>
        <v>WOS:000548718000001</v>
      </c>
      <c r="F308" s="24" t="str">
        <f>IFERROR(__xludf.DUMMYFUNCTION("""COMPUTED_VALUE"""),"[""ELIGIBLE""]")</f>
        <v>["ELIGIBLE"]</v>
      </c>
    </row>
    <row r="309">
      <c r="A309" s="24" t="str">
        <f>IFERROR(__xludf.DUMMYFUNCTION("""COMPUTED_VALUE"""),"Effects of Ocean Acidification on Population Dynamics and Community Structure of Crustose Coralline Algae")</f>
        <v>Effects of Ocean Acidification on Population Dynamics and Community Structure of Crustose Coralline Algae</v>
      </c>
      <c r="B309" s="24" t="str">
        <f>IFERROR(__xludf.DUMMYFUNCTION("""COMPUTED_VALUE"""),"Calcification and growth of crustose coralline algae (CCA) are affected by elevated seawater pCO(2) and associated changes in carbonate chemistry. However, the effects of ocean acidification (OA) on population and community-level responses of CCA have bar"&amp;"ely been investigated. We explored changes in community structure and population dynamics (size structure and reproduction) of CCA in response to OA. Recruited from an experimental flow-through system, CCA settled onto the walls of plastic aquaria and dev"&amp;"eloped under exposure to one of three pCO(2) treatments (control [present day, 389 +/- 6 ppm CO2], medium [753 +/- 11 ppm], and high [1267 +/- 19 ppm]). Elevated pCO(2) reduced total CCA abundance and affected community structure, in particular the densit"&amp;"y of the dominant species Pneophyllum sp. and Porolithon onkodes. Meanwhile, the relative abundance of P. onkodes declined from 24% under control CO2 to 8.3% in high CO2 (65% change), while the relative abundance of Pneophyllum sp. remained constant. Popu"&amp;"lation size structure of P. onkodes differed significantly across treatments, with fewer larger individuals under high CO2. In contrast, the population size structure and number of reproductive structures (conceptacles) per crust of Pneophyllum sp. was si"&amp;"milar across treatments. The difference in the magnitude of the response of species abundance and population size structure between species may have the potential to induce species composition changes in the future. These results demonstrate that the impa"&amp;"cts of OA on key coral reef builders go beyond declines in calcification and growth, and suggest important changes to aspects of population dynamics and community ecology.")</f>
        <v>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v>
      </c>
      <c r="C309" s="24" t="str">
        <f>IFERROR(__xludf.DUMMYFUNCTION("""COMPUTED_VALUE"""),"10.1086/BBLv226n3p255")</f>
        <v>10.1086/BBLv226n3p255</v>
      </c>
      <c r="D309" s="24" t="str">
        <f>IFERROR(__xludf.DUMMYFUNCTION("""COMPUTED_VALUE"""),"Keck et al")</f>
        <v>Keck et al</v>
      </c>
      <c r="E309" s="24" t="str">
        <f>IFERROR(__xludf.DUMMYFUNCTION("""COMPUTED_VALUE"""),"WOS:000341727200008")</f>
        <v>WOS:000341727200008</v>
      </c>
      <c r="F309" s="24" t="str">
        <f>IFERROR(__xludf.DUMMYFUNCTION("""COMPUTED_VALUE"""),"[""ELIGIBLE""]")</f>
        <v>["ELIGIBLE"]</v>
      </c>
    </row>
    <row r="310">
      <c r="A310" s="24" t="str">
        <f>IFERROR(__xludf.DUMMYFUNCTION("""COMPUTED_VALUE"""),"Habitat characteristics may override climatic influences on ant assemblage composition: a study using a 300-km climatic gradient")</f>
        <v>Habitat characteristics may override climatic influences on ant assemblage composition: a study using a 300-km climatic gradient</v>
      </c>
      <c r="B310" s="24" t="str">
        <f>IFERROR(__xludf.DUMMYFUNCTION("""COMPUTED_VALUE"""),"We assessed the relative importance of a variety of climatic and habitat variables in structuring ant communities along a 300-km climatic gradient. Sampling was conducted in semiarid, transitional and cool temperate climatic zones in New South wales, Aust"&amp;"ralia. Ants were sampled at three paired sites of two habitats (pastures and conservation 'remnants') in each of the climatic zones (herein referred to as 'zones') using pitfall traps. Remnants represented original open forests, while pastures were a mix "&amp;"of grassland vegetation and cleared woodland. We tested the effects of habitat type, region (representing different climatic zones) and environmental variables on assemblages using distance-based similarity measures (PERMANOVA and PERMDISP) and canonical "&amp;"analysis of principal coordinates. Assemblage composition differed between habitats and zones, but we found no interaction effects. Assemblage dispersion (between-site heterogeneity) differed between habitats but not among zones. Pasture habitats supporte"&amp;"d more homogeneous assemblages than remnant habitats. Our findings suggest that habitat type, and structure, homogenise assemblages in pastures, thus overriding the effects of local climate apparent in remnants. As remnants are isolated within the biologi"&amp;"cally homogeneous pastures, movement of unique species between remnants in response to climate changes may be limited, thus landscape connectivity is likely to be important in reducing species loss.")</f>
        <v>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v>
      </c>
      <c r="C310" s="24" t="str">
        <f>IFERROR(__xludf.DUMMYFUNCTION("""COMPUTED_VALUE"""),"10.1071/ZO11096")</f>
        <v>10.1071/ZO11096</v>
      </c>
      <c r="D310" s="24" t="str">
        <f>IFERROR(__xludf.DUMMYFUNCTION("""COMPUTED_VALUE"""),"Keck et al")</f>
        <v>Keck et al</v>
      </c>
      <c r="E310" s="24" t="str">
        <f>IFERROR(__xludf.DUMMYFUNCTION("""COMPUTED_VALUE"""),"WOS:000304091200006")</f>
        <v>WOS:000304091200006</v>
      </c>
      <c r="F310" s="24" t="str">
        <f>IFERROR(__xludf.DUMMYFUNCTION("""COMPUTED_VALUE"""),"[""ELIGIBLE""]")</f>
        <v>["ELIGIBLE"]</v>
      </c>
    </row>
    <row r="311">
      <c r="A311" s="24" t="str">
        <f>IFERROR(__xludf.DUMMYFUNCTION("""COMPUTED_VALUE"""),"Herbicides and herbivory interact to drive plant community and crop-tree establishment")</f>
        <v>Herbicides and herbivory interact to drive plant community and crop-tree establishment</v>
      </c>
      <c r="B311" s="24" t="str">
        <f>IFERROR(__xludf.DUMMYFUNCTION("""COMPUTED_VALUE"""),"Land management practices often directly alter vegetation structure and composition, but the degree to which ecological processes such as herbivory interact with management to influence biodiversity is less well understood. We hypothesized that large herb"&amp;"ivores compound the effects of intensive forest management on early seral plant communities and plantation establishment (i.e., tree survival and growth), and the degree of such effects is dependent on the intensity of management practices. We established"&amp;" 225-m(2) wild-ungulate (deer and elk) exclosures, nested within a manipulated gradient of management intensity (no-herbicide control, light herbicide, moderate herbicide, and intensive herbicide treatments), replicated at the scale of whole harvest units"&amp;" (10-19 ha). Vegetation structure, composition, and crop-tree responses to herbivory varied across the gradient of herbicide application during the first two years of stand establishment, with herbivory effects most evident at light and moderate herbicide"&amp;" treatments. In the moderate herbicide treatment, which approximates management applied to &gt;2.5 million hectares in the Pacific Northwest, United States, foraging by deer and elk resulted in simplified, low-cover plant communities more closely resembling "&amp;"the intensive herbicide treatment. Herbivory further suppressed the growth of competing vegetation in the light herbicide treatment, improving crop-tree survival, and providing early evidence of an ecosystem service. By changing community composition and "&amp;"vegetation structure, intensive forest management alters foraging selectivity and subsequent plant-herbivore interactions; initial shifts in early seral communities are likely to influence understory plant communities and tree growth in later stages of fo"&amp;"rest development.")</f>
        <v>Land management practices often directly alter vegetation structure and composition, but the degree to which ecological processes such as herbivory interact with management to influence biodiversity is less well understood. We hypothesized that large herbivores compound the effects of intensive forest management on early seral plant communities and plantation establishment (i.e., tree survival and growth), and the degree of such effects is dependent on the intensity of management practices. We established 225-m(2) wild-ungulate (deer and elk) exclosures, nested within a manipulated gradient of management intensity (no-herbicide control, light herbicide, moderate herbicide, and intensive herbicide treatments), replicated at the scale of whole harvest units (10-19 ha). Vegetation structure, composition, and crop-tree responses to herbivory varied across the gradient of herbicide application during the first two years of stand establishment, with herbivory effects most evident at light and moderate herbicide treatments. In the moderate herbicide treatment, which approximates management applied to &gt;2.5 million hectares in the Pacific Northwest, United States, foraging by deer and elk resulted in simplified, low-cover plant communities more closely resembling the intensive herbicide treatment. Herbivory further suppressed the growth of competing vegetation in the light herbicide treatment, improving crop-tree survival, and providing early evidence of an ecosystem service. By changing community composition and vegetation structure, intensive forest management alters foraging selectivity and subsequent plant-herbivore interactions; initial shifts in early seral communities are likely to influence understory plant communities and tree growth in later stages of forest development.</v>
      </c>
      <c r="C311" s="24" t="str">
        <f>IFERROR(__xludf.DUMMYFUNCTION("""COMPUTED_VALUE"""),"10.1002/eap.1777")</f>
        <v>10.1002/eap.1777</v>
      </c>
      <c r="D311" s="24" t="str">
        <f>IFERROR(__xludf.DUMMYFUNCTION("""COMPUTED_VALUE"""),"Keck et al")</f>
        <v>Keck et al</v>
      </c>
      <c r="E311" s="24" t="str">
        <f>IFERROR(__xludf.DUMMYFUNCTION("""COMPUTED_VALUE"""),"WOS:000451913200007")</f>
        <v>WOS:000451913200007</v>
      </c>
      <c r="F311" s="24" t="str">
        <f>IFERROR(__xludf.DUMMYFUNCTION("""COMPUTED_VALUE"""),"[""ELIGIBLE""]")</f>
        <v>["ELIGIBLE"]</v>
      </c>
    </row>
    <row r="312">
      <c r="A312" s="24" t="str">
        <f>IFERROR(__xludf.DUMMYFUNCTION("""COMPUTED_VALUE"""),"Community dynamics and ecosystem simplification in a high-CO2 ocean")</f>
        <v>Community dynamics and ecosystem simplification in a high-CO2 ocean</v>
      </c>
      <c r="B312" s="24" t="str">
        <f>IFERROR(__xludf.DUMMYFUNCTION("""COMPUTED_VALUE"""),"Disturbances are natural features of ecosystems that promote variability in the community and ultimately maintain diversity. Although it is recognized that global change will affect environmental disturbance regimes, our understanding of the community dyn"&amp;"amics governing ecosystem recovery and the maintenance of functional diversity in future scenarios is very limited. Here, we use one of the few ecosystems naturally exposed to future scenarios of environmental change to examine disturbance and recovery dy"&amp;"namics. We examine the recovery patterns of marine species from a physical disturbance across different acidification regimes caused by volcanic CO2 vents. Plots of shallow rocky reef were cleared of all species in areas of ambient, low, and extreme low p"&amp;"H that correspond to near-future and extreme scenarios for ocean acidification. Our results illustrate how acidification decreases the variability of communities, resulting in homogenization and reduced functional diversity at a landscape scale. Whereas t"&amp;"he recovery trajectories in ambient pH were highly variable and resulted in a diverse range of assemblages, recovery was more predictable with acidification and consistently resulted in very similar algal-dominated assemblages. Furthermore, low pH zones h"&amp;"ad fewer signs of biological disturbance (primarily sea urchin grazing) and increased recovery rates of the dominant taxa (primarily fleshy algae). Together, our results highlight how environmental change can cause ecosystem simplification via environment"&amp;"ally mediated changes in community dynamics in the near future, with cascading impacts on functional diversity and ecosystem function.")</f>
        <v>Disturbances are natural features of ecosystems that promote variability in the community and ultimately maintain diversity. Although it is recognized that global change will affect environmental disturbance regimes, our understanding of the community dynamics governing ecosystem recovery and the maintenance of functional diversity in future scenarios is very limited. Here, we use one of the few ecosystems naturally exposed to future scenarios of environmental change to examine disturbance and recovery dynamics. We examine the recovery patterns of marine species from a physical disturbance across different acidification regimes caused by volcanic CO2 vents. Plots of shallow rocky reef were cleared of all species in areas of ambient, low, and extreme low pH that correspond to near-future and extreme scenarios for ocean acidification. Our results illustrate how acidification decreases the variability of communities, resulting in homogenization and reduced functional diversity at a landscape scale. Whereas the recovery trajectories in ambient pH were highly variable and resulted in a diverse range of assemblages, recovery was more predictable with acidification and consistently resulted in very similar algal-dominated assemblages. Furthermore, low pH zones had fewer signs of biological disturbance (primarily sea urchin grazing) and increased recovery rates of the dominant taxa (primarily fleshy algae). Together, our results highlight how environmental change can cause ecosystem simplification via environmentally mediated changes in community dynamics in the near future, with cascading impacts on functional diversity and ecosystem function.</v>
      </c>
      <c r="C312" s="24" t="str">
        <f>IFERROR(__xludf.DUMMYFUNCTION("""COMPUTED_VALUE"""),"10.1073/pnas.1216464110")</f>
        <v>10.1073/pnas.1216464110</v>
      </c>
      <c r="D312" s="24" t="str">
        <f>IFERROR(__xludf.DUMMYFUNCTION("""COMPUTED_VALUE"""),"Keck et al")</f>
        <v>Keck et al</v>
      </c>
      <c r="E312" s="24" t="str">
        <f>IFERROR(__xludf.DUMMYFUNCTION("""COMPUTED_VALUE"""),"WOS:000322441500055")</f>
        <v>WOS:000322441500055</v>
      </c>
      <c r="F312" s="24" t="str">
        <f>IFERROR(__xludf.DUMMYFUNCTION("""COMPUTED_VALUE"""),"[""ELIGIBLE""]")</f>
        <v>["ELIGIBLE"]</v>
      </c>
    </row>
    <row r="313">
      <c r="A313" s="24" t="str">
        <f>IFERROR(__xludf.DUMMYFUNCTION("""COMPUTED_VALUE"""),"Short-Term Exposure to High-Temperature Water Causes a Shift in the Microbiome of the Common Aquarium SpongeLendenfeldia chondrodes")</f>
        <v>Short-Term Exposure to High-Temperature Water Causes a Shift in the Microbiome of the Common Aquarium SpongeLendenfeldia chondrodes</v>
      </c>
      <c r="B313" s="24" t="str">
        <f>IFERROR(__xludf.DUMMYFUNCTION("""COMPUTED_VALUE"""),"Marine sponges harbor diverse microbiomes that contribute to their energetic and metabolic needs. Although numerous studies on sponge microbial diversity exist, relatively few focused on sponge microbial community changes under different sources of enviro"&amp;"nmental stress. In this study, we assess the impact of elevated seawater temperature on the microbiome of culturedLendenfeldia chondrodes, a coral reef sponge commonly found in marine aquaria.Lendenfeldia chondrodesexhibits high thermal tolerance showing "&amp;"no evidence of tissue damage or bleaching at 5 degrees C above control water temperature (26 degrees C). High-throughput sequencing of the bacterial 16S rRNA V4 region revealed a response of the microbiome ofL. chondrodesto short-term exposure to elevated"&amp;" seawater temperature. Shifts in abundance and richness of the dominant bacterial phyla found in the microbiome of this species, namely Proteobacteria, Cyanobacteria, Planctomycetes, and Bacteroidetes, characterized this response. The observed resilience "&amp;"ofL. chondrodesand the responsiveness of its microbiome to short-term increases in seawater temperature suggest that this holobiont may be capable of acclimating to anthropogenic-driven sublethal environmental stress via a re-accommodation of its associat"&amp;"ed bacterial community. This sheds a new light on the potential for resilience of some sponges to increasing surface seawater temperatures and associated projected regime shifts in coral reefs.")</f>
        <v>Marine sponges harbor diverse microbiomes that contribute to their energetic and metabolic needs. Although numerous studies on sponge microbial diversity exist, relatively few focused on sponge microbial community changes under different sources of environmental stress. In this study, we assess the impact of elevated seawater temperature on the microbiome of culturedLendenfeldia chondrodes, a coral reef sponge commonly found in marine aquaria.Lendenfeldia chondrodesexhibits high thermal tolerance showing no evidence of tissue damage or bleaching at 5 degrees C above control water temperature (26 degrees C). High-throughput sequencing of the bacterial 16S rRNA V4 region revealed a response of the microbiome ofL. chondrodesto short-term exposure to elevated seawater temperature. Shifts in abundance and richness of the dominant bacterial phyla found in the microbiome of this species, namely Proteobacteria, Cyanobacteria, Planctomycetes, and Bacteroidetes, characterized this response. The observed resilience ofL. chondrodesand the responsiveness of its microbiome to short-term increases in seawater temperature suggest that this holobiont may be capable of acclimating to anthropogenic-driven sublethal environmental stress via a re-accommodation of its associated bacterial community. This sheds a new light on the potential for resilience of some sponges to increasing surface seawater temperatures and associated projected regime shifts in coral reefs.</v>
      </c>
      <c r="C313" s="24" t="str">
        <f>IFERROR(__xludf.DUMMYFUNCTION("""COMPUTED_VALUE"""),"10.1007/s00248-020-01556-z")</f>
        <v>10.1007/s00248-020-01556-z</v>
      </c>
      <c r="D313" s="24" t="str">
        <f>IFERROR(__xludf.DUMMYFUNCTION("""COMPUTED_VALUE"""),"Keck et al")</f>
        <v>Keck et al</v>
      </c>
      <c r="E313" s="24" t="str">
        <f>IFERROR(__xludf.DUMMYFUNCTION("""COMPUTED_VALUE"""),"WOS:000557138100003")</f>
        <v>WOS:000557138100003</v>
      </c>
      <c r="F313" s="24" t="str">
        <f>IFERROR(__xludf.DUMMYFUNCTION("""COMPUTED_VALUE"""),"[""ELIGIBLE""]")</f>
        <v>["ELIGIBLE"]</v>
      </c>
    </row>
    <row r="314">
      <c r="A314" s="24" t="str">
        <f>IFERROR(__xludf.DUMMYFUNCTION("""COMPUTED_VALUE"""),"Interaction of climate change, potentially toxic elements (PTEs), and topography on plant diversity and ecosystem functions in a high-altitude mountainous region of the Tibetan Plateau")</f>
        <v>Interaction of climate change, potentially toxic elements (PTEs), and topography on plant diversity and ecosystem functions in a high-altitude mountainous region of the Tibetan Plateau</v>
      </c>
      <c r="B314" s="24" t="str">
        <f>IFERROR(__xludf.DUMMYFUNCTION("""COMPUTED_VALUE"""),"Y Potentially toxic elements (PTEs) generated from mining activities have affected ecological diversity and ecosystem functions around the world. Accurately assessing the long-term effects of PTEs is critical to classifying recoverable areas and proposing"&amp;" management strategies. Mining activities that shape geographical patterns of biodiversity in individual regions are increasingly understood, but the complex interactions on broad scales and in changing environments are still unclear. In this study, we de"&amp;"veloped a series of empirical models that simulate the changes in biodiversity and ecosystem functions in mine-affected regions along elevation gradients (1500-3600 m a.s.l) in the metal-rich Qilian Mountains (similar to 800 km) on the northeastern Tibeta"&amp;"n Plateau (China). Our results confirmed the crucial role of PTEs dispersal, topography, and climatic heterogeneity in the diversification of plant community composition. On average, 54% of the changes in ecosystem functions were explained by the interact"&amp;"ions among topography, climate, and PTEs. However, merely 30% of the changes were correlated with a single driver. The changes in species composition (explained variables = 94.8%) in the PTE-polluted habitats located in the warm and humid low-elevation de"&amp;"serts and grasslands were greater than those occurring in the dry alpine deserts and grasslands. The ecosystem functions (soil characteristics, nutrient migration, and plant biomass) experienced greater changes in the humid low-elevation grasslands and al"&amp;"pine deserts. Our results suggest that the processes driven by climate or other factors can result in high-altitude PTE-affected habitat facing greater threats. (C) 2021 Elsevier Ltd. All rights reserved.")</f>
        <v>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v>
      </c>
      <c r="C314" s="24" t="str">
        <f>IFERROR(__xludf.DUMMYFUNCTION("""COMPUTED_VALUE"""),"10.1016/j.chemosphere.2021.130099")</f>
        <v>10.1016/j.chemosphere.2021.130099</v>
      </c>
      <c r="D314" s="24" t="str">
        <f>IFERROR(__xludf.DUMMYFUNCTION("""COMPUTED_VALUE"""),"Keck et al")</f>
        <v>Keck et al</v>
      </c>
      <c r="E314" s="24" t="str">
        <f>IFERROR(__xludf.DUMMYFUNCTION("""COMPUTED_VALUE"""),"WOS:000647817200107")</f>
        <v>WOS:000647817200107</v>
      </c>
      <c r="F314" s="24" t="str">
        <f>IFERROR(__xludf.DUMMYFUNCTION("""COMPUTED_VALUE"""),"[""ELIGIBLE""]")</f>
        <v>["ELIGIBLE"]</v>
      </c>
    </row>
    <row r="315">
      <c r="A315" s="24" t="str">
        <f>IFERROR(__xludf.DUMMYFUNCTION("""COMPUTED_VALUE"""),"Post-fire regeneration in alpine heathland: Does fire severity matter?")</f>
        <v>Post-fire regeneration in alpine heathland: Does fire severity matter?</v>
      </c>
      <c r="B315" s="24" t="str">
        <f>IFERROR(__xludf.DUMMYFUNCTION("""COMPUTED_VALUE"""),"Fire severity is thought to be an important determinant of landscape patterns of post-fire regeneration, yet there have been few studies of the effects of variation in fire severity at landscape scales on floristic diversity and composition, and none with"&amp;"in alpine vegetation. Understanding how fire severity affects alpine vegetation is important because fire is relatively infrequent in alpine environments. Globally, alpine ecosystems are at risk from climate change, which, in addition to warming, is likel"&amp;"y to increase the severity and frequency of fire in south-eastern Australia. Here we examine the effects of variation in fire severity on plant diversity and vegetation composition, 5years after the widespread fires of 2003. We used floristic data from tw"&amp;"o wide-spread vegetation types on the Bogong High Plains: open heathland and closed heathland. Three alternative models were tested relating variation in plant community attributes (e.g. diversity, ground cover of dominant species, amount of bare ground) "&amp;"to variation in fire severity. The models were (i) linear', attributes vary linearly with fire severity; (ii) intermediate disturbance', attributes are highest at intermediate fire severity and lowest at both low- and high-severity; and (iii) null', attri"&amp;"butes are unaffected by fire severity. In both heathlands, there were few differences in floristic diversity, cover of dominant species and community composition, across the strong fire severity gradient. The null model was most supported in the vast majo"&amp;"rity of cases, with only limited support for either the linear and intermediate disturbance models. Our data indicate that in both heathlands, vegetation attributes in burnt vegetation were converging towards that of the unburnt state. We conclude that fi"&amp;"re severity had little impact on post-fire regeneration, and that both closed and open alpine heathlands are resilient to variation in fire severity during landscape scale fires.")</f>
        <v>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v>
      </c>
      <c r="C315" s="24" t="str">
        <f>IFERROR(__xludf.DUMMYFUNCTION("""COMPUTED_VALUE"""),"10.1111/j.1442-9993.2012.02392.x")</f>
        <v>10.1111/j.1442-9993.2012.02392.x</v>
      </c>
      <c r="D315" s="24" t="str">
        <f>IFERROR(__xludf.DUMMYFUNCTION("""COMPUTED_VALUE"""),"Keck et al")</f>
        <v>Keck et al</v>
      </c>
      <c r="E315" s="24" t="str">
        <f>IFERROR(__xludf.DUMMYFUNCTION("""COMPUTED_VALUE"""),"WOS:000316623400009")</f>
        <v>WOS:000316623400009</v>
      </c>
      <c r="F315" s="24" t="str">
        <f>IFERROR(__xludf.DUMMYFUNCTION("""COMPUTED_VALUE"""),"[""ELIGIBLE""]")</f>
        <v>["ELIGIBLE"]</v>
      </c>
    </row>
    <row r="316">
      <c r="A316" s="24" t="str">
        <f>IFERROR(__xludf.DUMMYFUNCTION("""COMPUTED_VALUE"""),"Arbuscular mycorrhizal fungal community response to warming and nitrogen addition in a semiarid steppe ecosystem")</f>
        <v>Arbuscular mycorrhizal fungal community response to warming and nitrogen addition in a semiarid steppe ecosystem</v>
      </c>
      <c r="B316" s="24" t="str">
        <f>IFERROR(__xludf.DUMMYFUNCTION("""COMPUTED_VALUE"""),"Understanding the response of arbuscular mycorrhizal (AM) fungi to warming and nitrogen (N) fertilization is critical to assess the impact of anthropogenic disturbance on ecosystem functioning under global climate change scenarios. In this study, AM funga"&amp;"l communities were examined in a full factorial design with warming and N addition in a semiarid steppe in northern China. Warming significantly increased AM fungal spore density, regardless of N addition, whilst N addition significantly decreased AM fung"&amp;"al extraradical hyphal density, regardless of warming. A total of 79 operational taxonomic units (OTUs) of AM fungi were recovered by 454 pyrosequencing of SSU rDNA. Warming, but not N addition, had a significant positive effect on AM fungal OTU richness,"&amp;" while warming and N addition significantly increased AM fungal Shannon diversity index. N addition, but not warming, significantly altered the AM fungal community composition. Furthermore, the changes in AM fungal community composition were associated wi"&amp;"th shifts in plant community composition indirectly caused by N addition. These findings highlight the different effects of warming and N addition on AM fungal communities and contribute to understanding AM fungal community responses to global environment"&amp;"al change scenarios in semiarid steppe ecosystems.")</f>
        <v>Understanding the response of arbuscular mycorrhizal (AM) fungi to warming and nitrogen (N) fertilization is critical to assess the impact of anthropogenic disturbance on ecosystem functioning under global climate change scenarios. In this study, AM fungal communities were examined in a full factorial design with warming and N addition in a semiarid steppe in northern China. Warming significantly increased AM fungal spore density, regardless of N addition, whilst N addition significantly decreased AM fungal extraradical hyphal density, regardless of warming. A total of 79 operational taxonomic units (OTUs) of AM fungi were recovered by 454 pyrosequencing of SSU rDNA. Warming, but not N addition, had a significant positive effect on AM fungal OTU richness, while warming and N addition significantly increased AM fungal Shannon diversity index. N addition, but not warming, significantly altered the AM fungal community composition. Furthermore, the changes in AM fungal community composition were associated with shifts in plant community composition indirectly caused by N addition. These findings highlight the different effects of warming and N addition on AM fungal communities and contribute to understanding AM fungal community responses to global environmental change scenarios in semiarid steppe ecosystems.</v>
      </c>
      <c r="C316" s="24" t="str">
        <f>IFERROR(__xludf.DUMMYFUNCTION("""COMPUTED_VALUE"""),"10.1007/s00572-014-0608-1")</f>
        <v>10.1007/s00572-014-0608-1</v>
      </c>
      <c r="D316" s="24" t="str">
        <f>IFERROR(__xludf.DUMMYFUNCTION("""COMPUTED_VALUE"""),"Keck et al")</f>
        <v>Keck et al</v>
      </c>
      <c r="E316" s="24" t="str">
        <f>IFERROR(__xludf.DUMMYFUNCTION("""COMPUTED_VALUE"""),"WOS:000353234500003")</f>
        <v>WOS:000353234500003</v>
      </c>
      <c r="F316" s="24" t="str">
        <f>IFERROR(__xludf.DUMMYFUNCTION("""COMPUTED_VALUE"""),"[""ELIGIBLE""]")</f>
        <v>["ELIGIBLE"]</v>
      </c>
    </row>
    <row r="317">
      <c r="A317" s="24" t="str">
        <f>IFERROR(__xludf.DUMMYFUNCTION("""COMPUTED_VALUE"""),"Exposure to microplastics lowers arsenic accumulation and alters gut bacterial communities of earthworm Metaphire californica")</f>
        <v>Exposure to microplastics lowers arsenic accumulation and alters gut bacterial communities of earthworm Metaphire californica</v>
      </c>
      <c r="B317" s="24" t="str">
        <f>IFERROR(__xludf.DUMMYFUNCTION("""COMPUTED_VALUE"""),"Ubiquitous contamination of microplastics and arsenic in soil ecosystems can induce many health issues to nontarget soil organisms, and will also cause many potential threats to the gut bacterial communities of soil fauna. However, the changes in the gut "&amp;"bacterial communities of soil fauna after exposure to both microplastics and arsenic remain unknown. In this study, the toxicity and effects on the gut microbiota of earthworm Metaphire californica caused by the combined exposure of microplastics and arse"&amp;"nic were examined by using arsenic species analysis and high throughput sequencing of gut microbiota. Results showed that total arsenic and arsenic species in the earthworm gut and body tissues after exposure to combination of microplastics with arsenate "&amp;"(As(V)) were significantly different from that treated with As(V) alone. Microplastics lessened the accumulation of total arsenic and the transformation rate of As(V) to arsenite (As(lll)). Microplastics alleviated the effect of arsenic on the gut microbi"&amp;"ota possibly via adsorbing/binding As(V) and lowering arsenic bioavailability, thus prevented the reduction of As(V) and accumulation of total arsenic in the gut which resulted in a lower toxicity on the earthworm. The study broadens our understanding of "&amp;"the ecotoxicity of microplastics with other pollutants on the soil animals and on their gut microbiota. (C) 2019 Elsevier Ltd. All rights reserved.")</f>
        <v>Ubiquitous contamination of microplastics and arsenic in soil ecosystems can induce many health issues to nontarget soil organisms, and will also cause many potential threats to the gut bacterial communities of soil fauna. However, the changes in the gut bacterial communities of soil fauna after exposure to both microplastics and arsenic remain unknown. In this study, the toxicity and effects on the gut microbiota of earthworm Metaphire californica caused by the combined exposure of microplastics and arsenic were examined by using arsenic species analysis and high throughput sequencing of gut microbiota. Results showed that total arsenic and arsenic species in the earthworm gut and body tissues after exposure to combination of microplastics with arsenate (As(V)) were significantly different from that treated with As(V) alone. Microplastics lessened the accumulation of total arsenic and the transformation rate of As(V) to arsenite (As(lll)). Microplastics alleviated the effect of arsenic on the gut microbiota possibly via adsorbing/binding As(V) and lowering arsenic bioavailability, thus prevented the reduction of As(V) and accumulation of total arsenic in the gut which resulted in a lower toxicity on the earthworm. The study broadens our understanding of the ecotoxicity of microplastics with other pollutants on the soil animals and on their gut microbiota. (C) 2019 Elsevier Ltd. All rights reserved.</v>
      </c>
      <c r="C317" s="24" t="str">
        <f>IFERROR(__xludf.DUMMYFUNCTION("""COMPUTED_VALUE"""),"10.1016/j.envpol.2019.04.054")</f>
        <v>10.1016/j.envpol.2019.04.054</v>
      </c>
      <c r="D317" s="24" t="str">
        <f>IFERROR(__xludf.DUMMYFUNCTION("""COMPUTED_VALUE"""),"Keck et al")</f>
        <v>Keck et al</v>
      </c>
      <c r="E317" s="24" t="str">
        <f>IFERROR(__xludf.DUMMYFUNCTION("""COMPUTED_VALUE"""),"WOS:000474329700013")</f>
        <v>WOS:000474329700013</v>
      </c>
      <c r="F317" s="24" t="str">
        <f>IFERROR(__xludf.DUMMYFUNCTION("""COMPUTED_VALUE"""),"[""ELIGIBLE""]")</f>
        <v>["ELIGIBLE"]</v>
      </c>
    </row>
    <row r="318">
      <c r="A318" s="24" t="str">
        <f>IFERROR(__xludf.DUMMYFUNCTION("""COMPUTED_VALUE"""),"Contrasting fungal responses to wildfire across different ecosystem types")</f>
        <v>Contrasting fungal responses to wildfire across different ecosystem types</v>
      </c>
      <c r="B318" s="24" t="str">
        <f>IFERROR(__xludf.DUMMYFUNCTION("""COMPUTED_VALUE"""),"Wildfire affects our planet's biogeochemistry both by burning biomass and by driving changes in ecological communities and landcover. Some plants and ecosystem types are threatened by increasing fire pressure while others respond positively to fire, growi"&amp;"ng in local and regional abundance when it occurs regularly. However, quantifying total ecosystem response to fire demands consideration of impacts not only on aboveground vegetation, but also on soil microbes like fungi, which influence decomposition and"&amp;" nutrient mineralization. If fire-resistant soil fungal communities co-occur with similarly adapted plants, these above- and belowground ecosystem components should shift and recover in relative synchrony after burning. If not, fire might decouple ecosyst"&amp;"em processes governed by these different communities, affecting total functioning. Here, we use a natural experiment to test whether fire-dependent ecosystems host unique, fire-resistant fungal communities. We surveyed burned and unburned areas across two"&amp;" California ecosystem types with differing fire ecologies in the immediate aftermath of a wildfire, finding that the soil fungal communities of fire-dependent oak woodlands differ from those of neighbouring mixed evergreen forests. We discovered furthermo"&amp;"re that the latter are more strongly altered compositionally by fire than the former, suggesting that differences in fungal community structure support divergent community responses to fire across ecosystems. Our results thus indicate that fire-dependent "&amp;"ecosystems may host fire-resistant fungal communities.")</f>
        <v>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v>
      </c>
      <c r="C318" s="24" t="str">
        <f>IFERROR(__xludf.DUMMYFUNCTION("""COMPUTED_VALUE"""),"10.1111/mec.15767")</f>
        <v>10.1111/mec.15767</v>
      </c>
      <c r="D318" s="24" t="str">
        <f>IFERROR(__xludf.DUMMYFUNCTION("""COMPUTED_VALUE"""),"Keck et al")</f>
        <v>Keck et al</v>
      </c>
      <c r="E318" s="24" t="str">
        <f>IFERROR(__xludf.DUMMYFUNCTION("""COMPUTED_VALUE"""),"WOS:000598777100001")</f>
        <v>WOS:000598777100001</v>
      </c>
      <c r="F318" s="24" t="str">
        <f>IFERROR(__xludf.DUMMYFUNCTION("""COMPUTED_VALUE"""),"[""ELIGIBLE""]")</f>
        <v>["ELIGIBLE"]</v>
      </c>
    </row>
    <row r="319">
      <c r="A319" s="24" t="str">
        <f>IFERROR(__xludf.DUMMYFUNCTION("""COMPUTED_VALUE"""),"Persistent changes to ecosystems following winter road construction and abandonment in an area of discontinuous permafrost, Nahanni National Park Reserve, Northwest Territories, Canada")</f>
        <v>Persistent changes to ecosystems following winter road construction and abandonment in an area of discontinuous permafrost, Nahanni National Park Reserve, Northwest Territories, Canada</v>
      </c>
      <c r="B319" s="24" t="str">
        <f>IFERROR(__xludf.DUMMYFUNCTION("""COMPUTED_VALUE"""),"Subarctic ecosystems are experiencing rapid changes as a result of climate warming and more frequent and severe disturbances. There is considerable uncertainty regarding ecological trajectories following disturbance in forested ecosystems underlain by per"&amp;"mafrost because their structure and function is controlled by feedbacks among soil conditions, vegetation, and ground thermal regime. In this paper, we studied post-disturbance ecosystem recovery in an area of discontinuous permafrost 32 years after const"&amp;"ruction and abandonment of a winter access road in Nahanni National Park Reserve (NNPR). Ecosystem recovery was examined by comparing disturbed (road) and undisturbed (adjacent to the road) sites in the following terrain types: spruce peatland, black spru"&amp;"ce parkland, deciduous forest, and alpine treeline terrain. Our field data show that disturbances to discontinuous permafrost terrain can lead to large and persistent changes to ecosystem composition and structure. Our findings indicate that the ecologica"&amp;"l response of discontinuous permafrost to disturbance and climate warming will depend on interactions between soil conditions and vegetation communities. In instances where disturbance to discontinuous permafrost fundamentally disrupts stabilizing interac"&amp;"tions between soil conditions and vegetation communities, we should expect lasting changes to ecosystem structure and function.")</f>
        <v>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v>
      </c>
      <c r="C319" s="24" t="str">
        <f>IFERROR(__xludf.DUMMYFUNCTION("""COMPUTED_VALUE"""),"10.1657/AAAR0016-012")</f>
        <v>10.1657/AAAR0016-012</v>
      </c>
      <c r="D319" s="24" t="str">
        <f>IFERROR(__xludf.DUMMYFUNCTION("""COMPUTED_VALUE"""),"Keck et al")</f>
        <v>Keck et al</v>
      </c>
      <c r="E319" s="24" t="str">
        <f>IFERROR(__xludf.DUMMYFUNCTION("""COMPUTED_VALUE"""),"WOS:000402283000006")</f>
        <v>WOS:000402283000006</v>
      </c>
      <c r="F319" s="24" t="str">
        <f>IFERROR(__xludf.DUMMYFUNCTION("""COMPUTED_VALUE"""),"[""ELIGIBLE""]")</f>
        <v>["ELIGIBLE"]</v>
      </c>
    </row>
    <row r="320">
      <c r="A320" s="24" t="str">
        <f>IFERROR(__xludf.DUMMYFUNCTION("""COMPUTED_VALUE"""),"Ten years of vegetation assembly after a North American mega fire")</f>
        <v>Ten years of vegetation assembly after a North American mega fire</v>
      </c>
      <c r="B320" s="24" t="str">
        <f>IFERROR(__xludf.DUMMYFUNCTION("""COMPUTED_VALUE"""),"Altered fuels and climate change are transforming fire regimes in many of Earth's biomes. Postfire reassembly of vegetation - paramount to C storage and biodiversity conservation - frequently remains unpredictable and complicated by rapid global change. U"&amp;"sing a unique data set of pre and long-term postfire data, combined with long-term data from nearby unburned areas, we examined 10years of understory vegetation assembly after the 2002 Hayman Fire. This fire was the largest wildfire in recorded history in"&amp;" Colorado, USA. Resistance (initial postfire deviance from prefire condition) and resilience (return to prefire condition) declined with increasing fire severity. However, via both resistance and resilience, legacy' species of the prefire community consti"&amp;"tuted &gt;75% of total plant cover within 3years even in severely burned areas. Perseverance of legacy species, coupled with new colonizers, created a persistent increase in community species richness and cover over prefire levels. This was driven by a first"&amp;"-year increase (maintained over time) in forbs with short life spans; a 2-3-year delayed surge in long-lived forbs; and a consistent increase in graminoids through the 10th postfire year. Burning increased exotic plant invasion relative to prefire and unb"&amp;"urned areas, but burned communities always were &gt;89% native. This study informs debate in the literature regarding whether these increasingly large fires are ecological catastrophes.' Landscape-scale severe burning was catastrophic from a tree overstory p"&amp;"erspective, but from an understory perspective, burning promoted rich and productive native understories, despite the entire 10-year postfire period receiving below-average precipitation.")</f>
        <v>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v>
      </c>
      <c r="C320" s="24" t="str">
        <f>IFERROR(__xludf.DUMMYFUNCTION("""COMPUTED_VALUE"""),"10.1111/gcb.12722")</f>
        <v>10.1111/gcb.12722</v>
      </c>
      <c r="D320" s="24" t="str">
        <f>IFERROR(__xludf.DUMMYFUNCTION("""COMPUTED_VALUE"""),"Keck et al")</f>
        <v>Keck et al</v>
      </c>
      <c r="E320" s="24" t="str">
        <f>IFERROR(__xludf.DUMMYFUNCTION("""COMPUTED_VALUE"""),"WOS:000348652400024")</f>
        <v>WOS:000348652400024</v>
      </c>
      <c r="F320" s="24" t="str">
        <f>IFERROR(__xludf.DUMMYFUNCTION("""COMPUTED_VALUE"""),"[""ELIGIBLE""]")</f>
        <v>["ELIGIBLE"]</v>
      </c>
    </row>
    <row r="321">
      <c r="A321" s="24" t="str">
        <f>IFERROR(__xludf.DUMMYFUNCTION("""COMPUTED_VALUE"""),"Can data from disparate long-term fish monitoring programs be used to increase our understanding of regional and continental trends in large river assemblages?")</f>
        <v>Can data from disparate long-term fish monitoring programs be used to increase our understanding of regional and continental trends in large river assemblages?</v>
      </c>
      <c r="B321" s="24" t="str">
        <f>IFERROR(__xludf.DUMMYFUNCTION("""COMPUTED_VALUE"""),"Understanding trends in the diverse resources provided by large rivers will help balance tradeoffs among stakeholders and inform strategies to mitigate the effects of landscape scale stressors such as climate change and invasive species. Absent a cohesive"&amp;" coordinated effort to assess trends in important large river resources, a logical starting point is to assess our ability to draw inferences from existing efforts. In this paper, we use a common analytical framework to analyze data from five disparate fi"&amp;"sh monitoring programs to better understand the nature of spatial and temporal trends in large river fish assemblages. We evaluated data from programs that monitor fishes in the Colorado, Columbia, Illinois, Mississippi, and Tallapoosa rivers using non-me"&amp;"tric dimensional scaling ordinations and associated tests to evaluate trends in fish assemblage structure and native fish biodiversity. Our results indicate that fish assemblages exhibited significant spatial and temporal trends in all five of the rivers."&amp;" We also document native species diversity trends that were variable within and between rivers and generally more evident in rivers with higher species richness and programs of longer duration. We discuss shared and basin-specific landscape level stressor"&amp;"s. Having a basic understanding of the nature and extent of trends in fish assemblages is a necessary first step towards understanding factors affecting biodiversity and fisheries in large rivers.")</f>
        <v>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v>
      </c>
      <c r="C321" s="24" t="str">
        <f>IFERROR(__xludf.DUMMYFUNCTION("""COMPUTED_VALUE"""),"10.1371/journal.pone.0191472")</f>
        <v>10.1371/journal.pone.0191472</v>
      </c>
      <c r="D321" s="24" t="str">
        <f>IFERROR(__xludf.DUMMYFUNCTION("""COMPUTED_VALUE"""),"Keck et al")</f>
        <v>Keck et al</v>
      </c>
      <c r="E321" s="24" t="str">
        <f>IFERROR(__xludf.DUMMYFUNCTION("""COMPUTED_VALUE"""),"WOS:000423412500050")</f>
        <v>WOS:000423412500050</v>
      </c>
      <c r="F321" s="24" t="str">
        <f>IFERROR(__xludf.DUMMYFUNCTION("""COMPUTED_VALUE"""),"[""ELIGIBLE""]")</f>
        <v>["ELIGIBLE"]</v>
      </c>
    </row>
    <row r="322">
      <c r="A322" s="24" t="str">
        <f>IFERROR(__xludf.DUMMYFUNCTION("""COMPUTED_VALUE"""),"Grazing effects on woody and herbaceous plant biodiversity on a limestone mountain in northern Tunisia")</f>
        <v>Grazing effects on woody and herbaceous plant biodiversity on a limestone mountain in northern Tunisia</v>
      </c>
      <c r="B322" s="24" t="str">
        <f>IFERROR(__xludf.DUMMYFUNCTION("""COMPUTED_VALUE"""),"Mediterranean maquis vegetation is highly biodiverse, but widespread grazing poses a challenge for management and conservation. We sampled woody and herbaceous plants separately on a limestone mountain with strong mesic-xeric gradients in Tunisia's Parc N"&amp;"ational de L'Ichkeul, assessed grazing pressure (on a scale of 1-3), and asked whether grazing had a significant effect on plant compositional abundance before and after controlling for environmental covariates. Sites on the more mesic lakeside face of th"&amp;"e mountain were most compositionally unique, and forbs contributed most to the herbaceous beta-diversity on the mountain. We used variance partitioning to separate the collective and individual effects of the abiotic environment, grazing, human activity, "&amp;"and space on herbaceous and woody beta-diversity. However, the individual effect of grazing on overall plant community composition was confounded with space, due to the spatially autocorrelated grazing pressure on the mountain. Importantly, we found that "&amp;"herbaceous and woody communities responded differently to increasing levels of grazing intensity: herbaceous beta-diversity was highest between sites with no grazing pressure, while woody beta-diversity peaked under light grazing. Herbaceous community com"&amp;"position was sensitive to any intensity of grazing pressure, and biotic homogenization occured under moderate-to-high grazing pressure. On the other hand, woody community composition remained relatively similar under no to light grazing pressure, but diff"&amp;"ered under moderate-to-heavy grazing. Using a one-way permutational analysis of variance analysis, we showed that grazing had a significant effect when controlling for abiotic and spatial covariates. Our findings offer insight into the effects of grazing "&amp;"on maquis vegetation at Jebel Ichkeul, acting as a microcosm of similar conservation and management issues elsewhere in the Mediterranean. We suggest that a combination of monitoring and carefully controlled grazing may enhance plant diversity and maintai"&amp;"n the region's biodiverse maquis vegetation, potentially maintaining a key climate refugium for vulnerable endemic species. Importantly, our study provides a useful baseline of the plant assemblages at Jebel Ichkeul with which to compare future vegetation"&amp;" changes.")</f>
        <v>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v>
      </c>
      <c r="C322" s="24" t="str">
        <f>IFERROR(__xludf.DUMMYFUNCTION("""COMPUTED_VALUE"""),"10.7717/peerj.7296")</f>
        <v>10.7717/peerj.7296</v>
      </c>
      <c r="D322" s="24" t="str">
        <f>IFERROR(__xludf.DUMMYFUNCTION("""COMPUTED_VALUE"""),"Keck et al")</f>
        <v>Keck et al</v>
      </c>
      <c r="E322" s="24" t="str">
        <f>IFERROR(__xludf.DUMMYFUNCTION("""COMPUTED_VALUE"""),"WOS:000480647100001")</f>
        <v>WOS:000480647100001</v>
      </c>
      <c r="F322" s="24" t="str">
        <f>IFERROR(__xludf.DUMMYFUNCTION("""COMPUTED_VALUE"""),"[""ELIGIBLE""]")</f>
        <v>["ELIGIBLE"]</v>
      </c>
    </row>
    <row r="323">
      <c r="A323" s="24" t="str">
        <f>IFERROR(__xludf.DUMMYFUNCTION("""COMPUTED_VALUE"""),"Drought intensify the effects of warming on root-colonizing arbuscular mycorrhizal fungal community in subtropical Chinese fir plantation")</f>
        <v>Drought intensify the effects of warming on root-colonizing arbuscular mycorrhizal fungal community in subtropical Chinese fir plantation</v>
      </c>
      <c r="B323" s="24" t="str">
        <f>IFERROR(__xludf.DUMMYFUNCTION("""COMPUTED_VALUE"""),"Despite the important linkages of AM fungi with plants, the studies regarding the responses of AM fungal community to warming and drought have lagged behind that of the aboveground plants. In this study, we investigated the impacts of four years of warmin"&amp;"g and drought on the taxonomic and phylogenetic composition of root-colonizing AM fungal communities in a manipulated field experiment in a five year old Chinese fir plantation. The phylogenetic patterns were also used to evaluate the ecological processes"&amp;" structuring AM fungal communities. Results indicated that the diversity of AM fungi remained relatively stable after the four years of warming and drought. Variations in the taxonomic and phylogenetic composition of AM fungal community were recorded unde"&amp;"r warming but not drought treatments. Under drought conditions, warming made the largest pronounced effects on AM fungal community composition. A decrease in the Glomeraceae abundance and increase in the Gigasporaceae abundance were found to primarily con"&amp;"tribute to the differences in the AM fungal community composition between control and warming treatments. In addition, AM fungal communities were phylogenetically clustered across all experimental treatments, suggesting that environmental filtering such a"&amp;"s selection by host plants was the primary ecological process structuring the root-associated AM fungal community assembly. Overall, these findings supported that warming exerted significant effects on the root-colonizing AM fungal communities, especially"&amp;" under drought conditions, but not changed the ecological processes responsible for the assembly of AM fungal communities in the subtropical region.")</f>
        <v>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v>
      </c>
      <c r="C323" s="24" t="str">
        <f>IFERROR(__xludf.DUMMYFUNCTION("""COMPUTED_VALUE"""),"10.1016/j.foreco.2020.118078")</f>
        <v>10.1016/j.foreco.2020.118078</v>
      </c>
      <c r="D323" s="24" t="str">
        <f>IFERROR(__xludf.DUMMYFUNCTION("""COMPUTED_VALUE"""),"Keck et al")</f>
        <v>Keck et al</v>
      </c>
      <c r="E323" s="24" t="str">
        <f>IFERROR(__xludf.DUMMYFUNCTION("""COMPUTED_VALUE"""),"WOS:000528191300022")</f>
        <v>WOS:000528191300022</v>
      </c>
      <c r="F323" s="24" t="str">
        <f>IFERROR(__xludf.DUMMYFUNCTION("""COMPUTED_VALUE"""),"[""ELIGIBLE""]")</f>
        <v>["ELIGIBLE"]</v>
      </c>
    </row>
    <row r="324">
      <c r="A324" s="24" t="str">
        <f>IFERROR(__xludf.DUMMYFUNCTION("""COMPUTED_VALUE"""),"Resistance, resilience, and functional redundancy of freshwater bacterioplankton communities facing a gradient of agricultural stressors in a mesocosm experiment")</f>
        <v>Resistance, resilience, and functional redundancy of freshwater bacterioplankton communities facing a gradient of agricultural stressors in a mesocosm experiment</v>
      </c>
      <c r="B324" s="24" t="str">
        <f>IFERROR(__xludf.DUMMYFUNCTION("""COMPUTED_VALUE"""),"Agricultural pollution with fertilizers and pesticides is a common disturbance to freshwater biodiversity. Bacterioplankton communities are at the base of aquatic food webs, but their responses to these potentially interacting stressors are rarely explore"&amp;"d. To test the extent of resistance and resilience in bacterioplankton communities faced with agricultural stressors, we exposed freshwater mesocosms to single and combined gradients of two commonly used pesticides: the herbicide glyphosate (0-15 mg/L) an"&amp;"d the neonicotinoid insecticide imidacloprid (0-60 mu g/L), in high or low nutrient backgrounds. Over the 43-day experiment, we tracked variation in bacterial density with flow cytometry, carbon substrate use with Biolog EcoPlates, and taxonomic diversity"&amp;" and composition with environmental 16S rRNA gene amplicon sequencing. We show that only glyphosate (at the highest dose, 15 mg/L), but not imidacloprid, nutrients, or their interactions measurably changed community structure, favouring members of the Pro"&amp;"teobacteria including the genus Agrobacterium. However, no change in carbon substrate use was detected throughout, suggesting functional redundancy despite taxonomic changes. We further show that communities are resilient at broad, but not fine taxonomic "&amp;"levels: 24 days after glyphosate application the precise amplicon sequence variants do not return, and tend to be replaced by phylogenetically close taxa. We conclude that high doses of glyphosate - but still within commonly acceptable regulatory guidelin"&amp;"es - alter freshwater bacterioplankton by favouring a subset of higher taxonomic units (i.e., genus to phylum) that transiently thrive in the presence of glyphosate. Longer-term impacts of glyphosate at finer taxonomic resolution merit further investigati"&amp;"on.")</f>
        <v>Agricultural pollution with fertilizers and pesticides is a common disturbance to freshwater biodiversity. Bacterioplankton communities are at the base of aquatic food webs, but their responses to these potentially interacting stressors are rarely explored. To test the extent of resistance and resilience in bacterioplankton communities faced with agricultural stressors, we exposed freshwater mesocosms to single and combined gradients of two commonly used pesticides: the herbicide glyphosate (0-15 mg/L) and the neonicotinoid insecticide imidacloprid (0-60 mu g/L), in high or low nutrient backgrounds. Over the 43-day experiment, we tracked variation in bacterial density with flow cytometry, carbon substrate use with Biolog EcoPlates, and taxonomic diversity and composition with environmental 16S rRNA gene amplicon sequencing. We show that only glyphosate (at the highest dose, 15 mg/L), but not imidacloprid, nutrients, or their interactions measurably changed community structure, favouring members of the Proteobacteria including the genus Agrobacterium. However, no change in carbon substrate use was detected throughout, suggesting functional redundancy despite taxonomic changes. We further show that communities are resilient at broad, but not fine taxonomic levels: 24 days after glyphosate application the precise amplicon sequence variants do not return, and tend to be replaced by phylogenetically close taxa. We conclude that high doses of glyphosate - but still within commonly acceptable regulatory guidelines - alter freshwater bacterioplankton by favouring a subset of higher taxonomic units (i.e., genus to phylum) that transiently thrive in the presence of glyphosate. Longer-term impacts of glyphosate at finer taxonomic resolution merit further investigation.</v>
      </c>
      <c r="C324" s="24" t="str">
        <f>IFERROR(__xludf.DUMMYFUNCTION("""COMPUTED_VALUE"""),"10.1111/mec.16100")</f>
        <v>10.1111/mec.16100</v>
      </c>
      <c r="D324" s="24" t="str">
        <f>IFERROR(__xludf.DUMMYFUNCTION("""COMPUTED_VALUE"""),"Keck et al")</f>
        <v>Keck et al</v>
      </c>
      <c r="E324" s="24" t="str">
        <f>IFERROR(__xludf.DUMMYFUNCTION("""COMPUTED_VALUE"""),"WOS:000684162300001")</f>
        <v>WOS:000684162300001</v>
      </c>
      <c r="F324" s="24" t="str">
        <f>IFERROR(__xludf.DUMMYFUNCTION("""COMPUTED_VALUE"""),"[""ELIGIBLE""]")</f>
        <v>["ELIGIBLE"]</v>
      </c>
    </row>
    <row r="325">
      <c r="A325" s="24" t="str">
        <f>IFERROR(__xludf.DUMMYFUNCTION("""COMPUTED_VALUE"""),"Impacts of long-term snow climate change on a high-elevation cold desert shrubland, California, USA")</f>
        <v>Impacts of long-term snow climate change on a high-elevation cold desert shrubland, California, USA</v>
      </c>
      <c r="B325" s="24" t="str">
        <f>IFERROR(__xludf.DUMMYFUNCTION("""COMPUTED_VALUE"""),"Ecological responses to 50-year old manipulations of snow depth and melt timing were assessed using snow fences arrayed across 50 km of a shrub-conifer landscape mosaic in eastern California, USA. We compared how increased, decreased, and ambient snow dep"&amp;"th affected patterns of vegetation community composition, fire fuel accumulation, and annual tree ring growth. We also tested the effect of snow depth on soil carbon storage based on total C content under the two co-dominant shrub species (Artemisia tride"&amp;"ntata and Purshia tridentata) in comparison with open, intershrub sites. Increased snow depth reduced the cover of the N-fixing shrub P. tridentata but not the water-redistributing shrub A. tridentata. Annual ring growth was greater on +snow plots and low"&amp;"er on -snow plots for the conifer Pinus jeffreyi but not for Pinus contorta. Graminoid cover and aboveground biomass indicated higher fire fuel accumulation where snow depth was increased. Dead shrub stem biomass was greater regardless of whether snow dep"&amp;"th was increased or decreased. Results demonstrate community shifts, altered tree growth, feedbacks on carbon storage, and altered fire fuel accumulation as a result of changes in snow depth and melt timing for this high-elevation, snow-dominated ecotone "&amp;"under future climate scenarios that envision increased or decreased snow depth.")</f>
        <v>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v>
      </c>
      <c r="C325" s="24" t="str">
        <f>IFERROR(__xludf.DUMMYFUNCTION("""COMPUTED_VALUE"""),"10.1007/s11258-012-0164-8")</f>
        <v>10.1007/s11258-012-0164-8</v>
      </c>
      <c r="D325" s="24" t="str">
        <f>IFERROR(__xludf.DUMMYFUNCTION("""COMPUTED_VALUE"""),"Keck et al")</f>
        <v>Keck et al</v>
      </c>
      <c r="E325" s="24" t="str">
        <f>IFERROR(__xludf.DUMMYFUNCTION("""COMPUTED_VALUE"""),"WOS:000314781600008")</f>
        <v>WOS:000314781600008</v>
      </c>
      <c r="F325" s="24" t="str">
        <f>IFERROR(__xludf.DUMMYFUNCTION("""COMPUTED_VALUE"""),"[""ELIGIBLE""]")</f>
        <v>["ELIGIBLE"]</v>
      </c>
    </row>
    <row r="326">
      <c r="A326" s="24" t="str">
        <f>IFERROR(__xludf.DUMMYFUNCTION("""COMPUTED_VALUE"""),"The northern Baltic Sea phytoplankton communities in 1903-1911 and 1993-2005: a comparison of historical and modern species data")</f>
        <v>The northern Baltic Sea phytoplankton communities in 1903-1911 and 1993-2005: a comparison of historical and modern species data</v>
      </c>
      <c r="B326" s="24" t="str">
        <f>IFERROR(__xludf.DUMMYFUNCTION("""COMPUTED_VALUE"""),"Despite over 100 years of phytoplankton research in the Baltic Sea, little is known about how the species composition has changed during this period, characterised by severe anthropogenic eutrophication. We investigated the phytoplankton communities in th"&amp;"e northern Baltic Sea using data from 1903 to 1911 and 1993 to 2005; to minimise effects of methodological differences we focused on occurrence frequencies. We found that the historical and modern communities differed regarding both species composition an"&amp;"d the relative importance of taxonomical groups. The most obvious differences were the increase of dinoflagellates and decrease in the diatom to dinoflagellate ratio in all seasons. Contrary to the widely held view that cyanophytes have gained significanc"&amp;"e, our results indicate that in terms of occurrence the group has not increased in summer, and has lost ground in both spring and autumn. Several shifts in the occurrence frequency and seasonality of individual taxa transpired. Examining our results in re"&amp;"lation to environmental conditions we found that some changes may be symptomatic of climate change related pressures. However, statistical analyses revealed that an undefined 'period effect' was the most important factor separating the historical and mode"&amp;"rn phytoplankton communities. We interpret this 'period effect' as evidence for the direct and/or indirect influence of eutrophication.")</f>
        <v>Despite over 100 years of phytoplankton research in the Baltic Sea, little is known about how the species composition has changed during this period, characterised by severe anthropogenic eutrophication. We investigated the phytoplankton communities in the northern Baltic Sea using data from 1903 to 1911 and 1993 to 2005; to minimise effects of methodological differences we focused on occurrence frequencies. We found that the historical and modern communities differed regarding both species composition and the relative importance of taxonomical groups. The most obvious differences were the increase of dinoflagellates and decrease in the diatom to dinoflagellate ratio in all seasons. Contrary to the widely held view that cyanophytes have gained significance, our results indicate that in terms of occurrence the group has not increased in summer, and has lost ground in both spring and autumn. Several shifts in the occurrence frequency and seasonality of individual taxa transpired. Examining our results in relation to environmental conditions we found that some changes may be symptomatic of climate change related pressures. However, statistical analyses revealed that an undefined 'period effect' was the most important factor separating the historical and modern phytoplankton communities. We interpret this 'period effect' as evidence for the direct and/or indirect influence of eutrophication.</v>
      </c>
      <c r="C326" s="24" t="str">
        <f>IFERROR(__xludf.DUMMYFUNCTION("""COMPUTED_VALUE"""),"10.1007/s10750-012-1414-4")</f>
        <v>10.1007/s10750-012-1414-4</v>
      </c>
      <c r="D326" s="24" t="str">
        <f>IFERROR(__xludf.DUMMYFUNCTION("""COMPUTED_VALUE"""),"Keck et al")</f>
        <v>Keck et al</v>
      </c>
      <c r="E326" s="24" t="str">
        <f>IFERROR(__xludf.DUMMYFUNCTION("""COMPUTED_VALUE"""),"WOS:000316332300009")</f>
        <v>WOS:000316332300009</v>
      </c>
      <c r="F326" s="24" t="str">
        <f>IFERROR(__xludf.DUMMYFUNCTION("""COMPUTED_VALUE"""),"[""ELIGIBLE""]")</f>
        <v>["ELIGIBLE"]</v>
      </c>
    </row>
    <row r="327">
      <c r="A327" s="24" t="str">
        <f>IFERROR(__xludf.DUMMYFUNCTION("""COMPUTED_VALUE"""),"Post-spruce beetle timber salvage drives short-term surface fuel increases and understory vegetation shifts")</f>
        <v>Post-spruce beetle timber salvage drives short-term surface fuel increases and understory vegetation shifts</v>
      </c>
      <c r="B327" s="24" t="str">
        <f>IFERROR(__xludf.DUMMYFUNCTION("""COMPUTED_VALUE"""),"Recent, widespread spruce beetle (Dendroctonus rufipennis) outbreaks have driven extensive tree mortality across western North America. Post-disturbance forest management often includes salvage logging to capture economic value of dead timber, reduce fire"&amp;" hazard, and meet other social or ecological objectives. Little is known about effects of salvage logging on surface fuel loads or plant understory communities in Engelmann spruce (Picea engelmannii)-dominated forests. We sampled fine and coarse woody deb"&amp;"ris, ground cover, and plant species composition along transects in spruce-beetle impacted stands in southwestern Colorado, USA. Twenty stands had been subject to clearcut 1-2 years prior to sampling; 32 stands were unlogged controls. Salvage logged stand"&amp;"s exhibited altered surface fuels, ground cover, plant species cover, and community composition. Salvage increased 1-, 10-, and 100-hr fuels, and cover by bare ground and woody debris; cover by litter and cryptogams was reduced. Understory plant cover was"&amp;" reduced in salvaged stands, primarily due to losses of shrub cover. We found no difference in species diversity or richness between treated stands and controls. Salvage logging also drove shifts in plant community composition. Mean cover by non-native sp"&amp;"ecies was low, and not different, between control and salvage stands. Our study characterizes short-term effects that will undoubtedly change substantially over longer periods, in particular due to anticipated tree seedling growth and movement of standing"&amp;" dead wood from the canopy to the surface. In the near term, abundant fine woody surface fuels at salvage sites could influence the likelihood and rate of spread of surface fires, though over time we expect surface fuels in untreated stands to increase to"&amp;" comparable or greater levels than in salvaged stands. Differences in vascular plant cover and composition imparted by salvage harvests is also expected to change over time, though whether treated and untreated communities diverge or converge is not known"&amp;". As such, we recommend that salvage harvest effects be monitored over extended time frames in order to detect longer-term trends.")</f>
        <v>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v>
      </c>
      <c r="C327" s="24" t="str">
        <f>IFERROR(__xludf.DUMMYFUNCTION("""COMPUTED_VALUE"""),"10.1016/j.foreco.2019.01.048")</f>
        <v>10.1016/j.foreco.2019.01.048</v>
      </c>
      <c r="D327" s="24" t="str">
        <f>IFERROR(__xludf.DUMMYFUNCTION("""COMPUTED_VALUE"""),"Keck et al")</f>
        <v>Keck et al</v>
      </c>
      <c r="E327" s="24" t="str">
        <f>IFERROR(__xludf.DUMMYFUNCTION("""COMPUTED_VALUE"""),"WOS:000461270600033")</f>
        <v>WOS:000461270600033</v>
      </c>
      <c r="F327" s="24" t="str">
        <f>IFERROR(__xludf.DUMMYFUNCTION("""COMPUTED_VALUE"""),"[""ELIGIBLE""]")</f>
        <v>["ELIGIBLE"]</v>
      </c>
    </row>
    <row r="328">
      <c r="A328" s="24" t="str">
        <f>IFERROR(__xludf.DUMMYFUNCTION("""COMPUTED_VALUE"""),"What is the impact of urban development and thermokarsting on arctic tundra pond zooplankton communities?")</f>
        <v>What is the impact of urban development and thermokarsting on arctic tundra pond zooplankton communities?</v>
      </c>
      <c r="B328" s="24" t="str">
        <f>IFERROR(__xludf.DUMMYFUNCTION("""COMPUTED_VALUE"""),"Human development and warming in the Arctic are increasingly putting new pressures on the abundant freshwater ecosystems in the region. In particular, recent and rapid expansion of thermokarst ponds in permafrost regions has been associated with these str"&amp;"esses. Our goal was to examine the relative impacts of pond enrichment by urban encroachment and thermokarsting, compared to relatively unimpacted regions, on the environmental conditions and zooplankton communities of tundra ponds near Utqia ġvik, AK, US"&amp;"A. Both urban ponds and thermokarst ponds were found to have substantially different environmental conditions, as well as distinctive zooplankton communities relative to reference sites. Thermokarst ponds presented an environment rich in DOC and nutrients"&amp;" (N, P, and Si) and phytoplankton biomass. Enrichment by nutrients and DOC in thermokarst ponds led to significantly greater zooplankton abundance composed largely of Daphnia middendorffiana (66 individuals L-1) and cyclopoid copepods (65 individuals L-1)"&amp;". Urban ponds had moderate nutrient levels, with elevated benthic algal biomass. These ponds had intermediate numbers of D. middendorffianna (14 individuals L-1), as well as significantly higher numbers of diaptomid copepods (8 individuals L-1) and chydor"&amp;"ids (11 individuals L-1), as compared to one or both reference regions. The two reference regions [Barrow Environmental Observatory (BEO) and International Biological Program (IBP)] had consistently lower nutrient concentrations, algal levels, and zooplan"&amp;"kton abundances (less than 3 individuals L-1). Finally, harpacticoid copepods and Bosmina longirostris were new records for the zooplankton in the region. Further collections are required to determine the drivers for these new observations. These results "&amp;"identify the large potential relative contributions of urban inputs and thermokarsting to enrichment of Arctic aquatic ecosystems and point to thermokarsting, which will likely increase with warming, as a major contributor to change in these systems.")</f>
        <v>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v>
      </c>
      <c r="C328" s="24" t="str">
        <f>IFERROR(__xludf.DUMMYFUNCTION("""COMPUTED_VALUE"""),"10.1007/s00300-021-02866-9")</f>
        <v>10.1007/s00300-021-02866-9</v>
      </c>
      <c r="D328" s="24" t="str">
        <f>IFERROR(__xludf.DUMMYFUNCTION("""COMPUTED_VALUE"""),"Keck et al")</f>
        <v>Keck et al</v>
      </c>
      <c r="E328" s="24" t="str">
        <f>IFERROR(__xludf.DUMMYFUNCTION("""COMPUTED_VALUE"""),"WOS:000648340200001")</f>
        <v>WOS:000648340200001</v>
      </c>
      <c r="F328" s="24" t="str">
        <f>IFERROR(__xludf.DUMMYFUNCTION("""COMPUTED_VALUE"""),"[""ELIGIBLE""]")</f>
        <v>["ELIGIBLE"]</v>
      </c>
    </row>
    <row r="329">
      <c r="A329" s="24" t="str">
        <f>IFERROR(__xludf.DUMMYFUNCTION("""COMPUTED_VALUE"""),"Temporal changes in macrofauna as response indicator to potential human pressures on sandy beaches")</f>
        <v>Temporal changes in macrofauna as response indicator to potential human pressures on sandy beaches</v>
      </c>
      <c r="B329" s="24" t="str">
        <f>IFERROR(__xludf.DUMMYFUNCTION("""COMPUTED_VALUE"""),"Sandy beaches are natural dynamic ecosystems, which are becoming worldwide increasingly disturbed by intensive human direct use, coastal development and erosive evolution. In this study, we have examined whether ten years of potential increased human pres"&amp;"sures have resulted in significant changes in the macrofaunal assemblages' structure and composition of two mesotidal sandy beaches (Cabedelo - urban beach, and Quiaios - rural beach) on the European Atlantic coast (Portugal). Seasonal macrofauna collecti"&amp;"ons were performed at both beaches in two different periods, one in 1999-2000 and another in 2010-2011. The physical variables did not change significantly in both beaches throughout the studied periods, however, the urban beach was subject to an increase"&amp;" of human pressures (tourism and shoreline modifications) over the 10-years interval considered when compared with the rural beach. The univariate community descriptors (total density, species richness and diversity) did not differ significantly among per"&amp;"iods for the rural beach. In contrast, temporal differences were found at the most urbanised beach, principally regarding the abundances of the amphipod Talitrus saltator and the isopod Tylos europaeus, two of the most abundant species at both beaches. PE"&amp;"RMANOVA tests enhanced these temporal variations and the SIMPER analysis attributed to these species the main differences found between periods in this beach. Since the physical environment was similar in both periods, the ecological changes were most lik"&amp;"ely attributed to the increased human pressures observed at the urban beach. Nevertheless, this study highlights the need of further robust and effective impact assessments and long-term studies to better discern between natural and human induced changes "&amp;"on sandy beaches. (C) 2014 Elsevier Ltd. All rights reserved.")</f>
        <v>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v>
      </c>
      <c r="C329" s="24" t="str">
        <f>IFERROR(__xludf.DUMMYFUNCTION("""COMPUTED_VALUE"""),"10.1016/j.ecolind.2014.01.023")</f>
        <v>10.1016/j.ecolind.2014.01.023</v>
      </c>
      <c r="D329" s="24" t="str">
        <f>IFERROR(__xludf.DUMMYFUNCTION("""COMPUTED_VALUE"""),"Keck et al")</f>
        <v>Keck et al</v>
      </c>
      <c r="E329" s="24" t="str">
        <f>IFERROR(__xludf.DUMMYFUNCTION("""COMPUTED_VALUE"""),"WOS:000334822200006")</f>
        <v>WOS:000334822200006</v>
      </c>
      <c r="F329" s="24" t="str">
        <f>IFERROR(__xludf.DUMMYFUNCTION("""COMPUTED_VALUE"""),"[""ELIGIBLE""]")</f>
        <v>["ELIGIBLE"]</v>
      </c>
    </row>
    <row r="330">
      <c r="A330" s="24" t="str">
        <f>IFERROR(__xludf.DUMMYFUNCTION("""COMPUTED_VALUE"""),"Response of birds to high biodiversity silvopastoral systems: Integrating food production and biodiversity conservation through applied nucleation in southern Brazil")</f>
        <v>Response of birds to high biodiversity silvopastoral systems: Integrating food production and biodiversity conservation through applied nucleation in southern Brazil</v>
      </c>
      <c r="B330" s="24" t="str">
        <f>IFERROR(__xludf.DUMMYFUNCTION("""COMPUTED_VALUE"""),"The quality of a landscape's matrix is a key condition for the conservation of biodiversity and affects the diversity and composition of bird assemblages in agricultural landscapes with forest remnants. In southern Brazil most agricultural landscapes are "&amp;"a mosaic of cultivated areas, treeless pastures and forest remnants. These landscapes must be planned and managed for food production while synergically enhancing ecological restoration and biodiversity conservation. In this study, we compared the diversi"&amp;"ty and composition of bird species in High Biodiversity Silvopastoral Systems (SPSnuclei), treeless pasture areas, forest edges and forest interiors. SPSnuclei is a type of silvopastoral system (SPS) whose design was inspired by applied nucleation refores"&amp;"tation techniques using multispecies agroforestry nuclei. In this study, we sought to understand the influence of the SPSnuclei on the diversity and composition of birds by comparing SPSnuclei to treeless pasture areas, forest edges and the forest interio"&amp;"r. We hypothesize that multispecies agroforestry nuclei would restore some of the ecosystem biodiversity, and therefore resilience. To quantify bird diversity, sound recorders were installed simultaneously within these habitats during the spring and summe"&amp;"r of 2016 and 2017 on three dairy farms. We identified calls from 108 bird species in 2400 min of recordings (600 min/habitat). The High Biodiversity Silvopastoral System increased the diversity of birds in the agroecosystem. Species richness was higher i"&amp;"n the parcels with SPSnuclei compared to treeless pastures (P &lt; 0,05). Although, species richness was smaller in the SPSnuclei than forest edge and interior of the forest remnants (P &lt; 0,05). Eight species from the interior and forest edge were observed i"&amp;"n the SPSnuclei, but not in the treeless pastures. This research presents evidence that SPSnuclei has positive effects on the diversity and composition of the avifauna in agricultural landscapes and could act as stepping stones that increase connectivity "&amp;"between forest remnants.")</f>
        <v>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v>
      </c>
      <c r="C330" s="24" t="str">
        <f>IFERROR(__xludf.DUMMYFUNCTION("""COMPUTED_VALUE"""),"10.1016/j.agee.2021.107709")</f>
        <v>10.1016/j.agee.2021.107709</v>
      </c>
      <c r="D330" s="24" t="str">
        <f>IFERROR(__xludf.DUMMYFUNCTION("""COMPUTED_VALUE"""),"Keck et al")</f>
        <v>Keck et al</v>
      </c>
      <c r="E330" s="24" t="str">
        <f>IFERROR(__xludf.DUMMYFUNCTION("""COMPUTED_VALUE"""),"WOS:000719323800006")</f>
        <v>WOS:000719323800006</v>
      </c>
      <c r="F330" s="24" t="str">
        <f>IFERROR(__xludf.DUMMYFUNCTION("""COMPUTED_VALUE"""),"[""ELIGIBLE""]")</f>
        <v>["ELIGIBLE"]</v>
      </c>
    </row>
    <row r="331">
      <c r="A331" s="24" t="str">
        <f>IFERROR(__xludf.DUMMYFUNCTION("""COMPUTED_VALUE"""),"Removal of intertidal grazers by human harvesting leads to alteration of species interactions, community structure and resilience to climate change")</f>
        <v>Removal of intertidal grazers by human harvesting leads to alteration of species interactions, community structure and resilience to climate change</v>
      </c>
      <c r="B331" s="24" t="str">
        <f>IFERROR(__xludf.DUMMYFUNCTION("""COMPUTED_VALUE"""),"Extreme fluctuations in abiotic conditions can induce a biological stress response (e.g. bleaching) detrimental to an organism's health. In some instances, organisms can recover if conditions are alleviated, such as through co-occurrence with other specie"&amp;"s that confer protection. Biodiverse, multitrophic communities are increasingly recognised as important promoters of species persistence and resilience under environmental change. On intertidal shores, the role of grazers as top-down determinants of algal"&amp;" community structure is well recognised. Similarly, the harvesting of grazers for human consumption is increasingly prevalent with potential to greatly alter the community dynamics. Here, we assess how differences in harvesting pressure of grazers under t"&amp;"hree management regimes (no-take; managed access; open-access) alters the trophic interactions between grazers, and algal communities. Grazer density and body size frequencies were different among regimes leading to changes in the photosynthetic performan"&amp;"ce and recovery of crustose coralline algae (CCA) post-bleaching, as well as their presence altering the strength of interactions between species. The exclusion of grazers from patches using cages led to different emergent communities and reduced negative"&amp;" correlations between taxa. The absence of larger grazers (&gt; 9 cm) at the managed access site led to macroalgal overgrowth of bleached CCA negatively affecting its recovery, whereas no-take or open-access led to a moderated algal growth and a shift from c"&amp;"ompetitive to facilitative interactions between algal species. Given that CCA play an important role in the population growth and development of other species, the choice of management measure should be carefully considered before implementation, dependin"&amp;"g on objectives.")</f>
        <v>Extreme fluctuations in abiotic conditions can induce a biological stress response (e.g. bleaching) detrimental to an organism's health. In some instances, organisms can recover if conditions are alleviated, such as through co-occurrence with other species that confer protection. Biodiverse, multitrophic communities are increasingly recognised as important promoters of species persistence and resilience under environmental change. On intertidal shores, the role of grazers as top-down determinants of algal community structure is well recognised. Similarly, the harvesting of grazers for human consumption is increasingly prevalent with potential to greatly alter the community dynamics. Here, we assess how differences in harvesting pressure of grazers under three management regimes (no-take; managed access; open-access) alters the trophic interactions between grazers, and algal communities. Grazer density and body size frequencies were different among regimes leading to changes in the photosynthetic performance and recovery of crustose coralline algae (CCA) post-bleaching, as well as their presence altering the strength of interactions between species. The exclusion of grazers from patches using cages led to different emergent communities and reduced negative correlations between taxa. The absence of larger grazers (&gt; 9 cm) at the managed access site led to macroalgal overgrowth of bleached CCA negatively affecting its recovery, whereas no-take or open-access led to a moderated algal growth and a shift from competitive to facilitative interactions between algal species. Given that CCA play an important role in the population growth and development of other species, the choice of management measure should be carefully considered before implementation, depending on objectives.</v>
      </c>
      <c r="C331" s="24" t="str">
        <f>IFERROR(__xludf.DUMMYFUNCTION("""COMPUTED_VALUE"""),"10.1016/j.marenvres.2019.03.003")</f>
        <v>10.1016/j.marenvres.2019.03.003</v>
      </c>
      <c r="D331" s="24" t="str">
        <f>IFERROR(__xludf.DUMMYFUNCTION("""COMPUTED_VALUE"""),"Keck et al")</f>
        <v>Keck et al</v>
      </c>
      <c r="E331" s="24" t="str">
        <f>IFERROR(__xludf.DUMMYFUNCTION("""COMPUTED_VALUE"""),"WOS:000467511000006")</f>
        <v>WOS:000467511000006</v>
      </c>
      <c r="F331" s="24" t="str">
        <f>IFERROR(__xludf.DUMMYFUNCTION("""COMPUTED_VALUE"""),"[""ELIGIBLE""]")</f>
        <v>["ELIGIBLE"]</v>
      </c>
    </row>
    <row r="332">
      <c r="A332" s="24" t="str">
        <f>IFERROR(__xludf.DUMMYFUNCTION("""COMPUTED_VALUE"""),"Soil Bacterial Community Responses to N Application and Warming in a Qinghai-Tibetan Plateau Alpine Steppe")</f>
        <v>Soil Bacterial Community Responses to N Application and Warming in a Qinghai-Tibetan Plateau Alpine Steppe</v>
      </c>
      <c r="B332" s="24" t="str">
        <f>IFERROR(__xludf.DUMMYFUNCTION("""COMPUTED_VALUE"""),"Nitrogen deposition and climate warming can alter soil bacterial communities. However, the response of soil bacteria in an alpine steppe to these changes is largely unknown. In this study, a field experiment was performed on the northeastern Qinghai-Tibet"&amp;"an Plateau to determine the changes in soil bacterial communities of alpine steppes in response to nitrogen application and warming. The experiment consisted of four treatments, namely no-N application with no-warming (CK), N application (8 kg N ha(-1) ye"&amp;"ar(-1)) with no-warming (N), warming with no-N application (W), and N application (8 kg N ha(-1) year(-1)) with warming (W&amp;N). This study aimed to investigate (1) the changes in soil bacterial diversity and community structure under simulated nitrogen dep"&amp;"osition and warming conditions, and (2) the key environmental factors responsible for these changes. Based on the results, soil bacterial diversity and community composition did not change significantly in the short term. Warming had a significant effect "&amp;"on overall bacterial composition, rare species composition, and individual bacterial taxa. Besides, the interaction between nitrogen application and warming had a significant effect on community beta-diversity. Above-ground plant variables were highly cor"&amp;"related with bacterial community characteristics. Nitrogen application and warming did not significantly alter the distribution range of the bacterial community. Overall, this study suggests that soil bacterial communities can remain relatively stable at "&amp;"the level of simulated nitrogen application and warming and that short-term climatic changes may have no significant impacts on soil bacterial communities.")</f>
        <v>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v>
      </c>
      <c r="C332" s="24" t="str">
        <f>IFERROR(__xludf.DUMMYFUNCTION("""COMPUTED_VALUE"""),"10.3389/fevo.2021.709518")</f>
        <v>10.3389/fevo.2021.709518</v>
      </c>
      <c r="D332" s="24" t="str">
        <f>IFERROR(__xludf.DUMMYFUNCTION("""COMPUTED_VALUE"""),"Keck et al")</f>
        <v>Keck et al</v>
      </c>
      <c r="E332" s="24" t="str">
        <f>IFERROR(__xludf.DUMMYFUNCTION("""COMPUTED_VALUE"""),"WOS:000696743900001")</f>
        <v>WOS:000696743900001</v>
      </c>
      <c r="F332" s="24" t="str">
        <f>IFERROR(__xludf.DUMMYFUNCTION("""COMPUTED_VALUE"""),"[""ELIGIBLE""]")</f>
        <v>["ELIGIBLE"]</v>
      </c>
    </row>
    <row r="333">
      <c r="A333" s="24" t="str">
        <f>IFERROR(__xludf.DUMMYFUNCTION("""COMPUTED_VALUE"""),"Fine-scale dynamics and community stability in boreal peatlands: revisiting a fen and a bog in Sweden after 50 years")</f>
        <v>Fine-scale dynamics and community stability in boreal peatlands: revisiting a fen and a bog in Sweden after 50 years</v>
      </c>
      <c r="B333" s="24" t="str">
        <f>IFERROR(__xludf.DUMMYFUNCTION("""COMPUTED_VALUE"""),"Multi-decadal studies of community and ecosystemdynamics are rare; however, this time frame is most relevant for assessing the impact of anthropogenic influences and climate change on ecosystems. For this reason, we investigated changes in vegetation and "&amp;"microtopography over 52 years in two contrasting mire ecosystems, one ombrotrophic (bog) and one minerotrophic (fen), representing different successional stages and contrasting hydrological settings. In both peatlands, floristic composition was recorded i"&amp;"n the same permanent plots (n = 55-56, 0.25 m(2)) in both 1960 and 2012 and microtopography was mapped over a large area (ca. 2500 m(2)) that encompassed these same plots. We quantified and compared the community-level changes and internal spatial dynamic"&amp;"s, tested associations between pH/microtopography and community/species change, and examined how the area and location of hummock microforms had changed over time. The bog exhibited little site level change in vegetation, where few species changed signifi"&amp;"cantly in cover and plot frequency. However, detailed analyses revealed some large within-plot changes over time in the bog, illustrating that bogs can be highly dynamic systems at a fine scale. In contrast, the rich fen experienced a clear directional ch"&amp;"ange; specifically, bryophyte abundance decreased by 70% and brown mosses were almost extinct. Although pH had decreased over time at the rich fen, this decrease at the plot-level was not associated with the decline of brown moss abundance. The microtopog"&amp;"raphic structure did not change substantially at the bog where similar to 70% was covered by lawn/hummocks; however, in the rich fen hummocks expanded (from 10% to 16% cover) and moved or expanded down slope. Our study suggests, that at the site-level, th"&amp;"e bog ecosystem was more resistant to environmental changes over time compared to the rich fen, as evidenced by shifts in vegetation and microtopography. The contrasting scales of vegetation dynamics observed within a bog (i.e., within-plot changes vs. si"&amp;"te-level) indicate that plant-environment feedbacks contribute to the peatland level stability. While in rich fens, internal feedbacks may be weaker and the ecosystem's vegetation and microtopographic structure are vulnerable to shifting hydrological flux"&amp;"es.")</f>
        <v>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v>
      </c>
      <c r="C333" s="24" t="str">
        <f>IFERROR(__xludf.DUMMYFUNCTION("""COMPUTED_VALUE"""),"10.1890/ES14-00202.1")</f>
        <v>10.1890/ES14-00202.1</v>
      </c>
      <c r="D333" s="24" t="str">
        <f>IFERROR(__xludf.DUMMYFUNCTION("""COMPUTED_VALUE"""),"Keck et al")</f>
        <v>Keck et al</v>
      </c>
      <c r="E333" s="24" t="str">
        <f>IFERROR(__xludf.DUMMYFUNCTION("""COMPUTED_VALUE"""),"WOS:000345097200011")</f>
        <v>WOS:000345097200011</v>
      </c>
      <c r="F333" s="24" t="str">
        <f>IFERROR(__xludf.DUMMYFUNCTION("""COMPUTED_VALUE"""),"[""ELIGIBLE""]")</f>
        <v>["ELIGIBLE"]</v>
      </c>
    </row>
    <row r="334">
      <c r="A334" s="24" t="str">
        <f>IFERROR(__xludf.DUMMYFUNCTION("""COMPUTED_VALUE"""),"Amphibian diversity increases in an heterogeneous agricultural landscape")</f>
        <v>Amphibian diversity increases in an heterogeneous agricultural landscape</v>
      </c>
      <c r="B334" s="24" t="str">
        <f>IFERROR(__xludf.DUMMYFUNCTION("""COMPUTED_VALUE"""),"As a group amphibians are the vertebrates most affected by anthropic activity, particularly by agriculture. The rapid advance of the agricultural frontier makes it important to identify the role of agroecosystems as habitat supply for amphibians. We analy"&amp;"zed the differences in amphibian assemblages and populations between habitats with different plant covers and different degrees of human intervention in northwestern Argentina. For three years we conducted 114 high frequency trap samplings to quantify abu"&amp;"ndance, specific composition and species richness of amphibian assemblages in three habitat types (lemon and sugarcane crops and secondary forest) of a piedmont agroecosystem of Tucuman province. Crops hosted more species and individuals than secondary fo"&amp;"rests, but the specific composition of forest was different from that of crops suggesting that they could be complementary. Although the assemblage abundance of every observation responded to climate, the strong effect of sampling year was not related to "&amp;"climatic factors suggesting that there might be long term fluctuations that were not analyzed. We also found that responses to agricultural practices were species specific, so no generalizations about these practices should be done. Our study shows that c"&amp;"ultivated areas are not hostile environments for amphibians since they can lodge huge amphibian populations and that the occurrence of disturbances associated to agricultural practices is not necessarily reflected in a decrease in the abundance and richne"&amp;"ss of amphibians in the short term. However, our results also show that forested lands are necessary to lodge some specialist species which are very rare in the croplands. This suggests that environmental heterogeneity generated by the combination of natu"&amp;"ral and cultivated patches can increase biodiversity at landscape scale because this allows the coexistence of species related to either kind of environment. (C) 2015 Elsevier Masson SAS. All rights reserved.")</f>
        <v>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v>
      </c>
      <c r="C334" s="24" t="str">
        <f>IFERROR(__xludf.DUMMYFUNCTION("""COMPUTED_VALUE"""),"10.1016/j.actao.2015.09.003")</f>
        <v>10.1016/j.actao.2015.09.003</v>
      </c>
      <c r="D334" s="24" t="str">
        <f>IFERROR(__xludf.DUMMYFUNCTION("""COMPUTED_VALUE"""),"Keck et al")</f>
        <v>Keck et al</v>
      </c>
      <c r="E334" s="24" t="str">
        <f>IFERROR(__xludf.DUMMYFUNCTION("""COMPUTED_VALUE"""),"WOS:000366079700010")</f>
        <v>WOS:000366079700010</v>
      </c>
      <c r="F334" s="24" t="str">
        <f>IFERROR(__xludf.DUMMYFUNCTION("""COMPUTED_VALUE"""),"[""ELIGIBLE""]")</f>
        <v>["ELIGIBLE"]</v>
      </c>
    </row>
    <row r="335">
      <c r="A335" s="24" t="str">
        <f>IFERROR(__xludf.DUMMYFUNCTION("""COMPUTED_VALUE"""),"Subfossil Cladocera from surface sediment reflect contemporary assemblages and their environmental controls in Iberian flatland ponds")</f>
        <v>Subfossil Cladocera from surface sediment reflect contemporary assemblages and their environmental controls in Iberian flatland ponds</v>
      </c>
      <c r="B335" s="24" t="str">
        <f>IFERROR(__xludf.DUMMYFUNCTION("""COMPUTED_VALUE"""),"Cladoceran subfossils from surface sediments have been recognized as useful and reliable ecological indicators in freshwater ecosystems. Nevertheless, investigations concerning the relationships between contemporary and sedimentary assemblages are scarce "&amp;"in the Mediterranean region and no studies are available from Iberian flatland ponds. Here, we explore the concordance between present-day Cladocera assemblages and their sedimentary remains from 25 ponds distributed across a vast heterogeneous region in "&amp;"the Iberian Plateau. Overall, this study aims at identifying sediment biological proxies with good capacity to track long-term changes in Iberian flatland ponds. We found a total of 15 and 18 taxa in the contemporary and sedimentary samples, respectively,"&amp;" with daphniids dominating water column samples whereas the majority of the remains recovered from surface sediments were from chydorids. In accordance with previous work, we found that subfossil Cladocera properly reflect the contemporary assemblages fro"&amp;"m which they are derived. Similarly, our results showed not only analogous environmental controls structuring contemporary and sedimentary assemblages (mainly pH and soluble reactive phosphorous), but also a similar proportion of explained variance in the"&amp;" two. Although there were several taxa occurring only in contemporary samples (Diaphanosoma brachyurum, Moina rosea, Macrothrix hirsuticomis, Scapholeberis sp. and Simocephalus sp.), we found that subfossil assemblages were significantly more rich, divers"&amp;"e, equitable and heterogeneous, indicating that an integrated sample of surface sediment from each pond may supply enough information for assessing cladoceran composition and the numerous drivers controlling their assemblage structure.")</f>
        <v>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v>
      </c>
      <c r="C335" s="24" t="str">
        <f>IFERROR(__xludf.DUMMYFUNCTION("""COMPUTED_VALUE"""),"10.1016/j.ecolind.2017.12.007")</f>
        <v>10.1016/j.ecolind.2017.12.007</v>
      </c>
      <c r="D335" s="24" t="str">
        <f>IFERROR(__xludf.DUMMYFUNCTION("""COMPUTED_VALUE"""),"Keck et al")</f>
        <v>Keck et al</v>
      </c>
      <c r="E335" s="24" t="str">
        <f>IFERROR(__xludf.DUMMYFUNCTION("""COMPUTED_VALUE"""),"WOS:000430761100004")</f>
        <v>WOS:000430761100004</v>
      </c>
      <c r="F335" s="24" t="str">
        <f>IFERROR(__xludf.DUMMYFUNCTION("""COMPUTED_VALUE"""),"[""ELIGIBLE""]")</f>
        <v>["ELIGIBLE"]</v>
      </c>
    </row>
    <row r="336">
      <c r="A336" s="24" t="str">
        <f>IFERROR(__xludf.DUMMYFUNCTION("""COMPUTED_VALUE"""),"Long-term dynamics of bird diversity in forest and suburb: decay, turnover or homogenization?")</f>
        <v>Long-term dynamics of bird diversity in forest and suburb: decay, turnover or homogenization?</v>
      </c>
      <c r="B336" s="24" t="str">
        <f>IFERROR(__xludf.DUMMYFUNCTION("""COMPUTED_VALUE"""),"Aim Urbanization and deforestation are important drivers of biodiversity change. However, long-term changes in faunal communities within urbanizing regions are poorly understood. We investigated how well observed community changes in both space and time a"&amp;"gree with expectations based on current paradigms in urban ecology. Location Greater Brisbane region, Australia. Methods We compared bird assemblages in two time-periods 15 years apart, at multiple sites in remnant forest and residential suburbs across an"&amp;" urbanizing landscape. Differences in assemblage composition, species abundances and functional groupings were assessed within and between habitats. Results Compared with forest, suburbs in both time-periods had over twice the total bird abundance, a diff"&amp;"erent species composition, greater between-site community similarity, a greater proportion of non-native species and greater dominance by large-bodied species. These differences corresponded with changes in sites whose habitat was converted from forest to"&amp;" suburb. Between time-periods, abundances of 58% of suburban species changed significantly compared with those of 11% in forest. Increaser species outnumbered decreasers in suburbs, with the reverse in forest. Abundance of small-bodied birds decreased 70%"&amp;" in suburbs and 20% in forest. Broad-spectrum competitors and nest predators were common among suburban increasers. Among invasive species, the number of increasers was counterbalanced by decreasers. Both site-scale species richness and between-site commu"&amp;"nity similarity increased to a small extent in both habitats. Main conclusions Species composition and ecological function of suburban bird communities were very dynamic. Suburban assemblages were neither a subset of forest species nor an increasingly non"&amp;"-native compilation. Communities in large forest patches were comparatively stable. The notion of habitat-specific species turnover better characterizes the nature of most changes than either species decline or homogenization, even though both of these we"&amp;"re evident. There is considerable scope for careful urban planning, focused on both among- and within-habitat variety, to sustain bird diversity in urbanizing landscapes.")</f>
        <v>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v>
      </c>
      <c r="C336" s="24" t="str">
        <f>IFERROR(__xludf.DUMMYFUNCTION("""COMPUTED_VALUE"""),"10.1111/j.1472-4642.2010.00665.x")</f>
        <v>10.1111/j.1472-4642.2010.00665.x</v>
      </c>
      <c r="D336" s="24" t="str">
        <f>IFERROR(__xludf.DUMMYFUNCTION("""COMPUTED_VALUE"""),"Keck et al")</f>
        <v>Keck et al</v>
      </c>
      <c r="E336" s="24" t="str">
        <f>IFERROR(__xludf.DUMMYFUNCTION("""COMPUTED_VALUE"""),"WOS:000278646000005")</f>
        <v>WOS:000278646000005</v>
      </c>
      <c r="F336" s="24" t="str">
        <f>IFERROR(__xludf.DUMMYFUNCTION("""COMPUTED_VALUE"""),"[""ELIGIBLE""]")</f>
        <v>["ELIGIBLE"]</v>
      </c>
    </row>
    <row r="337">
      <c r="A337" s="24" t="str">
        <f>IFERROR(__xludf.DUMMYFUNCTION("""COMPUTED_VALUE"""),"Foraging behavioural traits of tropical insectivorous birds lead to dissimilar communities in contrasting forest habitats")</f>
        <v>Foraging behavioural traits of tropical insectivorous birds lead to dissimilar communities in contrasting forest habitats</v>
      </c>
      <c r="B337" s="24" t="str">
        <f>IFERROR(__xludf.DUMMYFUNCTION("""COMPUTED_VALUE"""),"Many deforested areas worldwide have been planted with Alnus spp. to protect watersheds and soils. However, the effects of these plantations on biodiversity are little known yet. Contrasting forest types may impose strong environmental filters to some beh"&amp;"avioural traits, leading to dissimilar communities. Insectivorous birds are known to be sensitive to changes in habitat structure due to their specialized foraging behaviour. We contrasted species richness, abundance and composition of insectivorous birds"&amp;", according to functional behaviour groups (foraging strategy and stratum), between secondary forest stands and Andean alder Alnus acuminata plantations, to assess how contrasting forest types affect this bird group in the Colombian Andes. Insectivorous b"&amp;"ird species richness and abundance were higher at the Alder plantation rather than at the secondary forest, resulting in dissimilar communities. In this regard, forest plantations act as a positive filter for foliage gleaners and flycatchers, whereas seco"&amp;"ndary forests act as a positive filter for bark foragers. Secondary forests and alder plantations impose different ecological scenarios to insectivorous birds, related to foraging strategies and foraging stratum, which ultimately leads to a dissimilar spe"&amp;"cies composition.")</f>
        <v>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v>
      </c>
      <c r="C337" s="24" t="str">
        <f>IFERROR(__xludf.DUMMYFUNCTION("""COMPUTED_VALUE"""),"10.2981/wlb.00483")</f>
        <v>10.2981/wlb.00483</v>
      </c>
      <c r="D337" s="24" t="str">
        <f>IFERROR(__xludf.DUMMYFUNCTION("""COMPUTED_VALUE"""),"Keck et al")</f>
        <v>Keck et al</v>
      </c>
      <c r="E337" s="24" t="str">
        <f>IFERROR(__xludf.DUMMYFUNCTION("""COMPUTED_VALUE"""),"WOS:000469183600001")</f>
        <v>WOS:000469183600001</v>
      </c>
      <c r="F337" s="24" t="str">
        <f>IFERROR(__xludf.DUMMYFUNCTION("""COMPUTED_VALUE"""),"[""ELIGIBLE""]")</f>
        <v>["ELIGIBLE"]</v>
      </c>
    </row>
    <row r="338">
      <c r="A338" s="24" t="str">
        <f>IFERROR(__xludf.DUMMYFUNCTION("""COMPUTED_VALUE"""),"Monoculture and mixture-planting of non-native Douglas fir alters species composition, but promotes the diversity of ground beetles in a temperate forest system")</f>
        <v>Monoculture and mixture-planting of non-native Douglas fir alters species composition, but promotes the diversity of ground beetles in a temperate forest system</v>
      </c>
      <c r="B338" s="24" t="str">
        <f>IFERROR(__xludf.DUMMYFUNCTION("""COMPUTED_VALUE"""),"Planting non-native tree species, like Douglas fir in temperate European forest systems, is encouraged to mitigate effects of climate change. However, Douglas fir monocultures often revealed negative effects on forest biota, while effects of mixtures with"&amp;" native tree species on forest ecosystems are less well understood. We investigated effects of three tree species (Douglas fir, Norway spruce, native European beech), on ground beetles in temperate forests of Germany. Beetles were sampled in monocultures "&amp;"of each tree species and broadleaf-conifer mixtures with pitfall traps, and environmental variables were assessed around each trap. We used linear mixed models in a two-step procedure to disentangle effects of environment and tree species identity on grou"&amp;"nd beetle abundance, species richness, functional diversity and species assemblage structure. Contradictory to our expectations, ground beetle abundance and functional diversity was highest in pure Douglas fir stands, while tree mixtures showed intermedia"&amp;"te values between pure coniferous and pure beech stands. The main drivers of these patterns were only partially dependent on tree species identity, which highlights the importance of structural features in forest stands. However, our study revealed distin"&amp;"ct shifts in assemblage structure between pure beech and pure Douglas fir stands, which were only partially eased through mixture planting. Our findings suggest that effects of planting non-native trees on associated biodiversity can be actively modified "&amp;"by promoting beneficial forest structures. Nevertheless, integrating non-native tree species, even in mixtures with native trees, will invariably alter assemblage structures of associated biota, which can compromise conservation efforts targeted at typica"&amp;"l species composition.")</f>
        <v>Planting non-native tree species, like Douglas fir in temperate European forest systems, is encouraged to mitigate effects of climate change. However, Douglas fir monocultures often revealed negative effects on forest biota, while effects of mixtures with native tree species on forest ecosystems are less well understood. We investigated effects of three tree species (Douglas fir, Norway spruce, native European beech), on ground beetles in temperate forests of Germany. Beetles were sampled in monocultures of each tree species and broadleaf-conifer mixtures with pitfall traps, and environmental variables were assessed around each trap. We used linear mixed models in a two-step procedure to disentangle effects of environment and tree species identity on ground beetle abundance, species richness, functional diversity and species assemblage structure. Contradictory to our expectations, ground beetle abundance and functional diversity was highest in pure Douglas fir stands, while tree mixtures showed intermediate values between pure coniferous and pure beech stands. The main drivers of these patterns were only partially dependent on tree species identity, which highlights the importance of structural features in forest stands. However, our study revealed distinct shifts in assemblage structure between pure beech and pure Douglas fir stands, which were only partially eased through mixture planting. Our findings suggest that effects of planting non-native trees on associated biodiversity can be actively modified by promoting beneficial forest structures. Nevertheless, integrating non-native tree species, even in mixtures with native trees, will invariably alter assemblage structures of associated biota, which can compromise conservation efforts targeted at typical species composition.</v>
      </c>
      <c r="C338" s="24" t="str">
        <f>IFERROR(__xludf.DUMMYFUNCTION("""COMPUTED_VALUE"""),"10.1007/s10531-021-02155-1")</f>
        <v>10.1007/s10531-021-02155-1</v>
      </c>
      <c r="D338" s="24" t="str">
        <f>IFERROR(__xludf.DUMMYFUNCTION("""COMPUTED_VALUE"""),"Keck et al")</f>
        <v>Keck et al</v>
      </c>
      <c r="E338" s="24" t="str">
        <f>IFERROR(__xludf.DUMMYFUNCTION("""COMPUTED_VALUE"""),"WOS:000631730500001")</f>
        <v>WOS:000631730500001</v>
      </c>
      <c r="F338" s="24" t="str">
        <f>IFERROR(__xludf.DUMMYFUNCTION("""COMPUTED_VALUE"""),"[""ELIGIBLE""]")</f>
        <v>["ELIGIBLE"]</v>
      </c>
    </row>
    <row r="339">
      <c r="A339" s="24" t="str">
        <f>IFERROR(__xludf.DUMMYFUNCTION("""COMPUTED_VALUE"""),"Changes in beta diversity and species functional traits differ between saplings and mature trees in an old-growth forest")</f>
        <v>Changes in beta diversity and species functional traits differ between saplings and mature trees in an old-growth forest</v>
      </c>
      <c r="B339" s="24" t="str">
        <f>IFERROR(__xludf.DUMMYFUNCTION("""COMPUTED_VALUE"""),"Invasion by generalist tree species can cause biotic homogenization, and such community impoverishment is likely more important in rare forest types. We quantified changes in tree diversity within Carolinian (range in Central Hardwood Forest), central (ra"&amp;"nge in Central Hardwood Forest and Northern Hardwood-Conifer Forest), and northern species [range reached Northern-Conifer-Hardwood/closed Boreal (spruce-Fir) Forest] in an old forest tract in southern Canada at points surveyed 24 years apart. We asked: H"&amp;"ow did mature tree and sapling composition and abundance change for the three species' groups? Did those changes lead to biotic homogenization? Can species' changes be explained by community traits? We tested for differences in temporal and spatial tree b"&amp;"eta-diversity, as well as forest composition and structure, using univariate/multivariate analyses and a community trait-based approach to identify drivers of change. Major increases occurred in abundance for mature Acer rubrum (northern), while other spe"&amp;"cies decreased (Fraxinus americana, Populus grandidentata); declines were found in A. saccharinum (central) and Cornus florida (Carolinian). Species composition of saplings, but not mature trees, changed due to replacement; no evidence for biotic homogeni"&amp;"zation existed in either cohort. As a group, northern mature tree species increased significantly, while central species decreased; saplings of pooled Carolinian species also declined. Shade tolerance in mature trees increased, reflecting successional cha"&amp;"nges, while drought tolerance decreased, perhaps due to changing temperatures, altered precipitation or ground water levels. Saplings showed declines in all traits, probably because of compositional change. Our results demonstrated that saplings can more "&amp;"closely reflect change in forest dynamics than mature trees, especially over short time periods. Based on sapling trends, this remnant could ultimately transition to a mesophytic hardwood stand dominated by A. rubrum and other shade-tolerant species, crea"&amp;"ting a more homogeneous forest. While encouraging regeneration for Carolinian and central tree species could ensure high levels of diversity are conserved in the future, it is important to balance this with the primary management goal of maintaining the f"&amp;"orest's old-growth characteristics.")</f>
        <v>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v>
      </c>
      <c r="C339" s="24" t="str">
        <f>IFERROR(__xludf.DUMMYFUNCTION("""COMPUTED_VALUE"""),"10.1002/ece3.6913")</f>
        <v>10.1002/ece3.6913</v>
      </c>
      <c r="D339" s="24" t="str">
        <f>IFERROR(__xludf.DUMMYFUNCTION("""COMPUTED_VALUE"""),"Keck et al")</f>
        <v>Keck et al</v>
      </c>
      <c r="E339" s="24" t="str">
        <f>IFERROR(__xludf.DUMMYFUNCTION("""COMPUTED_VALUE"""),"WOS:000599688800001")</f>
        <v>WOS:000599688800001</v>
      </c>
      <c r="F339" s="24" t="str">
        <f>IFERROR(__xludf.DUMMYFUNCTION("""COMPUTED_VALUE"""),"[""ELIGIBLE""]")</f>
        <v>["ELIGIBLE"]</v>
      </c>
    </row>
    <row r="340">
      <c r="A340" s="24" t="str">
        <f>IFERROR(__xludf.DUMMYFUNCTION("""COMPUTED_VALUE"""),"Impact of mining on the floristic association of gold mined sites in Southwest Nigeria")</f>
        <v>Impact of mining on the floristic association of gold mined sites in Southwest Nigeria</v>
      </c>
      <c r="B340" s="24" t="str">
        <f>IFERROR(__xludf.DUMMYFUNCTION("""COMPUTED_VALUE"""),"Background Occurrences in land use, human activities and climate change have both direct and indirect influences on the environment. Of interest for this study is mining; a common activity in developing countries such as Nigeria which is endowed with over"&amp;" 34 solid minerals. The gold mining sites in the Southwest region of the country is predominantly by Artisanal and Small-Scale Mining (ASM). Though the benefits are known, its induced consequences are enormous. To understand its extent of floristic divers"&amp;"ity, identification of functional plants and plant species surviving on the mined sites (despite its characterized mining and alteration level); this study compared the floristic composition of an abandoned mining site (Site 1), an active mining site (Sit"&amp;"e 2) and an undisturbed vegetation sites (Control) of similar vegetation zone. Results A total of 54, 28 and 37 species belonging to 31, 20 and 23 families were found on Site 1, Site 2 and the control site, respectively. It shows that the floristic compos"&amp;"ition of all the sites has been altered due to its past intense agricultural colonization and human activities, but severe on Site 1 and 2 due to mining. Lots of the identified species are functional species and stand as ecological indicators. Species suc"&amp;"h as Acanthus montanus and Icacina trichantha found on the Control sites are native and significance but species such as Capsicum frutescens and Crassocephalum crepidioides on Site 2 are due to human inference while most species on Site 1 shows both origi"&amp;"nal and altered floristic composition (e.g. Adenia venenata and Grewia flavescens). Conclusions Apart from the on-going farming activities, ASM activities such as pollution, deforestation and exposure of the forest soils to direct sunlight has greatly str"&amp;"essed and disturbed the floristic composition, species richness, life form patterns, of the mined sites as well as introduction of non-native plant species. It is therefore necessary to develop effective approaches and policies to curb these illegal ASM a"&amp;"ctivities, empower the community (especially youths), stabilize the economy and establish sustainable development strategies with adequate reclamation measures.")</f>
        <v>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v>
      </c>
      <c r="C340" s="24" t="str">
        <f>IFERROR(__xludf.DUMMYFUNCTION("""COMPUTED_VALUE"""),"10.1186/s12898-020-00276-9")</f>
        <v>10.1186/s12898-020-00276-9</v>
      </c>
      <c r="D340" s="24" t="str">
        <f>IFERROR(__xludf.DUMMYFUNCTION("""COMPUTED_VALUE"""),"Keck et al")</f>
        <v>Keck et al</v>
      </c>
      <c r="E340" s="24" t="str">
        <f>IFERROR(__xludf.DUMMYFUNCTION("""COMPUTED_VALUE"""),"WOS:000520453200001")</f>
        <v>WOS:000520453200001</v>
      </c>
      <c r="F340" s="24" t="str">
        <f>IFERROR(__xludf.DUMMYFUNCTION("""COMPUTED_VALUE"""),"[""ELIGIBLE""]")</f>
        <v>["ELIGIBLE"]</v>
      </c>
    </row>
    <row r="341">
      <c r="A341" s="24" t="str">
        <f>IFERROR(__xludf.DUMMYFUNCTION("""COMPUTED_VALUE"""),"Environmental DNA metabarcoding as a tool for biodiversity assessment and monitoring: reconstructing established fish communities of north-temperate lakes and rivers")</f>
        <v>Environmental DNA metabarcoding as a tool for biodiversity assessment and monitoring: reconstructing established fish communities of north-temperate lakes and rivers</v>
      </c>
      <c r="B341" s="24" t="str">
        <f>IFERROR(__xludf.DUMMYFUNCTION("""COMPUTED_VALUE"""),"Aim To evaluate the ability of precipitation-based environmental DNA (eDNA) sample collection and mitochondrial 12S metabarcoding sequencing to reconstruct well-studied fish communities in lakes and rivers. Specific objectives were to 1) determine correla"&amp;"tions between eDNA species detections and known community composition based on conventional field sampling, 2) compare efficiency of eDNA to detect fish biodiversity among systems with variable morphologies and trophic states, and 3) determine if species "&amp;"habitat preferences predict eDNA detection. Location Upper Great Lakes Region, North America. Methods Fish community composition was estimated for seven lakes and two Mississippi River navigation pools using sequence data from the mitochondrial 12S gene a"&amp;"mplified from 10 to 50 water samples per waterbody collected in 50-mL centrifuge tubes at a single time point. Environmental DNA (eDNA) was concentrated without filtration by centrifuging samples to reduce per-sample handling time. Taxonomic detections fr"&amp;"om eDNA were compared to established community monitoring databases containing up to 40 years of sampling and a detailed habitat/substrate preference matrix to identify patterns of bias. Results Mitochondrial 12S gene metabarcoding detected 15%-47% of the"&amp;" known species at each waterbody and 30%-76% of known genera. Non-metric multidimensional scaling (NMDS) assessment of the community structure indicated that eDNA-detected communities grouped in a similar pattern as known communities. Discriminant analysi"&amp;"s of principal components indicated that there was a high degree of overlap in habitat/substrate preference of eDNA-detected and eDNA-undetected species suggesting limited habitat bias for eDNA sampling. Main conclusions Large numbers of small volume samp"&amp;"les sequenced at the mitochondrial 12S gene can describe the coarse community structure of freshwater systems. However, additional conventional sampling and environmental DNA sampling may be necessary for a complete diversity census.")</f>
        <v>Aim To evaluate the ability of precipitation-based environmental DNA (eDNA) sample collection and mitochondrial 12S metabarcoding sequencing to reconstruct well-studied fish communities in lakes and rivers. Specific objectives were to 1) determine correlations between eDNA species detections and known community composition based on conventional field sampling, 2) compare efficiency of eDNA to detect fish biodiversity among systems with variable morphologies and trophic states, and 3) determine if species habitat preferences predict eDNA detection. Location Upper Great Lakes Region, North America. Methods Fish community composition was estimated for seven lakes and two Mississippi River navigation pools using sequence data from the mitochondrial 12S gene amplified from 10 to 50 water samples per waterbody collected in 50-mL centrifuge tubes at a single time point. Environmental DNA (eDNA) was concentrated without filtration by centrifuging samples to reduce per-sample handling time. Taxonomic detections from eDNA were compared to established community monitoring databases containing up to 40 years of sampling and a detailed habitat/substrate preference matrix to identify patterns of bias. Results Mitochondrial 12S gene metabarcoding detected 15%-47% of the known species at each waterbody and 30%-76% of known genera. Non-metric multidimensional scaling (NMDS) assessment of the community structure indicated that eDNA-detected communities grouped in a similar pattern as known communities. Discriminant analysis of principal components indicated that there was a high degree of overlap in habitat/substrate preference of eDNA-detected and eDNA-undetected species suggesting limited habitat bias for eDNA sampling. Main conclusions Large numbers of small volume samples sequenced at the mitochondrial 12S gene can describe the coarse community structure of freshwater systems. However, additional conventional sampling and environmental DNA sampling may be necessary for a complete diversity census.</v>
      </c>
      <c r="C341" s="24" t="str">
        <f>IFERROR(__xludf.DUMMYFUNCTION("""COMPUTED_VALUE"""),"10.1111/ddi.13253")</f>
        <v>10.1111/ddi.13253</v>
      </c>
      <c r="D341" s="24" t="str">
        <f>IFERROR(__xludf.DUMMYFUNCTION("""COMPUTED_VALUE"""),"Keck et al")</f>
        <v>Keck et al</v>
      </c>
      <c r="E341" s="24" t="str">
        <f>IFERROR(__xludf.DUMMYFUNCTION("""COMPUTED_VALUE"""),"WOS:000647529100001")</f>
        <v>WOS:000647529100001</v>
      </c>
      <c r="F341" s="24" t="str">
        <f>IFERROR(__xludf.DUMMYFUNCTION("""COMPUTED_VALUE"""),"[""ELIGIBLE""]")</f>
        <v>["ELIGIBLE"]</v>
      </c>
    </row>
    <row r="342">
      <c r="A342" s="24" t="str">
        <f>IFERROR(__xludf.DUMMYFUNCTION("""COMPUTED_VALUE"""),"Effects of elevated ground-level ozone on paddy soil bacterial community and assembly mechanisms across four years")</f>
        <v>Effects of elevated ground-level ozone on paddy soil bacterial community and assembly mechanisms across four years</v>
      </c>
      <c r="B342" s="24" t="str">
        <f>IFERROR(__xludf.DUMMYFUNCTION("""COMPUTED_VALUE"""),"It is well known that elevated ground-level ozone (eO(3)) poses a threat to the ecosystem. Little knowledge about the underground variables, especially on soil microorganisms, however, has been revealed. Such knowledge will tremendously help to advance ou"&amp;"r understanding of the correlation between ecosystems and climate change, as well as our ability to predict future trajectory. For this purpose, we have collected soil DNA samples (eO(3) vs. Ambient, each having 36 samples) over four years. Our results ha"&amp;"ve verified the temporal responses and the underlying assembly mechanisms of the paddy bacterial community to eO(3). Contrary to the widespread consensus, it was found that eO(3) stimulated bacterial alpha diversities. The higher complexity and the centra"&amp;"lization of the co-occurrence network of the bacterial community suggested that this stimulation was due to a microbial survival strategy in response to the limited resources, which led to the instability of the community. Furthermore, the observed slower"&amp;" temporal turnover of the bacterial community composition in response to eO(3) was due to the decreased deterministic processes derived from plants, which implied that eO(3) disrupted the coordination between soil microorganisms and rice crop. All above p"&amp;"henomena provided novel insights into the adverse influences of eO(3) on the soil microbial community. If O-3 concentration increases continuously, the adverse effects will be aggravated and harm the related ecological functions. (C) 2018 Elsevier B.V. Al"&amp;"l rights reserved.")</f>
        <v>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v>
      </c>
      <c r="C342" s="24" t="str">
        <f>IFERROR(__xludf.DUMMYFUNCTION("""COMPUTED_VALUE"""),"10.1016/j.scitotenv.2018.11.130")</f>
        <v>10.1016/j.scitotenv.2018.11.130</v>
      </c>
      <c r="D342" s="24" t="str">
        <f>IFERROR(__xludf.DUMMYFUNCTION("""COMPUTED_VALUE"""),"Keck et al")</f>
        <v>Keck et al</v>
      </c>
      <c r="E342" s="24" t="str">
        <f>IFERROR(__xludf.DUMMYFUNCTION("""COMPUTED_VALUE"""),"WOS:000458630100133")</f>
        <v>WOS:000458630100133</v>
      </c>
      <c r="F342" s="24" t="str">
        <f>IFERROR(__xludf.DUMMYFUNCTION("""COMPUTED_VALUE"""),"[""ELIGIBLE""]")</f>
        <v>["ELIGIBLE"]</v>
      </c>
    </row>
    <row r="343">
      <c r="A343" s="24" t="str">
        <f>IFERROR(__xludf.DUMMYFUNCTION("""COMPUTED_VALUE"""),"Experimental assessment of the impacts of ocean acidification and urchin grazing on benthic kelp forest assemblages")</f>
        <v>Experimental assessment of the impacts of ocean acidification and urchin grazing on benthic kelp forest assemblages</v>
      </c>
      <c r="B343" s="24" t="str">
        <f>IFERROR(__xludf.DUMMYFUNCTION("""COMPUTED_VALUE"""),"Ocean acidification (OA) is likely to differentially affect the biology and physiology of calcifying and noncalcifying taxa, thereby potentially altering key ecological interactions (e.g., facilitation, competition, predation) in ways that are difficult t"&amp;"o predict from single-species experiments. We used a two-factor experimental design to investigate how multispecies benthic assemblages in southern California kelp forests respond to OA and grazing by the purple sea urchin, Strongylocentrotus purpuratus. "&amp;"Settlement tiles accrued natural mixed assemblages of algae and invertebrates in a kelp forest off San Diego, CA for one year before being exposed to OA and grazing in a laboratory experiment for two months. Space occupying organisms were identified and p"&amp;"ooled into six functional groups: calcified invertebrates, non-calcified invertebrates, calcified algae, fleshy algae, sediment, and bare space for subsequent analyses of community structure. Interestingly, communities that developed on separate tile rack"&amp;"s were unique, despite being deployed close in space, and further changes in community structure in response to OA and grazing depended on this initial community state. On Rack 1, we found significant effects of both pCO(2) and grazing with elevated pCO(2"&amp;") increasing cover of fleshy algae, but sea urchin grazers decreasing cover of fleshy algae. On Rack 2, we found a similar to 35% higher percent cover of sediment on tiles reared in ambient pCO(2) but observed similar to 27% higher cover of bare space in "&amp;"the high pCO(2) conditions. On Rack 3, we found an average of 45% lower percent cover of calcified sessile invertebrates at ambient pCO(2) than in high pCO(2) treatments on Rack 3. Net community calcification was 137% lower in elevated pCO(2) treatments. "&amp;"Kelp sporophyte densities on tiles without urchins were 74% higher than on tiles with urchins and kelp densities were highest in the elevated pCO(2) treatment. Urchin growth and grazing rates were 49% and 126% higher under ambient than high pCO(2) conditi"&amp;"ons. This study highlights consistent negative impacts of OA on community processes such as calcification and grazing rates, even though impacts on community structure were highly context-dependent.")</f>
        <v>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v>
      </c>
      <c r="C343" s="24" t="str">
        <f>IFERROR(__xludf.DUMMYFUNCTION("""COMPUTED_VALUE"""),"10.1016/j.jembe.2021.151548")</f>
        <v>10.1016/j.jembe.2021.151548</v>
      </c>
      <c r="D343" s="24" t="str">
        <f>IFERROR(__xludf.DUMMYFUNCTION("""COMPUTED_VALUE"""),"Keck et al")</f>
        <v>Keck et al</v>
      </c>
      <c r="E343" s="24" t="str">
        <f>IFERROR(__xludf.DUMMYFUNCTION("""COMPUTED_VALUE"""),"WOS:000654239000003")</f>
        <v>WOS:000654239000003</v>
      </c>
      <c r="F343" s="24" t="str">
        <f>IFERROR(__xludf.DUMMYFUNCTION("""COMPUTED_VALUE"""),"[""ELIGIBLE""]")</f>
        <v>["ELIGIBLE"]</v>
      </c>
    </row>
    <row r="344">
      <c r="A344" s="24" t="str">
        <f>IFERROR(__xludf.DUMMYFUNCTION("""COMPUTED_VALUE"""),"Coral cover a stronger driver of reef fish trophic biomass than fishing")</f>
        <v>Coral cover a stronger driver of reef fish trophic biomass than fishing</v>
      </c>
      <c r="B344" s="24" t="str">
        <f>IFERROR(__xludf.DUMMYFUNCTION("""COMPUTED_VALUE"""),"An influential paradigm in coral reef ecology is that fishing causes trophic cascades through reef fish assemblages, resulting in reduced herbivory and thus benthic phase shifts from coral to algal dominance. Few long-term field tests exist of how fishing"&amp;" affects the trophic structure of coral reef fish assemblages, and how such changes affect the benthos. Alternatively, benthic change itself may drive the trophic structure of reef fish assemblages. Reef fish trophic structure and benthic cover were quant"&amp;"ified almost annually from 1983 to 2014 at two small Philippine islands (Apo, Sumilon). At each island a No-Take Marine Reserve (NTMR) site and a site open to subsistence reef fishing were monitored. Thirteen trophic groups were identified. Large planktiv"&amp;"ores often accounted for &gt;50% of assemblage biomass. Significant NTMR effects were detected at each island for total fish biomass, but for only 2 of 13 trophic components: generalist large predators and large planktivores. Fishing-induced changes in bioma"&amp;"ss of these components had no effect on live hard coral (HC) cover. In contrast, HC cover affected biomass of 11 of 13 trophic components significantly. Positive associations with HC cover were detected for total fish biomass, generalist large predators, "&amp;"piscivores, obligate coral feeders, large planktivores, and small planktivores. Negative associations with HC cover were detected for large benthic foragers, detritivores, excavators, scrapers, and sand feeders. These associations of fish biomass to HC co"&amp;"ver were most clear when environmental disturbances (e.g., coral bleaching, typhoons) reduced HC cover, often quickly (1-2 yr), and when HC recovered, often slowly (5-10 yr). As HC cover changed, the biomass of 11 trophic components of the fish assemblage"&amp;" changed. Benthic and fish assemblages were distinct at all sites from the outset, remaining so for 31 yr, despite differences in fishing pressure and disturbance history. HC cover alone explained similar to 30% of the variability in reef fish trophic str"&amp;"ucture, whereas fishing alone explained 24%. Furthermore, HC cover affected more trophic groups more strongly than fishing. Management of coral reefs must include measures to maintain coral reef habitats, not just measures to reduce fishing by NTMRs.")</f>
        <v>An influential paradigm in coral reef ecology is that fishing causes trophic cascades through reef fish assemblages, resulting in reduced herbivory and thus benthic phase shifts from coral to algal dominance. Few long-term field tests exist of how fishing affects the trophic structure of coral reef fish assemblages, and how such changes affect the benthos. Alternatively, benthic change itself may drive the trophic structure of reef fish assemblages. Reef fish trophic structure and benthic cover were quantified almost annually from 1983 to 2014 at two small Philippine islands (Apo, Sumilon). At each island a No-Take Marine Reserve (NTMR) site and a site open to subsistence reef fishing were monitored. Thirteen trophic groups were identified. Large planktivores often accounted for &gt;50% of assemblage biomass. Significant NTMR effects were detected at each island for total fish biomass, but for only 2 of 13 trophic components: generalist large predators and large planktivores. Fishing-induced changes in biomass of these components had no effect on live hard coral (HC) cover. In contrast, HC cover affected biomass of 11 of 13 trophic components significantly. Positive associations with HC cover were detected for total fish biomass, generalist large predators, piscivores, obligate coral feeders, large planktivores, and small planktivores. Negative associations with HC cover were detected for large benthic foragers, detritivores, excavators, scrapers, and sand feeders. These associations of fish biomass to HC cover were most clear when environmental disturbances (e.g., coral bleaching, typhoons) reduced HC cover, often quickly (1-2 yr), and when HC recovered, often slowly (5-10 yr). As HC cover changed, the biomass of 11 trophic components of the fish assemblage changed. Benthic and fish assemblages were distinct at all sites from the outset, remaining so for 31 yr, despite differences in fishing pressure and disturbance history. HC cover alone explained similar to 30% of the variability in reef fish trophic structure, whereas fishing alone explained 24%. Furthermore, HC cover affected more trophic groups more strongly than fishing. Management of coral reefs must include measures to maintain coral reef habitats, not just measures to reduce fishing by NTMRs.</v>
      </c>
      <c r="C344" s="24" t="str">
        <f>IFERROR(__xludf.DUMMYFUNCTION("""COMPUTED_VALUE"""),"10.1002/eap.2224")</f>
        <v>10.1002/eap.2224</v>
      </c>
      <c r="D344" s="24" t="str">
        <f>IFERROR(__xludf.DUMMYFUNCTION("""COMPUTED_VALUE"""),"Keck et al")</f>
        <v>Keck et al</v>
      </c>
      <c r="E344" s="24" t="str">
        <f>IFERROR(__xludf.DUMMYFUNCTION("""COMPUTED_VALUE"""),"WOS:000574574400001")</f>
        <v>WOS:000574574400001</v>
      </c>
      <c r="F344" s="24" t="str">
        <f>IFERROR(__xludf.DUMMYFUNCTION("""COMPUTED_VALUE"""),"[""ELIGIBLE""]")</f>
        <v>["ELIGIBLE"]</v>
      </c>
    </row>
    <row r="345">
      <c r="A345" s="24" t="str">
        <f>IFERROR(__xludf.DUMMYFUNCTION("""COMPUTED_VALUE"""),"Cumulative impacts and feedbacks of a gravel road on shrub tundra ecosystems in the Peel Plateau, Northwest Territories, Canada")</f>
        <v>Cumulative impacts and feedbacks of a gravel road on shrub tundra ecosystems in the Peel Plateau, Northwest Territories, Canada</v>
      </c>
      <c r="B345" s="24" t="str">
        <f>IFERROR(__xludf.DUMMYFUNCTION("""COMPUTED_VALUE"""),"Gravel highways in the continuous permafrost zone provide critical transportation links that are increasingly vulnerable to the impacts of climate warming and permafrost thaw. To examine if the physical effects associated with the construction, maintenanc"&amp;"e, and use of gravel roads alter vegetation and permafrost conditions, we measured vegetation, soils, and near-surface ground temperatures at tall and dwarf shrub tundra sites adjacent to and distant from the Dempster Highway in the Northwest Territories "&amp;"of Canada. We found that alder growth and recruitment were significantly enhanced adjacent to the highway. Where alder shrubs had formed closed canopies, we observed dramatic alterations to plant community composition, soil properties, and ground temperat"&amp;"ures. Tall shrub sites adjacent to the road exhibited less understory vegetation, greater litter and organic layer thickness, higher nutrient availability, and thicker snowpack than all other site types. Our results show that in shrub tundra ecosystems th"&amp;"e conditions generated by the maintenance and use of a gravel road can drive ecological feedbacks that magnify changes to vegetation communities and soils. We found that where the road facilitated shrub dominance, feedbacks were initiated that enhanced sn"&amp;"ow accumulation and altered ground temperatures and soil chemistry. In turn, these changes likely promoted enhanced shrub recruitment and growth. Shrub proliferation adjacent to highways is an important consideration for the planning and maintenance of th"&amp;"is form of infrastructure. To improve our understanding of the spatial heterogeneity of shrub proliferation, research exploring the relationships between biophysical landscape features and shrub development is also needed.")</f>
        <v>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v>
      </c>
      <c r="C345" s="24" t="str">
        <f>IFERROR(__xludf.DUMMYFUNCTION("""COMPUTED_VALUE"""),"10.1657/1938-4246-46.4.947")</f>
        <v>10.1657/1938-4246-46.4.947</v>
      </c>
      <c r="D345" s="24" t="str">
        <f>IFERROR(__xludf.DUMMYFUNCTION("""COMPUTED_VALUE"""),"Keck et al")</f>
        <v>Keck et al</v>
      </c>
      <c r="E345" s="24" t="str">
        <f>IFERROR(__xludf.DUMMYFUNCTION("""COMPUTED_VALUE"""),"WOS:000346219500021")</f>
        <v>WOS:000346219500021</v>
      </c>
      <c r="F345" s="24" t="str">
        <f>IFERROR(__xludf.DUMMYFUNCTION("""COMPUTED_VALUE"""),"[""ELIGIBLE""]")</f>
        <v>["ELIGIBLE"]</v>
      </c>
    </row>
    <row r="346">
      <c r="A346" s="24" t="str">
        <f>IFERROR(__xludf.DUMMYFUNCTION("""COMPUTED_VALUE"""),"Determinants of moth diversity and community in a temperate mountain landscape: vegetation, topography, and seasonality")</f>
        <v>Determinants of moth diversity and community in a temperate mountain landscape: vegetation, topography, and seasonality</v>
      </c>
      <c r="B346" s="24" t="str">
        <f>IFERROR(__xludf.DUMMYFUNCTION("""COMPUTED_VALUE"""),"Macromoth diversity, abundance, and community structure in the topographically complex HJ Andrews Experimental Forest and LTER site was studied on the west slope of the Cascade Range, Oregon. Data on 493 macromoth species (62,221 individuals) was sampled "&amp;"eight times/year at 20 locations from 2004 to 2008 and examined using multivariate statistics and generalized additive models to determine the importance of topography and vegetation on moth community assembly and diversity. Significant differences exist "&amp;"between moth communities at lower and higher elevations. High-elevation moth communities are far more variable inter-annually, whether associated with high-elevation forests, meadows, or clearcuts. Low-elevation young and old gymnosperm forests and ripari"&amp;"an forests are more stable and predictable communities having less inter-annual variability. High-elevation communities show more intra-annual variability than low-elevation communities. Low-elevation moth communities are more abundant than high-elevation"&amp;" communities and typically associated with the most common, abundant species of macromoths in the study. High-elevation communities, by contrast, are associated with less abundant, more evenly distributed species, as well as with rare moth species. Macrom"&amp;"oth community structure and diversity were related to year or sample period and structural descriptions of vegetation communities, but not related to known host-plant diversity. High-elevation communities are threatened by contraction of montane meadows a"&amp;"nd climate change which, given the variability in high-elevation communities, could severely impact the biological diversity of the western Cascades landscape. Nocturnal macromoths represent an important potential indicator of ecosystem health and change.")</f>
        <v>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v>
      </c>
      <c r="C346" s="24" t="str">
        <f>IFERROR(__xludf.DUMMYFUNCTION("""COMPUTED_VALUE"""),"10.1890/ES12-00384.1")</f>
        <v>10.1890/ES12-00384.1</v>
      </c>
      <c r="D346" s="24" t="str">
        <f>IFERROR(__xludf.DUMMYFUNCTION("""COMPUTED_VALUE"""),"Keck et al")</f>
        <v>Keck et al</v>
      </c>
      <c r="E346" s="24" t="str">
        <f>IFERROR(__xludf.DUMMYFUNCTION("""COMPUTED_VALUE"""),"WOS:000327380400012")</f>
        <v>WOS:000327380400012</v>
      </c>
      <c r="F346" s="24" t="str">
        <f>IFERROR(__xludf.DUMMYFUNCTION("""COMPUTED_VALUE"""),"[""ELIGIBLE""]")</f>
        <v>["ELIGIBLE"]</v>
      </c>
    </row>
    <row r="347">
      <c r="A347" s="24" t="str">
        <f>IFERROR(__xludf.DUMMYFUNCTION("""COMPUTED_VALUE"""),"Satellite detection of bird communities in tropical countryside")</f>
        <v>Satellite detection of bird communities in tropical countryside</v>
      </c>
      <c r="B347" s="24" t="str">
        <f>IFERROR(__xludf.DUMMYFUNCTION("""COMPUTED_VALUE"""),"The future of biodiversity hinges partly on realizing the potentially high conservation value of human-dominated countryside. The characteristics of the countryside that promote biodiversity preservation remain poorly understood, however, particularly at "&amp;"the fine scales at which individual farmers tend to make land use decisions. To address this problem, we explored the use of a rapid remote sensing method for estimating bird community composition in tropical countryside, using a two-step process. First, "&amp;"we asked how fine-grained variation in land cover affected community composition. Second, we determined whether the observed changes in community composition correlated with three easily accessible remote sensing metrics (wetness, greenness, and brightnes"&amp;"s), derived from performing a tasseled-cap transformation on a Landsat Enhanced Thematic Mapper Plus image. As a comparison, we also examined whether the most commonly used remote sensing indicator in ecology, the Normalized Difference Vegetation Index (N"&amp;"DVI), correlated with community composition. We worked within an agricultural landscape in southern Costa Rica, where the land comprised a complex and highly heterogeneous mosaic of remnant native vegetation, pasture, coffee cultivation, and other crops. "&amp;"In this region, we selected 12 study sites (each &lt;60 ha) that encompassed the range of available land cover possibilities in the countryside. Within each site, we surveyed bird communities within all major land cover types, and we conducted detailed field"&amp;" mapping of land cover. We found that the number of forest-affiliated species increased with forest cover and decreased with residential area across sites. Conversely, the number of agriculture-affiliated species using forest increased with land area devo"&amp;"ted to agricultural and residential uses. Interestingly, we found that the wetness and brightness metrics predicted the number of forest-and agriculture-affiliated species within a site as well as did detailed field-generated maps of land cover. In contra"&amp;"st, NDVI and the closely correlated greenness metric did not correlate with land cover or with bird communities. Our study shows the strong potential of the tasseled-cap transformation as a tool for assessing the conservation value of countryside for biod"&amp;"iversity.")</f>
        <v>The future of biodiversity hinges partly on realizing the potentially high conservation value of human-dominated countryside. The characteristics of the countryside that promote biodiversity preservation remain poorly understood, however, particularly at the fine scales at which individual farmers tend to make land use decisions. To address this problem, we explored the use of a rapid remote sensing method for estimating bird community composition in tropical countryside, using a two-step process. First, we asked how fine-grained variation in land cover affected community composition. Second, we determined whether the observed changes in community composition correlated with three easily accessible remote sensing metrics (wetness, greenness, and brightness), derived from performing a tasseled-cap transformation on a Landsat Enhanced Thematic Mapper Plus image. As a comparison, we also examined whether the most commonly used remote sensing indicator in ecology, the Normalized Difference Vegetation Index (NDVI), correlated with community composition. We worked within an agricultural landscape in southern Costa Rica, where the land comprised a complex and highly heterogeneous mosaic of remnant native vegetation, pasture, coffee cultivation, and other crops. In this region, we selected 12 study sites (each &lt;60 ha) that encompassed the range of available land cover possibilities in the countryside. Within each site, we surveyed bird communities within all major land cover types, and we conducted detailed field mapping of land cover. We found that the number of forest-affiliated species increased with forest cover and decreased with residential area across sites. Conversely, the number of agriculture-affiliated species using forest increased with land area devoted to agricultural and residential uses. Interestingly, we found that the wetness and brightness metrics predicted the number of forest-and agriculture-affiliated species within a site as well as did detailed field-generated maps of land cover. In contrast, NDVI and the closely correlated greenness metric did not correlate with land cover or with bird communities. Our study shows the strong potential of the tasseled-cap transformation as a tool for assessing the conservation value of countryside for biodiversity.</v>
      </c>
      <c r="C347" s="24" t="str">
        <f>IFERROR(__xludf.DUMMYFUNCTION("""COMPUTED_VALUE"""),"10.1890/06-0285.1")</f>
        <v>10.1890/06-0285.1</v>
      </c>
      <c r="D347" s="24" t="str">
        <f>IFERROR(__xludf.DUMMYFUNCTION("""COMPUTED_VALUE"""),"Keck et al")</f>
        <v>Keck et al</v>
      </c>
      <c r="E347" s="24" t="str">
        <f>IFERROR(__xludf.DUMMYFUNCTION("""COMPUTED_VALUE"""),"WOS:000248265700019")</f>
        <v>WOS:000248265700019</v>
      </c>
      <c r="F347" s="24" t="str">
        <f>IFERROR(__xludf.DUMMYFUNCTION("""COMPUTED_VALUE"""),"[""ELIGIBLE""]")</f>
        <v>["ELIGIBLE"]</v>
      </c>
    </row>
    <row r="348">
      <c r="A348" s="24" t="str">
        <f>IFERROR(__xludf.DUMMYFUNCTION("""COMPUTED_VALUE"""),"Ectomycorrhizal fungal community assembly on regenerating Douglas-fir after wildfire and clearcut harvesting")</f>
        <v>Ectomycorrhizal fungal community assembly on regenerating Douglas-fir after wildfire and clearcut harvesting</v>
      </c>
      <c r="B348" s="24" t="str">
        <f>IFERROR(__xludf.DUMMYFUNCTION("""COMPUTED_VALUE"""),"Wildfire severity in forests is projected to increase with warming and drying conditions associated with climate change. Our objective was to determine the impact of wildfire and clearcutting severity on the ectomycorrhizal fungal (EMF) community of Dougl"&amp;"as-fir seedlings in the dry forests of interior British Columbia, Canada. We located our study within and surrounding the area of the McLure fire (August 2003). We hypothesized that disturbance would affect EMF community assembly due to reductions in fung"&amp;"al inoculum. Five treatments representing a range of disturbance severities were compared: high severity burn, low severity burn, screefed clearcut (manual removal of forest floor), clearcut, and undisturbed forest. EMF communities in the undisturbed fore"&amp;"st were more complex than those in all disturbance treatments. However, aspects of community assembly varied with disturbance type, where the burn treatments had the simplest communities. After 4 months, regenerating seedlings in the burn treatments had t"&amp;"he lowest colonization, but seedlings in all treatments were fully colonized within 1 year. EMF communities were similar among the four disturbance types, largely due to dominance of Wilcoxina throughout the study period. However, forest floor retention i"&amp;"nfluenced community assembly as the EMF in the clearcut treatment, where forest floor was retained, had levels of diversity and richness comparable to the undisturbed forest. Overall, the results suggest that increasing forest floor disturbance can alter "&amp;"EMF community assembly in the first year of regeneration. A correlation between poorly colonized seedlings and seedling productivity also suggests a role for productivity in influencing community assembly.")</f>
        <v>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v>
      </c>
      <c r="C348" s="24" t="str">
        <f>IFERROR(__xludf.DUMMYFUNCTION("""COMPUTED_VALUE"""),"10.1007/s00442-012-2562-y")</f>
        <v>10.1007/s00442-012-2562-y</v>
      </c>
      <c r="D348" s="24" t="str">
        <f>IFERROR(__xludf.DUMMYFUNCTION("""COMPUTED_VALUE"""),"Keck et al")</f>
        <v>Keck et al</v>
      </c>
      <c r="E348" s="24" t="str">
        <f>IFERROR(__xludf.DUMMYFUNCTION("""COMPUTED_VALUE"""),"WOS:000322180000025")</f>
        <v>WOS:000322180000025</v>
      </c>
      <c r="F348" s="24" t="str">
        <f>IFERROR(__xludf.DUMMYFUNCTION("""COMPUTED_VALUE"""),"[""ELIGIBLE""]")</f>
        <v>["ELIGIBLE"]</v>
      </c>
    </row>
    <row r="349">
      <c r="A349" s="24" t="str">
        <f>IFERROR(__xludf.DUMMYFUNCTION("""COMPUTED_VALUE"""),"Short-Term Variation of the Macrobenthic Fauna Structure on Rocky Shores after the Hebei Spirit Oil Spill, West Coast of Korea")</f>
        <v>Short-Term Variation of the Macrobenthic Fauna Structure on Rocky Shores after the Hebei Spirit Oil Spill, West Coast of Korea</v>
      </c>
      <c r="B349" s="24" t="str">
        <f>IFERROR(__xludf.DUMMYFUNCTION("""COMPUTED_VALUE"""),"This study was conducted to determine the initial response, such as ecological status, to the disturbance in macrobenthic fauna on a rocky shore after an oil spill. Sites polluted with oil spilled during the Hebei Spirit accident on December 7, 2007, show"&amp;"ed continuous decreases in species of the Bivalvia class, including Lasaea undulata and Mytilus galloprovincialis, and no gastropods were observed. In addition, at polluted sites, the cold-water barnacle Chthamalus challengeri and the common periwinkle we"&amp;"re present in low densities, whereas they appeared relatively stable at control sites. In this study, the macrobenthic community structure was distinct between polluted sites and control sites because of differences in species composition and densities of"&amp;" dominant species. Therefore, it is believed that the oil spill accident could lead to mass mortalities of the major macrobenthic fauna in the study area, by smothering or reducing breeding activities or recruitment, and thereby altered rocky shore ecosys"&amp;"tems.")</f>
        <v>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v>
      </c>
      <c r="C349" s="24" t="str">
        <f>IFERROR(__xludf.DUMMYFUNCTION("""COMPUTED_VALUE"""),"10.2112/JCOASTRES-D-13-00161.1")</f>
        <v>10.2112/JCOASTRES-D-13-00161.1</v>
      </c>
      <c r="D349" s="24" t="str">
        <f>IFERROR(__xludf.DUMMYFUNCTION("""COMPUTED_VALUE"""),"Keck et al")</f>
        <v>Keck et al</v>
      </c>
      <c r="E349" s="24" t="str">
        <f>IFERROR(__xludf.DUMMYFUNCTION("""COMPUTED_VALUE"""),"WOS:000347868900017")</f>
        <v>WOS:000347868900017</v>
      </c>
      <c r="F349" s="24" t="str">
        <f>IFERROR(__xludf.DUMMYFUNCTION("""COMPUTED_VALUE"""),"[""ELIGIBLE""]")</f>
        <v>["ELIGIBLE"]</v>
      </c>
    </row>
    <row r="350">
      <c r="A350" s="24" t="str">
        <f>IFERROR(__xludf.DUMMYFUNCTION("""COMPUTED_VALUE"""),"Impacts of long-term elevated atmospheric CO2 concentrations on communities of arbuscular mycorrhizal fungi")</f>
        <v>Impacts of long-term elevated atmospheric CO2 concentrations on communities of arbuscular mycorrhizal fungi</v>
      </c>
      <c r="B350" s="24" t="str">
        <f>IFERROR(__xludf.DUMMYFUNCTION("""COMPUTED_VALUE"""),"The ecological impacts of long-term elevated atmospheric CO2 (eCO(2)) levels on soil microbiota remain largely unknown. This is particularly true for the arbuscular mycorrhizal (AM) fungi, which form mutualistic associations with over two-thirds of terres"&amp;"trial plant species and are entirely dependent on their plant hosts for carbon. Here, we use high-resolution amplicon sequencing (Illumina, HiSeq) to quantify the response of AM fungal communities to the longest running (&gt;15 years) free-air carbon dioxide"&amp;" enrichment (FACE) experiment in the Northern Hemisphere (GiFACE); providing the first evaluation of these responses from old-growth (&gt;100 years) semi-natural grasslands subjected to a 20% increase in atmospheric CO2. eCO(2) significantly increased AM fun"&amp;"gal richness but had a less-pronounced impact on the composition of their communities. However, while broader changes in community composition were not observed, more subtle responses of specific AM fungal taxa were with populations both increasing and de"&amp;"creasing in abundance in response to eCO(2). Most population-level responses to eCO(2) were not consistent through time, with a significant interaction between sampling time and eCO(2) treatment being observed. This suggests that the temporal dynamics of "&amp;"AM fungal populations may be disturbed by anthropogenic stressors. As AM fungi are functionally differentiated, with different taxa providing different benefits to host plants, changes in population densities in response to eCO(2) may significantly impact"&amp;" terrestrial plant communities and their productivity. Thus, predictions regarding future terrestrial ecosystems must consider changes both aboveground and belowground, but avoid relying on broad-scale community-level responses of soil microbes observed o"&amp;"n single occasions.")</f>
        <v>The ecological impacts of long-term elevated atmospheric CO2 (eCO(2)) levels on soil microbiota remain largely unknown. This is particularly true for the arbuscular mycorrhizal (AM) fungi, which form mutualistic associations with over two-thirds of terrestrial plant species and are entirely dependent on their plant hosts for carbon. Here, we use high-resolution amplicon sequencing (Illumina, HiSeq) to quantify the response of AM fungal communities to the longest running (&gt;15 years) free-air carbon dioxide enrichment (FACE) experiment in the Northern Hemisphere (GiFACE); providing the first evaluation of these responses from old-growth (&gt;100 years) semi-natural grasslands subjected to a 20% increase in atmospheric CO2. eCO(2) significantly increased AM fungal richness but had a less-pronounced impact on the composition of their communities. However, while broader changes in community composition were not observed, more subtle responses of specific AM fungal taxa were with populations both increasing and decreasing in abundance in response to eCO(2). Most population-level responses to eCO(2) were not consistent through time, with a significant interaction between sampling time and eCO(2) treatment being observed. This suggests that the temporal dynamics of AM fungal populations may be disturbed by anthropogenic stressors. As AM fungi are functionally differentiated, with different taxa providing different benefits to host plants, changes in population densities in response to eCO(2) may significantly impact terrestrial plant communities and their productivity. Thus, predictions regarding future terrestrial ecosystems must consider changes both aboveground and belowground, but avoid relying on broad-scale community-level responses of soil microbes observed on single occasions.</v>
      </c>
      <c r="C350" s="24" t="str">
        <f>IFERROR(__xludf.DUMMYFUNCTION("""COMPUTED_VALUE"""),"10.1111/mec.15160")</f>
        <v>10.1111/mec.15160</v>
      </c>
      <c r="D350" s="24" t="str">
        <f>IFERROR(__xludf.DUMMYFUNCTION("""COMPUTED_VALUE"""),"Keck et al")</f>
        <v>Keck et al</v>
      </c>
      <c r="E350" s="24" t="str">
        <f>IFERROR(__xludf.DUMMYFUNCTION("""COMPUTED_VALUE"""),"WOS:000476143300001")</f>
        <v>WOS:000476143300001</v>
      </c>
      <c r="F350" s="24" t="str">
        <f>IFERROR(__xludf.DUMMYFUNCTION("""COMPUTED_VALUE"""),"[""ELIGIBLE""]")</f>
        <v>["ELIGIBLE"]</v>
      </c>
    </row>
    <row r="351">
      <c r="A351" s="24" t="str">
        <f>IFERROR(__xludf.DUMMYFUNCTION("""COMPUTED_VALUE"""),"Under temperate climate, the conversion of grassland to arable land affects soil nutrient stocks and bacteria in a short term")</f>
        <v>Under temperate climate, the conversion of grassland to arable land affects soil nutrient stocks and bacteria in a short term</v>
      </c>
      <c r="B351" s="24" t="str">
        <f>IFERROR(__xludf.DUMMYFUNCTION("""COMPUTED_VALUE"""),"Projected population growth and climate change will make it inevitable to convert neglected and marginal land into productive arable land. We investigate the influence of agricultural management practices on nutrient stocks and soil functions during the c"&amp;"onversion of former extensively used grassland to arable land. Effects of grassland removal, tillage, intercropping with faba bean (Vicia faba) and its later incorporation were studied with respect to soil properties and bacterial community structure. The"&amp;"refore, composite samples were collected with a core sampler from the topsoil (0-20 cm) in (a) the initial grassland, (b) the transitional phase during the vegetation period of V. faba, (c) after ploughing the legume in, and (d) untreated controls. In all"&amp;" samples, nitrate-N, ammonium-N, dissolved organic carbon (DOC) and total nitrogen bound (TNb) were analyzed and comparisons of the bacterial community structure after 16S-amplicon sequencing were performed to assess soil functions. Mineralization after g"&amp;"rassland conversion followed by the biological nitrogen fixation of broad beans enhanced the nitrate-N content in bulk soil from 4 to almost 50 mu g N g(-1) dw. Bacterial community structure on phylum level in bulk soil was dominated by Proteobacteria, Ac"&amp;"tinobacteria, Acidobacteria, Chloroflexi, and Bacteroidetes and remained almost stable. However, alpha and beta-diversity analysis revealed a change of the bacterial composition at the final state of the conversion. This change was primarily driven by inc"&amp;"reasing abundances of the genera Massilia and Lysobacter, both members of the Proteobacteria, after the decay of the leguminous plant residues. Furthermore, increasing abundances of the family Gaiellaceae and its genus Gaiella fostered this change and wer"&amp;"e related to the decreasing carbon to nitrogen ratio. In short, gentle management strategies could replace the input of mineral fertilizer with the aim to contribute to future sustainable and intensified production even on converted grassland. (C) 2019 El"&amp;"sevier B.V. All rights reserved.")</f>
        <v>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v>
      </c>
      <c r="C351" s="24" t="str">
        <f>IFERROR(__xludf.DUMMYFUNCTION("""COMPUTED_VALUE"""),"10.1016/j.scitotenv.2019.135494")</f>
        <v>10.1016/j.scitotenv.2019.135494</v>
      </c>
      <c r="D351" s="24" t="str">
        <f>IFERROR(__xludf.DUMMYFUNCTION("""COMPUTED_VALUE"""),"Keck et al")</f>
        <v>Keck et al</v>
      </c>
      <c r="E351" s="24" t="str">
        <f>IFERROR(__xludf.DUMMYFUNCTION("""COMPUTED_VALUE"""),"WOS:000505924300193")</f>
        <v>WOS:000505924300193</v>
      </c>
      <c r="F351" s="24" t="str">
        <f>IFERROR(__xludf.DUMMYFUNCTION("""COMPUTED_VALUE"""),"[""ELIGIBLE""]")</f>
        <v>["ELIGIBLE"]</v>
      </c>
    </row>
    <row r="352">
      <c r="A352" s="24" t="str">
        <f>IFERROR(__xludf.DUMMYFUNCTION("""COMPUTED_VALUE"""),"Plant community and soil chemistry responses to long-term nitrogen inputs drive changes in alpine bacterial communities")</f>
        <v>Plant community and soil chemistry responses to long-term nitrogen inputs drive changes in alpine bacterial communities</v>
      </c>
      <c r="B352" s="24" t="str">
        <f>IFERROR(__xludf.DUMMYFUNCTION("""COMPUTED_VALUE"""),"Bacterial community composition and diversity was studied in alpine tundra soils across a plant species and moisture gradient in 20 yr-old experimental plots with four nutrient addition regimes (control, nitrogen (N), phosphorus (P) or both nutrients). Di"&amp;"fferent bacterial communities inhabited different alpine meadows, reflecting differences in moisture, nutrients and plant species. Bacterial community alpha-diversity metrics were strongly correlated with plant richness and the production of forbs. After "&amp;"meadow type, N addition proved the strongest determinant of bacterial community structure. Structural Equation Modeling demonstrated that tundra bacterial community responses to N addition occur via changes in plant community composition and soil pH resul"&amp;"ting from N inputs, thus disentangling the influence of direct (resource availability) vs. indirect (changes in plant community structure and soil pH) N effects that have remained unexplored in past work examining bacterial responses to long-term N inputs"&amp;" in these vulnerable environments. Across meadow types, the relative influence of these indirect N effects on bacterial community structure varied. In explicitly evaluating the relative importance of direct and indirect effects of long-term N addition on "&amp;"bacterial communities, this study provides new mechanistic understandings of the interaction between plant and microbial community responses to N inputs amidst environmental change.")</f>
        <v>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v>
      </c>
      <c r="C352" s="24" t="str">
        <f>IFERROR(__xludf.DUMMYFUNCTION("""COMPUTED_VALUE"""),"10.1890/15-1160.1")</f>
        <v>10.1890/15-1160.1</v>
      </c>
      <c r="D352" s="24" t="str">
        <f>IFERROR(__xludf.DUMMYFUNCTION("""COMPUTED_VALUE"""),"Keck et al")</f>
        <v>Keck et al</v>
      </c>
      <c r="E352" s="24" t="str">
        <f>IFERROR(__xludf.DUMMYFUNCTION("""COMPUTED_VALUE"""),"WOS:000377219900017")</f>
        <v>WOS:000377219900017</v>
      </c>
      <c r="F352" s="24" t="str">
        <f>IFERROR(__xludf.DUMMYFUNCTION("""COMPUTED_VALUE"""),"[""ELIGIBLE""]")</f>
        <v>["ELIGIBLE"]</v>
      </c>
    </row>
    <row r="353">
      <c r="A353" s="24" t="str">
        <f>IFERROR(__xludf.DUMMYFUNCTION("""COMPUTED_VALUE"""),"Livestock exclusion alters plant species composition in fen meadows")</f>
        <v>Livestock exclusion alters plant species composition in fen meadows</v>
      </c>
      <c r="B353" s="24" t="str">
        <f>IFERROR(__xludf.DUMMYFUNCTION("""COMPUTED_VALUE"""),"QuestionsOur study evaluated how species composition and plant traits that indicate functioning condition in fens responded to grazing cessation over time in an arid ecosystem of the western US. The specific questions addressed were: (i) how does livestoc"&amp;"k exclusion influence species composition in fens; (ii) is grazing cessation associated with shifts in species functional traits that indicate fen condition; and (iii) what is the pattern of response to livestock exclusion over time? LocationPlumas Nation"&amp;"al Forest, California, US. MethodsWe studied paired fenced and unfenced study sites in two fens to examine the effects of livestock exclusion. Parallel transects were established at each site, and plant species and ground cover were repeatedly surveyed, o"&amp;"nce prior to and multiple times following treatment, using 0.01m(2) frequency frames. We used NMDS to analyse species composition, RLQ and fourth-corner analysis to evaluate species functional traits and environmental variables, and linear mixed effects m"&amp;"odels to examine differences in responses between fenced and unfenced study sites over time. ResultsAfter fencing, we observed unexpected shifts in species composition and plant functional traits. Grazed sites were associated with peat-forming obligate we"&amp;"tland, moss and sedge species, while fenced sites were characterized by non-peat-forming facultative upland, and upland forb, grass and early seral species. Species composition also varied between sites and sample years. ConclusionsWe found that livestock"&amp;" exclusion strongly affects plant species composition in fens, including promoting species with functional traits that indicate a loss of functioning condition, such as ruderal and upland species. Possible explanations for these observed shifts include: ("&amp;"1) biomass accumulation in the absence of herbivory, (2) competitive exclusion in fenced sites, (3) succession, (4) the abiotic conditions of our study sites, particularly hydrology and nutrient status, and (5) interactions among these factors. We conclud"&amp;"e that degradation of fen wetlands caused by livestock grazing in the arid western US may not be reversed by excluding livestock alone.")</f>
        <v>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v>
      </c>
      <c r="C353" s="24" t="str">
        <f>IFERROR(__xludf.DUMMYFUNCTION("""COMPUTED_VALUE"""),"10.1111/avsc.12333")</f>
        <v>10.1111/avsc.12333</v>
      </c>
      <c r="D353" s="24" t="str">
        <f>IFERROR(__xludf.DUMMYFUNCTION("""COMPUTED_VALUE"""),"Keck et al")</f>
        <v>Keck et al</v>
      </c>
      <c r="E353" s="24" t="str">
        <f>IFERROR(__xludf.DUMMYFUNCTION("""COMPUTED_VALUE"""),"WOS:000425120600002")</f>
        <v>WOS:000425120600002</v>
      </c>
      <c r="F353" s="24" t="str">
        <f>IFERROR(__xludf.DUMMYFUNCTION("""COMPUTED_VALUE"""),"[""ELIGIBLE""]")</f>
        <v>["ELIGIBLE"]</v>
      </c>
    </row>
    <row r="354">
      <c r="A354" s="24" t="str">
        <f>IFERROR(__xludf.DUMMYFUNCTION("""COMPUTED_VALUE"""),"Warming Effects on Periphyton Community and Abundance in Different Seasons Are Influenced by Nutrient State and Plant Type: A Shallow Lake Mesocosm Study")</f>
        <v>Warming Effects on Periphyton Community and Abundance in Different Seasons Are Influenced by Nutrient State and Plant Type: A Shallow Lake Mesocosm Study</v>
      </c>
      <c r="B354" s="24" t="str">
        <f>IFERROR(__xludf.DUMMYFUNCTION("""COMPUTED_VALUE"""),"Periphyton plays an important role in lake ecosystems processes, especially at low and intermediate nutrient levels where periphyton contribution to primary production can be similar to or exceed that of phytoplankton. Knowledge of how periphyton responds"&amp;" to key drivers such as climate change and nutrient enrichment is, therefore, crucial. We conducted a series of mesocosm experiments over four seasons to elucidate the responses of periphyton communities to nutrient (low and high, TN-0.33 mg L-1 TP-7.1 mu"&amp;" g L-1 and TN-2.40 mg L-1 TP-165 mu g L-1, respectively), temperature (ambient, IPCC A2 scenario and A2 + 50%) and plant type (two submerged macrophytes with different morphological structural complexity: Potamogeton crispus and Elodea canadensis, and the"&amp;"ir corresponding plastic imitations with similar size and structure). We found a noticeable seasonality in the abundance and composition of periphyton. In spring and summer, periphyton abundances were significantly higher in the turbid-high-nutrient state"&amp;" than in the clear-low-nutrient state, and in summer they were notably higher at ambient temperature than in climate scenario A2 and A2 + 50%. In contrast, periphyton abundances in autumn and winter were not influenced by nutrient and temperature, but the"&amp;"y were notably higher on plants with a more complex morphological structure than simple ones. The genus composition of periphyton was significantly affected by nutrient-temperature interactions in all seasons and by plant type in winter. Moreover, periphy"&amp;"ton functional composition exhibited noticeable seasonal change and responded strongly to nutrient enrichment and temperature rise in spring, summer, and autumn. Our results suggest that the effect of warming on periphyton abundance and composition in the"&amp;" different seasons varied with nutrient state and host plant type in these mesocosms, and similar results may likely be found under field conditions.")</f>
        <v>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v>
      </c>
      <c r="C354" s="24" t="str">
        <f>IFERROR(__xludf.DUMMYFUNCTION("""COMPUTED_VALUE"""),"10.3389/fpls.2020.00404")</f>
        <v>10.3389/fpls.2020.00404</v>
      </c>
      <c r="D354" s="24" t="str">
        <f>IFERROR(__xludf.DUMMYFUNCTION("""COMPUTED_VALUE"""),"Keck et al")</f>
        <v>Keck et al</v>
      </c>
      <c r="E354" s="24" t="str">
        <f>IFERROR(__xludf.DUMMYFUNCTION("""COMPUTED_VALUE"""),"WOS:000530138700001")</f>
        <v>WOS:000530138700001</v>
      </c>
      <c r="F354" s="24" t="str">
        <f>IFERROR(__xludf.DUMMYFUNCTION("""COMPUTED_VALUE"""),"[""ELIGIBLE""]")</f>
        <v>["ELIGIBLE"]</v>
      </c>
    </row>
    <row r="355">
      <c r="A355" s="24" t="str">
        <f>IFERROR(__xludf.DUMMYFUNCTION("""COMPUTED_VALUE"""),"Long-term declines in an intertidal foundation species parallel shifts in community composition")</f>
        <v>Long-term declines in an intertidal foundation species parallel shifts in community composition</v>
      </c>
      <c r="B355" s="24" t="str">
        <f>IFERROR(__xludf.DUMMYFUNCTION("""COMPUTED_VALUE"""),"The earth is in the midst of a biodiversity crisis, and projections indicate continuing and accelerating rates of global changes. Future alterations in communities and ecosystems may be precipitated by changes in the abundance of strongly interacting spec"&amp;"ies, whose disappearance can lead to profound changes in abundance of other species, including an increase in extinction rate for some. Nearshore coastal communities are often dependent on the habitat and food resources provided by foundational plant (e.g"&amp;"., kelp) and animal (e.g., shellfish) species. We quantified changes in the abundance of the blue mussel (Mytilus edulis), a foundation species known to influence diversity and productivity of intertidal habitats, over the past 40 years in the Gulf of Mai"&amp;"ne, USA, one of the fastest warming regions in the global ocean. Using consistent survey methods, we compared contemporary population sizes to historical data from sites spanning &gt;400 km. The results of these comparisons showed that blue mussels have decl"&amp;"ined in the Gulf of Maine by &gt;60% (range: 29-100%) at the site level since the earliest benchmarks in the 1970s. At the same time as mussels declined, community composition shifted: at the four sites with historical community data, the sessile community b"&amp;"ecame increasingly algal dominated. Contemporary (2013-2014) surveys across 20 sites showed that sessile species richness was positively correlated to mussel abundance in mid to high intertidal zones. These results suggest that declines in a critical foun"&amp;"dation species may have already impacted the intertidal community. To inform future conservation efforts, we provide a database of historical and contemporary baselines of mussel population abundance and dynamics in the Gulf of Maine. Our results undersco"&amp;"re the importance of anticipating not only changes in diversity but also changes in the abundance and identity of component species, as strong interactors like foundation species have the potential to drive cascading community shifts.")</f>
        <v>The earth is in the midst of a biodiversity crisis, and projections indicate continuing and accelerating rates of global changes. Future alterations in communities and ecosystems may be precipitated by changes in the abundance of strongly interacting species, whose disappearance can lead to profound changes in abundance of other species, including an increase in extinction rate for some. Nearshore coastal communities are often dependent on the habitat and food resources provided by foundational plant (e.g., kelp) and animal (e.g., shellfish) species. We quantified changes in the abundance of the blue mussel (Mytilus edulis), a foundation species known to influence diversity and productivity of intertidal habitats, over the past 40 years in the Gulf of Maine, USA, one of the fastest warming regions in the global ocean. Using consistent survey methods, we compared contemporary population sizes to historical data from sites spanning &gt;400 km. The results of these comparisons showed that blue mussels have declined in the Gulf of Maine by &gt;60% (range: 29-100%) at the site level since the earliest benchmarks in the 1970s. At the same time as mussels declined, community composition shifted: at the four sites with historical community data, the sessile community became increasingly algal dominated. Contemporary (2013-2014) surveys across 20 sites showed that sessile species richness was positively correlated to mussel abundance in mid to high intertidal zones. These results suggest that declines in a critical foundation species may have already impacted the intertidal community. To inform future conservation efforts, we provide a database of historical and contemporary baselines of mussel population abundance and dynamics in the Gulf of Maine. Our results underscore the importance of anticipating not only changes in diversity but also changes in the abundance and identity of component species, as strong interactors like foundation species have the potential to drive cascading community shifts.</v>
      </c>
      <c r="C355" s="24" t="str">
        <f>IFERROR(__xludf.DUMMYFUNCTION("""COMPUTED_VALUE"""),"10.1111/gcb.13425")</f>
        <v>10.1111/gcb.13425</v>
      </c>
      <c r="D355" s="24" t="str">
        <f>IFERROR(__xludf.DUMMYFUNCTION("""COMPUTED_VALUE"""),"Keck et al")</f>
        <v>Keck et al</v>
      </c>
      <c r="E355" s="24" t="str">
        <f>IFERROR(__xludf.DUMMYFUNCTION("""COMPUTED_VALUE"""),"WOS:000390218300029")</f>
        <v>WOS:000390218300029</v>
      </c>
      <c r="F355" s="24" t="str">
        <f>IFERROR(__xludf.DUMMYFUNCTION("""COMPUTED_VALUE"""),"[""ELIGIBLE""]")</f>
        <v>["ELIGIBLE"]</v>
      </c>
    </row>
    <row r="356">
      <c r="A356" s="24" t="str">
        <f>IFERROR(__xludf.DUMMYFUNCTION("""COMPUTED_VALUE"""),"Anthropogenic water bodies as drought refuge for aquatic macroinvertebrates and macrophytes")</f>
        <v>Anthropogenic water bodies as drought refuge for aquatic macroinvertebrates and macrophytes</v>
      </c>
      <c r="B356" s="24" t="str">
        <f>IFERROR(__xludf.DUMMYFUNCTION("""COMPUTED_VALUE"""),"Ecological research associated with the importance of refuges has tended to focus on natural rather than anthropogenic water bodies. The frequency of disturbances, including drought events, is predicted to increase in many regions worldwide due to human-i"&amp;"nduced climate change. More frequent disturbance will affect freshwater ecosystems by altering hydrologic regimes, water chemistry, available habitat and assemblage structure. Under this scenario, many aquatic biota are likely to rely on permanent water b"&amp;"odies as refuge, including anthropogenic water bodies. Here, macroinvertebrate and macrophyte assemblages from waste-water treatment and raw-water storages (i.e. untreated potable water) were compared with nearby natural water bodies during autumn and win"&amp;"ter 2013. We expected macroinvertebrate and macrophyte assemblages in raw-water storages to be representative of natural water bodies, while waste-water treatment storages would not, due to degraded water quality. However, water quality in natural water b"&amp;"odies differed from raw-water storages but was similar to waste-water treatment storages. Macroinvertebrate patterns matched those of water quality, with no differences occurring between natural water bodies and waste-water treatment storages, but assembl"&amp;"ages in raw-water storages differed from the other two water bodies. Unexpectedly, differences associated with raw-water storages were attributable to low abundances of several taxa. Macrophyte assemblages in raw-water storages were representative of natu"&amp;"ral water bodies, but were less diverse and abundant in, or absent from, waste-water treatment storages. No clear correlations existed between any habitat variables and macroinvertebrate assemblages but a significant correlation between macrophyte assembl"&amp;"ages and habitat characteristics existed. Thus, there were similarities in both water quality and macroinvertebrate assemblages between natural water bodies and waste-water treatment storages, and similarities in macrophyte assemblages between raw-water s"&amp;"torages and natural water bodies. These similarities illustrate that anthropogenic water storages support representative populations of someaquatic biota across the landscape, and thus, may provide important refuge following disturbance where dispersal ca"&amp;"pabilities allow. (c) 2017 Elsevier B.V. All rights reserved.")</f>
        <v>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v>
      </c>
      <c r="C356" s="24" t="str">
        <f>IFERROR(__xludf.DUMMYFUNCTION("""COMPUTED_VALUE"""),"10.1016/j.scitotenv.2017.10.333")</f>
        <v>10.1016/j.scitotenv.2017.10.333</v>
      </c>
      <c r="D356" s="24" t="str">
        <f>IFERROR(__xludf.DUMMYFUNCTION("""COMPUTED_VALUE"""),"Keck et al")</f>
        <v>Keck et al</v>
      </c>
      <c r="E356" s="24" t="str">
        <f>IFERROR(__xludf.DUMMYFUNCTION("""COMPUTED_VALUE"""),"WOS:000424121800055")</f>
        <v>WOS:000424121800055</v>
      </c>
      <c r="F356" s="24" t="str">
        <f>IFERROR(__xludf.DUMMYFUNCTION("""COMPUTED_VALUE"""),"[""ELIGIBLE""]")</f>
        <v>["ELIGIBLE"]</v>
      </c>
    </row>
    <row r="357">
      <c r="A357" s="24" t="str">
        <f>IFERROR(__xludf.DUMMYFUNCTION("""COMPUTED_VALUE"""),"Changes in land cover resulting from the introduction of non-native pine modifies litter traits of temperate forests in Patagonia")</f>
        <v>Changes in land cover resulting from the introduction of non-native pine modifies litter traits of temperate forests in Patagonia</v>
      </c>
      <c r="B357" s="24" t="str">
        <f>IFERROR(__xludf.DUMMYFUNCTION("""COMPUTED_VALUE"""),"Aims Changes in land cover resulting from the introduction of non-native pine plantations and subsequent pine invasion is increasingly affecting forest areas in the Southern Hemisphere, and having negative impacts on diverse ecosystem components. We studi"&amp;"ed the abundance, biophysical attributes, and flammability of litter in temperate forests modified by the introduction of the non-native Pinus radiata, and later by its post-fire invasion from adjacent sites. We also evaluated the short-term effects on li"&amp;"tter of mechanical removal of P. radiata from post-fire invasion sites. Location North-western Patagonia, Argentina. Methods We measured abundance, depth, moisture content and determined species composition of litter samples collected at native forest, pl"&amp;"antation, and post-fire invasion and removal sites. We also performed flammability tests on leaf litter samples of the dominant species from each habitat type. In all cases, litter traits from the modified habitats were compared with those obtained from n"&amp;"ative forest (reference system). Results Moisture content and litter species composition were notably affected by the alteration of habitat. A decrease in species richness and changes in the identity and abundance of the dominant species were the most rem"&amp;"arkable shifts recorded in the modified habitats. While pine needles were mainly associated with parameters indicative of high leaf litter flammability, the opposite was found for leaves of the dominant native trees. The removal of invasive pines from ear"&amp;"ly post-fire invasion did not reveal any biophysical changes in litter that would indicate a tendency towards the conditions found in native forest litter. Conclusions Pine needles as a novel element in litter found in pine-dominated habitats have a promi"&amp;"nent impact on litter traits associated with alterations in key ecosystem properties in comparison with the reference system. For a short-term recovery of burned, invaded areas, additional ecological practices other than the removal of invasive trees shou"&amp;"ld be conducted to successfully drive successional changes towards conditions similar to those found in native vegetation.")</f>
        <v>Aims Changes in land cover resulting from the introduction of non-native pine plantations and subsequent pine invasion is increasingly affecting forest areas in the Southern Hemisphere, and having negative impacts on diverse ecosystem components. We studied the abundance, biophysical attributes, and flammability of litter in temperate forests modified by the introduction of the non-native Pinus radiata, and later by its post-fire invasion from adjacent sites. We also evaluated the short-term effects on litter of mechanical removal of P. radiata from post-fire invasion sites. Location North-western Patagonia, Argentina. Methods We measured abundance, depth, moisture content and determined species composition of litter samples collected at native forest, plantation, and post-fire invasion and removal sites. We also performed flammability tests on leaf litter samples of the dominant species from each habitat type. In all cases, litter traits from the modified habitats were compared with those obtained from native forest (reference system). Results Moisture content and litter species composition were notably affected by the alteration of habitat. A decrease in species richness and changes in the identity and abundance of the dominant species were the most remarkable shifts recorded in the modified habitats. While pine needles were mainly associated with parameters indicative of high leaf litter flammability, the opposite was found for leaves of the dominant native trees. The removal of invasive pines from early post-fire invasion did not reveal any biophysical changes in litter that would indicate a tendency towards the conditions found in native forest litter. Conclusions Pine needles as a novel element in litter found in pine-dominated habitats have a prominent impact on litter traits associated with alterations in key ecosystem properties in comparison with the reference system. For a short-term recovery of burned, invaded areas, additional ecological practices other than the removal of invasive trees should be conducted to successfully drive successional changes towards conditions similar to those found in native vegetation.</v>
      </c>
      <c r="C357" s="24" t="str">
        <f>IFERROR(__xludf.DUMMYFUNCTION("""COMPUTED_VALUE"""),"10.1111/jvs.12847")</f>
        <v>10.1111/jvs.12847</v>
      </c>
      <c r="D357" s="24" t="str">
        <f>IFERROR(__xludf.DUMMYFUNCTION("""COMPUTED_VALUE"""),"Keck et al")</f>
        <v>Keck et al</v>
      </c>
      <c r="E357" s="24" t="str">
        <f>IFERROR(__xludf.DUMMYFUNCTION("""COMPUTED_VALUE"""),"WOS:000513103300001")</f>
        <v>WOS:000513103300001</v>
      </c>
      <c r="F357" s="24" t="str">
        <f>IFERROR(__xludf.DUMMYFUNCTION("""COMPUTED_VALUE"""),"[""ELIGIBLE""]")</f>
        <v>["ELIGIBLE"]</v>
      </c>
    </row>
    <row r="358">
      <c r="A358" s="24" t="str">
        <f>IFERROR(__xludf.DUMMYFUNCTION("""COMPUTED_VALUE"""),"Effects of local-scale management on herbaceous plant communities in Brigalow (Acacia harpophylla) agroecosystems of southern Queensland, Australia")</f>
        <v>Effects of local-scale management on herbaceous plant communities in Brigalow (Acacia harpophylla) agroecosystems of southern Queensland, Australia</v>
      </c>
      <c r="B358" s="24" t="str">
        <f>IFERROR(__xludf.DUMMYFUNCTION("""COMPUTED_VALUE"""),"Remnant vegetation in agricultural landscapes is assumed to contain the majority of biodiversity, although few Australian studies have considered the contribution made by the surrounding production matrix. In this study, herbaceous plant communities from "&amp;"Brigalow (Acacia harpophylla) remnants and adjoining areas of the matrix were sampled to determine differences in plant species composition at the core and edge of four distinct land management categories. Nineteen sites consisting of Brigalow remnant and"&amp;" adjacent matrix were selected in the Brigalow Belt Bioregion of southern Queensland, Australia. This region has undergone recent agricultural development relative to the older, well studied landscapes of western Europe. Edge and core transects in four di"&amp;"fferent land management categories were sampled for herbaceous plant species richness, composition and cover. Brigalow remnants contained significantly higher mean herbaceous richness than all other land management categories, and cultivated areas contain"&amp;"ed the lowest. Species richness, cover and composition did not differ between previously cultivated and uncultivated grasslands. Unlike other studies, there were no detectable edge effects for plant species richness, herbaceous cover and composition in an"&amp;"y of the land management categories. Biodiversity conservation in agricultural landscapes in Australia should maintain a focus on the remnant vegetation components; however, our results suggest that there is the potential for enhancing plant biodiversity "&amp;"and ecological functioning by targeted management in modified grassland communities. Management and restoration efforts to conserve agroecosystem plant biodiversity should therefore integrate a range of different landscape elements. (C) 2011 Elsevier B.V."&amp;" All rights reserved.")</f>
        <v>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v>
      </c>
      <c r="C358" s="24" t="str">
        <f>IFERROR(__xludf.DUMMYFUNCTION("""COMPUTED_VALUE"""),"10.1016/j.agee.2011.05.001")</f>
        <v>10.1016/j.agee.2011.05.001</v>
      </c>
      <c r="D358" s="24" t="str">
        <f>IFERROR(__xludf.DUMMYFUNCTION("""COMPUTED_VALUE"""),"Keck et al")</f>
        <v>Keck et al</v>
      </c>
      <c r="E358" s="24" t="str">
        <f>IFERROR(__xludf.DUMMYFUNCTION("""COMPUTED_VALUE"""),"WOS:000295245100008")</f>
        <v>WOS:000295245100008</v>
      </c>
      <c r="F358" s="24" t="str">
        <f>IFERROR(__xludf.DUMMYFUNCTION("""COMPUTED_VALUE"""),"[""ELIGIBLE""]")</f>
        <v>["ELIGIBLE"]</v>
      </c>
    </row>
    <row r="359">
      <c r="A359" s="24" t="str">
        <f>IFERROR(__xludf.DUMMYFUNCTION("""COMPUTED_VALUE"""),"Effect of environmental variations on sharks and other top predators in the deep Mediterranean Sea over the last 60 years")</f>
        <v>Effect of environmental variations on sharks and other top predators in the deep Mediterranean Sea over the last 60 years</v>
      </c>
      <c r="B359" s="24" t="str">
        <f>IFERROR(__xludf.DUMMYFUNCTION("""COMPUTED_VALUE"""),"The deep Mediterranean, which is characterized by high thermohaline stability, has suffered important changes in the last century, but these have seldom been analyzed with regard to megafauna. Long-term changes in fish and decapod assemblages in the Balea"&amp;"ric Basin (western Mediterranean) were analyzed after compiling (since 1952) the species compositions of hauls taken at depths of ca. 400 to 600 m. Multidimensional scaling analysis (MDS) showed significant segregation between hauls performed in the perio"&amp;"d 1952-1964 and hauls taken later. MDS segregated hauls taken off Catalonia from those off the Balearic Islands. The most general change recorded was a drop in the occurrence of most of the dominant deep-sea chondrichthyans, especially the shark Etmopteru"&amp;"s spinax. Environmental analyses (canonical correspondence analysis and BIOENV) suggested a direct relationship between increases in temperature and salinity in intermediate waters and the decline of deep-water sharks. Abundance of E. spinax also decrease"&amp;"d with decreasing O-2 in the Levantine Intermediate Water (LIW) that may be related to changes in LIW in the western Mediterranean since the 1950s. This is in addition to increased fishery effort as a factor explaining the drop in shark abundance. In othe"&amp;"r regions of the western Mediterranean subjected to fishery pressure, E. spinax is still dominant. We suggest that small changes, both anthropogenic and climatic, occurring in the temperature and salinity of deep-water masses since the 1950s in the Balear"&amp;"ic Basin have changed the composition of fish (especially sharks due to their high vulnerability) and crustacean assemblages.")</f>
        <v>The deep Mediterranean, which is characterized by high thermohaline stability, has suffered important changes in the last century, but these have seldom been analyzed with regard to megafauna. Long-term changes in fish and decapod assemblages in the Balearic Basin (western Mediterranean) were analyzed after compiling (since 1952) the species compositions of hauls taken at depths of ca. 400 to 600 m. Multidimensional scaling analysis (MDS) showed significant segregation between hauls performed in the period 1952-1964 and hauls taken later. MDS segregated hauls taken off Catalonia from those off the Balearic Islands. The most general change recorded was a drop in the occurrence of most of the dominant deep-sea chondrichthyans, especially the shark Etmopterus spinax. Environmental analyses (canonical correspondence analysis and BIOENV) suggested a direct relationship between increases in temperature and salinity in intermediate waters and the decline of deep-water sharks. Abundance of E. spinax also decreased with decreasing O-2 in the Levantine Intermediate Water (LIW) that may be related to changes in LIW in the western Mediterranean since the 1950s. This is in addition to increased fishery effort as a factor explaining the drop in shark abundance. In other regions of the western Mediterranean subjected to fishery pressure, E. spinax is still dominant. We suggest that small changes, both anthropogenic and climatic, occurring in the temperature and salinity of deep-water masses since the 1950s in the Balearic Basin have changed the composition of fish (especially sharks due to their high vulnerability) and crustacean assemblages.</v>
      </c>
      <c r="C359" s="24" t="str">
        <f>IFERROR(__xludf.DUMMYFUNCTION("""COMPUTED_VALUE"""),"10.3354/cr01137")</f>
        <v>10.3354/cr01137</v>
      </c>
      <c r="D359" s="24" t="str">
        <f>IFERROR(__xludf.DUMMYFUNCTION("""COMPUTED_VALUE"""),"Keck et al")</f>
        <v>Keck et al</v>
      </c>
      <c r="E359" s="24" t="str">
        <f>IFERROR(__xludf.DUMMYFUNCTION("""COMPUTED_VALUE"""),"WOS:000314638700005")</f>
        <v>WOS:000314638700005</v>
      </c>
      <c r="F359" s="24" t="str">
        <f>IFERROR(__xludf.DUMMYFUNCTION("""COMPUTED_VALUE"""),"[""ELIGIBLE""]")</f>
        <v>["ELIGIBLE"]</v>
      </c>
    </row>
    <row r="360">
      <c r="A360" s="24" t="str">
        <f>IFERROR(__xludf.DUMMYFUNCTION("""COMPUTED_VALUE"""),"Patterns of Spatial Variation of Meiofauna in Sandy Beaches of Northwestern Mexico with Contrasting Levels of Disturbance")</f>
        <v>Patterns of Spatial Variation of Meiofauna in Sandy Beaches of Northwestern Mexico with Contrasting Levels of Disturbance</v>
      </c>
      <c r="B360" s="24" t="str">
        <f>IFERROR(__xludf.DUMMYFUNCTION("""COMPUTED_VALUE"""),"Despite the high abundance and diversity of meiofauna in sandy beach habitats, their patterns of spatial distribution have not been well characterized. This study analyzed the horizontal distribution of the intertidal meiofaunal community in sandy beaches"&amp;" of Todos Santos Bay (TSB), northwestern Mexico, and related it with levels of disturbance. Ten sandy beaches were sampled for meiofauna and sediment along the western coast of TSB at lower, mid, and upper levels of the intertidal. The meiofaunal communit"&amp;"y included five major groups viz. Amphipoda, Copepoda, Nematoda, Oligochaeta, and Polychaeta, and was mostly dominated by nematodes, regardless of the intertidal level. Meiofauna and nematode abundances differed significantly across the beach slope, incre"&amp;"asing towards the upper level; this pattern varied along the shoreline, changing particularly where the beach was heavily modified due to costal development. Multivariate analyses significantly differentiated lower, mid, and upper levels of the intertidal"&amp;", mostly due to differences in copepod abundance. Sediment grain size significantly differed among intertidal levels (i.e., smaller in the upper intertidal) and was negatively correlated with meiofaunal abundance. Moreover, meiofaunal abundance was negati"&amp;"vely impacted by the degree of disturbance as highly urbanized/disturbed beaches of TSB showed lower meiofaunal abundance. As costal development continues to increase, findings from ecological surveys should play a pivotal role in characterizing and monit"&amp;"oring the health status of sandy beaches to aid in their management and conservation.")</f>
        <v>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v>
      </c>
      <c r="C360" s="24" t="str">
        <f>IFERROR(__xludf.DUMMYFUNCTION("""COMPUTED_VALUE"""),"10.1007/s41208-017-0038-x")</f>
        <v>10.1007/s41208-017-0038-x</v>
      </c>
      <c r="D360" s="24" t="str">
        <f>IFERROR(__xludf.DUMMYFUNCTION("""COMPUTED_VALUE"""),"Keck et al")</f>
        <v>Keck et al</v>
      </c>
      <c r="E360" s="24" t="str">
        <f>IFERROR(__xludf.DUMMYFUNCTION("""COMPUTED_VALUE"""),"WOS:000440173400003")</f>
        <v>WOS:000440173400003</v>
      </c>
      <c r="F360" s="24" t="str">
        <f>IFERROR(__xludf.DUMMYFUNCTION("""COMPUTED_VALUE"""),"[""ELIGIBLE""]")</f>
        <v>["ELIGIBLE"]</v>
      </c>
    </row>
    <row r="361">
      <c r="A361" s="24" t="str">
        <f>IFERROR(__xludf.DUMMYFUNCTION("""COMPUTED_VALUE"""),"Spatial synchrony of zooplankton during the impoundment of amazonic reservoir")</f>
        <v>Spatial synchrony of zooplankton during the impoundment of amazonic reservoir</v>
      </c>
      <c r="B361" s="24" t="str">
        <f>IFERROR(__xludf.DUMMYFUNCTION("""COMPUTED_VALUE"""),"The escalating demand for energy and the strong political and economic pressure to explore the Amazon's hydroelectric potential has led to the increase of hydroelectric reservoirs in the region. Reservoirs are artificial ecosystems that modify the structu"&amp;"re of biological populations. Evaluating the spatial synchrony of populations and environmental variables in the development of reservoirs may reveal determinant factors and processes operating in these ecosystems. This may help understand the impacts, op"&amp;"timize monitoring systems and develop strategies to improve and maintain the ecological integrity (or stability) of these environments. In this study, we evaluated the spatial synchrony in zooplankton populations and limnological environmental variables d"&amp;"uring the implementation of a hydroelectric reservoir in the Amazon region, on the border of the states of Para and Amapa. Synchrony was determined by mean cross-correlation between the pairs of points for each variable, followed by Mantel test to investi"&amp;"gate its influencing factors. We observed spatial synchronous values for both population and limnological environmental variables. However, we could not identify the mechanisms that are operating, indicating that more than one factor may be influencing th"&amp;"e ecosystem dynamics. Population synchrony increased after impoundment. Population synchrony may be associated with some limnological variables, such as the ones related to the amounts of nutrients, whereas environmental synchrony can be related to extrin"&amp;"sic factors, such as climatic variation, not tested this study. In order to increase the understanding of the mechanisms operating over population and environmental dynamics, we suggest that, besides evaluating limnological environmental variables and spa"&amp;"tial synchrony, analyses should include meteorological and landscape data.")</f>
        <v>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v>
      </c>
      <c r="C361" s="24" t="str">
        <f>IFERROR(__xludf.DUMMYFUNCTION("""COMPUTED_VALUE"""),"10.1016/j.ecolind.2018.11.040")</f>
        <v>10.1016/j.ecolind.2018.11.040</v>
      </c>
      <c r="D361" s="24" t="str">
        <f>IFERROR(__xludf.DUMMYFUNCTION("""COMPUTED_VALUE"""),"Keck et al")</f>
        <v>Keck et al</v>
      </c>
      <c r="E361" s="24" t="str">
        <f>IFERROR(__xludf.DUMMYFUNCTION("""COMPUTED_VALUE"""),"WOS:000464891100065")</f>
        <v>WOS:000464891100065</v>
      </c>
      <c r="F361" s="24" t="str">
        <f>IFERROR(__xludf.DUMMYFUNCTION("""COMPUTED_VALUE"""),"[""ELIGIBLE""]")</f>
        <v>["ELIGIBLE"]</v>
      </c>
    </row>
    <row r="362">
      <c r="A362" s="24" t="str">
        <f>IFERROR(__xludf.DUMMYFUNCTION("""COMPUTED_VALUE"""),"Impact of a Pulse Human Disturbance Experiment on Macrofaunal Assemblages on an Australian Sandy Beach")</f>
        <v>Impact of a Pulse Human Disturbance Experiment on Macrofaunal Assemblages on an Australian Sandy Beach</v>
      </c>
      <c r="B362" s="24" t="str">
        <f>IFERROR(__xludf.DUMMYFUNCTION("""COMPUTED_VALUE"""),"WALKER, S.J. and SCHLACHER, T.A., 2011. Impact of a pulse human disturbance on macrofaunal assemblages on an Australian sandy beach. Journal of Coastal Research, 27(6A), 184-192. West Palm Beach (Florida), ISSN 0749-0208. Environmental control is widely a"&amp;"ccepted as the principal structuring force of the macrobenthos on sandy beaches: abundance, biomass, and species diversity of benthic assemblages are closely linked to variations in environmental conditions. Thus, disturbance events that modify habitat pr"&amp;"operties in these ecosystems are hypothesized to translate into strong and consistent community-wide responses; this is the central hypothesis of this study, which was tested by examining trajectories of macrobenthic assemblages in relation to the experim"&amp;"ental introduction of a pulse disturbance event that consisted of concentrated vehicle traffic (600 passes over 3 days) applied to the intertidal zone in a multiple before after control-impact design. Small-scale spatial heterogeneity and short-term tempo"&amp;"ral variability were pronounced for all composite descriptors of assemblages (i.e., total abundance, species richness, and diversity) as well as community structure. The experimental pulse disturbance in the form of increased off-road vehicle traffic lowe"&amp;"red macrobenthic densities by 27-52% and resulted in significant temporal shifts of assemblage structure. These biological responses were, however, not always unequivocally linked to the disturbance event in all cases, because background variation in the "&amp;"absence of experimental manipulation of traffic could be of comparable magnitude. Thus, human pulse disturbance effects can operate against a matrix of considerable natural spatiotemporal variability over small scales on sandy beaches. This heterogeneity "&amp;"has traditionally not been sufficiently incorporated into our understanding of the dynamics of the macrobenthos on sandy beaches and emphasizes the need for more experimental approaches on sandy shores.")</f>
        <v>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v>
      </c>
      <c r="C362" s="24" t="str">
        <f>IFERROR(__xludf.DUMMYFUNCTION("""COMPUTED_VALUE"""),"10.2112/JCOASTRES-D-09-00138.1")</f>
        <v>10.2112/JCOASTRES-D-09-00138.1</v>
      </c>
      <c r="D362" s="24" t="str">
        <f>IFERROR(__xludf.DUMMYFUNCTION("""COMPUTED_VALUE"""),"Keck et al")</f>
        <v>Keck et al</v>
      </c>
      <c r="E362" s="24" t="str">
        <f>IFERROR(__xludf.DUMMYFUNCTION("""COMPUTED_VALUE"""),"WOS:000297278500017")</f>
        <v>WOS:000297278500017</v>
      </c>
      <c r="F362" s="24" t="str">
        <f>IFERROR(__xludf.DUMMYFUNCTION("""COMPUTED_VALUE"""),"[""ELIGIBLE""]")</f>
        <v>["ELIGIBLE"]</v>
      </c>
    </row>
    <row r="363">
      <c r="A363" s="24" t="str">
        <f>IFERROR(__xludf.DUMMYFUNCTION("""COMPUTED_VALUE"""),"Diverse Management Strategies Produce Similar Ecological Outcomes on Ranches in Western Great Plains: Social-Ecological Assessment")</f>
        <v>Diverse Management Strategies Produce Similar Ecological Outcomes on Ranches in Western Great Plains: Social-Ecological Assessment</v>
      </c>
      <c r="B363" s="24" t="str">
        <f>IFERROR(__xludf.DUMMYFUNCTION("""COMPUTED_VALUE"""),"Experiments investigating grazing systems have often excluded ranch-scale decision making, which has limited our understanding of the processes and consequences of adaptive management. We conducted interviews and vegetation monitoring on 17 ranches in eas"&amp;"tern Colorado and eastern Wyoming to investigate rancher decision-making processes and the associated ecological consequences. Management variables investigated were grazing strategy, grazing intensity, planning style, and operation type. Ecological attri"&amp;"butes included the relative abundance of plant functional groups and categories of ground cover. We examined the environmental and management correlates of plant species and functional group composition using nonmetric multidimensional scaling and linear "&amp;"mixed models. After accounting for environmental variation across the study region, species composition did not differ between grazing management strategy and planning style. Operation type was significantly correlated with plant community composition. In"&amp;"tegrated cow-calf plus yearling operations had greater annual and less key perennial cool-season grass species cover relative to cow-calf - only operations. Integrated cow-calf plus yearling ranches were able to more rapidly restock following drought comp"&amp;"ared with cow-calf operations. Differences in types of livestock operations contributed to variability in plant species composition across the landscape that may support diverse native faunal species in these rangeland ecosystems. Three broad themes emerg"&amp;"ed from the interviews: 1) long-term goals, 2) flexibility, and 3) adaptive learning. Stocking-rate decisions appear to be slow, path-dependent choices that are shaped by broader social, economic, and political dynamics. Ranchers described having greater "&amp;"flexibility in altering grazing strategies than ranch-level, long-term, annual stocking rates. These results reflect the complexity of the social-ecological systems ranchers navigate in their adaptive decision-making processes. Ranch decision-making proce"&amp;"ss diversity within these environments precludes development of a single best strategy to manage livestock grazing. Published by Elsevier Inc. on behalf of The Society for Range Management.")</f>
        <v>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v>
      </c>
      <c r="C363" s="24" t="str">
        <f>IFERROR(__xludf.DUMMYFUNCTION("""COMPUTED_VALUE"""),"10.1016/j.rama.2017.08.001")</f>
        <v>10.1016/j.rama.2017.08.001</v>
      </c>
      <c r="D363" s="24" t="str">
        <f>IFERROR(__xludf.DUMMYFUNCTION("""COMPUTED_VALUE"""),"Keck et al")</f>
        <v>Keck et al</v>
      </c>
      <c r="E363" s="24" t="str">
        <f>IFERROR(__xludf.DUMMYFUNCTION("""COMPUTED_VALUE"""),"WOS:000446859300012")</f>
        <v>WOS:000446859300012</v>
      </c>
      <c r="F363" s="24" t="str">
        <f>IFERROR(__xludf.DUMMYFUNCTION("""COMPUTED_VALUE"""),"[""ELIGIBLE""]")</f>
        <v>["ELIGIBLE"]</v>
      </c>
    </row>
    <row r="364">
      <c r="A364" s="24" t="str">
        <f>IFERROR(__xludf.DUMMYFUNCTION("""COMPUTED_VALUE"""),"The cost of tolerance: Sensitivity of stream benthic communities to UV-B and metals")</f>
        <v>The cost of tolerance: Sensitivity of stream benthic communities to UV-B and metals</v>
      </c>
      <c r="B364" s="24" t="str">
        <f>IFERROR(__xludf.DUMMYFUNCTION("""COMPUTED_VALUE"""),"The ability to tolerate disturbance is a defense strategy that minimizes the effects of damage to fitness and is essential for sustainability of populations, communities, and ecosystems. Despite the apparent benefits of tolerance, there may be an associat"&amp;"ed cost that results in a deficiency of a system to respond to additional disturbances. Aquatic ecosystems are often exposed to a variety of natural and anthropogenic disturbances, and the effects of these compound perturbations are not well known. In thi"&amp;"s investigation, we examine whether tolerance to one stressor, metals, results in a cost of increased sensitivity to an additional stressor, ultraviolet- B ( UV- B) radiation. Heavy metal pollution is recognized as a major environmental problem in Rocky M"&amp;"ountain streams. These high-elevation, typically clear streams may be at particular risk to elevated UVB levels associated with reduced levels of ozone. Microcosm experiments were conducted using natural stream benthic communities collected from a referen"&amp;"ce site and a site with a long- term history of heavy- metal pollution. Direct and interactive effects of heavy metals and UV- B radiation on structural and functional characteristics of benthic communities were evaluated among four treatments: control, U"&amp;"V- B, metals, and metal and UV- B. Communities from the metal- polluted site were more tolerant of metals but less tolerant to UV- B compared to reference communities. Increased mayfly drift and reduced metabolism in response to metal exposure were observ"&amp;"ed in reference communities but not in the metal- polluted communities. In contrast to these results, UV- B radiation significantly reduced community metabolism, total macroinvertebrate abundance, and abundances of mayflies, caddisflies, and dipterans fro"&amp;"m the metal- polluted site, but had no effects on benthic communities from the reference site. ANOSIM results demonstrated that community responses differed among treatments at both sites. Metals had the largest impact on community differences at both sit"&amp;"es, while UV- B had greater impacts at the metal- polluted site. This research demonstrates the need to account for potential costs associated with tolerance and that these costs can result in behavioral, structural, and functional impacts to benthic comm"&amp;"unities.")</f>
        <v>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v>
      </c>
      <c r="C364" s="24" t="str">
        <f>IFERROR(__xludf.DUMMYFUNCTION("""COMPUTED_VALUE"""),"10.1890/06-0396")</f>
        <v>10.1890/06-0396</v>
      </c>
      <c r="D364" s="24" t="str">
        <f>IFERROR(__xludf.DUMMYFUNCTION("""COMPUTED_VALUE"""),"Keck et al")</f>
        <v>Keck et al</v>
      </c>
      <c r="E364" s="24" t="str">
        <f>IFERROR(__xludf.DUMMYFUNCTION("""COMPUTED_VALUE"""),"WOS:000245744200007")</f>
        <v>WOS:000245744200007</v>
      </c>
      <c r="F364" s="24" t="str">
        <f>IFERROR(__xludf.DUMMYFUNCTION("""COMPUTED_VALUE"""),"[""ELIGIBLE""]")</f>
        <v>["ELIGIBLE"]</v>
      </c>
    </row>
    <row r="365">
      <c r="A365" s="24" t="str">
        <f>IFERROR(__xludf.DUMMYFUNCTION("""COMPUTED_VALUE"""),"Four decades of plant community change along a continental gradient of warming")</f>
        <v>Four decades of plant community change along a continental gradient of warming</v>
      </c>
      <c r="B365" s="24" t="str">
        <f>IFERROR(__xludf.DUMMYFUNCTION("""COMPUTED_VALUE"""),"Many studies of individual sites have revealed biotic changes consistent with climate warming (e.g., upward elevational distribution shifts), but our understanding of the tremendous variation among studies in the magnitude of such biotic changes is minima"&amp;"l. In this study, we resurveyed forest vegetation plots 40 years after the initial surveys in three protected areas along a west-to-east gradient of increasingly steep recent warming trends in eastern Canada (Quebec). Consistent with the hypothesis that c"&amp;"limate warming has been an important driver of vegetation change, we found an increasing magnitude of changes in species richness and composition from west to east among the three parks. For the two mountainous parks, we found no significant changes in el"&amp;"evational species' distributions in the easternmost park (raw mean = +11.4 m at Forillon Park) where warming has been minimal, and significant upward distribution shifts in the centrally located park (+38.9 m at Mont-Megantic), where the recent warming tr"&amp;"end has been marked. Community Temperature Indices (CTI), reflecting the average affinities of locally co-occurring species to temperature conditions across their geographic ranges (Species Temperature Indices), did not change over time as predicted. Howe"&amp;"ver, close examination of the underpinnings of CTI values suggested a high sensitivity to uncertainty in individual species' temperature indices, and so a potentially limited responsiveness to warming. Overall, by testing a priori predictions concerning v"&amp;"ariation among parks in the direction and magnitude of vegetation changes, we have provided stronger evidence for a link between climate warming and biotic responses than otherwise possible and provided a potential explanation for large variation among st"&amp;"udies in warming-related biotic changes.")</f>
        <v>Many studies of individual sites have revealed biotic changes consistent with climate warming (e.g., upward elevational distribution shifts), but our understanding of the tremendous variation among studies in the magnitude of such biotic changes is minimal. In this study, we resurveyed forest vegetation plots 40 years after the initial surveys in three protected areas along a west-to-east gradient of increasingly steep recent warming trends in eastern Canada (Quebec). Consistent with the hypothesis that climate warming has been an important driver of vegetation change, we found an increasing magnitude of changes in species richness and composition from west to east among the three parks. For the two mountainous parks, we found no significant changes in elevational species' distributions in the easternmost park (raw mean = +11.4 m at Forillon Park) where warming has been minimal, and significant upward distribution shifts in the centrally located park (+38.9 m at Mont-Megantic), where the recent warming trend has been marked. Community Temperature Indices (CTI), reflecting the average affinities of locally co-occurring species to temperature conditions across their geographic ranges (Species Temperature Indices), did not change over time as predicted. However, close examination of the underpinnings of CTI values suggested a high sensitivity to uncertainty in individual species' temperature indices, and so a potentially limited responsiveness to warming. Overall, by testing a priori predictions concerning variation among parks in the direction and magnitude of vegetation changes, we have provided stronger evidence for a link between climate warming and biotic responses than otherwise possible and provided a potential explanation for large variation among studies in warming-related biotic changes.</v>
      </c>
      <c r="C365" s="24" t="str">
        <f>IFERROR(__xludf.DUMMYFUNCTION("""COMPUTED_VALUE"""),"10.1111/gcb.14568")</f>
        <v>10.1111/gcb.14568</v>
      </c>
      <c r="D365" s="24" t="str">
        <f>IFERROR(__xludf.DUMMYFUNCTION("""COMPUTED_VALUE"""),"Keck et al")</f>
        <v>Keck et al</v>
      </c>
      <c r="E365" s="24" t="str">
        <f>IFERROR(__xludf.DUMMYFUNCTION("""COMPUTED_VALUE"""),"WOS:000465103600006")</f>
        <v>WOS:000465103600006</v>
      </c>
      <c r="F365" s="24" t="str">
        <f>IFERROR(__xludf.DUMMYFUNCTION("""COMPUTED_VALUE"""),"[""ELIGIBLE""]")</f>
        <v>["ELIGIBLE"]</v>
      </c>
    </row>
    <row r="366">
      <c r="A366" s="24" t="str">
        <f>IFERROR(__xludf.DUMMYFUNCTION("""COMPUTED_VALUE"""),"Plant community response to fuel break construction and goat grazing in a southern California shrubland")</f>
        <v>Plant community response to fuel break construction and goat grazing in a southern California shrubland</v>
      </c>
      <c r="B366" s="24" t="str">
        <f>IFERROR(__xludf.DUMMYFUNCTION("""COMPUTED_VALUE"""),"Background Shrub-dominated ecosystems in California are widespread and provide invaluable ecosystem services to surrounding human-dominated communities. Yet shrublands, especially those at the wildland-urban interface, are at risk of degradation due to in"&amp;"creasing wildfire frequency. Strategically placed fuel breaks are an important fuel management technique for reducing fire risk to neighboring communities and natural landscapes. Fuel breaks in shrub-dominated ecosystems are typically linear features wher"&amp;"e woody biomass is reduced, thereby providing fire suppression opportunities that limit fire spread. While fuel breaks are important for tactical response to fire, they can also affect the composition and structure of shrubland habitats. To understand the"&amp;" ecological changes resulting from fuel treatments in southern California chaparral, we measured vegetation change associated with fuel management techniques on a recently created fuel break established around the Lake Morena community on the Cleveland Na"&amp;"tional Forest. The area was initially treated with cut and pile burning, then treated with herbicide, and 2 years later was subjected to short-term grazing by 1200 goats. The purpose of this study is to (1) evaluate the compositional and structural differ"&amp;"ences associated with fuel break creation and (2) quantify compositional shifts in herbaceous and woody vegetation caused by short-duration goat grazing as a method of fuel break maintenance. Results Plots on the fuel break and in untreated adjacent chapa"&amp;"rral exhibited significantly different species assemblages. Total herbaceous cover (both native and non-native) was 92 times greater on the fuel break than in adjacent chaparral-dominated wildlands, and native shrub cover was 55.3 times greater in untreat"&amp;"ed adjacent chaparral than on the fuel break. Goats had a significant impact on reducing native and non-native herbaceous cover (87% reduction in cover, 92% reduction in height), but were ineffective at reducing the cover and height of most woody species "&amp;"such as Adenostoma fasciculatum, Eriogonum fasciculatum, Quercus berberidifolia, and Artemisia tridentata. Conclusion Initial fuel break creation was effective at reducing native woody cover and height, simultaneously giving rise to an abundance and diver"&amp;"sity of native and non-native herbaceous species. Targeted goat grazing was successful at reducing herbaceous biomass but was ineffective at reducing woody biomass which is often one of the most important goals for fuel management in chaparral ecosystems."&amp;" In areas where control of woody biomass is the primary objective, land managers should consider grazing duration and plant species composition when contemplating goats as a tool for fuel break maintenance.")</f>
        <v>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v>
      </c>
      <c r="C366" s="24" t="str">
        <f>IFERROR(__xludf.DUMMYFUNCTION("""COMPUTED_VALUE"""),"10.1186/s42408-021-00114-3")</f>
        <v>10.1186/s42408-021-00114-3</v>
      </c>
      <c r="D366" s="24" t="str">
        <f>IFERROR(__xludf.DUMMYFUNCTION("""COMPUTED_VALUE"""),"Keck et al")</f>
        <v>Keck et al</v>
      </c>
      <c r="E366" s="24" t="str">
        <f>IFERROR(__xludf.DUMMYFUNCTION("""COMPUTED_VALUE"""),"WOS:000714053600001")</f>
        <v>WOS:000714053600001</v>
      </c>
      <c r="F366" s="24" t="str">
        <f>IFERROR(__xludf.DUMMYFUNCTION("""COMPUTED_VALUE"""),"[""ELIGIBLE""]")</f>
        <v>["ELIGIBLE"]</v>
      </c>
    </row>
    <row r="367">
      <c r="A367" s="24" t="str">
        <f>IFERROR(__xludf.DUMMYFUNCTION("""COMPUTED_VALUE"""),"Metabarcoding of Soil Fungi from Different Urban Greenspaces Around Bournemouth in the UK")</f>
        <v>Metabarcoding of Soil Fungi from Different Urban Greenspaces Around Bournemouth in the UK</v>
      </c>
      <c r="B367" s="24" t="str">
        <f>IFERROR(__xludf.DUMMYFUNCTION("""COMPUTED_VALUE"""),"Soil microbes are important for public health. Increasing urbanisation is adversely affecting soil microbiota, which may be contributing to the global rise of immune-related diseases. Fungi are key components of urban environments that can be negatively i"&amp;"mpacted by altered land-use, land-management and climate change, and are implicated in the development and exacerbation of non-communicable diseases such as allergy, asthma and chronic inflammatory conditions. Fungal metagenomics is building knowledge on "&amp;"fungi within different environments (the environmental mycobiome), fungi on and within the human body (the human mycobiome), and their association with disease. Here, we demonstrate the added value of a multi-region metabarcoding approach to analyse soil "&amp;"mycobiomes from five urban greenspaces (lawns, parklands, bareground, young forest and old forest). While results were comparable across the three regions (ITS1, ITS2 and LSU), each identified additional fungal taxa that were unique to the region. Combini"&amp;"ng the results therefore provided a more comprehensive analysis across all fungal taxonomic ranks, identifying statistically significant differences in the fungal composition of the five soil types. Assignment of fungal taxa into ecological guilds reveale"&amp;"d those differences of biological relevance to public health. The greatest differences were between the soil mycobiome of lawns and forests. Of most concern was the significant increase in the known human allergens Alternaria, Bipolaris, Cladosporium and "&amp;"Fusarium within urban lawn and parkland vs forest soils. By improving our understanding of local variations in fungal taxa across urban greenspaces, we have the potential to boost the health of local residents through improved urban planning.")</f>
        <v>Soil microbes are important for public health. Increasing urbanisation is adversely affecting soil microbiota, which may be contributing to the global rise of immune-related diseases. Fungi are key components of urban environments that can be negatively impacted by altered land-use, land-management and climate change, and are implicated in the development and exacerbation of non-communicable diseases such as allergy, asthma and chronic inflammatory conditions. Fungal metagenomics is building knowledge on fungi within different environments (the environmental mycobiome), fungi on and within the human body (the human mycobiome), and their association with disease. Here, we demonstrate the added value of a multi-region metabarcoding approach to analyse soil mycobiomes from five urban greenspaces (lawns, parklands, bareground, young forest and old forest). While results were comparable across the three regions (ITS1, ITS2 and LSU), each identified additional fungal taxa that were unique to the region. Combining the results therefore provided a more comprehensive analysis across all fungal taxonomic ranks, identifying statistically significant differences in the fungal composition of the five soil types. Assignment of fungal taxa into ecological guilds revealed those differences of biological relevance to public health. The greatest differences were between the soil mycobiome of lawns and forests. Of most concern was the significant increase in the known human allergens Alternaria, Bipolaris, Cladosporium and Fusarium within urban lawn and parkland vs forest soils. By improving our understanding of local variations in fungal taxa across urban greenspaces, we have the potential to boost the health of local residents through improved urban planning.</v>
      </c>
      <c r="C367" s="24" t="str">
        <f>IFERROR(__xludf.DUMMYFUNCTION("""COMPUTED_VALUE"""),"10.1007/s10393-021-01523-1")</f>
        <v>10.1007/s10393-021-01523-1</v>
      </c>
      <c r="D367" s="24" t="str">
        <f>IFERROR(__xludf.DUMMYFUNCTION("""COMPUTED_VALUE"""),"Keck et al")</f>
        <v>Keck et al</v>
      </c>
      <c r="E367" s="24" t="str">
        <f>IFERROR(__xludf.DUMMYFUNCTION("""COMPUTED_VALUE"""),"WOS:000658084800001")</f>
        <v>WOS:000658084800001</v>
      </c>
      <c r="F367" s="24" t="str">
        <f>IFERROR(__xludf.DUMMYFUNCTION("""COMPUTED_VALUE"""),"[""ELIGIBLE""]")</f>
        <v>["ELIGIBLE"]</v>
      </c>
    </row>
    <row r="368">
      <c r="A368" s="24" t="str">
        <f>IFERROR(__xludf.DUMMYFUNCTION("""COMPUTED_VALUE"""),"Unravelling direct and indirect effects of hierarchical factors driving microbial stream communities")</f>
        <v>Unravelling direct and indirect effects of hierarchical factors driving microbial stream communities</v>
      </c>
      <c r="B368" s="24" t="str">
        <f>IFERROR(__xludf.DUMMYFUNCTION("""COMPUTED_VALUE"""),"Aim: The diversity and distributions of organisms are jointly influenced by local environment and large-scale variables, such as land cover patterns, dispersal processes and climate. However, the drivers of microbial diversity are complex and the pathways"&amp;" of these drivers' effects are to date largely unresolved, especially in freshwaters. We disentangled the causal direct and indirect effects of climate, land cover and water chemistry on stream diatom communities using hierarchical settings. Location: Fin"&amp;"land, a geographical gradient of c. 1200 km (60 degrees-70 degrees N). Methods: We used structural equation modelling (SEM) to analyse patterns in diatom richness, composition and the uniqueness of species composition in 143 streams. The community composi"&amp;"tion was defined as the value of the first axis in non-metric multidimensional scaling and the uniqueness of species composition of each site as its local contribution to beta diversity. Results: Species richness was mainly affected directly by energy and"&amp;" resource availability, increasing with nutrients but decreasing with growing degree days (GDD). The community composition was strongly influenced directly by conductivity and mainly indirectly by anthropogenic land use but also to a lesser degree by GDD "&amp;"(directly and indirectly), indirectly by precipitation and directly by the amount of boreal wetlands. The uniqueness of species composition increased with conductivity but decreased with nutrient concentrations with high number of unique species in southe"&amp;"rnmost and northernmost sites. Main conclusions: Our SEM analyses revealed some of the important links between climate, land cover and water chemistry, all of which influenced the microbial diversity. Energy availability has varying indirect and direct ef"&amp;"fects on diatom communities regardless of local stream conditions, whereas land cover patterns affect aquatic communities most likely indirectly through water chemistry. Collectively, these results suggest that it is important to consider environmental va"&amp;"riables simultaneously at different hierarchically ordered scales in macroecological and biogeographical research.")</f>
        <v>Aim: The diversity and distributions of organisms are jointly influenced by local environment and large-scale variables, such as land cover patterns, dispersal processes and climate. However, the drivers of microbial diversity are complex and the pathways of these drivers' effects are to date largely unresolved, especially in freshwaters. We disentangled the causal direct and indirect effects of climate, land cover and water chemistry on stream diatom communities using hierarchical settings. Location: Finland, a geographical gradient of c. 1200 km (60 degrees-70 degrees N). Methods: We used structural equation modelling (SEM) to analyse patterns in diatom richness, composition and the uniqueness of species composition in 143 streams. The community composition was defined as the value of the first axis in non-metric multidimensional scaling and the uniqueness of species composition of each site as its local contribution to beta diversity. Results: Species richness was mainly affected directly by energy and resource availability, increasing with nutrients but decreasing with growing degree days (GDD). The community composition was strongly influenced directly by conductivity and mainly indirectly by anthropogenic land use but also to a lesser degree by GDD (directly and indirectly), indirectly by precipitation and directly by the amount of boreal wetlands. The uniqueness of species composition increased with conductivity but decreased with nutrient concentrations with high number of unique species in southernmost and northernmost sites. Main conclusions: Our SEM analyses revealed some of the important links between climate, land cover and water chemistry, all of which influenced the microbial diversity. Energy availability has varying indirect and direct effects on diatom communities regardless of local stream conditions, whereas land cover patterns affect aquatic communities most likely indirectly through water chemistry. Collectively, these results suggest that it is important to consider environmental variables simultaneously at different hierarchically ordered scales in macroecological and biogeographical research.</v>
      </c>
      <c r="C368" s="24" t="str">
        <f>IFERROR(__xludf.DUMMYFUNCTION("""COMPUTED_VALUE"""),"10.1111/jbi.13046")</f>
        <v>10.1111/jbi.13046</v>
      </c>
      <c r="D368" s="24" t="str">
        <f>IFERROR(__xludf.DUMMYFUNCTION("""COMPUTED_VALUE"""),"Keck et al")</f>
        <v>Keck et al</v>
      </c>
      <c r="E368" s="24" t="str">
        <f>IFERROR(__xludf.DUMMYFUNCTION("""COMPUTED_VALUE"""),"WOS:000412074300019")</f>
        <v>WOS:000412074300019</v>
      </c>
      <c r="F368" s="24" t="str">
        <f>IFERROR(__xludf.DUMMYFUNCTION("""COMPUTED_VALUE"""),"[""ELIGIBLE""]")</f>
        <v>["ELIGIBLE"]</v>
      </c>
    </row>
    <row r="369">
      <c r="A369" s="24" t="str">
        <f>IFERROR(__xludf.DUMMYFUNCTION("""COMPUTED_VALUE"""),"The microbial community, its biochemical potential, and the antimicrobial resistance of Enterococcus spp. in Arctic lakes under natural and anthropogenic impact (West Spitsbergen)")</f>
        <v>The microbial community, its biochemical potential, and the antimicrobial resistance of Enterococcus spp. in Arctic lakes under natural and anthropogenic impact (West Spitsbergen)</v>
      </c>
      <c r="B369" s="24" t="str">
        <f>IFERROR(__xludf.DUMMYFUNCTION("""COMPUTED_VALUE"""),"The sustainable management of small human communities in the Arctic is challenging. In this study, both a water supply system (Lake 1) under the natural impact of a bird-nesting area, and a wastewater receiver (Lake 2) were analysed in the vicinity of the"&amp;" Polish Polar Station on West Spitsbergen. Microbial community composition, abundance and activity were assessed in samples of the treated wastewater, lake water and sediments using next-generation sequencing and direct microscope counts. Special attentio"&amp;"n was given to the faecal indicator, Enterococcus spp., whose occurrence and antimicrobial resistance were tested in water and wastewater samples. The results indicate that Lake 1, at a tundra stream discharge (L-TS) and a water supply point (L-WS) were d"&amp;"ominated by three phyla: Proteobacteria (57-58%) Bacteroidetes (27-29%) and Actinobacterio (9-10%), showing similar microbial composition up to the genus level. This suggests that nutrient-rich runoff from the bird colony was retained by surrounding tundr"&amp;"a vegetation and reached Lake 1 at L-TS to a limited extent. Lake 2, being the wastewater recipient (WW-R), mirrors to some extent the core phyla of treated wastewater (WW-E), but in different shares. This suggests the possible washout of wastewater-relat"&amp;"ed bacteria with activated sludge flocs, which was also supported by the microscopic observations. Compared to Lake 1, in WW-R an increase in all tested parameters was noted: total prokaryotic cell number, average cell volume, prokaryotic biomass and live"&amp;" cell percentage. The presence of Enterococcus spp. antibiotic resistance patterns highlight the importance of human associated microbiome and resistome dissemination via wastewater discharge. Moreover, it can be expected that temperature-related biochemi"&amp;"cal processes (e.g. nutrient cycling) may be accelerated by the ongoing climate change. Thus, proper wastewater treatment requires locally adapted solutions in increasingly visited and inhabited polar regions. Additionally, microbial community discharged "&amp;"to the environment with the treated wastewater, requires critical attention. (C) 2020 Elsevier B.V. All rights reserved.")</f>
        <v>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v>
      </c>
      <c r="C369" s="24" t="str">
        <f>IFERROR(__xludf.DUMMYFUNCTION("""COMPUTED_VALUE"""),"10.1016/j.scitotenv.2020.142998")</f>
        <v>10.1016/j.scitotenv.2020.142998</v>
      </c>
      <c r="D369" s="24" t="str">
        <f>IFERROR(__xludf.DUMMYFUNCTION("""COMPUTED_VALUE"""),"Keck et al")</f>
        <v>Keck et al</v>
      </c>
      <c r="E369" s="24" t="str">
        <f>IFERROR(__xludf.DUMMYFUNCTION("""COMPUTED_VALUE"""),"WOS:000608188700060")</f>
        <v>WOS:000608188700060</v>
      </c>
      <c r="F369" s="24" t="str">
        <f>IFERROR(__xludf.DUMMYFUNCTION("""COMPUTED_VALUE"""),"[""ELIGIBLE""]")</f>
        <v>["ELIGIBLE"]</v>
      </c>
    </row>
    <row r="370">
      <c r="A370" s="24" t="str">
        <f>IFERROR(__xludf.DUMMYFUNCTION("""COMPUTED_VALUE"""),"Urban legacies: Aquatic stressors and low aquatic biodiversity persist despite implementation of regenerative stormwater conveyance systems")</f>
        <v>Urban legacies: Aquatic stressors and low aquatic biodiversity persist despite implementation of regenerative stormwater conveyance systems</v>
      </c>
      <c r="B370" s="24" t="str">
        <f>IFERROR(__xludf.DUMMYFUNCTION("""COMPUTED_VALUE"""),"Urbanization is a global stressor of stream ecosystems. Watershed managers in urban regions often implement infiltration-based stormwater control measures (SCMs) to mitigate the effects of urbanization. Most research on SCM implementation, however, has fo"&amp;"cused primarily on their effects of sediment and nutrient loading, so little is known about the effect of SCMs on other urban stressors to which aquatic ecosystems are especially sensitive (e.g., flow patterns, temperature, conductivity). We addressed thi"&amp;"s research gap by studying the hydro-ecological effects of SCM implementation in 11 headwater streams in Maryland, USA. The study included 4 forested streams, 4 urban streams (urban-degraded), and 3 urban streams whose watersheds contain regenerative stor"&amp;"mwater conveyances (urban-restored), a type of infiltration-based SCM. We measured baseflow discharge and water quality monthly and monitored stream stage, temperature, and precipitation at high frequencies over a 1-y period. We also quantified aquatic in"&amp;"sect assemblage composition during the spring season of the monitoring year. We found that stream conductivity and daily maximum water temperatures increased with increasing impervious cover and that SCM implementation had no effect on these metrics. Diss"&amp;"olved oxygen was lower in the urban-restored streams than in forested streams, whereas dissolved oxygen was slightly higher in urban-degraded streams than in urban-restored streams. Temperature surges during runoff events were highest in the urban-degrade"&amp;"d streams and lower in urban-restored streams, indicating mitigation by SCM implementation. All metrics describing aquatic insect abundance and diversity metrics were negatively affected by urbanization, and SCM implementation had no effect on most of the"&amp;"se metrics. Multivariate analyses revealed multiple stressors present in the urban streams, but conductivity explained most of the variance in insect assemblage composition across the study sites. Conductivity was strongly correlated with chloride concent"&amp;"rations, suggesting road salt is a source of elevated conductivity. Chloride concentrations exceeded established chronic and acute criteria in several urban streams, including 2 of the 3 urban-restored streams. These results document that the effects of u"&amp;"rbanization in streams persist even after SCM implementation occurs. Ultimately, our research underscores the need for restoration designs to address multiple stressors that cause ecosystem degradation in urbanized streams.")</f>
        <v>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v>
      </c>
      <c r="C370" s="24" t="str">
        <f>IFERROR(__xludf.DUMMYFUNCTION("""COMPUTED_VALUE"""),"10.1086/706072")</f>
        <v>10.1086/706072</v>
      </c>
      <c r="D370" s="24" t="str">
        <f>IFERROR(__xludf.DUMMYFUNCTION("""COMPUTED_VALUE"""),"Keck et al")</f>
        <v>Keck et al</v>
      </c>
      <c r="E370" s="24" t="str">
        <f>IFERROR(__xludf.DUMMYFUNCTION("""COMPUTED_VALUE"""),"WOS:000496957900011")</f>
        <v>WOS:000496957900011</v>
      </c>
      <c r="F370" s="24" t="str">
        <f>IFERROR(__xludf.DUMMYFUNCTION("""COMPUTED_VALUE"""),"[""ELIGIBLE""]")</f>
        <v>["ELIGIBLE"]</v>
      </c>
    </row>
    <row r="371">
      <c r="A371" s="24" t="str">
        <f>IFERROR(__xludf.DUMMYFUNCTION("""COMPUTED_VALUE"""),"Distribution and diversity of aquatic macroinvertebrate assemblages in a semiarid region earmarked for shale gas exploration (Eastern Cape Karoo, South Africa)")</f>
        <v>Distribution and diversity of aquatic macroinvertebrate assemblages in a semiarid region earmarked for shale gas exploration (Eastern Cape Karoo, South Africa)</v>
      </c>
      <c r="B371" s="24" t="str">
        <f>IFERROR(__xludf.DUMMYFUNCTION("""COMPUTED_VALUE"""),"This study aims to investigate macroinvertebrate assemblage structure and composition across the three major waterbody types (temporary rivers, depression wetlands and semipermanent dams) of the Eastern Cape Karoo, and to identify important environmental "&amp;"and spatial correlates of macroinvertebrate assemblage composition in the region. A total of 33 waterbodies (9 dams, 13 depression wetlands and 11 rivers) were sampled. Altogether, 91 taxa were recorded in November 2014 and 82 in April 2015. Twenty-seven "&amp;"taxa were common to all three waterbody types (across both sampling occasions), with 17 of these observed in November and 19 in April. The ANOSIM tests revealed significant differences in assemblage composition between the depression wetlands and rivers f"&amp;"or both sampling occasions, but dams did not differ from the other waterbody types. SIMPER analyses indicated that the notonectid Anisops varia and the corixid Micronecta scutellaris were abundant across all three waterbody types during both sampling occa"&amp;"sions. The mayfly Cloeon africanum and the damselfly Pseudagrion sp. were abundant in river habitats during both sampling occasions, while the gastropod mollusc Bulinus tropicus and the copepod Lovenula falcifera best characterised depression wetlands on "&amp;"both occasions. Non-metric multidimensional scaling ordination highlighted a clear separation of assemblages between November and April, while distance-based Redundancy Analysis revealed that conductivity, altitude, turbidity and pH were the most importan"&amp;"t variables explaining the variation in macroinvertebrate assemblage patterns. These results provide baseline information which is important for future biological monitoring of impacts associated with hydraulic fracturing activities and climatic changes i"&amp;"n the region.")</f>
        <v>This study aims to investigate macroinvertebrate assemblage structure and composition across the three major waterbody types (temporary rivers, depression wetlands and semipermanent dams) of the Eastern Cape Karoo, and to identify important environmental and spatial correlates of macroinvertebrate assemblage composition in the region. A total of 33 waterbodies (9 dams, 13 depression wetlands and 11 rivers) were sampled. Altogether, 91 taxa were recorded in November 2014 and 82 in April 2015. Twenty-seven taxa were common to all three waterbody types (across both sampling occasions), with 17 of these observed in November and 19 in April. The ANOSIM tests revealed significant differences in assemblage composition between the depression wetlands and rivers for both sampling occasions, but dams did not differ from the other waterbody types. SIMPER analyses indicated that the notonectid Anisops varia and the corixid Micronecta scutellaris were abundant across all three waterbody types during both sampling occasions. The mayfly Cloeon africanum and the damselfly Pseudagrion sp. were abundant in river habitats during both sampling occasions, while the gastropod mollusc Bulinus tropicus and the copepod Lovenula falcifera best characterised depression wetlands on both occasions. Non-metric multidimensional scaling ordination highlighted a clear separation of assemblages between November and April, while distance-based Redundancy Analysis revealed that conductivity, altitude, turbidity and pH were the most important variables explaining the variation in macroinvertebrate assemblage patterns. These results provide baseline information which is important for future biological monitoring of impacts associated with hydraulic fracturing activities and climatic changes in the region.</v>
      </c>
      <c r="C371" s="24" t="str">
        <f>IFERROR(__xludf.DUMMYFUNCTION("""COMPUTED_VALUE"""),"10.1371/journal.pone.0178559")</f>
        <v>10.1371/journal.pone.0178559</v>
      </c>
      <c r="D371" s="24" t="str">
        <f>IFERROR(__xludf.DUMMYFUNCTION("""COMPUTED_VALUE"""),"Keck et al")</f>
        <v>Keck et al</v>
      </c>
      <c r="E371" s="24" t="str">
        <f>IFERROR(__xludf.DUMMYFUNCTION("""COMPUTED_VALUE"""),"WOS:000402624300064")</f>
        <v>WOS:000402624300064</v>
      </c>
      <c r="F371" s="24" t="str">
        <f>IFERROR(__xludf.DUMMYFUNCTION("""COMPUTED_VALUE"""),"[""ELIGIBLE""]")</f>
        <v>["ELIGIBLE"]</v>
      </c>
    </row>
    <row r="372">
      <c r="A372" s="24" t="str">
        <f>IFERROR(__xludf.DUMMYFUNCTION("""COMPUTED_VALUE"""),"Connectivity and zebra mussel invasion offer short-term buffering of eutrophication impacts on floodplain lake landscape biodiversity")</f>
        <v>Connectivity and zebra mussel invasion offer short-term buffering of eutrophication impacts on floodplain lake landscape biodiversity</v>
      </c>
      <c r="B372" s="24" t="str">
        <f>IFERROR(__xludf.DUMMYFUNCTION("""COMPUTED_VALUE"""),"Aim To investigate if connectivity and zebra mussel (Dreissena polymorpha) occurrence can mitigate effects of eutrophication in a lowland lake landscape. Location Upper Lough Erne, Northern Ireland, UK. Methods Data on environment, macrophytes and inverte"&amp;"brates were assembled for three basins of a large central lake and its satellite floodplain lakes via field surveys and palaeolimnological analyses. Space-time interaction analyses of palaeoecological data were compared pre-1950 and post-1950. Multivariat"&amp;"e analyses examined how connectivity, environment and zebra mussels influenced contemporary lake communities, and explain their divergence from historical communities in the past. Results Pre-1950, we found high community variation across sites and low wi"&amp;"thin-lake variation in macrophytes, but progressive eutrophication accentuated within-lake community variation after 1950. Partitioning analysis showed larger effects of connectivity than nutrient enrichment on contemporary macrophyte composition, while l"&amp;"ocal effects structured invertebrate communities. Three clusters of lakes were revealed according to variation in macrophyte composition, isolation from the central lake and nutrient enrichment: Group 1- the central lake and six nearby lakes were meso-eut"&amp;"rophic (TP = 66.7 +/- 47.6 mu g/L; TN = 0.79 +/- 0.41 mg/L) and had the highest zebra mussel abundances and organismal biodiversity; Group 2- Eight eutrophic (TP = 112 +/- 36.6 mu g/L; TN = 1.25 +/- 0.5 mg/L) and connected lakes; Group 3- Seven isolated a"&amp;"nd hypertrophic (TP = 163.2 +/- 101.5 mu g/L; TN = 1.55 +/- 0.3 mg/L) lakes. Pre-1950 palaeolimnological data for macrophytes and invertebrates for 5 lakes and a basin in the central lake most resembled extant lake communities of Group 1. However, palaeo-"&amp;"records revealed that macrophytes and invertebrates subsequently converged towards those of Groups 2 and 3. Main conclusions Our study reveals that the central mother lake acts as a hub for preserving biodiversity via shared hydrological connectivity with"&amp;" satellite lakes and high zebra mussel abundances. These may buffer the impoverishing effects of eutrophication and sustain unexpectedly high biodiversity in the short term. Such protective buffering, however, cannot be relied upon indefinitely to conserv"&amp;"e biodiversity.")</f>
        <v>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v>
      </c>
      <c r="C372" s="24" t="str">
        <f>IFERROR(__xludf.DUMMYFUNCTION("""COMPUTED_VALUE"""),"10.1111/ddi.12938")</f>
        <v>10.1111/ddi.12938</v>
      </c>
      <c r="D372" s="24" t="str">
        <f>IFERROR(__xludf.DUMMYFUNCTION("""COMPUTED_VALUE"""),"Keck et al")</f>
        <v>Keck et al</v>
      </c>
      <c r="E372" s="24" t="str">
        <f>IFERROR(__xludf.DUMMYFUNCTION("""COMPUTED_VALUE"""),"WOS:000476676000012")</f>
        <v>WOS:000476676000012</v>
      </c>
      <c r="F372" s="24" t="str">
        <f>IFERROR(__xludf.DUMMYFUNCTION("""COMPUTED_VALUE"""),"[""ELIGIBLE""]")</f>
        <v>["ELIGIBLE"]</v>
      </c>
    </row>
    <row r="373">
      <c r="A373" s="24" t="str">
        <f>IFERROR(__xludf.DUMMYFUNCTION("""COMPUTED_VALUE"""),"Extreme heat changes post-heat wave community reassembly")</f>
        <v>Extreme heat changes post-heat wave community reassembly</v>
      </c>
      <c r="B373" s="24" t="str">
        <f>IFERROR(__xludf.DUMMYFUNCTION("""COMPUTED_VALUE"""),"Climate forecasts project further increases in extremely high-temperature events. These present threats to biodiversity, as they promote population declines and local species extinctions. This implies that ecological communities will need to rely more str"&amp;"ongly on recovery processes, such as recolonization from a meta-community context. It is poorly understood how differences in extreme event intensity change the outcome of subsequent community reassembly and if such extremes modify the biotic environment "&amp;"in ways that would prevent the successful re-establishment of lost species. We studied replicated aquatic communities consisting of algae and herbivorous rotifers in a design that involved a control and two different heat wave intensity treatments (29 deg"&amp;"rees C and 39 degrees C). Animal species that suffered heat-induced extinction were subsequently re-introduced at the same time and density, in each of the two treatments. The 39 degrees C treatment led to community closure in all replicates, meaning that"&amp;" a previously successful herbivore species could not re-establish itself in the postheat wave community. In contrast, such closure never occurred after a 29 degrees C event. Heat wave intensity determined the number of herbivore extinctions and strongly a"&amp;"ffected algal relative abundances. Re-introduced herbivore species were thus confronted with significantly different food environments. This ecological legacy generated by heat wave intensity led to differences in the failure or success of herbivore speci"&amp;"es re-introductions. Reassembly was significantly more variable, and hence less predictable, after an extreme heat wave, and was more canalized after a moderate one. Our results pertain to relatively simple communities, but they suggest that ecological le"&amp;"gacies introduced by extremely high-temperature events may change subsequent ecological recovery and even prevent the successful re-establishment of lost species. Knowing the processes promoting and preventing ecological recovery is crucial to the success"&amp;" of species re-introduction programs and to our ability to restore ecosystems damaged by environmental extremes.")</f>
        <v>Climate forecasts project further increases in extremely high-temperature events. These present threats to biodiversity, as they promote population declines and local species extinctions. This implies that ecological communities will need to rely more strongly on recovery processes, such as recolonization from a meta-community context. It is poorly understood how differences in extreme event intensity change the outcome of subsequent community reassembly and if such extremes modify the biotic environment in ways that would prevent the successful re-establishment of lost species. We studied replicated aquatic communities consisting of algae and herbivorous rotifers in a design that involved a control and two different heat wave intensity treatments (29 degrees C and 39 degrees C). Animal species that suffered heat-induced extinction were subsequently re-introduced at the same time and density, in each of the two treatments. The 39 degrees C treatment led to community closure in all replicates, meaning that a previously successful herbivore species could not re-establish itself in the postheat wave community. In contrast, such closure never occurred after a 29 degrees C event. Heat wave intensity determined the number of herbivore extinctions and strongly affected algal relative abundances. Re-introduced herbivore species were thus confronted with significantly different food environments. This ecological legacy generated by heat wave intensity led to differences in the failure or success of herbivore species re-introductions. Reassembly was significantly more variable, and hence less predictable, after an extreme heat wave, and was more canalized after a moderate one. Our results pertain to relatively simple communities, but they suggest that ecological legacies introduced by extremely high-temperature events may change subsequent ecological recovery and even prevent the successful re-establishment of lost species. Knowing the processes promoting and preventing ecological recovery is crucial to the success of species re-introduction programs and to our ability to restore ecosystems damaged by environmental extremes.</v>
      </c>
      <c r="C373" s="24" t="str">
        <f>IFERROR(__xludf.DUMMYFUNCTION("""COMPUTED_VALUE"""),"10.1002/ece3.1490")</f>
        <v>10.1002/ece3.1490</v>
      </c>
      <c r="D373" s="24" t="str">
        <f>IFERROR(__xludf.DUMMYFUNCTION("""COMPUTED_VALUE"""),"Keck et al")</f>
        <v>Keck et al</v>
      </c>
      <c r="E373" s="24" t="str">
        <f>IFERROR(__xludf.DUMMYFUNCTION("""COMPUTED_VALUE"""),"WOS:000355731300002")</f>
        <v>WOS:000355731300002</v>
      </c>
      <c r="F373" s="24" t="str">
        <f>IFERROR(__xludf.DUMMYFUNCTION("""COMPUTED_VALUE"""),"[""ELIGIBLE""]")</f>
        <v>["ELIGIBLE"]</v>
      </c>
    </row>
    <row r="374">
      <c r="A374" s="24" t="str">
        <f>IFERROR(__xludf.DUMMYFUNCTION("""COMPUTED_VALUE"""),"Intensive tropical land use massively shifts soil fungal communities")</f>
        <v>Intensive tropical land use massively shifts soil fungal communities</v>
      </c>
      <c r="B374" s="24" t="str">
        <f>IFERROR(__xludf.DUMMYFUNCTION("""COMPUTED_VALUE"""),"Soil fungi are key players in nutrient cycles as decomposers, mutualists and pathogens, but the impact of tropical rain forest transformation into rubber or oil palm plantations on fungal community structures and their ecological functions are unknown. We"&amp;" hypothesized that increasing land use intensity and habitat loss due to the replacement of the hyperdiverse forest flora by nonendemic cash crops drives a drastic loss of diversity of soil fungal taxa and impairs the ecological soil functions. Unexpected"&amp;"ly, rain forest conversion was not associated with strong diversity loss but with massive shifts in soil fungal community composition. Fungal communities clustered according to land use system and loss of plant species. Network analysis revealed character"&amp;"istic fungal genera significantly associated with different land use systems. Shifts in soil fungal community structure were particularly distinct among different trophic groups, with substantial decreases in symbiotrophic fungi and increases in saprotrop"&amp;"hic and pathotrophic fungi in oil palm and rubber plantations in comparison with rain forests. In conclusion, conversion of rain forests and current land use systems restructure soil fungal communities towards enhanced pathogen pressure and, thus, threate"&amp;"n ecosystem health functions.")</f>
        <v>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v>
      </c>
      <c r="C374" s="24" t="str">
        <f>IFERROR(__xludf.DUMMYFUNCTION("""COMPUTED_VALUE"""),"10.1038/s41598-019-39829-4")</f>
        <v>10.1038/s41598-019-39829-4</v>
      </c>
      <c r="D374" s="24" t="str">
        <f>IFERROR(__xludf.DUMMYFUNCTION("""COMPUTED_VALUE"""),"Keck et al")</f>
        <v>Keck et al</v>
      </c>
      <c r="E374" s="24" t="str">
        <f>IFERROR(__xludf.DUMMYFUNCTION("""COMPUTED_VALUE"""),"WOS:000460123600075")</f>
        <v>WOS:000460123600075</v>
      </c>
      <c r="F374" s="24" t="str">
        <f>IFERROR(__xludf.DUMMYFUNCTION("""COMPUTED_VALUE"""),"[""ELIGIBLE""]")</f>
        <v>["ELIGIBLE"]</v>
      </c>
    </row>
    <row r="375">
      <c r="A375" s="24" t="str">
        <f>IFERROR(__xludf.DUMMYFUNCTION("""COMPUTED_VALUE"""),"Diversity, composition and biomass of native vascular plants regenerating under Acacia mangium Will. plantations in northern Amazonia")</f>
        <v>Diversity, composition and biomass of native vascular plants regenerating under Acacia mangium Will. plantations in northern Amazonia</v>
      </c>
      <c r="B375" s="24" t="str">
        <f>IFERROR(__xludf.DUMMYFUNCTION("""COMPUTED_VALUE"""),"It is imperative that studies can be developed to assess the role of homogeneous tree plantations in biodiversity conservation and the ability to store atmospheric carbon. This study aimed to evaluate the effects of Acacia mangium Will. plantations establ"&amp;"ished in areas originally occupied by savanna (locally termed lavrado) on the establishment success of vascular plants, by analyzing three attributes of the community-diversity, composition and biomass. All plants with base diameter &gt;= 1 cm were measured "&amp;"in 28 0.05-ha plots (11 plots allocated in natural areas of lavrado and 17 under A. mangium plantations). Species diversity was much higher in A. mangium plantation than in the natural areas of lavrado. There was a clear floristic differentiation between "&amp;"A. mangium and lavrado, with high density of forest species and low density of lavrado species growing under A. mangium plantations. Lavrado plots presented high floristic similarity, but plots under A. mangium plantations were far less similar, indicatin"&amp;"g a more heterogeneous vegetation. Biomass of vascular plants in A. mangium plantations was about one-fifth of that found in natural lavrado sites, but in lavrado 92.6% of the total biomass was allocated in only two species, whereas in A. mangium plantati"&amp;"on two species comprised only 43% of the total biomass. In A. mangium plantation, species classified as forest species and typical lavrado species accounted for 72.8% and 27.2% of total biomass, respectively. Our results showed that A. mangium plantations"&amp;" resulted in high alpha and beta plant diversity due to the invasion of alien forest species. Also, biomass of lavrado species in plantations was smaller and species relative abundances completely different from natural lavrados. Therefore, we conclude th"&amp;"at forest plantations established in savannas cannot be used to meet conservationist purposes.")</f>
        <v>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v>
      </c>
      <c r="C375" s="24" t="str">
        <f>IFERROR(__xludf.DUMMYFUNCTION("""COMPUTED_VALUE"""),"10.1007/s40415-019-00539-w")</f>
        <v>10.1007/s40415-019-00539-w</v>
      </c>
      <c r="D375" s="24" t="str">
        <f>IFERROR(__xludf.DUMMYFUNCTION("""COMPUTED_VALUE"""),"Keck et al")</f>
        <v>Keck et al</v>
      </c>
      <c r="E375" s="24" t="str">
        <f>IFERROR(__xludf.DUMMYFUNCTION("""COMPUTED_VALUE"""),"WOS:000490293100009")</f>
        <v>WOS:000490293100009</v>
      </c>
      <c r="F375" s="24" t="str">
        <f>IFERROR(__xludf.DUMMYFUNCTION("""COMPUTED_VALUE"""),"[""ELIGIBLE""]")</f>
        <v>["ELIGIBLE"]</v>
      </c>
    </row>
    <row r="376">
      <c r="A376" s="24" t="str">
        <f>IFERROR(__xludf.DUMMYFUNCTION("""COMPUTED_VALUE"""),"Ocean acidification locks algal communities in a species-poor early successional stage")</f>
        <v>Ocean acidification locks algal communities in a species-poor early successional stage</v>
      </c>
      <c r="B376" s="24" t="str">
        <f>IFERROR(__xludf.DUMMYFUNCTION("""COMPUTED_VALUE"""),"Long-term exposure to CO2-enriched waters can considerably alter marine biological community development, often resulting in simplified systems dominated by turf algae that possess reduced biodiversity and low ecological complexity. Current understanding "&amp;"of the underlying processes by which ocean acidification alters biological community development and stability remains limited, making the management of such shifts problematic. Here, we deployed recruitment tiles in reference (pH(T) 8.137 +/- 0.056 SD) a"&amp;"nd CO2-enriched conditions (pH(T) 7.788 +/- 0.105 SD) at a volcanic CO2 seep in Japan to assess the underlying processes and patterns of algal community development. We assessed (i) algal community succession in two different seasons (Cooler months: Janua"&amp;"ry-July, and warmer months: July-January), (ii) the effects of initial community composition on subsequent community succession (by reciprocally transplanting preestablished communities for a further 6 months), and (iii) the community production of result"&amp;"ing communities, to assess how their functioning was altered (following 12 months recruitment). Settlement tiles became dominated by turf algae under CO2-enrichment and had lower biomass, diversity and complexity, a pattern consistent across seasons. This"&amp;" locked the community in a species-poor early successional stage. In terms of community functioning, the elevated pCO(2) community had greater net community production, but this did not result in increased algal community cover, biomass, biodiversity or s"&amp;"tructural complexity. Taken together, this shows that both new and established communities become simplified by rising CO2 levels. Our transplant of preestablished communities from enriched CO2 to reference conditions demonstrated their high resilience, s"&amp;"ince they became indistinguishable from communities maintained entirely in reference conditions. This shows that meaningful reductions in pCO(2) can enable the recovery of algal communities. By understanding the ecological processes responsible for drivin"&amp;"g shifts in community composition, we can better assess how communities are likely to be altered by ocean acidification.")</f>
        <v>Long-term exposure to CO2-enriched waters can considerably alter marine biological community development, often resulting in simplified systems dominated by turf algae that possess reduced biodiversity and low ecological complexity. Current understanding of the underlying processes by which ocean acidification alters biological community development and stability remains limited, making the management of such shifts problematic. Here, we deployed recruitment tiles in reference (pH(T) 8.137 +/- 0.056 SD) and CO2-enriched conditions (pH(T) 7.788 +/- 0.105 SD) at a volcanic CO2 seep in Japan to assess the underlying processes and patterns of algal community development. We assessed (i) algal community succession in two different seasons (Cooler months: January-July, and warmer months: July-January), (ii) the effects of initial community composition on subsequent community succession (by reciprocally transplanting preestablished communities for a further 6 months), and (iii) the community production of resulting communities, to assess how their functioning was altered (following 12 months recruitment). Settlement tiles became dominated by turf algae under CO2-enrichment and had lower biomass, diversity and complexity, a pattern consistent across seasons. This locked the community in a species-poor early successional stage. In terms of community functioning, the elevated pCO(2) community had greater net community production, but this did not result in increased algal community cover, biomass, biodiversity or structural complexity. Taken together, this shows that both new and established communities become simplified by rising CO2 levels. Our transplant of preestablished communities from enriched CO2 to reference conditions demonstrated their high resilience, since they became indistinguishable from communities maintained entirely in reference conditions. This shows that meaningful reductions in pCO(2) can enable the recovery of algal communities. By understanding the ecological processes responsible for driving shifts in community composition, we can better assess how communities are likely to be altered by ocean acidification.</v>
      </c>
      <c r="C376" s="24" t="str">
        <f>IFERROR(__xludf.DUMMYFUNCTION("""COMPUTED_VALUE"""),"10.1111/gcb.15455")</f>
        <v>10.1111/gcb.15455</v>
      </c>
      <c r="D376" s="24" t="str">
        <f>IFERROR(__xludf.DUMMYFUNCTION("""COMPUTED_VALUE"""),"Keck et al")</f>
        <v>Keck et al</v>
      </c>
      <c r="E376" s="24" t="str">
        <f>IFERROR(__xludf.DUMMYFUNCTION("""COMPUTED_VALUE"""),"WOS:000606348400001")</f>
        <v>WOS:000606348400001</v>
      </c>
      <c r="F376" s="24" t="str">
        <f>IFERROR(__xludf.DUMMYFUNCTION("""COMPUTED_VALUE"""),"[""ELIGIBLE""]")</f>
        <v>["ELIGIBLE"]</v>
      </c>
    </row>
    <row r="377">
      <c r="A377" s="24" t="str">
        <f>IFERROR(__xludf.DUMMYFUNCTION("""COMPUTED_VALUE"""),"Edge effects of oil palm plantations on tropical anuran communities in Borneo")</f>
        <v>Edge effects of oil palm plantations on tropical anuran communities in Borneo</v>
      </c>
      <c r="B377" s="24" t="str">
        <f>IFERROR(__xludf.DUMMYFUNCTION("""COMPUTED_VALUE"""),"The expansion of industrial agriculture (oil palm) has significantly reduced lowland tropical diversity through direct loss or alteration of habitat, leading to habitat fragmentation and edge effects. Edge effects can have serious impacts on species diver"&amp;"sity and community dynamics. To assess the effect of oil palm plantation edges on anuran communities in Sabah, Malaysian Borneo, we surveyed anuran species and measured structural habitat and landscape parameters at 74 sites spread across forest and plant"&amp;"ation habitats along the Kinabatangan River. We then evaluated how anuran species richness and assemblage composition varied in relation to these environmental parameters. Relative species richness was higher at forest sites, compared to oil palm plantati"&amp;"on sites. Plantation sites were dominated by wide-ranging terrestrial species, and assemblage composition varied mostly in relation to standing surface water. Forest habitats supported both more endemic and arboreal species. Variability on anuran assembla"&amp;"ge composition in forest habitats was greatest in relation to distance to forest edge followed by canopy density, which was also partially correlated with forest edge distance. Moreover, anuran species richness in forest habitats declined as proximity to "&amp;"the forest-plantation interface increased, and as canopy density decreased. Our study provides further evidence that oil palm plantations provide little conservation benefit to anurans. Furthermore, oil palm plantations appear to have adverse pervasive im"&amp;"pacts on amphibian diversity considerable distances into adjacent forest areas. These findings suggest that in order for small patches or narrow corridors of retained forest in landscapes managed for oil palm to maintain biodiversity values in the long te"&amp;"rm, their sizes and widths need to adequately account for the considerable influence of edge effects.")</f>
        <v>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v>
      </c>
      <c r="C377" s="24" t="str">
        <f>IFERROR(__xludf.DUMMYFUNCTION("""COMPUTED_VALUE"""),"10.1016/j.biocon.2018.02.006")</f>
        <v>10.1016/j.biocon.2018.02.006</v>
      </c>
      <c r="D377" s="24" t="str">
        <f>IFERROR(__xludf.DUMMYFUNCTION("""COMPUTED_VALUE"""),"Keck et al")</f>
        <v>Keck et al</v>
      </c>
      <c r="E377" s="24" t="str">
        <f>IFERROR(__xludf.DUMMYFUNCTION("""COMPUTED_VALUE"""),"WOS:000429765000005")</f>
        <v>WOS:000429765000005</v>
      </c>
      <c r="F377" s="24" t="str">
        <f>IFERROR(__xludf.DUMMYFUNCTION("""COMPUTED_VALUE"""),"[""ELIGIBLE""]")</f>
        <v>["ELIGIBLE"]</v>
      </c>
    </row>
    <row r="378">
      <c r="A378" s="24" t="str">
        <f>IFERROR(__xludf.DUMMYFUNCTION("""COMPUTED_VALUE"""),"Organic Contaminant Mixture Significantly Changes Microbenthic Community Structure and Increases the Expression of PAH Degradation Genes")</f>
        <v>Organic Contaminant Mixture Significantly Changes Microbenthic Community Structure and Increases the Expression of PAH Degradation Genes</v>
      </c>
      <c r="B378" s="24" t="str">
        <f>IFERROR(__xludf.DUMMYFUNCTION("""COMPUTED_VALUE"""),"Studying the effects of chemical contaminants on the structure and function of microbial and meiofauna communities have traditionally focused on specific effects of single contaminants on single species. This has left the complex interactions between mixt"&amp;"ures of contaminants and its non-specific toxicity effects on the functions and structure of sediment microbial communities mostly overlooked. In order to improve our insights on such questions, we performed an experiment where Baltic Sea sediments were s"&amp;"piked with an ecologically relevant mixture of seven organic contaminants below specific toxicity levels and used 16S and 18S rRNA metabarcoding from RNA extracts to monitor changes in active microbial and meiofauna diversity and community structure in th"&amp;"e spiked treatment compared to controls. In addition, we investigated the effects of exposure to this contaminant mixture on potential nitrification rates and on the expression of key-genes in the microbial nitrification and PAH degradation pathways with "&amp;"qPCR. There were significant differences in both eukaryotic and microbial community structures in sediments spiked with a mixture of organic contaminants. Nematoda showed a significant increase in overall relative abundance to the added contaminants (5.5 "&amp;"+/- 1.1% higher in spiked), particularly taxa of the genusLeptolaimus(increased from 10.2 +/- 5.4% in the controls to 32.5 +/- 10.2% in the spiked treatment). Conversely, a significant decrease in relative abundance from 18.2 +/- 5.6% in control to 7 +/- "&amp;"3.4% in of the genusParaplectanawas also detected. Additionally, while the abundance of active PAH degraders was significantly higher in spiked sediments than in the controls, no significant effect of our organic mixture was found on nitrification rates o"&amp;"r the expression ofAmoA(bacterial ammonia oxidizer gene). Our data indicate that mixtures of organic contaminants can have significant effects on microbenthic community structure even when its individual components are present at concentrations below its "&amp;"specific toxicity. In addition, we suggest that eRNA-based metabarcoding can offer important insights in microbenthic community structure and activities, and further empathizes the potential of meiofauna as bio-indicators of chemical contamination in bent"&amp;"hic ecosystems.")</f>
        <v>Studying the effects of chemical contaminants on the structure and function of microbial and meiofauna communities have traditionally focused on specific effects of single contaminants on single species. This has left the complex interactions between mixtures of contaminants and its non-specific toxicity effects on the functions and structure of sediment microbial communities mostly overlooked. In order to improve our insights on such questions, we performed an experiment where Baltic Sea sediments were spiked with an ecologically relevant mixture of seven organic contaminants below specific toxicity levels and used 16S and 18S rRNA metabarcoding from RNA extracts to monitor changes in active microbial and meiofauna diversity and community structure in the spiked treatment compared to controls. In addition, we investigated the effects of exposure to this contaminant mixture on potential nitrification rates and on the expression of key-genes in the microbial nitrification and PAH degradation pathways with qPCR. There were significant differences in both eukaryotic and microbial community structures in sediments spiked with a mixture of organic contaminants. Nematoda showed a significant increase in overall relative abundance to the added contaminants (5.5 +/- 1.1% higher in spiked), particularly taxa of the genusLeptolaimus(increased from 10.2 +/- 5.4% in the controls to 32.5 +/- 10.2% in the spiked treatment). Conversely, a significant decrease in relative abundance from 18.2 +/- 5.6% in control to 7 +/- 3.4% in of the genusParaplectanawas also detected. Additionally, while the abundance of active PAH degraders was significantly higher in spiked sediments than in the controls, no significant effect of our organic mixture was found on nitrification rates or the expression ofAmoA(bacterial ammonia oxidizer gene). Our data indicate that mixtures of organic contaminants can have significant effects on microbenthic community structure even when its individual components are present at concentrations below its specific toxicity. In addition, we suggest that eRNA-based metabarcoding can offer important insights in microbenthic community structure and activities, and further empathizes the potential of meiofauna as bio-indicators of chemical contamination in benthic ecosystems.</v>
      </c>
      <c r="C378" s="24" t="str">
        <f>IFERROR(__xludf.DUMMYFUNCTION("""COMPUTED_VALUE"""),"10.3389/fenvs.2020.00128")</f>
        <v>10.3389/fenvs.2020.00128</v>
      </c>
      <c r="D378" s="24" t="str">
        <f>IFERROR(__xludf.DUMMYFUNCTION("""COMPUTED_VALUE"""),"Keck et al")</f>
        <v>Keck et al</v>
      </c>
      <c r="E378" s="24" t="str">
        <f>IFERROR(__xludf.DUMMYFUNCTION("""COMPUTED_VALUE"""),"WOS:000566221800001")</f>
        <v>WOS:000566221800001</v>
      </c>
      <c r="F378" s="24" t="str">
        <f>IFERROR(__xludf.DUMMYFUNCTION("""COMPUTED_VALUE"""),"[""ELIGIBLE""]")</f>
        <v>["ELIGIBLE"]</v>
      </c>
    </row>
    <row r="379">
      <c r="A379" s="24" t="str">
        <f>IFERROR(__xludf.DUMMYFUNCTION("""COMPUTED_VALUE"""),"Fuel-reduction management alters plant composition, carbon and nitrogen pools, and soil thaw in Alaskan boreal forest")</f>
        <v>Fuel-reduction management alters plant composition, carbon and nitrogen pools, and soil thaw in Alaskan boreal forest</v>
      </c>
      <c r="B379" s="24" t="str">
        <f>IFERROR(__xludf.DUMMYFUNCTION("""COMPUTED_VALUE"""),"Increasing wildfire activity in Alaska's boreal forests has led to greater fuel-reduction management. Management has been implemented to reduce wildfire spread, but the ecological impacts of these practices are poorly known. We quantified the effects of h"&amp;"and-thinning and shearblading on above-and belowground stand characteristics, plant species composition, carbon (C) and nitrogen (N) pools, and soil thaw across 19 sites dominated by black spruce (Picea mariana) in interior Alaska treated 2-12 years prior"&amp;" to sampling. The density of deciduous tree seedlings was significantly higher in shearbladed areas compared to unmanaged forest (6.4 vs. 0.1 stems/m(2)), and unmanaged stands exhibited the highest mean density of conifer seedlings and layers (1.4 stems/m"&amp;"(2)). Understory plant community composition was most similar between unmanaged and thinned stands. Shearblading resulted in a near complete loss of aboveground tree biomass C pools while thinning approximately halved the C pool size (1.2 kg C/m(2) compar"&amp;"ed to 3.1 kg C/m(2) in unmanaged forest). Significantly smaller soil organic layer (SOL) C and N pools were observed in shearbladed stands (3.2 kg C/m(2) and 116.8 g N/m(2)) relative to thinned (6.0 kg C/m(2) and 192.2 g N/m(2)) and unmanaged (5.9 kg C/m("&amp;"2) and 178.7 g N/m(2)) stands. No difference in C and N pool sizes in the uppermost 10 cm of mineral soil was observed among stand types. Total C stocks for measured pools was 2.6 kg C/m(2) smaller in thinned stands and 5.8 kg C/m(2) smaller in shearblade"&amp;"d stands when compared to unmanaged forest. Soil thaw depth averaged 13 cm deeper in thinned areas and 46 cm deeper in shearbladed areas relative to adjacent unmanaged stands, although variability was high across sites. Deeper soil thaw was linked to shal"&amp;"lower SOL depth for unmanaged stands and both management types, however for any given SOL depth, thaw tended to be deeper in shearbladed areas compared to unmanaged forest. These findings indicate that fuel-reduction management alters plant community comp"&amp;"osition, C and N pools, and soil thaw depth, with consequences for ecosystem structure and function beyond those intended for fire management.")</f>
        <v>Increasing wildfire activity in Alaska's boreal forests has led to greater fuel-reduction management. Management has been implemented to reduce wildfire spread, but the ecological impacts of these practices are poorly known. We quantified the effects of hand-thinning and shearblading on above-and belowground stand characteristics, plant species composition, carbon (C) and nitrogen (N) pools, and soil thaw across 19 sites dominated by black spruce (Picea mariana) in interior Alaska treated 2-12 years prior to sampling. The density of deciduous tree seedlings was significantly higher in shearbladed areas compared to unmanaged forest (6.4 vs. 0.1 stems/m(2)), and unmanaged stands exhibited the highest mean density of conifer seedlings and layers (1.4 stems/m(2)). Understory plant community composition was most similar between unmanaged and thinned stands. Shearblading resulted in a near complete loss of aboveground tree biomass C pools while thinning approximately halved the C pool size (1.2 kg C/m(2) compared to 3.1 kg C/m(2) in unmanaged forest). Significantly smaller soil organic layer (SOL) C and N pools were observed in shearbladed stands (3.2 kg C/m(2) and 116.8 g N/m(2)) relative to thinned (6.0 kg C/m(2) and 192.2 g N/m(2)) and unmanaged (5.9 kg C/m(2) and 178.7 g N/m(2)) stands. No difference in C and N pool sizes in the uppermost 10 cm of mineral soil was observed among stand types. Total C stocks for measured pools was 2.6 kg C/m(2) smaller in thinned stands and 5.8 kg C/m(2) smaller in shearbladed stands when compared to unmanaged forest. Soil thaw depth averaged 13 cm deeper in thinned areas and 46 cm deeper in shearbladed areas relative to adjacent unmanaged stands, although variability was high across sites. Deeper soil thaw was linked to shallower SOL depth for unmanaged stands and both management types, however for any given SOL depth, thaw tended to be deeper in shearbladed areas compared to unmanaged forest. These findings indicate that fuel-reduction management alters plant community composition, C and N pools, and soil thaw depth, with consequences for ecosystem structure and function beyond those intended for fire management.</v>
      </c>
      <c r="C379" s="24" t="str">
        <f>IFERROR(__xludf.DUMMYFUNCTION("""COMPUTED_VALUE"""),"10.1002/eap.1636")</f>
        <v>10.1002/eap.1636</v>
      </c>
      <c r="D379" s="24" t="str">
        <f>IFERROR(__xludf.DUMMYFUNCTION("""COMPUTED_VALUE"""),"Keck et al")</f>
        <v>Keck et al</v>
      </c>
      <c r="E379" s="24" t="str">
        <f>IFERROR(__xludf.DUMMYFUNCTION("""COMPUTED_VALUE"""),"WOS:000429004700011")</f>
        <v>WOS:000429004700011</v>
      </c>
      <c r="F379" s="24" t="str">
        <f>IFERROR(__xludf.DUMMYFUNCTION("""COMPUTED_VALUE"""),"[""ELIGIBLE""]")</f>
        <v>["ELIGIBLE"]</v>
      </c>
    </row>
    <row r="380">
      <c r="A380" s="24" t="str">
        <f>IFERROR(__xludf.DUMMYFUNCTION("""COMPUTED_VALUE"""),"The stoichiometric signature of high-frequency fire in forest floor food webs")</f>
        <v>The stoichiometric signature of high-frequency fire in forest floor food webs</v>
      </c>
      <c r="B380" s="24" t="str">
        <f>IFERROR(__xludf.DUMMYFUNCTION("""COMPUTED_VALUE"""),"Fire regimes are shifting under climate change. Decadal-scale shifts in fire regime can disrupt the biogeochemical cycling of carbon (C), nitrogen (N), and phosphorus (P) within forest ecosystems, but the full extent of these disruptions is unknown. It is"&amp;" also unclear whether these disruptions have consequences for the ecological characteristics (e.g., biomass, abundance, and composition) of microbial and invertebrate communities, which together comprise the majority of terrestrial biodiversity and underp"&amp;"in many ecosystem processes. The theoretical framework of ecological stoichiometry has great potential in this context, but it has rarely been used to develop an integrated understanding of the biogeochemical and ecological effects of altered fire regime "&amp;"across trophic levels. Using one of the world's longest-running fire experiments, located in Queensland, Australia, we carried out a comprehensive investigation into the stoichiometric consequences of a decadal-scale divergence in prescribed fire frequenc"&amp;"y and their links to coinciding changes in various ecological characteristics of forest floor microbial and invertebrate communities. Compared to long-term fire exclusion, forty-three years of biennial burning led to significantly N-depleted and/or P-enri"&amp;"ched stoichiometry in soil, leaf litter, leaf litter-associated microbial biomass, and certain groups of invertebrates, although total invertebrate community stoichiometry was not affected. Microbial biomass was 42% lower in biennially burned soils. Inver"&amp;"tebrate community composition differed between fire regime treatments on some sampling dates, but fire regime did not have consistent effects on invertebrate biomass or abundance. Microbial biomass and the abundances of some invertebrate taxa were depress"&amp;"ed at particularly low and/or high resource N:P, consistent with a coupling of these variables to the stoichiometric effects of decadal-scale fire regime. Litter transplants likewise indicated that some invertebrate abundances were sensitive to litter pro"&amp;"perties over 12 months. Together, our results indicate that long-term changes in fire regime can decouple the within-ecosystem cycling of N and P, with N and P cycling growing more and less conservative, respectively, under high-frequency fire in a way th"&amp;"at propagates throughout forest floor food webs. Our study provides new insights into the coupled biogeochemical and ecological responses of forest ecosystems to novel fire regimes and establishes a basis for a stoichiometric framework for fire ecology.")</f>
        <v>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v>
      </c>
      <c r="C380" s="24" t="str">
        <f>IFERROR(__xludf.DUMMYFUNCTION("""COMPUTED_VALUE"""),"10.1002/ecm.1477")</f>
        <v>10.1002/ecm.1477</v>
      </c>
      <c r="D380" s="24" t="str">
        <f>IFERROR(__xludf.DUMMYFUNCTION("""COMPUTED_VALUE"""),"Keck et al")</f>
        <v>Keck et al</v>
      </c>
      <c r="E380" s="24" t="str">
        <f>IFERROR(__xludf.DUMMYFUNCTION("""COMPUTED_VALUE"""),"WOS:000680816000001")</f>
        <v>WOS:000680816000001</v>
      </c>
      <c r="F380" s="24" t="str">
        <f>IFERROR(__xludf.DUMMYFUNCTION("""COMPUTED_VALUE"""),"[""ELIGIBLE""]")</f>
        <v>["ELIGIBLE"]</v>
      </c>
    </row>
    <row r="381">
      <c r="A381" s="24" t="str">
        <f>IFERROR(__xludf.DUMMYFUNCTION("""COMPUTED_VALUE"""),"Influence of tree plantations on the phylogenetic structure of understorey plant communities")</f>
        <v>Influence of tree plantations on the phylogenetic structure of understorey plant communities</v>
      </c>
      <c r="B381" s="24" t="str">
        <f>IFERROR(__xludf.DUMMYFUNCTION("""COMPUTED_VALUE"""),"The effect of non-native and native tree species plantations on plant understorey diversity and functioning has gained major interest among ecologist and conservationists. The majority of studies, however, has been focused on changes in species richness a"&amp;"nd composition in plantations in comparison with natural forests. Recently, the phylogenetic community structure (PCS), i.e. the degree of phylogenetic relatedness within a community, came into the focus of interest. As species richness and PCS are not eq"&amp;"uivalent, the question of how plantations change PCS and thus the evolutionary history conserved in the associated understorey community is important to fully assess the biodiversity of tree species introductions. In this study we used phytosociological d"&amp;"ata from the Cedynia Landscape Park in western Poland containing anthropogenic mono-cultures of Scots pine and introduced trees (black locust and Douglas fir) as well as natural sessile oak stands to study the influence of plantations on species richness,"&amp;" composition, and phylogenetic diversity of understorey vegetation. We also added releve's from mixed forests naturally occurring on wetter and richer soil to obtain the full regional species pool. Our results revealed that plantations do not consistently"&amp;" change PCS; they either increased (Douglas fir) or decreased (black locust) the phylogenetic relatedness of understory plant communities. Moreover, our data suggest that environmental conditions are more important drivers of understorey community composi"&amp;"tion than dominant tree identity. In this respect we identified light regime, pH, and nitrogen availability as major drivers of phylogenetic diversity. (C) 2016 Elsevier B.V. All rights reserved.")</f>
        <v>The effect of non-native and native tree species plantations on plant understorey diversity and functioning has gained major interest among ecologist and conservationists. The majority of studies, however, has been focused on changes in species richness and composition in plantations in comparison with natural forests. Recently, the phylogenetic community structure (PCS), i.e. the degree of phylogenetic relatedness within a community, came into the focus of interest. As species richness and PCS are not equivalent, the question of how plantations change PCS and thus the evolutionary history conserved in the associated understorey community is important to fully assess the biodiversity of tree species introductions. In this study we used phytosociological data from the Cedynia Landscape Park in western Poland containing anthropogenic mono-cultures of Scots pine and introduced trees (black locust and Douglas fir) as well as natural sessile oak stands to study the influence of plantations on species richness, composition, and phylogenetic diversity of understorey vegetation. We also added releve's from mixed forests naturally occurring on wetter and richer soil to obtain the full regional species pool. Our results revealed that plantations do not consistently change PCS; they either increased (Douglas fir) or decreased (black locust) the phylogenetic relatedness of understory plant communities. Moreover, our data suggest that environmental conditions are more important drivers of understorey community composition than dominant tree identity. In this respect we identified light regime, pH, and nitrogen availability as major drivers of phylogenetic diversity. (C) 2016 Elsevier B.V. All rights reserved.</v>
      </c>
      <c r="C381" s="24" t="str">
        <f>IFERROR(__xludf.DUMMYFUNCTION("""COMPUTED_VALUE"""),"10.1016/j.foreco.2016.06.011")</f>
        <v>10.1016/j.foreco.2016.06.011</v>
      </c>
      <c r="D381" s="24" t="str">
        <f>IFERROR(__xludf.DUMMYFUNCTION("""COMPUTED_VALUE"""),"Keck et al")</f>
        <v>Keck et al</v>
      </c>
      <c r="E381" s="24" t="str">
        <f>IFERROR(__xludf.DUMMYFUNCTION("""COMPUTED_VALUE"""),"WOS:000381233500023")</f>
        <v>WOS:000381233500023</v>
      </c>
      <c r="F381" s="24" t="str">
        <f>IFERROR(__xludf.DUMMYFUNCTION("""COMPUTED_VALUE"""),"[""ELIGIBLE""]")</f>
        <v>["ELIGIBLE"]</v>
      </c>
    </row>
    <row r="382">
      <c r="A382" s="24" t="str">
        <f>IFERROR(__xludf.DUMMYFUNCTION("""COMPUTED_VALUE"""),"Combined effects of livestock grazing and abiotic environment on vegetation and soils of grasslands across Tibet")</f>
        <v>Combined effects of livestock grazing and abiotic environment on vegetation and soils of grasslands across Tibet</v>
      </c>
      <c r="B382" s="24" t="str">
        <f>IFERROR(__xludf.DUMMYFUNCTION("""COMPUTED_VALUE"""),"QuestionsLivestock grazing and abiotic environmental factors both shape grassland systems; however, the relative importance of their impacts on plant species composition and soil fertility has rarely been investigated. Focusing on Tibetan grasslands, whic"&amp;"h are of global ecological importance and exhibit broad climatic and elevational gradients, we asked whether grazing effects are pronounced in humid regions, while climate controls are overriding grazing effects in semi-arid regions. LocationTwenty-eight "&amp;"sites across Tibetan pastures, China; 2820-5150m a.s.l. MethodsWe used multivariate analyses and generalized linear mixed models to examine the effects of livestock activity (hotspots with excessive trampling and nutrient input, heavy, moderate and light "&amp;"grazing), habitat (meadow, steppe, steppe-meadow) and their interactions. We focused on plant species composition, richness and concentrations of soil organic carbon (SOC), total N and other plant-available nutrients in soils. Major environmental factors "&amp;"were precipitation, temperature and elevation. Plant indicator species sensitive to trampling and/or grazing were identified. ResultsLivestock grazing changed plant species composition and overall soil fertility across habitats. However, effects were only"&amp;" pronounced in hotspots directly adjacent to herder camps, while differences between grazing intensity levels were weak. Heavy grazing favoured annual species, reduced concentrations of SOC and total N in meadows. The environmental factors that control pl"&amp;"ant communities and soil condition varied among habitats. Plants and soils were more tightly linked in steppes and steppe-meadows than in meadows. ConclusionsSeveral plant species were identified as frequently and reliably present in hotspots of livestock"&amp;" activity, thus are indicative of intensive trampling and excess plant available nutrient inputs. Overall, plant species composition and soil condition across Tibetan pastures were weakly affected by intensified grazing alone compared to that shaped by en"&amp;"vironmental factors. This clearly refutes the broadly held perception that increased grazing intensity leads to grassland degradation. Such differing and strong abiotic impacts should be considered in future grassland management and conservation.")</f>
        <v>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v>
      </c>
      <c r="C382" s="24" t="str">
        <f>IFERROR(__xludf.DUMMYFUNCTION("""COMPUTED_VALUE"""),"10.1111/avsc.12312")</f>
        <v>10.1111/avsc.12312</v>
      </c>
      <c r="D382" s="24" t="str">
        <f>IFERROR(__xludf.DUMMYFUNCTION("""COMPUTED_VALUE"""),"Keck et al")</f>
        <v>Keck et al</v>
      </c>
      <c r="E382" s="24" t="str">
        <f>IFERROR(__xludf.DUMMYFUNCTION("""COMPUTED_VALUE"""),"WOS:000403676000003")</f>
        <v>WOS:000403676000003</v>
      </c>
      <c r="F382" s="24" t="str">
        <f>IFERROR(__xludf.DUMMYFUNCTION("""COMPUTED_VALUE"""),"[""ELIGIBLE""]")</f>
        <v>["ELIGIBLE"]</v>
      </c>
    </row>
    <row r="383">
      <c r="A383" s="24" t="str">
        <f>IFERROR(__xludf.DUMMYFUNCTION("""COMPUTED_VALUE"""),"Complex agroforestry systems against biotic homogenization: The case of plants in the herbaceous stratum of cocoa production systems")</f>
        <v>Complex agroforestry systems against biotic homogenization: The case of plants in the herbaceous stratum of cocoa production systems</v>
      </c>
      <c r="B383" s="24" t="str">
        <f>IFERROR(__xludf.DUMMYFUNCTION("""COMPUTED_VALUE"""),"In addition to their potential against deforestation and climate change, agroforestry systems may have a relevant role in biodiversity conservation. In this sense, not only species richness per se, but also community composition, including the distributio"&amp;"n range of the species, should be considered. The latter is especially relevant in the current context of biotic homogenization, where the presence of geographically widely distributed species is increasingly frequent in detriment of native species. By st"&amp;"udying plant species of the herbaceous stratum of cacao production systems, we can evaluate, at a narrow local scale (&gt; 10 ha), the potential role of agroforestry systems and management intensity in diversity conservation and against biotic homogenization"&amp;". This study was performed in an experimental trial in Bolivia, where five production systems representing a gradient of management intensity were compared: two monocultures and two agroforestry systems under conventional and organic farming containing a "&amp;"planted cover crop layer, and a complex successional agroforestry system with no external inputs. All species in the herbaceous stratum were identified and classified according to their geographical range. An indicator species analysis was implemented to "&amp;"identify species linked to a specific production system. In total, 171 species were recorded, 42% of which were strictly herbaceous while the rest of them were woody regrowths, mainly found in the successional agroforestry system (an average of 40 species"&amp;" compared to 16 species in the other systems). Total species richness was higher in the successional agroforestry system compared with the other production systems. No main differences were found between the other systems, that is, monocultures and conven"&amp;"tionally managed systems did not have less species than agroforestry and organically managed systems. However, community composition did change following the management intensity gradient. In addition, we found that widely distributed species, including s"&amp;"ome exotic species, were associated to intensive management, i.e. monocultures and conventional systems with high solar exposure levels and/or glyphosate application. Conversely, successional agroforestry and organic systems harbored species with a geogra"&amp;"phical distribution range restricted to the Neotropics or South America. According to our results, promotion and support for the adoption of cocoa organic and agroforestry systems, as a counterbalance to the common intensively managed plantations, could c"&amp;"ontribute to both biodiversity conservation and the minimization of biotic homogenization.")</f>
        <v>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v>
      </c>
      <c r="C383" s="24" t="str">
        <f>IFERROR(__xludf.DUMMYFUNCTION("""COMPUTED_VALUE"""),"10.1016/j.agee.2019.106664")</f>
        <v>10.1016/j.agee.2019.106664</v>
      </c>
      <c r="D383" s="24" t="str">
        <f>IFERROR(__xludf.DUMMYFUNCTION("""COMPUTED_VALUE"""),"Keck et al")</f>
        <v>Keck et al</v>
      </c>
      <c r="E383" s="24" t="str">
        <f>IFERROR(__xludf.DUMMYFUNCTION("""COMPUTED_VALUE"""),"WOS:000500216600002")</f>
        <v>WOS:000500216600002</v>
      </c>
      <c r="F383" s="24" t="str">
        <f>IFERROR(__xludf.DUMMYFUNCTION("""COMPUTED_VALUE"""),"[""ELIGIBLE""]")</f>
        <v>["ELIGIBLE"]</v>
      </c>
    </row>
    <row r="384">
      <c r="A384" s="24" t="str">
        <f>IFERROR(__xludf.DUMMYFUNCTION("""COMPUTED_VALUE"""),"Local increases in diversity accompany community homogenization in floodplain forest understories")</f>
        <v>Local increases in diversity accompany community homogenization in floodplain forest understories</v>
      </c>
      <c r="B384" s="24" t="str">
        <f>IFERROR(__xludf.DUMMYFUNCTION("""COMPUTED_VALUE"""),"Questions Changes in land use, altered flow regimes, invasions by pests and pathogens, and climate change are, separately and together, altering ecological dynamics of floodplain forests. The complex changes these forces impose often go unnoticed due to a"&amp;" lack of reliable baseline data. Using historical data from the 1950s and re-survey data on floodplain forest understories, we ask: (1) what is the direction, magnitude and nature of changes in local and regional diversity; (2) have these floodplain commu"&amp;"nities become more homogenous in composition due to losses of native species and increases in non-natives; (3) has the relationship between the ground layer and overstorey community weakened over time; and (4) are changes in local and regional diversity a"&amp;"mong these floodplain forests more or less pronounced than in nearby upland forests? Location Floodplain forests throughout southern Wisconsin, USA. Methods We quantified composition of vegetation in the understorey and overstorey of 40 sites and compared"&amp;" these data with data from the 1950s using a combination of uni- and multivariate analyses. We focus on changes in local vs regional diversity. Results Although average site-level diversity has increased by 18.5%, sites are now 30% more similar to each ot"&amp;"her, reflecting a pronounced decline in among-site (beta) diversity. Although exotic species have increased in site occupancy and abundance, increases in native woody plants (+30%), graminoids (+24%) and forbs (+16%) drive most of these changes in local a"&amp;"nd regional diversity. Sites have experienced an average species turnover rate of 39% since the 1950s, and understories are now 39% more correlated with canopy composition than in the 1950s. Biotic homogenization among these floodplain forests since the 1"&amp;"950s is 23.3% higher than the increase in similarity observed in nearby upland forests. Conclusions Vegetation changes in floodplain understories differ from changes previously documented in nearby upland forests. Floodplain forests have experienced a fas"&amp;"ter rate of biotic homogenization. Unlike upland forests the homogenization trend in these floodplain forests is accompanied by increases in site-level diversity. These may reflect widespread colonization by certain native species. Both trends may also re"&amp;"flect relatively high connectivity among floodplain forests and control of hydrologic fluctuations via dams.")</f>
        <v>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v>
      </c>
      <c r="C384" s="24" t="str">
        <f>IFERROR(__xludf.DUMMYFUNCTION("""COMPUTED_VALUE"""),"10.1111/jvs.12147")</f>
        <v>10.1111/jvs.12147</v>
      </c>
      <c r="D384" s="24" t="str">
        <f>IFERROR(__xludf.DUMMYFUNCTION("""COMPUTED_VALUE"""),"Keck et al")</f>
        <v>Keck et al</v>
      </c>
      <c r="E384" s="24" t="str">
        <f>IFERROR(__xludf.DUMMYFUNCTION("""COMPUTED_VALUE"""),"WOS:000334184300026")</f>
        <v>WOS:000334184300026</v>
      </c>
      <c r="F384" s="24" t="str">
        <f>IFERROR(__xludf.DUMMYFUNCTION("""COMPUTED_VALUE"""),"[""ELIGIBLE""]")</f>
        <v>["ELIGIBLE"]</v>
      </c>
    </row>
    <row r="385">
      <c r="A385" s="24" t="str">
        <f>IFERROR(__xludf.DUMMYFUNCTION("""COMPUTED_VALUE"""),"Disassembly of a dune-dwelling lizard community due to landscape fragmentation")</f>
        <v>Disassembly of a dune-dwelling lizard community due to landscape fragmentation</v>
      </c>
      <c r="B385" s="24" t="str">
        <f>IFERROR(__xludf.DUMMYFUNCTION("""COMPUTED_VALUE"""),"Landscape fragmentation alters patterns of landscape structure that affect quality and configuration of habitats, and disrupts population dynamics and persistence of species. Community disassembly, a process of community change due to nonrandom species lo"&amp;"sses and declines, is occurring worldwide as a result of landscape fragmentation, habitat loss, and habitat degradation. We carried out a comparative study at 27 trapping sites designed to characterize how fragmentation affects community structure in a du"&amp;"ne-dwelling lizard community. Lizard communities in non-fragmented sites demonstrated nested community structure. Conversely, lizard communities at sites fragmented by roads and well pads from oil and gas development had consistently lower abundance of tw"&amp;"o species, and demonstrated random community structure. Species loss and lower abundance of species at fragmented sites suggested a pattern of community disassembly. The dunes sagebrush lizard (Sceloporus arenicolus), an ecological specialist, and the les"&amp;"ser earless lizard (Holbrookia maculata) were present on most non-fragmented sites. However, neither species was present on more than half of the fragmented sites, and their abundances were much lower than on non-fragmented sites. We attributed reduced sp"&amp;"ecies diversity on fragmented sites to quantitative differences in landscape configuration compared to non-fragmented sites. Specifically, both size and shape of sand dune blowouts differed between non-fragmented and fragmented sites. Fragmented sites pos"&amp;"sess more large patches of open sand and barren ground and fewer, smaller, and more dispersed shinnery dune blowouts. Patterns of occurrence and relative abundance suggest S. arenicolus and H. maculata were sensitive to these patch-scale attributes. In th"&amp;"is ecosystem, landscape-scale fragmentation appears to influence landscape configuration and community disassembly at the patch-scale. Our findings allow us to disentangle drivers of species loss and enhance our understanding of the processes of community"&amp;" disassembly in fragmented landscapes.")</f>
        <v>Landscape fragmentation alters patterns of landscape structure that affect quality and configuration of habitats, and disrupts population dynamics and persistence of species. Community disassembly, a process of community change due to nonrandom species losses and declines, is occurring worldwide as a result of landscape fragmentation, habitat loss, and habitat degradation. We carried out a comparative study at 27 trapping sites designed to characterize how fragmentation affects community structure in a dune-dwelling lizard community. Lizard communities in non-fragmented sites demonstrated nested community structure. Conversely, lizard communities at sites fragmented by roads and well pads from oil and gas development had consistently lower abundance of two species, and demonstrated random community structure. Species loss and lower abundance of species at fragmented sites suggested a pattern of community disassembly. The dunes sagebrush lizard (Sceloporus arenicolus), an ecological specialist, and the lesser earless lizard (Holbrookia maculata) were present on most non-fragmented sites. However, neither species was present on more than half of the fragmented sites, and their abundances were much lower than on non-fragmented sites. We attributed reduced species diversity on fragmented sites to quantitative differences in landscape configuration compared to non-fragmented sites. Specifically, both size and shape of sand dune blowouts differed between non-fragmented and fragmented sites. Fragmented sites possess more large patches of open sand and barren ground and fewer, smaller, and more dispersed shinnery dune blowouts. Patterns of occurrence and relative abundance suggest S. arenicolus and H. maculata were sensitive to these patch-scale attributes. In this ecosystem, landscape-scale fragmentation appears to influence landscape configuration and community disassembly at the patch-scale. Our findings allow us to disentangle drivers of species loss and enhance our understanding of the processes of community disassembly in fragmented landscapes.</v>
      </c>
      <c r="C385" s="24" t="str">
        <f>IFERROR(__xludf.DUMMYFUNCTION("""COMPUTED_VALUE"""),"10.1890/ES13-00032.1")</f>
        <v>10.1890/ES13-00032.1</v>
      </c>
      <c r="D385" s="24" t="str">
        <f>IFERROR(__xludf.DUMMYFUNCTION("""COMPUTED_VALUE"""),"Keck et al")</f>
        <v>Keck et al</v>
      </c>
      <c r="E385" s="24" t="str">
        <f>IFERROR(__xludf.DUMMYFUNCTION("""COMPUTED_VALUE"""),"WOS:000327379400006")</f>
        <v>WOS:000327379400006</v>
      </c>
      <c r="F385" s="24" t="str">
        <f>IFERROR(__xludf.DUMMYFUNCTION("""COMPUTED_VALUE"""),"[""ELIGIBLE""]")</f>
        <v>["ELIGIBLE"]</v>
      </c>
    </row>
    <row r="386">
      <c r="A386" s="24" t="str">
        <f>IFERROR(__xludf.DUMMYFUNCTION("""COMPUTED_VALUE"""),"The invertebrate communities associated with a Chrysanthemum coronarium-invaded coastal sage scrub area in Southern California")</f>
        <v>The invertebrate communities associated with a Chrysanthemum coronarium-invaded coastal sage scrub area in Southern California</v>
      </c>
      <c r="B386" s="24" t="str">
        <f>IFERROR(__xludf.DUMMYFUNCTION("""COMPUTED_VALUE"""),"The escape of ornamental plants is a main pathway of invasion into many ecosystems. Non-native plants can alter basal resources and abiotic factors leading to effects that ripple throughout an ecosystem. Invertebrates mediate these effects-responding quic"&amp;"kly to abiotic and primary producer changes and, in turn, influencing other species. Invasions are of particular concern in the coastal sage scrub ecosystems of Southern California, where habitat loss and urban encroachment increase invasive species propa"&amp;"gule sources and decrease native community resistance. The introduced annual Chrysanthemum coronarium (crown daisy) is a common invader with largely undocumented community-level effects. Our study tested the relationships between the invasive Chrysanthemu"&amp;"m and a coastal scrub invertebrate community using a field study at the Tijuana River Estuary. We found similar or lower abundances and diversity of canopy fauna in the presence of Chrysanthemum. Community composition dramatically differed, however, in th"&amp;"e presence Chrysanthemum, which was associated with higher abundances of dipterans, wasps and flower beetles, and lower abundances of hemipterans and thysanopterans than native shrubs. Differences in communities were consistent at the species- and order-l"&amp;"evels, and were associated with the generally greater plant biomass and shadier conditions afforded by the natives. This study reveals that even a proportionally small amount of Chrysanthemum may shift the invertebrate community through alterations of abi"&amp;"otic properties and plant biomass. We recommend that Chrysanthemum be removed at the first sign of invasion or that spread is prevented since effects on the invertebrate community are dramatic and occur quickly.")</f>
        <v>The escape of ornamental plants is a main pathway of invasion into many ecosystems. Non-native plants can alter basal resources and abiotic factors leading to effects that ripple throughout an ecosystem. Invertebrates mediate these effects-responding quickly to abiotic and primary producer changes and, in turn, influencing other species. Invasions are of particular concern in the coastal sage scrub ecosystems of Southern California, where habitat loss and urban encroachment increase invasive species propagule sources and decrease native community resistance. The introduced annual Chrysanthemum coronarium (crown daisy) is a common invader with largely undocumented community-level effects. Our study tested the relationships between the invasive Chrysanthemum and a coastal scrub invertebrate community using a field study at the Tijuana River Estuary. We found similar or lower abundances and diversity of canopy fauna in the presence of Chrysanthemum. Community composition dramatically differed, however, in the presence Chrysanthemum, which was associated with higher abundances of dipterans, wasps and flower beetles, and lower abundances of hemipterans and thysanopterans than native shrubs. Differences in communities were consistent at the species- and order-levels, and were associated with the generally greater plant biomass and shadier conditions afforded by the natives. This study reveals that even a proportionally small amount of Chrysanthemum may shift the invertebrate community through alterations of abiotic properties and plant biomass. We recommend that Chrysanthemum be removed at the first sign of invasion or that spread is prevented since effects on the invertebrate community are dramatic and occur quickly.</v>
      </c>
      <c r="C386" s="24" t="str">
        <f>IFERROR(__xludf.DUMMYFUNCTION("""COMPUTED_VALUE"""),"10.1007/s10530-013-0526-8")</f>
        <v>10.1007/s10530-013-0526-8</v>
      </c>
      <c r="D386" s="24" t="str">
        <f>IFERROR(__xludf.DUMMYFUNCTION("""COMPUTED_VALUE"""),"Keck et al")</f>
        <v>Keck et al</v>
      </c>
      <c r="E386" s="24" t="str">
        <f>IFERROR(__xludf.DUMMYFUNCTION("""COMPUTED_VALUE"""),"WOS:000330618700011")</f>
        <v>WOS:000330618700011</v>
      </c>
      <c r="F386" s="24" t="str">
        <f>IFERROR(__xludf.DUMMYFUNCTION("""COMPUTED_VALUE"""),"[""ELIGIBLE""]")</f>
        <v>["ELIGIBLE"]</v>
      </c>
    </row>
    <row r="387">
      <c r="A387" s="24" t="str">
        <f>IFERROR(__xludf.DUMMYFUNCTION("""COMPUTED_VALUE"""),"Meiofauna communities in exposed sandy beaches on the Galician coast (NW Spain), six months after the Prestige oil spill: the role of polycyclic aromatic hydrocarbons (PAHs)")</f>
        <v>Meiofauna communities in exposed sandy beaches on the Galician coast (NW Spain), six months after the Prestige oil spill: the role of polycyclic aromatic hydrocarbons (PAHs)</v>
      </c>
      <c r="B387" s="24" t="str">
        <f>IFERROR(__xludf.DUMMYFUNCTION("""COMPUTED_VALUE"""),"The effect of polycyclic aromatic hydrocarbons (PAHs) on Galician sandy beach ecosystems, six months after the Prestige oil spill, was evaluated using the meiobenthos at a higher taxon level as an indicator. Meiobenthos community structure, environmental "&amp;"variables and sediment PAH content from six affected exposed beaches were studied and compared with three reference sites. They were also compared with data from polluted beaches obtained during the first days of the spill. Significant amounts of PAHs wer"&amp;"e found in affected beach sediments and both univariate and multivariate analyses showed differences between affected and reference beaches. Correlation analyses between PAH content and the meiobenthos community structure showed that 1,2-dimethylnaphthale"&amp;"ne (C2-NAPH) and 1-methylphenanthrene (C-PHEN) affected both the community structure and the abundance of the main taxa. These two PAHs seem to be responsible for the low meiofauna density values, which suggests that there is a relationship between the oi"&amp;"l spill and the differences between affected and reference localities.")</f>
        <v>The effect of polycyclic aromatic hydrocarbons (PAHs) on Galician sandy beach ecosystems, six months after the Prestige oil spill, was evaluated using the meiobenthos at a higher taxon level as an indicator. Meiobenthos community structure, environmental variables and sediment PAH content from six affected exposed beaches were studied and compared with three reference sites. They were also compared with data from polluted beaches obtained during the first days of the spill. Significant amounts of PAHs were found in affected beach sediments and both univariate and multivariate analyses showed differences between affected and reference beaches. Correlation analyses between PAH content and the meiobenthos community structure showed that 1,2-dimethylnaphthalene (C2-NAPH) and 1-methylphenanthrene (C-PHEN) affected both the community structure and the abundance of the main taxa. These two PAHs seem to be responsible for the low meiofauna density values, which suggests that there is a relationship between the oil spill and the differences between affected and reference localities.</v>
      </c>
      <c r="C387" s="24" t="str">
        <f>IFERROR(__xludf.DUMMYFUNCTION("""COMPUTED_VALUE"""),"10.3989/scimar.2010.74n2385")</f>
        <v>10.3989/scimar.2010.74n2385</v>
      </c>
      <c r="D387" s="24" t="str">
        <f>IFERROR(__xludf.DUMMYFUNCTION("""COMPUTED_VALUE"""),"Keck et al")</f>
        <v>Keck et al</v>
      </c>
      <c r="E387" s="24" t="str">
        <f>IFERROR(__xludf.DUMMYFUNCTION("""COMPUTED_VALUE"""),"WOS:000278668500016")</f>
        <v>WOS:000278668500016</v>
      </c>
      <c r="F387" s="24" t="str">
        <f>IFERROR(__xludf.DUMMYFUNCTION("""COMPUTED_VALUE"""),"[""ELIGIBLE""]")</f>
        <v>["ELIGIBLE"]</v>
      </c>
    </row>
    <row r="388">
      <c r="A388" s="24" t="str">
        <f>IFERROR(__xludf.DUMMYFUNCTION("""COMPUTED_VALUE"""),"How do seasonality, substrate, and management history influence macrofungal fruiting assemblages in a central Amazonian Forest?")</f>
        <v>How do seasonality, substrate, and management history influence macrofungal fruiting assemblages in a central Amazonian Forest?</v>
      </c>
      <c r="B388" s="24" t="str">
        <f>IFERROR(__xludf.DUMMYFUNCTION("""COMPUTED_VALUE"""),"Worldwide, fungal richness peaks in tropical forest biomes where they are the primary drivers of decomposition. Understanding how environmental and anthropogenic factors influence tropical macrofungal fruiting patterns should provide insight as to how, fo"&amp;"r example, climate change and deforestation may impact their long-term demographic stability and evolutionary potential. However, in Amazonia no studies have yet to disentangle the effects of substrate, seasonality and forest history on phenology. Here, w"&amp;"e quantitate spatial and temporal variation in community structure of fruiting macrofungi in relation to these factors at a long-term forest management research site in central Amazonia: the Biomass and Nutrients of Tropical Rain Forest (BIONTE's). Basidi"&amp;"ome surveys of four substrate classes (leaves, soil, branches and trunks) were conducted along 250m(2) transects in primary and secondary (managed) forests, between 2012-13. From the 669 basidiomes collected, 290 taxa were identified of which 44 percent w"&amp;"ere restricted to primary and 36 percent to secondary forests. Although species-accumulation curves did not asymptote, rarefaction analyses and Fisher's alpha indicate contrasting differences in richness among forests in relation to substrate type. For ex"&amp;"ample, leaf litter basidiome richness was higher in secondary forests, whereas the contrary was observed for soil communities, suggesting that variation in fruiting patterns in relation to disturbance is substrate-dependent possibly due to differences in "&amp;"necromass quality and/or understory micro-climates. Furthermore, secondary forests harbored significantly lower basidiome richness and abundance in dry months, suggesting synergistic impacts of seasonality and management history on fruiting regimes. Resum"&amp;"o As florestas tropicais abrigam grande diversidade de fungos, e estes por sua vez sAo responsaveis pela ciclagem de grande parte da materia organica produzida nesses biomas. Diante dessa importancia, e relevante entender como os fatores ambientais e antr"&amp;"opogenicos influenciam o surgimento e distribuicAo dos fungos, ainda que local, por meio de informacoes de como mudancas climaticas e o desflorestamento poderiam impactar essas comunidades em longo prazo. O objetivo deste trabalho foi comparar, em escala "&amp;"local, a diversidade de macrofungos Agaricales em area de manejo florestal do Projeto BIONTE (Biomass and Nutrients of Tropical Rain Forest) na Amazonia Central, quando florestas primarias e secundarias (manejadas) foram utilizadas para monitorar, coletar"&amp;" e identificar macrofungos Agaricales, de acordo com quatro classes de substratos (folhas, solo, galhos e troncos), ao longo de transectos de 250m(2), durante o periodo de 2012-13. Como resultado, dos 669 macrofungos coletados, 290 especies/morfoespecies "&amp;"foram identificadas, sendo 44% restritas a floresta primaria e 36% a floresta secundaria. As curvas de acumulo de especies nAo atingiram a assimptota, porem analises de rarefacAo e alpha de Fisher indicaram diferencas entre as florestas de acordo com o su"&amp;"bstrato. No substrato folha, a riqueza de especies foi maior para a floresta secundaria, enquanto para o substrato solo, esse indice foi maior para a floresta primaria. Assim pode-se sugerir que a variacAo no padrAo de frutificacAo relacionado com o subst"&amp;"rato pode ser devido a diferencas na qualidade de necromassa e/ ou no micro-clima dos sub-bosques. Alem disso, a floresta secundaria apresentou significantemente baixas riqueza e diversidade na estacAo seca quando comparada com a floresta primaria, sugeri"&amp;"ndo um efeito sinergico do impacto da sazonalidade e da historia de manejo dessas areas nas frutificacoes dos macrofungos.")</f>
        <v>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v>
      </c>
      <c r="C388" s="24" t="str">
        <f>IFERROR(__xludf.DUMMYFUNCTION("""COMPUTED_VALUE"""),"10.1111/btp.12438")</f>
        <v>10.1111/btp.12438</v>
      </c>
      <c r="D388" s="24" t="str">
        <f>IFERROR(__xludf.DUMMYFUNCTION("""COMPUTED_VALUE"""),"Keck et al")</f>
        <v>Keck et al</v>
      </c>
      <c r="E388" s="24" t="str">
        <f>IFERROR(__xludf.DUMMYFUNCTION("""COMPUTED_VALUE"""),"WOS:000409453300007")</f>
        <v>WOS:000409453300007</v>
      </c>
      <c r="F388" s="24" t="str">
        <f>IFERROR(__xludf.DUMMYFUNCTION("""COMPUTED_VALUE"""),"[""ELIGIBLE""]")</f>
        <v>["ELIGIBLE"]</v>
      </c>
    </row>
    <row r="389">
      <c r="A389" s="24" t="str">
        <f>IFERROR(__xludf.DUMMYFUNCTION("""COMPUTED_VALUE"""),"Altered herb assemblages in fragments of the Brazilian Atlantic forest")</f>
        <v>Altered herb assemblages in fragments of the Brazilian Atlantic forest</v>
      </c>
      <c r="B389" s="24" t="str">
        <f>IFERROR(__xludf.DUMMYFUNCTION("""COMPUTED_VALUE"""),"Understanding the response of tropical plant communities to human disturbance is critical for conserving biodiversity in a changing world. Here we examine the shifts experienced by understory herb-assemblages while inhabiting small forest fragments in a f"&amp;"ragmented Atlantic forest landscape to infer about community-level shifts imposed by either habitat loss or fragmentation. We established 100 25-m(2) plots, placed randomly in 10 forest fragments and 10 forest interior patches, in which all herb species w"&amp;"ere recorded, litter accumulation, soil temperature and moisture were estimated. We recorded a total of 6027 herbs belonging to 134 species, with a predominance of ferns, grasses, aroids, sedges and calatheas. Forest fragments and forest interior exhibite"&amp;"d similar densities of herbs: 64.4 57.8 herbs/25 m(2) vs. 56.1 44.1, respectively. Species richness was reduced by a half in forest fragments at plot and habitat spatial scales. Fragments were particularly impoverished in terms of ferns, aroids and calath"&amp;"eas, but supported a subset of proliferating native herbs and indicator/exclusive species; i.e. a taxonomically and ecologically distinct herb flora. Fragments also supported less humid soils covered by a thicker litter layer and these attributes correlat"&amp;"ed to species distributions in both forest habitats. Our results suggest that habitat loss and fragmentation, particularly the-establishment of illuminated and desiccated forest edges, result in the extirpation of particular ecological groups with a few s"&amp;"pecies/ecological groups experiencing proliferation, such as light-demanding species. Collectively, these processes result in impoverished/altered assemblages at multiple spatial scales, potentially limiting the conservation services provided by humanmodi"&amp;"fied landscapes. (C) 2015 Elsevier Ltd. All rights reserved.")</f>
        <v>Understanding the response of tropical plant communities to human disturbance is critical for conserving biodiversity in a changing world. Here we examine the shifts experienced by understory herb-assemblages while inhabiting small forest fragments in a fragmented Atlantic forest landscape to infer about community-level shifts imposed by either habitat loss or fragmentation. We established 100 25-m(2) plots, placed randomly in 10 forest fragments and 10 forest interior patches, in which all herb species were recorded, litter accumulation, soil temperature and moisture were estimated. We recorded a total of 6027 herbs belonging to 134 species, with a predominance of ferns, grasses, aroids, sedges and calatheas. Forest fragments and forest interior exhibited similar densities of herbs: 64.4 57.8 herbs/25 m(2) vs. 56.1 44.1, respectively. Species richness was reduced by a half in forest fragments at plot and habitat spatial scales. Fragments were particularly impoverished in terms of ferns, aroids and calatheas, but supported a subset of proliferating native herbs and indicator/exclusive species; i.e. a taxonomically and ecologically distinct herb flora. Fragments also supported less humid soils covered by a thicker litter layer and these attributes correlated to species distributions in both forest habitats. Our results suggest that habitat loss and fragmentation, particularly the-establishment of illuminated and desiccated forest edges, result in the extirpation of particular ecological groups with a few species/ecological groups experiencing proliferation, such as light-demanding species. Collectively, these processes result in impoverished/altered assemblages at multiple spatial scales, potentially limiting the conservation services provided by humanmodified landscapes. (C) 2015 Elsevier Ltd. All rights reserved.</v>
      </c>
      <c r="C389" s="24" t="str">
        <f>IFERROR(__xludf.DUMMYFUNCTION("""COMPUTED_VALUE"""),"10.1016/j.biocon.2015.08.014")</f>
        <v>10.1016/j.biocon.2015.08.014</v>
      </c>
      <c r="D389" s="24" t="str">
        <f>IFERROR(__xludf.DUMMYFUNCTION("""COMPUTED_VALUE"""),"Keck et al")</f>
        <v>Keck et al</v>
      </c>
      <c r="E389" s="24" t="str">
        <f>IFERROR(__xludf.DUMMYFUNCTION("""COMPUTED_VALUE"""),"WOS:000364257100066")</f>
        <v>WOS:000364257100066</v>
      </c>
      <c r="F389" s="24" t="str">
        <f>IFERROR(__xludf.DUMMYFUNCTION("""COMPUTED_VALUE"""),"[""ELIGIBLE""]")</f>
        <v>["ELIGIBLE"]</v>
      </c>
    </row>
    <row r="390">
      <c r="A390" s="24" t="str">
        <f>IFERROR(__xludf.DUMMYFUNCTION("""COMPUTED_VALUE"""),"Changes in land use affect anuran helminths in the South Brazilian grasslands")</f>
        <v>Changes in land use affect anuran helminths in the South Brazilian grasslands</v>
      </c>
      <c r="B390" s="24" t="str">
        <f>IFERROR(__xludf.DUMMYFUNCTION("""COMPUTED_VALUE"""),"Degradation and habitat loss of natural grasslands in Southern Brazil has a negative impact on native organisms, potentially including the composition of anuran helminth communities. Here, we characterized the richness, abundance, taxonomic composition, p"&amp;"revalence and intensity of helminth infection in four anuran species. Host anurans were collected in 34 ponds (19 in native grasslands with livestock and 15 in agricultural cultivation) from the highland grasslands in the Brazilian states of Santa Catarin"&amp;"a and Parana. Our results showed a significant difference between native grasslands with livestock and agricultural cultivation regarding the structure of helminth communities for the hosts Aplastodiscus perviridis and Pseudis cardosoi. We also found a gr"&amp;"eater prevalence and intensity of infection in anurans in areas of agricultural cultivation than in native grasslands with livestock. We found that the environmental descriptors (local and landscape) seem to explain most of the differences in anuran paras"&amp;"itism recorded between native grasslands with livestock and agricultural areas. Thus, we emphasized that the loss of grassy habitat due to conversion to agricultural cultivation can alter helminth communities in anurans, with further work needed to unders"&amp;"tand the mechanisms involved.")</f>
        <v>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v>
      </c>
      <c r="C390" s="24" t="str">
        <f>IFERROR(__xludf.DUMMYFUNCTION("""COMPUTED_VALUE"""),"10.1017/S0022149X20000905")</f>
        <v>10.1017/S0022149X20000905</v>
      </c>
      <c r="D390" s="24" t="str">
        <f>IFERROR(__xludf.DUMMYFUNCTION("""COMPUTED_VALUE"""),"Keck et al")</f>
        <v>Keck et al</v>
      </c>
      <c r="E390" s="24" t="str">
        <f>IFERROR(__xludf.DUMMYFUNCTION("""COMPUTED_VALUE"""),"WOS:000583503400001")</f>
        <v>WOS:000583503400001</v>
      </c>
      <c r="F390" s="24" t="str">
        <f>IFERROR(__xludf.DUMMYFUNCTION("""COMPUTED_VALUE"""),"[""ELIGIBLE""]")</f>
        <v>["ELIGIBLE"]</v>
      </c>
    </row>
    <row r="391">
      <c r="A391" s="24" t="str">
        <f>IFERROR(__xludf.DUMMYFUNCTION("""COMPUTED_VALUE"""),"Effect of human disturbance on bee communities in a forested ecosystem")</f>
        <v>Effect of human disturbance on bee communities in a forested ecosystem</v>
      </c>
      <c r="B391" s="24" t="str">
        <f>IFERROR(__xludf.DUMMYFUNCTION("""COMPUTED_VALUE"""),"It is important for conservation biologists to understand how well species persist in human-dominated ecosystems because protected areas constitute a small fraction of the Earth's surface and because anthropogenic habitats may offer more opportunities for"&amp;" conservation than has been previously thought We investigated how an important functional group, pollinators (bees; Hymenoptera: Apiformes), are affected by human land use at the landscape and local scales in southern New Jersey (USA.). We established 40"&amp;" sites that differed in surrounding landscape cover or local habitat type and collected 2551 bees of 130 species. The natural habitat in this ecosystem is a forested, ericaceous heath. Bee abundance and species richness within forest habitat decreased, no"&amp;"t increased, with increasing forest cover in the surrounding landscape. Similarly, bee abundance was greater in agricultural fields and suburban and urban developments than in extensive forests, and the same trend was found for species richness. Particula"&amp;"r species groups that might be expected to show greater sensitivity to habitat loss, such as floral specialists and bees of small or large body size, did not show strong positive associations with forest habitat Nevertheless, 18 of the 130 bee species stu"&amp;"died were positively associated with extensive forest, One of these species is a narrow endemic that was last seen in 1939. Our results suggest that at least in this system, moderate anthropogenic land use may be compatible with the conservation of many b"&amp;"ut not all, bee species.")</f>
        <v>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v>
      </c>
      <c r="C391" s="24" t="str">
        <f>IFERROR(__xludf.DUMMYFUNCTION("""COMPUTED_VALUE"""),"10.1111/j.1523-1739.2006.00574.x")</f>
        <v>10.1111/j.1523-1739.2006.00574.x</v>
      </c>
      <c r="D391" s="24" t="str">
        <f>IFERROR(__xludf.DUMMYFUNCTION("""COMPUTED_VALUE"""),"Keck et al")</f>
        <v>Keck et al</v>
      </c>
      <c r="E391" s="24" t="str">
        <f>IFERROR(__xludf.DUMMYFUNCTION("""COMPUTED_VALUE"""),"WOS:000244148800030")</f>
        <v>WOS:000244148800030</v>
      </c>
      <c r="F391" s="24" t="str">
        <f>IFERROR(__xludf.DUMMYFUNCTION("""COMPUTED_VALUE"""),"[""ELIGIBLE""]")</f>
        <v>["ELIGIBLE"]</v>
      </c>
    </row>
    <row r="392">
      <c r="A392" s="24" t="str">
        <f>IFERROR(__xludf.DUMMYFUNCTION("""COMPUTED_VALUE"""),"Forest fragmentation drives Atlantic forest of northeastern Brazil to biotic homogenization")</f>
        <v>Forest fragmentation drives Atlantic forest of northeastern Brazil to biotic homogenization</v>
      </c>
      <c r="B392" s="24" t="str">
        <f>IFERROR(__xludf.DUMMYFUNCTION("""COMPUTED_VALUE"""),"Aim To examine whether the tree flora of the Atlantic forest of northeastern Brazil has experienced detectable taxonomic homogenization via the proliferation of native pioneer species in response to habitat loss and fragmentation. Location Biotic homogeni"&amp;"zation (BH) was examined across the Atlantic forest of northeast Brazil, i.e. a 56,000 km2 piece of tropical forest and a distinct centre of species endemism in South America. Methods We assessed a dataset consisting of 5122 tree records and compared the "&amp;"similarity of tree floras from 12 semi-natural sub-regions of the Atlantic forest between two time periods: pre-1980 (plant records between 1902 and 1980), and post-1980 (between 1981 and 2006). To understand the mechanisms leading to BH (1) tree floras w"&amp;"ere ordered (via non-metric multidimensional scaling - NMDS) by date (pre/post 1980) based on species occurrence and frequency, (2) NMDS axes were regressed against the proportion of those species that increased their occurrence post-1980 (i.e. the winner"&amp;" species), and (3) patterns of geographic distribution and frequency of particular life-history traits were examined across winner species and a control group. Results Tree floras across the Atlantic forest became c. 20-40% more similar to each other post"&amp;"-1980, but patterns of species similarity were also influenced by between-plot geographical distance. NMDS ordination clearly segregated pre- and post-1980 floras with a clear signal of floristic convergence. Furthermore, winner tree species were largely "&amp;"composed of short-lived and small-seeded pioneer species that exhibit wide geographic distributions. Main conclusions Our results suggest that tropical forest biotas are susceptible to taxonomic homogenization (i.e. increasing levels of similarity) in the"&amp;" context of severe human-disturbance via the proliferation of particular groups of native species comprised mainly by ecologically-plastic, generalist species. We are thus extending the concept of homogenization to address and highlight a pervasive biolog"&amp;"ical shift in the structure of tropical forest communities currently taking place across hyper-fragmented landscapes.")</f>
        <v>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v>
      </c>
      <c r="C392" s="24" t="str">
        <f>IFERROR(__xludf.DUMMYFUNCTION("""COMPUTED_VALUE"""),"10.1111/j.1472-4642.2010.00739.x")</f>
        <v>10.1111/j.1472-4642.2010.00739.x</v>
      </c>
      <c r="D392" s="24" t="str">
        <f>IFERROR(__xludf.DUMMYFUNCTION("""COMPUTED_VALUE"""),"Keck et al")</f>
        <v>Keck et al</v>
      </c>
      <c r="E392" s="24" t="str">
        <f>IFERROR(__xludf.DUMMYFUNCTION("""COMPUTED_VALUE"""),"WOS:000287448100010")</f>
        <v>WOS:000287448100010</v>
      </c>
      <c r="F392" s="24" t="str">
        <f>IFERROR(__xludf.DUMMYFUNCTION("""COMPUTED_VALUE"""),"[""ELIGIBLE""]")</f>
        <v>["ELIGIBLE"]</v>
      </c>
    </row>
    <row r="393">
      <c r="A393" s="24" t="str">
        <f>IFERROR(__xludf.DUMMYFUNCTION("""COMPUTED_VALUE"""),"Sandy beach macrofaunal assemblages as indicators of anthropogenic impacts on coastal dunes")</f>
        <v>Sandy beach macrofaunal assemblages as indicators of anthropogenic impacts on coastal dunes</v>
      </c>
      <c r="B393" s="24" t="str">
        <f>IFERROR(__xludf.DUMMYFUNCTION("""COMPUTED_VALUE"""),"Ocean sandy beaches are iconic recreational assets to society and have undergone rapid degradation caused by both natural and anthropogenic pressures. A major effect of urbanisation on biota stems from artificial structures placed in aquatic systems. Whil"&amp;"e the installation of these structures has been widespread, our understanding of how they impact shoreline habitats and fauna is relatively limited. On the sandy Leirosa Beach, on the European Atlantic coast (Portugal), a decade of cumulative impacts was "&amp;"recorded, with disruption of the frontal dune, dune nourishment and the incorporation of geotextiles to reconstruct the dune and maintain it as an artificial structure. Two years after the dune rehabilitation process at Leirosa Beach, seasonal sampling ca"&amp;"mpaigns (from spring 2010 to winter 2011) were carried out to assess the effects of the artificial dune (and the first signs of its eventual disruption) on macrofauna compared to a natural dune on the same beach. During the study period, the rehabilitated"&amp;" foredune maintained the average slope, with similar sediment characteristics (finer sediments) when compared with the natural dune system, with no physical significant differences being appreciated between the two sites. The macrofaunal assemblages were "&amp;"represented especially by crustaceans (amphipods and isopods), with similar mean total density, taxon richness and diversity between sites. Special attention was given to the supralittoral species, and the results revealed that the natural zone harboured "&amp;"a significantly higher density of sandhopper Talitrus saltator with respect to the artificial zone. PERMANOVA results detailed the significant difference that occurred, particularly during the warmer seasons (spring and summer 2010), the recruitment perio"&amp;"d described for this species along this coast. In fact, SIMPER analysis revealed that T. saltator accounted for 46% of the dissimilarities between the natural and artificial dune sites. The presence of geotextiles extending across the supralittoral zone a"&amp;"ppeared, on the one hand, to allow for the presence of talitrids, but the application of textiles around the area prevented them from burrowing, thus causing them to avoid the rehabilitated area. The results highlighted the potentially negative effects of"&amp;" this artificial dune system if textile disruption continues, and the usefulness of T. saltator as an effective and reliable ecological indicator for these ecosystems. Thus, evaluating the risks and magnitude of human interventions is a major challenge fo"&amp;"r sandy beach ecologists, and baseline information is required if we are to better understand how resident macrofaunal species deal with future impact scenarios. (C) 2013 Elsevier Ltd. All rights reserved.")</f>
        <v>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v>
      </c>
      <c r="C393" s="24" t="str">
        <f>IFERROR(__xludf.DUMMYFUNCTION("""COMPUTED_VALUE"""),"10.1016/j.ecolind.2013.02.022")</f>
        <v>10.1016/j.ecolind.2013.02.022</v>
      </c>
      <c r="D393" s="24" t="str">
        <f>IFERROR(__xludf.DUMMYFUNCTION("""COMPUTED_VALUE"""),"Keck et al")</f>
        <v>Keck et al</v>
      </c>
      <c r="E393" s="24" t="str">
        <f>IFERROR(__xludf.DUMMYFUNCTION("""COMPUTED_VALUE"""),"WOS:000318191800024")</f>
        <v>WOS:000318191800024</v>
      </c>
      <c r="F393" s="24" t="str">
        <f>IFERROR(__xludf.DUMMYFUNCTION("""COMPUTED_VALUE"""),"[""ELIGIBLE""]")</f>
        <v>["ELIGIBLE"]</v>
      </c>
    </row>
    <row r="394">
      <c r="A394" s="24" t="str">
        <f>IFERROR(__xludf.DUMMYFUNCTION("""COMPUTED_VALUE"""),"Higher fish biomass inside than outside marine protected areas despite typhoon impacts in a complex reefscape")</f>
        <v>Higher fish biomass inside than outside marine protected areas despite typhoon impacts in a complex reefscape</v>
      </c>
      <c r="B394" s="24" t="str">
        <f>IFERROR(__xludf.DUMMYFUNCTION("""COMPUTED_VALUE"""),"No-take marine protected areas (MPAs) are an important tool for conserving marine biodiversity and managing fisheries. However, with increasing environmental change driven by local and global stressors, it is critical to understand whether MPAs can contin"&amp;"ue to provide social, economic and conservation benefits in the long-term. Here, we compare coral reef benthic and fish assemblages across 17 paired MPA-fished control sites on three heavily populated, high elevation mainland islands, and four lowly popul"&amp;"ated, low elevation offshore islands that differed in their exposure to recent typhoons. Despite lower cover of macroalgae in MPAs compared to fished areas, especially on mainland islands, there were no consistent differences in benthic assemblages or tot"&amp;"al hard coral cover between paired MPA and fished reefs. Typhoons had severe negative effects on live hard coral cover, regardless of island type or MPA protection, and typhoon impacted reefs supported different fish assemblages and lower total biomass of"&amp;" fish, compared to non-impacted reefs. Although fish assemblage structure and total biomass differed between mainland and offshore islands, MPAs consistently supported a higher total biomass of fish than fished areas, with the magnitude of the MPA effect "&amp;"lower on typhoon impacted reefs. Our findings suggest that despite inherent differences in environmental conditions between mainland and offshore island coral reefs, MPAs can provide benefits to fish biomass, even when reefs are affected by typhoons. The "&amp;"development of management strategies that incorporate sound coastal land-use practices, while positioning MPAs in areas less prone to typhoon impact, will provide MPAs the best chance of success if climatic extremes increase.")</f>
        <v>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v>
      </c>
      <c r="C394" s="24" t="str">
        <f>IFERROR(__xludf.DUMMYFUNCTION("""COMPUTED_VALUE"""),"10.1016/j.biocon.2019.108354")</f>
        <v>10.1016/j.biocon.2019.108354</v>
      </c>
      <c r="D394" s="24" t="str">
        <f>IFERROR(__xludf.DUMMYFUNCTION("""COMPUTED_VALUE"""),"Keck et al")</f>
        <v>Keck et al</v>
      </c>
      <c r="E394" s="24" t="str">
        <f>IFERROR(__xludf.DUMMYFUNCTION("""COMPUTED_VALUE"""),"WOS:000518695100011")</f>
        <v>WOS:000518695100011</v>
      </c>
      <c r="F394" s="24" t="str">
        <f>IFERROR(__xludf.DUMMYFUNCTION("""COMPUTED_VALUE"""),"[""ELIGIBLE""]")</f>
        <v>["ELIGIBLE"]</v>
      </c>
    </row>
    <row r="395">
      <c r="A395" s="24" t="str">
        <f>IFERROR(__xludf.DUMMYFUNCTION("""COMPUTED_VALUE"""),"eDNA-based bioassessment of coastal sediments impacted by an oil spill")</f>
        <v>eDNA-based bioassessment of coastal sediments impacted by an oil spill</v>
      </c>
      <c r="B395" s="24" t="str">
        <f>IFERROR(__xludf.DUMMYFUNCTION("""COMPUTED_VALUE"""),"Oil spills offshore can cause long-term ecological effects on coastal marine ecosystems. Despite their important ecological roles in the cycling of energy and nutrients in food webs, effects on bacteria, protists or arthropods are often neglected. Environ"&amp;"mental DNA (eDNA) metabarcoding was applied to characterize changes in the structure of micro- and macro-biota communities of surface sediments over a 7 year period since the occurrence of Hebei Spirit oil spill on December 7, 2007. Alterations in diversi"&amp;"ties and structures of micro- and macro-biota were observed in the contaminated area where concentrations of polycyclic aromatic hydrocarbons were greater. Successions of bacterial, protists and metazoan communities revealed long-term ecological effects o"&amp;"f residual oil. Residual oil dominated the largest cluster of the community-environment association network. Presence of bacterial families (Aero-coccaceae and Carnobacteriaceae) and the protozoan family (Platyophryidae) might have conferred sensitivity o"&amp;"f communities to oil pollution. Hydrocarbon-degrading bacterial families (Anaerolinaceae, Desulfobacteraceae, Helicobacteraceae and Piscirickettsiaceae) and algal family (Araphid pennate) were resistant to adverse effects of spilt oil. The protistan famil"&amp;"y (Subulatomonas) and arthropod families (Folsomia, Sarcophagidae Opomyzoidea, and Anomura) appeared to be positively associated with residual oil pollution. eDNA metabarcoding can provide a powerful tool for assessing effects of anthropogenic pollution, "&amp;"such as oil spills on sediment communities and its long-term trends in coastal marine environments. (C) 2018 Elsevier Ltd. All rights reserved.")</f>
        <v>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v>
      </c>
      <c r="C395" s="24" t="str">
        <f>IFERROR(__xludf.DUMMYFUNCTION("""COMPUTED_VALUE"""),"10.1016/j.envpol.2018.02.081")</f>
        <v>10.1016/j.envpol.2018.02.081</v>
      </c>
      <c r="D395" s="24" t="str">
        <f>IFERROR(__xludf.DUMMYFUNCTION("""COMPUTED_VALUE"""),"Keck et al")</f>
        <v>Keck et al</v>
      </c>
      <c r="E395" s="24" t="str">
        <f>IFERROR(__xludf.DUMMYFUNCTION("""COMPUTED_VALUE"""),"WOS:000434754600079")</f>
        <v>WOS:000434754600079</v>
      </c>
      <c r="F395" s="24" t="str">
        <f>IFERROR(__xludf.DUMMYFUNCTION("""COMPUTED_VALUE"""),"[""ELIGIBLE""]")</f>
        <v>["ELIGIBLE"]</v>
      </c>
    </row>
    <row r="396">
      <c r="A396" s="24" t="str">
        <f>IFERROR(__xludf.DUMMYFUNCTION("""COMPUTED_VALUE"""),"Immediate effects of an Amazonian mega hydroelectric dam on phyllostomid fruit bats")</f>
        <v>Immediate effects of an Amazonian mega hydroelectric dam on phyllostomid fruit bats</v>
      </c>
      <c r="B396" s="24" t="str">
        <f>IFERROR(__xludf.DUMMYFUNCTION("""COMPUTED_VALUE"""),"Large losses of tropical forests result from the flooding of terrestrial ecosystems by mega hydroelectric dams. Because run-of-the-river dams operate based on smaller reservoirs with limited water storage, they have been generally considered less harmful "&amp;"to the environment, but their actual effects on biodiversity have been rarely measured. We herein estimate immediate impacts resulting from the flooding of the run-of-the-river Santo Antonio Hydroelectric on phyllostomid bat assemblages, based on the vari"&amp;"ation of their richness, abundance and species composition over the first two years after the establishment of the dam. We designed a standardized study integrating temporal sampling in areas that would and would not be flooded, before and after the estab"&amp;"lishment of the dam. We sampled 12 Pre-flood plots, and 34 plots that remained unflood. Among the non-flood plots, 25 were resampled after the river damming. We captured 3096 bats belonging to 59 species and found that the abundance of fruit bats decrease"&amp;"d posterior to the formation of the dam. Moreover, the composition of fruit bats was different between the sampling periods, with a clear segregation of the vorzea plots of the pre-flood period. Comparisons between pre- and post-unflood plots revealed tha"&amp;"t 60% of the plots decreased in abundance of bats, and 68% decreased in abundance of phyllostomid fruit bats. Our results demonstrate that the run-of-the-river dam altered the phyllostomid species composition in the non-flooded areas after the establishme"&amp;"nt of the dam, reducing the abundance of frugivorous bats. Also, the remaining unflood areas did not incorporate bat assemblages from the vorzea forests that were permanently flooded by the reservoir. Based on our results, we suggest that environmental po"&amp;"licies regulating the licensing processes for the implementation of large hydroelectric power stations should include orientation for the establishment of protected areas, as a condition for their operation. These areas can work as systematic instruments "&amp;"for biodiversity conservation, with special attention to the protection of the irreplaceable floodplain forests.")</f>
        <v>Large losses of tropical forests result from the flooding of terrestrial ecosystems by mega hydroelectric dams. Because run-of-the-river dams operate based on smaller reservoirs with limited water storage, they have been generally considered less harmful to the environment, but their actual effects on biodiversity have been rarely measured. We herein estimate immediate impacts resulting from the flooding of the run-of-the-river Santo Antonio Hydroelectric on phyllostomid bat assemblages, based on the variation of their richness, abundance and species composition over the first two years after the establishment of the dam. We designed a standardized study integrating temporal sampling in areas that would and would not be flooded, before and after the establishment of the dam. We sampled 12 Pre-flood plots, and 34 plots that remained unflood. Among the non-flood plots, 25 were resampled after the river damming. We captured 3096 bats belonging to 59 species and found that the abundance of fruit bats decreased posterior to the formation of the dam. Moreover, the composition of fruit bats was different between the sampling periods, with a clear segregation of the vorzea plots of the pre-flood period. Comparisons between pre- and post-unflood plots revealed that 60% of the plots decreased in abundance of bats, and 68% decreased in abundance of phyllostomid fruit bats. Our results demonstrate that the run-of-the-river dam altered the phyllostomid species composition in the non-flooded areas after the establishment of the dam, reducing the abundance of frugivorous bats. Also, the remaining unflood areas did not incorporate bat assemblages from the vorzea forests that were permanently flooded by the reservoir. Based on our results, we suggest that environmental policies regulating the licensing processes for the implementation of large hydroelectric power stations should include orientation for the establishment of protected areas, as a condition for their operation. These areas can work as systematic instruments for biodiversity conservation, with special attention to the protection of the irreplaceable floodplain forests.</v>
      </c>
      <c r="C396" s="24" t="str">
        <f>IFERROR(__xludf.DUMMYFUNCTION("""COMPUTED_VALUE"""),"10.1016/j.ecolind.2021.108322")</f>
        <v>10.1016/j.ecolind.2021.108322</v>
      </c>
      <c r="D396" s="24" t="str">
        <f>IFERROR(__xludf.DUMMYFUNCTION("""COMPUTED_VALUE"""),"Keck et al")</f>
        <v>Keck et al</v>
      </c>
      <c r="E396" s="24" t="str">
        <f>IFERROR(__xludf.DUMMYFUNCTION("""COMPUTED_VALUE"""),"WOS:000714728100001")</f>
        <v>WOS:000714728100001</v>
      </c>
      <c r="F396" s="24" t="str">
        <f>IFERROR(__xludf.DUMMYFUNCTION("""COMPUTED_VALUE"""),"[""ELIGIBLE""]")</f>
        <v>["ELIGIBLE"]</v>
      </c>
    </row>
    <row r="397">
      <c r="A397" s="24" t="str">
        <f>IFERROR(__xludf.DUMMYFUNCTION("""COMPUTED_VALUE"""),"Impact of offshore gas platforms on the structural and functional biodiversity of nematodes")</f>
        <v>Impact of offshore gas platforms on the structural and functional biodiversity of nematodes</v>
      </c>
      <c r="B397" s="24" t="str">
        <f>IFERROR(__xludf.DUMMYFUNCTION("""COMPUTED_VALUE"""),"The Mediterranean Sea hosts hundreds of offshore gas platforms, whose activity represents a potential threat to marine ecosystems. Evidence from several studies indicates that nematodes can be highly sensitive to changes in the environmental quality. Here"&amp;", we investigated the response of nematode assemblages to the presence of offshore gas platforms (located in the central Mediterranean Sea) in terms of spatial heterogeneity, structural and functional diversity. Since the effect of the investigated offsho"&amp;"re platforms on macrofaunal assemblages were previously assessed by Terlizzi et al. (2008), the study provided also the opportunity to compare the response of different benthic compartments to the same impact related to fossil fuel extraction on marine en"&amp;"vironments. The platforms had a significant impact on nematode assemblages up to 1000 m distance from the structure. The effects were evident in term of: a) more homogeneous spatial distribution of nematode assemblages, b) increased trophic diversity of d"&amp;"eposit feeders and c) changes in life strategies with an increase of opportunistic species in sediments closer to the platforms. Such effects seemed to be related to the dimension of the platform structures, rather than to chemical pollution or changes in"&amp;" food availability. These findings suggest that the platforms exert a physical alteration of the surrounding environment that is reflected by altered structural and functional traits of nematode biodiversity. The use of nematodes for monitoring the effect"&amp;"s of the platforms only partially matched with the results obtained using macrofauna, providing further insights on potential outcomes on the functional response of marine assemblages to fossil fuel extraction. (C) 2016 Elsevier Ltd. All rights reserved.")</f>
        <v>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v>
      </c>
      <c r="C397" s="24" t="str">
        <f>IFERROR(__xludf.DUMMYFUNCTION("""COMPUTED_VALUE"""),"10.1016/j.marenvres.2016.02.001")</f>
        <v>10.1016/j.marenvres.2016.02.001</v>
      </c>
      <c r="D397" s="24" t="str">
        <f>IFERROR(__xludf.DUMMYFUNCTION("""COMPUTED_VALUE"""),"Keck et al")</f>
        <v>Keck et al</v>
      </c>
      <c r="E397" s="24" t="str">
        <f>IFERROR(__xludf.DUMMYFUNCTION("""COMPUTED_VALUE"""),"WOS:000372557500007")</f>
        <v>WOS:000372557500007</v>
      </c>
      <c r="F397" s="24" t="str">
        <f>IFERROR(__xludf.DUMMYFUNCTION("""COMPUTED_VALUE"""),"[""ELIGIBLE""]")</f>
        <v>["ELIGIBLE"]</v>
      </c>
    </row>
    <row r="398">
      <c r="A398" s="24" t="str">
        <f>IFERROR(__xludf.DUMMYFUNCTION("""COMPUTED_VALUE"""),"The impact of logging roads on dung beetle assemblages in a tropical rainforest reserve")</f>
        <v>The impact of logging roads on dung beetle assemblages in a tropical rainforest reserve</v>
      </c>
      <c r="B398" s="24" t="str">
        <f>IFERROR(__xludf.DUMMYFUNCTION("""COMPUTED_VALUE"""),"The demand for timber products is facilitating the degradation and opening up of large areas of intact habitats rich in biodiversity. Logging creates an extensive network of access roads within the forest, yet these are commonly ignored or excluded when a"&amp;"ssessing impacts of logging on forest biodiversity. Here we determine the impact of these roads on the overall condition of selectively logged forests in Borneo, Southeast Asia. Focusing on dung beetles along &gt;40 km logging roads we determine: (i) the mag"&amp;"nitude and extent of edge effects alongside logging roads; (ii) whether Vegetation characteristics can explain patterns in dung beetle communities, and; (iii) how the inclusion of road edge forest impacts dung beetle assemblages within the overall logged "&amp;"landscape. We found that while vegetation structure was significantly affected up to 34 m from the road edge, impacts on dung beetle communities penetrated much further and were discernible up to 170 m into the forest interior. We found larger species and"&amp;" particularly tunnelling species responded mote than other functional groups which were also influenced by micro-habitat variation. We provide important new insights into the long-term ecological impacts of tropical logging. We also support calls for impr"&amp;"oved logging road design both during and after timber extraction to conserve more effectively biodiversity in production forests, for instance, by considering the minimum volume of timber, per unit length of logging road needed to justify road constructio"&amp;"n. In particular, we suggest that governments and certification bodies need to highlight more clearly the biodiversity and environmental impacts of logging roads. (C) 2016 The Authors. Published by Elsevier Ltd. This is an open access article under the CC"&amp;" BY license (http://creativecommons.org/licenses/by/4.0/).")</f>
        <v>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v>
      </c>
      <c r="C398" s="24" t="str">
        <f>IFERROR(__xludf.DUMMYFUNCTION("""COMPUTED_VALUE"""),"10.1016/j.biocon.2016.11.011")</f>
        <v>10.1016/j.biocon.2016.11.011</v>
      </c>
      <c r="D398" s="24" t="str">
        <f>IFERROR(__xludf.DUMMYFUNCTION("""COMPUTED_VALUE"""),"Keck et al")</f>
        <v>Keck et al</v>
      </c>
      <c r="E398" s="24" t="str">
        <f>IFERROR(__xludf.DUMMYFUNCTION("""COMPUTED_VALUE"""),"WOS:000392769300010")</f>
        <v>WOS:000392769300010</v>
      </c>
      <c r="F398" s="24" t="str">
        <f>IFERROR(__xludf.DUMMYFUNCTION("""COMPUTED_VALUE"""),"[""ELIGIBLE""]")</f>
        <v>["ELIGIBLE"]</v>
      </c>
    </row>
    <row r="399">
      <c r="A399" s="24" t="str">
        <f>IFERROR(__xludf.DUMMYFUNCTION("""COMPUTED_VALUE"""),"Effect of forest clear-cutting on subtropical bryophyte communities in waterfalls, on dripping walls, and along streams")</f>
        <v>Effect of forest clear-cutting on subtropical bryophyte communities in waterfalls, on dripping walls, and along streams</v>
      </c>
      <c r="B399" s="24" t="str">
        <f>IFERROR(__xludf.DUMMYFUNCTION("""COMPUTED_VALUE"""),"Forested freshwater ecosystems worldwide are threatened by a number of anthropogenic disturbances, such as water pollution and canalization. Transient or permanent deforestation can also be a serious threat to organisms in forested watersheds, but its eff"&amp;"ects on different types of freshwater systems has been little studied. We investigated lotic bryophyte communities on rock and soil in subtropical cloud laurel forests on La Gomera Island in the Canary Islands, Spain, and asked whether the response to for"&amp;"est clear-cutting varied among the communities associated with dripping walls, streams, and waterfalls. We compared three successional forest stages: ancient forests (&gt;250 years), young forests (20-50 years after clear-cutting), and open stands (5-15 year"&amp;"s after clear-cutting). In each of 56 study sites we sampled general vegetation and substrate data in a 0.01-ha plot and took composition data of bryophyte species in 3 + 3 subplots of 1 x 1 m. The general pattern of decline in species richness and change"&amp;" in species composition after forest clear-cutting was stronger for streamside assemblages compared to assemblages on dripping walls and in waterfalls. The change in species numbers on rocks was larger than that on soils, because a guild of species growin"&amp;"g on soil (but not on rocks) were favored by disturbance and thus increased in the disturbed sites. Most of the sensitive species could be classified as typical laurel forest species. Mosses were generally more tolerant to forest clear-cutting than were l"&amp;"iverworts. We suggest that streamsides are more sensitive to disturbance than waterfalls and dripping walls because of a larger variation in microclimate before than after clear-cutting and because they are more easily invaded by early-successional specie"&amp;"s (both bryophytes and highly competitive vascular plants). We propose that special care should be taken along small streams within disturbed watersheds if bryophyte assemblages and threatened species should be protected. The susceptibility to anthropogen"&amp;"ic pressures is probably rather high in ecosystems that do not regularly experience large-scale stand-replacing disturbances, especially on oceanic islands because of isolation and a small total habitat area for focal organisms.")</f>
        <v>Forested freshwater ecosystems worldwide are threatened by a number of anthropogenic disturbances, such as water pollution and canalization. Transient or permanent deforestation can also be a serious threat to organisms in forested watersheds, but its effects on different types of freshwater systems has been little studied. We investigated lotic bryophyte communities on rock and soil in subtropical cloud laurel forests on La Gomera Island in the Canary Islands, Spain, and asked whether the response to forest clear-cutting varied among the communities associated with dripping walls, streams, and waterfalls. We compared three successional forest stages: ancient forests (&gt;250 years), young forests (20-50 years after clear-cutting), and open stands (5-15 years after clear-cutting). In each of 56 study sites we sampled general vegetation and substrate data in a 0.01-ha plot and took composition data of bryophyte species in 3 + 3 subplots of 1 x 1 m. The general pattern of decline in species richness and change in species composition after forest clear-cutting was stronger for streamside assemblages compared to assemblages on dripping walls and in waterfalls. The change in species numbers on rocks was larger than that on soils, because a guild of species growing on soil (but not on rocks) were favored by disturbance and thus increased in the disturbed sites. Most of the sensitive species could be classified as typical laurel forest species. Mosses were generally more tolerant to forest clear-cutting than were liverworts. We suggest that streamsides are more sensitive to disturbance than waterfalls and dripping walls because of a larger variation in microclimate before than after clear-cutting and because they are more easily invaded by early-successional species (both bryophytes and highly competitive vascular plants). We propose that special care should be taken along small streams within disturbed watersheds if bryophyte assemblages and threatened species should be protected. The susceptibility to anthropogenic pressures is probably rather high in ecosystems that do not regularly experience large-scale stand-replacing disturbances, especially on oceanic islands because of isolation and a small total habitat area for focal organisms.</v>
      </c>
      <c r="C399" s="24" t="str">
        <f>IFERROR(__xludf.DUMMYFUNCTION("""COMPUTED_VALUE"""),"10.1890/09-1086.1")</f>
        <v>10.1890/09-1086.1</v>
      </c>
      <c r="D399" s="24" t="str">
        <f>IFERROR(__xludf.DUMMYFUNCTION("""COMPUTED_VALUE"""),"Keck et al")</f>
        <v>Keck et al</v>
      </c>
      <c r="E399" s="24" t="str">
        <f>IFERROR(__xludf.DUMMYFUNCTION("""COMPUTED_VALUE"""),"WOS:000281278500013")</f>
        <v>WOS:000281278500013</v>
      </c>
      <c r="F399" s="24" t="str">
        <f>IFERROR(__xludf.DUMMYFUNCTION("""COMPUTED_VALUE"""),"[""ELIGIBLE""]")</f>
        <v>["ELIGIBLE"]</v>
      </c>
    </row>
    <row r="400">
      <c r="A400" s="24" t="str">
        <f>IFERROR(__xludf.DUMMYFUNCTION("""COMPUTED_VALUE"""),"Dung Beetle Diversity and Community Composition Along a Land Use Gradient in a Savannah Ecosystem of North Western Tanzania")</f>
        <v>Dung Beetle Diversity and Community Composition Along a Land Use Gradient in a Savannah Ecosystem of North Western Tanzania</v>
      </c>
      <c r="B400" s="24" t="str">
        <f>IFERROR(__xludf.DUMMYFUNCTION("""COMPUTED_VALUE"""),"Habitat loss and degradation are the most widely cited drivers of changes in species abundance and diversity. We explored changes in dung beetle species diversity and composition across different land uses in the north west Tanzanian savannah. We expected"&amp;" a negative response gradient in the diversity and composition of the dung beetle community, from land uses that preserve vegetation and hold native mammal diversity to livestock intensive and heavily grazed areas. Dung beetles were sampled in a protected"&amp;" area and two anthropogenically influenced land use types. Species richness and composition of each land use type, including differences in diversity and functional groups were analyzed and indicator species for each land use gradient were identified. As "&amp;"expected, diversity and community composition varied between areas with less environmental change compared to those impacted anthropogenically. We conclude that conservation of protected areas within African savannahs can provide a functionally rich dung "&amp;"beetle community and subsequently rich ecological functions. The dung beetle species identified by this study as eco-indicators can be used as a benchmark for future studies that use rapid monitoring to assess disturbance in African savannas.")</f>
        <v>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v>
      </c>
      <c r="C400" s="24" t="str">
        <f>IFERROR(__xludf.DUMMYFUNCTION("""COMPUTED_VALUE"""),"10.1177/19400829211008756")</f>
        <v>10.1177/19400829211008756</v>
      </c>
      <c r="D400" s="24" t="str">
        <f>IFERROR(__xludf.DUMMYFUNCTION("""COMPUTED_VALUE"""),"Keck et al")</f>
        <v>Keck et al</v>
      </c>
      <c r="E400" s="24" t="str">
        <f>IFERROR(__xludf.DUMMYFUNCTION("""COMPUTED_VALUE"""),"WOS:000645216600001")</f>
        <v>WOS:000645216600001</v>
      </c>
      <c r="F400" s="24" t="str">
        <f>IFERROR(__xludf.DUMMYFUNCTION("""COMPUTED_VALUE"""),"[""ELIGIBLE""]")</f>
        <v>["ELIGIBLE"]</v>
      </c>
    </row>
    <row r="401">
      <c r="A401" s="24" t="str">
        <f>IFERROR(__xludf.DUMMYFUNCTION("""COMPUTED_VALUE"""),"Discolouring the Amazon Rainforest: how deforestation is affecting butterfly coloration")</f>
        <v>Discolouring the Amazon Rainforest: how deforestation is affecting butterfly coloration</v>
      </c>
      <c r="B401" s="24" t="str">
        <f>IFERROR(__xludf.DUMMYFUNCTION("""COMPUTED_VALUE"""),"Butterflies are among the most colourful organisms in the world and colour plays a central role in many of their life-history strategies. However, the efficacy of coloration strategies in these and other animals could be affected by sudden environmental c"&amp;"hanges, including anthropogenic disturbances such as habitat loss and fragmentation. Here we investigate the effect of forest disturbance gradients on the colours of fruit-feeding butterflies in the Amazon Rainforest. The disturbance gradients tested repr"&amp;"esented habitat-size (continuous primary forests versus forest fragments of 1, 10 and 100 ha) and succession gradients (continuous primary forests, 30 year old secondary forests, and three year old early successional forests). Using digital image analysis"&amp;", we obtained intrinsic measures of butterfly colour patches corresponding to hue, saturation, brightness, in addition to measures of the contrast among patches and of the overall wing-colour diversity corresponding to 220 individuals, belonging to 60 spe"&amp;"cies. Our results showed that butterflies in the secondary forest and continuous primary forest are more colourful than those found in early succession and fragments of forests. Individuals occurring in forests of early succession showed higher average va"&amp;"lues of hue and saturation, but lower brightness. Accompanying changes in colour composition, wing-colour diversity among species was lower in human-disturbed habitats, such as those of early forest succession and secondary forest. Forest fragments have s"&amp;"maller effects on butterfly colour composition, indicating that well-structured forest habitats can house butterfly assemblages with more diverse phenotypic features and colours. We show how high deforestation rates in recent years is linked with negative"&amp;" changes in functional coloration strategies (e.g. camouflage, warning colours), something that has to date been poorly explored or demonstrated for butterflies. Specifically, human interference has apparently placed butterflies under strong selection for"&amp;" lower diversity in their colours and range of defensive strategies. Those species that are most colourful are the first to be locally extinguished, likely due to removal of native vegetation and increased exposure to predators, and more broadly owing to "&amp;"inhospitable environmental conditions. This illustrates an accelerated loss of local fauna and a discolouration of the Amazonian butterflies due to anthropogenic impacts.")</f>
        <v>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v>
      </c>
      <c r="C401" s="24" t="str">
        <f>IFERROR(__xludf.DUMMYFUNCTION("""COMPUTED_VALUE"""),"10.1007/s10531-020-01999-3")</f>
        <v>10.1007/s10531-020-01999-3</v>
      </c>
      <c r="D401" s="24" t="str">
        <f>IFERROR(__xludf.DUMMYFUNCTION("""COMPUTED_VALUE"""),"Keck et al")</f>
        <v>Keck et al</v>
      </c>
      <c r="E401" s="24" t="str">
        <f>IFERROR(__xludf.DUMMYFUNCTION("""COMPUTED_VALUE"""),"WOS:000537639100001")</f>
        <v>WOS:000537639100001</v>
      </c>
      <c r="F401" s="24" t="str">
        <f>IFERROR(__xludf.DUMMYFUNCTION("""COMPUTED_VALUE"""),"[""ELIGIBLE""]")</f>
        <v>["ELIGIBLE"]</v>
      </c>
    </row>
    <row r="402">
      <c r="A402" s="24" t="str">
        <f>IFERROR(__xludf.DUMMYFUNCTION("""COMPUTED_VALUE"""),"Ecological filtering in scrub fragments restructures the taxonomic and functional composition of native bee assemblages")</f>
        <v>Ecological filtering in scrub fragments restructures the taxonomic and functional composition of native bee assemblages</v>
      </c>
      <c r="B402" s="24" t="str">
        <f>IFERROR(__xludf.DUMMYFUNCTION("""COMPUTED_VALUE"""),"Predicting the long-term consequences of habitat alteration for the preservation of biodiversity and ecosystem function requires an understanding of how ecological filters drive taxonomic and functional biodiversity loss. Here, we test a set of prediction"&amp;"s concerning the role of ecological filters in restructuring native bee assemblages inhabiting fragmented coastal sage scrub ecosystems in southern California, USA. In 2011 and 2012, we collected native bees in scrub habitat belonging to two treatment cat"&amp;"egories: large natural reserves and small habitat fragments embedded in an urban landscape. We compared bee assemblages in reserve and fragment sites with respect to their taxonomic and functional alpha diversity, beta diversity, assemblage composition, a"&amp;"nd mean geographical range size estimated via distribution maps compiled for this study from digitized specimen records. We found multiple lines of evidence that ecological filtering drove bee diversity loss in fragments: a disproportionate loss of functi"&amp;"onal diversity relative to taxonomic diversity, shifts in assemblage composition driven largely by the preferential extirpation of reserve-associated indicator species, and disproportionate loss of range-restricted species. However, we found no evidence o"&amp;"f taxonomic or functional homogenization across fragment bee assemblages, suggesting that filtering was not sufficiently strong to cause a subset of functional traits (and their associated species) to dominate assemblages in fragments. Our results suggest"&amp;" that ecological filtering altered bee assemblages in habitat fragments, even when such fragments contained well-preserved native plant assemblages, underscoring the importance of preserving large areas of natural habitat for the conservation of bees (esp"&amp;"ecially range-restricted taxa) and their associated ecological functions.")</f>
        <v>Predicting the long-term consequences of habitat alteration for the preservation of biodiversity and ecosystem function requires an understanding of how ecological filters drive taxonomic and functional biodiversity loss. Here, we test a set of predictions concerning the role of ecological filters in restructuring native bee assemblages inhabiting fragmented coastal sage scrub ecosystems in southern California, USA. In 2011 and 2012, we collected native bees in scrub habitat belonging to two treatment categories: large natural reserves and small habitat fragments embedded in an urban landscape. We compared bee assemblages in reserve and fragment sites with respect to their taxonomic and functional alpha diversity, beta diversity, assemblage composition, and mean geographical range size estimated via distribution maps compiled for this study from digitized specimen records. We found multiple lines of evidence that ecological filtering drove bee diversity loss in fragments: a disproportionate loss of functional diversity relative to taxonomic diversity, shifts in assemblage composition driven largely by the preferential extirpation of reserve-associated indicator species, and disproportionate loss of range-restricted species. However, we found no evidence of taxonomic or functional homogenization across fragment bee assemblages, suggesting that filtering was not sufficiently strong to cause a subset of functional traits (and their associated species) to dominate assemblages in fragments. Our results suggest that ecological filtering altered bee assemblages in habitat fragments, even when such fragments contained well-preserved native plant assemblages, underscoring the importance of preserving large areas of natural habitat for the conservation of bees (especially range-restricted taxa) and their associated ecological functions.</v>
      </c>
      <c r="C402" s="24" t="str">
        <f>IFERROR(__xludf.DUMMYFUNCTION("""COMPUTED_VALUE"""),"10.1002/ecy.2654")</f>
        <v>10.1002/ecy.2654</v>
      </c>
      <c r="D402" s="24" t="str">
        <f>IFERROR(__xludf.DUMMYFUNCTION("""COMPUTED_VALUE"""),"Keck et al")</f>
        <v>Keck et al</v>
      </c>
      <c r="E402" s="24" t="str">
        <f>IFERROR(__xludf.DUMMYFUNCTION("""COMPUTED_VALUE"""),"WOS:000477642200007")</f>
        <v>WOS:000477642200007</v>
      </c>
      <c r="F402" s="24" t="str">
        <f>IFERROR(__xludf.DUMMYFUNCTION("""COMPUTED_VALUE"""),"[""ELIGIBLE""]")</f>
        <v>["ELIGIBLE"]</v>
      </c>
    </row>
    <row r="403">
      <c r="A403" s="24" t="str">
        <f>IFERROR(__xludf.DUMMYFUNCTION("""COMPUTED_VALUE"""),"Effects of oil palm plantations on anuran diversity in the eastern Amazon")</f>
        <v>Effects of oil palm plantations on anuran diversity in the eastern Amazon</v>
      </c>
      <c r="B403" s="24" t="str">
        <f>IFERROR(__xludf.DUMMYFUNCTION("""COMPUTED_VALUE"""),"The extent of land use for oil palm plantations has grown considerably in the tropics due to climate, appropriate soil conditions for cultivation and its profitability. However, oil palm plantations may endanger biodiversity through reduction and fragment"&amp;"ation of forest areas. Herein we analyzed the effects on anuran species richness, composition and total abundance in oil palm plantations and surrounding forests in eastern Amazon. We installed seven plots in oil palm plantations and seven plots in surrou"&amp;"nding forests, which we surveyed for the presence of anurans through active visual and acoustic surveys during periods of high and low rainfall levels. Anuran assemblages found in forests and oil palm plantations differed in species richness and compositi"&amp;"on, with a loss of 54% of species in oil palm plantations. No difference was observed in total abundance of anurans between both environments. While conversion of forests to oil palm plantations may result in less negative impacts on anuran diversity than"&amp;" other types of monocultures, such loss is nevertheless high, making the maintenance of relatively greater forested areas around oil palm plantations necessary in order to conserve anuran diversity.")</f>
        <v>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v>
      </c>
      <c r="C403" s="24" t="str">
        <f>IFERROR(__xludf.DUMMYFUNCTION("""COMPUTED_VALUE"""),"10.1163/15707563-00002481")</f>
        <v>10.1163/15707563-00002481</v>
      </c>
      <c r="D403" s="24" t="str">
        <f>IFERROR(__xludf.DUMMYFUNCTION("""COMPUTED_VALUE"""),"Keck et al")</f>
        <v>Keck et al</v>
      </c>
      <c r="E403" s="24" t="str">
        <f>IFERROR(__xludf.DUMMYFUNCTION("""COMPUTED_VALUE"""),"WOS:000367519100011")</f>
        <v>WOS:000367519100011</v>
      </c>
      <c r="F403" s="24" t="str">
        <f>IFERROR(__xludf.DUMMYFUNCTION("""COMPUTED_VALUE"""),"[""ELIGIBLE""]")</f>
        <v>["ELIGIBLE"]</v>
      </c>
    </row>
    <row r="404">
      <c r="A404" s="24" t="str">
        <f>IFERROR(__xludf.DUMMYFUNCTION("""COMPUTED_VALUE"""),"Tree monocultures in a biodiversity hotspot: Impact of pine plantations on mammal and bird assemblages in the Atlantic Forest")</f>
        <v>Tree monocultures in a biodiversity hotspot: Impact of pine plantations on mammal and bird assemblages in the Atlantic Forest</v>
      </c>
      <c r="B404" s="24" t="str">
        <f>IFERROR(__xludf.DUMMYFUNCTION("""COMPUTED_VALUE"""),"Forest plantations of fast-growing exotic species constitute an important economic activity in tropical and temperate regions of developing countries. Large areas of native forests and grasslands are being turned into tree plantations without assessing th"&amp;"eir impacts on natural communities. We evaluated the effects of replacing native forests by non-native pine (Pinus taeda) plantations on the diversity and composition of assemblages of terrestrial mammals and ground-dwelling and understory birds, in a for"&amp;"est productive landscape of the Upper Parana Atlantic Forest of Misiones, Argentina. Camera-trap stations were deployed in three different environments: 53 in a continuous forest, 69 in forest fragments, and 62 in tree plantations. The evaluation focused "&amp;"on the effect of the environment, the structural complexity of the vegetation, the cost-distance (distance weighted by connectivity) to the continuous forest, the percentage of native forest within different radii, and the cost of human access (as a proxy"&amp;" for hunting pressure) on both mean species richness per station and species composition. Alpha diversity of the assemblages of each environment was estimated using Hill numbers (effective number of species): (q(0) = richness, q(1) = number of common spec"&amp;"ies and q(2) = number of dominant species. Changes in community composition were evaluated by comparing the assemblages of the three environments using three similarity indices: Sorensen (q(0) = similarity in species identity), Horn (q(1) = similarity in "&amp;"common species), and Morisita-Horn (q(2) = similarity in dominant species). For mammals and birds, richness was significantly higher in forest stations (both continuous and fragmented) than in those located in plantations. For both taxa, it also decreased"&amp;" with the distance to the continuous forest (but with a negative quadratic term in birds). Tree plantation stands contained biased and impoverished subsets of the original assemblages. Mammal composition was affected by the environment, the distance to th"&amp;"e continuous forest, the proportion of native forest in the landscape, and human access. The bird assemblages of plantations were seriously affected, and their composition was also influenced by changes in vegetation structure. Alternative management prac"&amp;"tices (e.g. pruning, thinning) and landscape features can partially mitigate the negative effect of tree plantations on mammal and bird assemblages. Large areas of forest that function as population sources and forest fragments immersed in the matrix of p"&amp;"lantations are strictly necessary to preserve the original native mammal and bird assemblages in the productive landscape. Promoting connectivity and improving hunting controls will also support their conservation.")</f>
        <v>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v>
      </c>
      <c r="C404" s="24" t="str">
        <f>IFERROR(__xludf.DUMMYFUNCTION("""COMPUTED_VALUE"""),"10.1016/j.foreco.2018.04.049")</f>
        <v>10.1016/j.foreco.2018.04.049</v>
      </c>
      <c r="D404" s="24" t="str">
        <f>IFERROR(__xludf.DUMMYFUNCTION("""COMPUTED_VALUE"""),"Keck et al")</f>
        <v>Keck et al</v>
      </c>
      <c r="E404" s="24" t="str">
        <f>IFERROR(__xludf.DUMMYFUNCTION("""COMPUTED_VALUE"""),"WOS:000437967900021")</f>
        <v>WOS:000437967900021</v>
      </c>
      <c r="F404" s="24" t="str">
        <f>IFERROR(__xludf.DUMMYFUNCTION("""COMPUTED_VALUE"""),"[""ELIGIBLE""]")</f>
        <v>["ELIGIBLE"]</v>
      </c>
    </row>
    <row r="405">
      <c r="A405" s="24" t="str">
        <f>IFERROR(__xludf.DUMMYFUNCTION("""COMPUTED_VALUE"""),"When roads cross streams: fish assemblage responses to fluvial fragmentation in lowland Amazonian streams")</f>
        <v>When roads cross streams: fish assemblage responses to fluvial fragmentation in lowland Amazonian streams</v>
      </c>
      <c r="B405" s="24" t="str">
        <f>IFERROR(__xludf.DUMMYFUNCTION("""COMPUTED_VALUE"""),"Roads affect biodiversity by increasing mortality rates, habitat loss, and natural landscape fragmentation. Poorly installed culverts can impound streams, changing the environmental conditions, and affecting aquatic communities. We evaluated the effects o"&amp;"f road crossings on the taxonomic composition and functional structure of fish assemblages in lowland eastern Amazonian streams, Brazil. We tested the hypothesis that the presence of road-derived impoundments affects assemblage taxonomic and functional co"&amp;"mposition and structure. Two predictions were addressed: (1) Species and functional group composition will differ in impounded reaches in relation to lotic reaches; (2) Assemblages in downstream lotic reaches will be richer in species and functional group"&amp;"s in relation to upstream lotic and impoundment reaches. We sampled five streams crossed by roads presenting impoundment formation, conducted by visual census (day, dusk, and night) in 200 m line transects. Assemblage composition from lentic reaches was d"&amp;"ifferent from lotic reaches, and Shannon diversity from downstream reaches was different from upstream and impoundment, however, beta diversity partitioning between lotic reaches showed higher nestedness contribution, reinforcing the role of impoundment i"&amp;"n limiting fish dispersal between lotic reaches. These results suggest that impoundments impose environmental and dispersal constraints to fish, affecting their longitudinal distribution in streams fragmented by roads.")</f>
        <v>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v>
      </c>
      <c r="C405" s="24" t="str">
        <f>IFERROR(__xludf.DUMMYFUNCTION("""COMPUTED_VALUE"""),"10.1590/1982-0224-2020-0031")</f>
        <v>10.1590/1982-0224-2020-0031</v>
      </c>
      <c r="D405" s="24" t="str">
        <f>IFERROR(__xludf.DUMMYFUNCTION("""COMPUTED_VALUE"""),"Keck et al")</f>
        <v>Keck et al</v>
      </c>
      <c r="E405" s="24" t="str">
        <f>IFERROR(__xludf.DUMMYFUNCTION("""COMPUTED_VALUE"""),"WOS:000575501400001")</f>
        <v>WOS:000575501400001</v>
      </c>
      <c r="F405" s="24" t="str">
        <f>IFERROR(__xludf.DUMMYFUNCTION("""COMPUTED_VALUE"""),"[""ELIGIBLE""]")</f>
        <v>["ELIGIBLE"]</v>
      </c>
    </row>
    <row r="406">
      <c r="A406" s="24" t="str">
        <f>IFERROR(__xludf.DUMMYFUNCTION("""COMPUTED_VALUE"""),"Are invasive species the drivers or passengers of change in degraded ecosystems?")</f>
        <v>Are invasive species the drivers or passengers of change in degraded ecosystems?</v>
      </c>
      <c r="B406" s="24" t="str">
        <f>IFERROR(__xludf.DUMMYFUNCTION("""COMPUTED_VALUE"""),"Few invaded ecosystems are free from habitat loss and disturbance, leading to uncertainty whether dominant invasive species are driving community change or are passengers along for the environmental ride. The driver model predicts that invaded communities"&amp;" are highly interactive, with subordinate native species being limited or excluded by competition from the exotic dominants. The passenger model predicts that invaded communities are primarily structured by noninteractive factors (environmental change, di"&amp;"spersal limitation) that are less constraining on the exotics, which thus dominate. We tested these alternative hypotheses in an invaded, fragmented, and fire-suppressed oak savanna. We examined the impact of two invasive dominant perennial grasses on com"&amp;"munity structure using a reduction (mowing of aboveground biomass) and removal (weeding of above- and belowground biomass) experiment conducted at different seasons and soil depths. We examined the relative importance of competition vs. dispersal limitati"&amp;"on with experimental seed additions. Competition by the dominants limits the abundance and reproduction of many native and exotic species based on their increased performance with removals and mowing. The treatments resulted in increased light availabilit"&amp;"y and bare soil; soil moisture and N were unaffected. Although competition was limiting for some, 36 of 79 species did not respond to the treatments or declined in the absence of grass cover. Seed additions revealed that some subordinates are dispersal li"&amp;"mited; competition alone was insufficient to explain their rarity even though it does exacerbate dispersal inefficiencies by lowering reproduction. While the net effects of the dominants were negative, their presence restricted woody plants, facilitated s"&amp;"eedling survival with moderate disturbance (i.e., treatments applied in the fall), or was not the primary limiting factor for the occurrence of some species. Finally, the species most functionally distinct from the dominants (forbs, woody plants) responde"&amp;"d most significantly to the treatments. This suggests that relative abundance is determined more by trade-offs relating to environmental conditions (long-term fire suppression) than to traits relating to resource capture (which should most impact function"&amp;"ally similar species). This points toward the passenger model as the underlying cause of exotic dominance, although their combined effects (suppressive and facilitative) on community structure are substantial.")</f>
        <v>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v>
      </c>
      <c r="C406" s="24" t="str">
        <f>IFERROR(__xludf.DUMMYFUNCTION("""COMPUTED_VALUE"""),"10.1890/04-0669")</f>
        <v>10.1890/04-0669</v>
      </c>
      <c r="D406" s="24" t="str">
        <f>IFERROR(__xludf.DUMMYFUNCTION("""COMPUTED_VALUE"""),"Keck et al")</f>
        <v>Keck et al</v>
      </c>
      <c r="E406" s="24" t="str">
        <f>IFERROR(__xludf.DUMMYFUNCTION("""COMPUTED_VALUE"""),"WOS:000226791700006")</f>
        <v>WOS:000226791700006</v>
      </c>
      <c r="F406" s="24" t="str">
        <f>IFERROR(__xludf.DUMMYFUNCTION("""COMPUTED_VALUE"""),"[""ELIGIBLE""]")</f>
        <v>["ELIGIBLE"]</v>
      </c>
    </row>
    <row r="407">
      <c r="A407" s="24" t="str">
        <f>IFERROR(__xludf.DUMMYFUNCTION("""COMPUTED_VALUE"""),"Ecological analysis of the ichthyofaunal community ten years after a diesel oil spill at Serra do Mar, Parana state, Brazil")</f>
        <v>Ecological analysis of the ichthyofaunal community ten years after a diesel oil spill at Serra do Mar, Parana state, Brazil</v>
      </c>
      <c r="B407" s="24" t="str">
        <f>IFERROR(__xludf.DUMMYFUNCTION("""COMPUTED_VALUE"""),"In February 2001, an accidental spill dumped 52,000 litres of diesel oil in Serra do Mar, Parana state, Brazil, contaminating streams. This study aimed to evaluate if fish communities currently inhabiting environments exposed to the oil spill still showin"&amp;"g evidence of spill-related impacts. Ichthyofauna communities were monitored in five rivers located in the region of the spill. Two sites exposed to oil (Meio and Sagrado rivers) were considered treatment sites, and three unexposed sites with environmenta"&amp;"l characteristics similar to the treatment sites (Pinto, Passa Sete and Marumbi rivers) were considered control sites. Analysis of water quality parameters indicated that sites within rivers were more similar than sites among rivers. The diversity and spe"&amp;"cies composition of fish communities differed between the treatment and control groups and among the rivers. The distribution and species composition of ichthyofaunal communities likely reflect the environmental characteristics of each river and not relat"&amp;"ed to the environmental contamination resulting from the oil spill. (C) 2015 The Authors. Published by Elsevier B.V.")</f>
        <v>In February 2001, an accidental spill dumped 52,000 litres of diesel oil in Serra do Mar, Parana state, Brazil, contaminating streams. This study aimed to evaluate if fish communities currently inhabiting environments exposed to the oil spill still showing evidence of spill-related impacts. Ichthyofauna communities were monitored in five rivers located in the region of the spill. Two sites exposed to oil (Meio and Sagrado rivers) were considered treatment sites, and three unexposed sites with environmental characteristics similar to the treatment sites (Pinto, Passa Sete and Marumbi rivers) were considered control sites. Analysis of water quality parameters indicated that sites within rivers were more similar than sites among rivers. The diversity and species composition of fish communities differed between the treatment and control groups and among the rivers. The distribution and species composition of ichthyofaunal communities likely reflect the environmental characteristics of each river and not related to the environmental contamination resulting from the oil spill. (C) 2015 The Authors. Published by Elsevier B.V.</v>
      </c>
      <c r="C407" s="24" t="str">
        <f>IFERROR(__xludf.DUMMYFUNCTION("""COMPUTED_VALUE"""),"10.1016/j.gecco.2015.07.010")</f>
        <v>10.1016/j.gecco.2015.07.010</v>
      </c>
      <c r="D407" s="24" t="str">
        <f>IFERROR(__xludf.DUMMYFUNCTION("""COMPUTED_VALUE"""),"Keck et al")</f>
        <v>Keck et al</v>
      </c>
      <c r="E407" s="24" t="str">
        <f>IFERROR(__xludf.DUMMYFUNCTION("""COMPUTED_VALUE"""),"WOS:000416220800029")</f>
        <v>WOS:000416220800029</v>
      </c>
      <c r="F407" s="24" t="str">
        <f>IFERROR(__xludf.DUMMYFUNCTION("""COMPUTED_VALUE"""),"[""ELIGIBLE""]")</f>
        <v>["ELIGIBLE"]</v>
      </c>
    </row>
    <row r="408">
      <c r="A408" s="24" t="str">
        <f>IFERROR(__xludf.DUMMYFUNCTION("""COMPUTED_VALUE"""),"Recovery of benthic communities at Macquarie Island (sub-Antarctic) following a small oil spill")</f>
        <v>Recovery of benthic communities at Macquarie Island (sub-Antarctic) following a small oil spill</v>
      </c>
      <c r="B408" s="24" t="str">
        <f>IFERROR(__xludf.DUMMYFUNCTION("""COMPUTED_VALUE"""),"Intertidal communities at Macquarie Island (sub-Antarctic) were re-evaluated seven years after a small oil spill resulting from the grounding of the Nella Dan, and six years after the first assessment of biological impact. Sampling was conducted to evalua"&amp;"te community structure in three zones of the exposed rocky shore (upper red, kelp, and lower red) and in samples of Durvillaea antarctica holdfasts. There were no significant differences between the community structure in oiled and control locations in an"&amp;"y of the three shore zones, but holdfast macrofaunal communities at oiled sites still showed evidence of impact. Holdfast community-structure in samples from heavily oiled sites showed moderate levels of recovery, with increased abundances of species whic"&amp;"h were considered sensitive to the oiling in the first post-impact studies and decreased abundances of opportunistic polychaete and oligochaete worms. In contrast, samples collected from the moderately oiled location at Secluded Bay showed little evidence"&amp;" of recovery. Holdfasts at this site were filled with sediment containing traces of diesel oil, and the macrofaunal community was dominated by opportunistic worms. This study clearly indicates that even small incidents of anthropogenic perturbation can ha"&amp;"ve long-lasting consequences for marine communities at Island.")</f>
        <v>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v>
      </c>
      <c r="C408" s="24" t="str">
        <f>IFERROR(__xludf.DUMMYFUNCTION("""COMPUTED_VALUE"""),"10.1007/s002270050349")</f>
        <v>10.1007/s002270050349</v>
      </c>
      <c r="D408" s="24" t="str">
        <f>IFERROR(__xludf.DUMMYFUNCTION("""COMPUTED_VALUE"""),"Keck et al")</f>
        <v>Keck et al</v>
      </c>
      <c r="E408" s="24" t="str">
        <f>IFERROR(__xludf.DUMMYFUNCTION("""COMPUTED_VALUE"""),"WOS:000075378700018")</f>
        <v>WOS:000075378700018</v>
      </c>
      <c r="F408" s="24" t="str">
        <f>IFERROR(__xludf.DUMMYFUNCTION("""COMPUTED_VALUE"""),"[""ELIGIBLE""]")</f>
        <v>["ELIGIBLE"]</v>
      </c>
    </row>
    <row r="409">
      <c r="A409" s="24" t="str">
        <f>IFERROR(__xludf.DUMMYFUNCTION("""COMPUTED_VALUE"""),"Effects of urbanization on the fauna of Odonata on the coast of southern Brazil")</f>
        <v>Effects of urbanization on the fauna of Odonata on the coast of southern Brazil</v>
      </c>
      <c r="B409" s="24" t="str">
        <f>IFERROR(__xludf.DUMMYFUNCTION("""COMPUTED_VALUE"""),"Urbanization significantly increases the rates of environmental disturbance, being one of the main causes of habitat loss and biodiversity. The growing trend of converting the natural landscape into areas for real estate speculation in the coastal region "&amp;"of the southernmost part of Brazil is a current concern, as the region is home to unique ecosystems, such as dunes, wetlands and large brackish lagoons. As they are organisms sensitive to environmental changes, variations in the structure of Odonata commu"&amp;"nities are used as indicators of habitat quality reflecting the human impact on the environment. Here we assessed how the Odonata community is affected by the growing urbanization around natural ponds on the coast of the state of Rio Grande do Sul, testin"&amp;"g the hypothesis that the increase in the percentage of urbanization negatively influences the Odonata community, following the same pattern found for other groups of invertebrates. The collections took place in 28 coastal ponds, which were classified as "&amp;"urbanized and non-urbanized based on the surrounding ground cover. Anisoptera's richness, abundance and composition were influenced by urbanization, but the same was not found for Zygoptera. The analysis of indicator species specifies three species associ"&amp;"ated with non-urbanized areas: Etythrodiplax sp.1, Erythemis credula and Telebasis corallina. Our study highlights the importance of Odonata as organisms that indicate environmental integrity and reinforces the need for urban planning strategies that favo"&amp;"r the conservation and maintenance of the environments affected by urbanization.")</f>
        <v>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v>
      </c>
      <c r="C409" s="24" t="str">
        <f>IFERROR(__xludf.DUMMYFUNCTION("""COMPUTED_VALUE"""),"10.1590/1676-0611-BN-2020-1122")</f>
        <v>10.1590/1676-0611-BN-2020-1122</v>
      </c>
      <c r="D409" s="24" t="str">
        <f>IFERROR(__xludf.DUMMYFUNCTION("""COMPUTED_VALUE"""),"Keck et al")</f>
        <v>Keck et al</v>
      </c>
      <c r="E409" s="24" t="str">
        <f>IFERROR(__xludf.DUMMYFUNCTION("""COMPUTED_VALUE"""),"WOS:000616618000001")</f>
        <v>WOS:000616618000001</v>
      </c>
      <c r="F409" s="24" t="str">
        <f>IFERROR(__xludf.DUMMYFUNCTION("""COMPUTED_VALUE"""),"[""ELIGIBLE""]")</f>
        <v>["ELIGIBLE"]</v>
      </c>
    </row>
    <row r="410">
      <c r="A410" s="24" t="str">
        <f>IFERROR(__xludf.DUMMYFUNCTION("""COMPUTED_VALUE"""),"The impact of urbanisation on community structure, gene abundance and transcription rates of microbes in upland swamps of Eastern Australia")</f>
        <v>The impact of urbanisation on community structure, gene abundance and transcription rates of microbes in upland swamps of Eastern Australia</v>
      </c>
      <c r="B410" s="24" t="str">
        <f>IFERROR(__xludf.DUMMYFUNCTION("""COMPUTED_VALUE"""),"The Temperate Highland Peat Swamps on Sandstone of the Sydney Basin occur in the headwaters of Sydney's drinking water catchments and are listed as endangered ecosystems, yet they have suffered habitat losses and degradation due to human impacts such as u"&amp;"rbanisation. Despite ongoing efforts to restore and better protect upland swamps, they remain poorly understood, potentially hindering the effectiveness of management efforts. Essential to overall ecosystem function and the provision of services for human"&amp;" and environmental benefit are the microbial component of wetland ecosystems. In the case of these swamps, the microbes, have not yet been studied. Here, we investigated differences in the microbial community of upland swamps in urbanised catchments compa"&amp;"red to swamps from natural catchments in the Blue Mountains. A total of twelve swamps were sampled, six from within urbanised catchments and six with intact vegetation catchments, to compare sediment conditions and microbial community and genes expression"&amp;" and abundances. Catchment impervious area and number of stormwater drains entering a swamp, indicators for urbanisation, positively correlated with the pH and ammonium concentration of swamp sediment. Community analysis of the 16S rRNA gene (T-RFLP, qPCR"&amp;") revealed the elevated pH of urbanised swamps coincided with changes to the abundance of bacteria and archaea. Furthermore, RT-qPCR revealed genes involved in carbon cycling (mcrA &amp; pmoA) were more likely to be found in urbanised swamps. Taken together, "&amp;"our results indicate that urbanisation of the Blue Mountains is impacting the environmental services provided by the microbial community of upland swamps in the Sydney Basin.")</f>
        <v>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v>
      </c>
      <c r="C410" s="24" t="str">
        <f>IFERROR(__xludf.DUMMYFUNCTION("""COMPUTED_VALUE"""),"10.1371/journal.pone.0213275")</f>
        <v>10.1371/journal.pone.0213275</v>
      </c>
      <c r="D410" s="24" t="str">
        <f>IFERROR(__xludf.DUMMYFUNCTION("""COMPUTED_VALUE"""),"Keck et al")</f>
        <v>Keck et al</v>
      </c>
      <c r="E410" s="24" t="str">
        <f>IFERROR(__xludf.DUMMYFUNCTION("""COMPUTED_VALUE"""),"WOS:000460371700031")</f>
        <v>WOS:000460371700031</v>
      </c>
      <c r="F410" s="24" t="str">
        <f>IFERROR(__xludf.DUMMYFUNCTION("""COMPUTED_VALUE"""),"[""ELIGIBLE""]")</f>
        <v>["ELIGIBLE"]</v>
      </c>
    </row>
    <row r="411">
      <c r="A411" s="24" t="str">
        <f>IFERROR(__xludf.DUMMYFUNCTION("""COMPUTED_VALUE"""),"Are changes in the structure of nematode assemblages reliable indicators of moderate petroleum contamination?")</f>
        <v>Are changes in the structure of nematode assemblages reliable indicators of moderate petroleum contamination?</v>
      </c>
      <c r="B411" s="24" t="str">
        <f>IFERROR(__xludf.DUMMYFUNCTION("""COMPUTED_VALUE"""),"This study assesses through a multiple before-after-control-impact (MBACI) design the effects of diesel oil on the structure of nematode assemblages in unvegetated tidal flats of a subtropical estuary. Oil-exposed treatments were contrasted with controls "&amp;"for a duration of four successive days before and after an experimental spill in three distinct areas of the Paranagua Estuarine Complex (Southern Brazil). No significant differences were observed in nematode total density, number of taxa and the overall "&amp;"assemblage structure between the control and impact treatments from before to after the experimental spill. This reinforces the idea that, despite being good indicators of environmental stress, free-living marine nematodes are able to tolerate low concent"&amp;"rations of hydrocarbons and to survive in moderately contaminated areas. We also show that robust experimental designs are useful to avoid confounding expected natural variability with the effects of a mild impact. (C) 2014 Elsevier Ltd. All rights reserv"&amp;"ed.")</f>
        <v>This study assesses through a multiple before-after-control-impact (MBACI) design the effects of diesel oil on the structure of nematode assemblages in unvegetated tidal flats of a subtropical estuary. Oil-exposed treatments were contrasted with controls for a duration of four successive days before and after an experimental spill in three distinct areas of the Paranagua Estuarine Complex (Southern Brazil). No significant differences were observed in nematode total density, number of taxa and the overall assemblage structure between the control and impact treatments from before to after the experimental spill. This reinforces the idea that, despite being good indicators of environmental stress, free-living marine nematodes are able to tolerate low concentrations of hydrocarbons and to survive in moderately contaminated areas. We also show that robust experimental designs are useful to avoid confounding expected natural variability with the effects of a mild impact. (C) 2014 Elsevier Ltd. All rights reserved.</v>
      </c>
      <c r="C411" s="24" t="str">
        <f>IFERROR(__xludf.DUMMYFUNCTION("""COMPUTED_VALUE"""),"10.1016/j.marpolbul.2014.04.035")</f>
        <v>10.1016/j.marpolbul.2014.04.035</v>
      </c>
      <c r="D411" s="24" t="str">
        <f>IFERROR(__xludf.DUMMYFUNCTION("""COMPUTED_VALUE"""),"Keck et al")</f>
        <v>Keck et al</v>
      </c>
      <c r="E411" s="24" t="str">
        <f>IFERROR(__xludf.DUMMYFUNCTION("""COMPUTED_VALUE"""),"WOS:000339130000019")</f>
        <v>WOS:000339130000019</v>
      </c>
      <c r="F411" s="24" t="str">
        <f>IFERROR(__xludf.DUMMYFUNCTION("""COMPUTED_VALUE"""),"[""ELIGIBLE""]")</f>
        <v>["ELIGIBLE"]</v>
      </c>
    </row>
    <row r="412">
      <c r="A412" s="24" t="str">
        <f>IFERROR(__xludf.DUMMYFUNCTION("""COMPUTED_VALUE"""),"Impact of oil spills on coral reefs can be reduced by bioremediation using probiotic microbiota")</f>
        <v>Impact of oil spills on coral reefs can be reduced by bioremediation using probiotic microbiota</v>
      </c>
      <c r="B412" s="24" t="str">
        <f>IFERROR(__xludf.DUMMYFUNCTION("""COMPUTED_VALUE"""),"Several anthropogenic factors, including contamination by oil spills, constitute a threat to coral reef health. Current methodologies to remediate polluted marine environments are based on the use of chemical dispersants; however, these can be toxic to th"&amp;"e coral holobiont. In this study, a probiotic bacterial consortium was produced from the coral Mussismilia harttii and was trained to degrade water-soluble oil fractions (WSFs). Additionally, we assessed the effect of WSFs on the health of M. harttii in t"&amp;"anks and evaluated the bacterial consortium as a bioremediation agent. The consortium was responsible for the highly efficient degradation of petroleum hydrocarbons, and it minimised the effects of WSFs on coral health, as indicated by raised photosynthet"&amp;"ic efficiencies. Moreover, the impact of WSFs on the coral microbiome was diminished by the introduced bacterial consortium. Following introduction, the bacterial consortium thus had a dual function, i.e promoting oil WSF degradation and improving coral h"&amp;"ealth with its probiotic features.")</f>
        <v>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v>
      </c>
      <c r="C412" s="24" t="str">
        <f>IFERROR(__xludf.DUMMYFUNCTION("""COMPUTED_VALUE"""),"10.1038/srep18268")</f>
        <v>10.1038/srep18268</v>
      </c>
      <c r="D412" s="24" t="str">
        <f>IFERROR(__xludf.DUMMYFUNCTION("""COMPUTED_VALUE"""),"Keck et al")</f>
        <v>Keck et al</v>
      </c>
      <c r="E412" s="24" t="str">
        <f>IFERROR(__xludf.DUMMYFUNCTION("""COMPUTED_VALUE"""),"WOS:000366292700001")</f>
        <v>WOS:000366292700001</v>
      </c>
      <c r="F412" s="24" t="str">
        <f>IFERROR(__xludf.DUMMYFUNCTION("""COMPUTED_VALUE"""),"[""ELIGIBLE""]")</f>
        <v>["ELIGIBLE"]</v>
      </c>
    </row>
    <row r="413">
      <c r="A413" s="24" t="str">
        <f>IFERROR(__xludf.DUMMYFUNCTION("""COMPUTED_VALUE"""),"Impoverished mobile epifaunal assemblages associated with the invasive macroalga Asparagopsis taxiformis in the Mediterranean Sea")</f>
        <v>Impoverished mobile epifaunal assemblages associated with the invasive macroalga Asparagopsis taxiformis in the Mediterranean Sea</v>
      </c>
      <c r="B413" s="24" t="str">
        <f>IFERROR(__xludf.DUMMYFUNCTION("""COMPUTED_VALUE"""),"There is an increasing concern about the ecosystem consequences of altering macroalgal assemblages. Many macrophytes are foundation species in coastal habitats, supporting much of the biodiversity of these ecosystems by providing essential resources such "&amp;"as food and habitat. The addition of invasive species strongly contributes to habitat modification, but the bottom-up impacts of non-native macroalgae on higher trophic levels remains difficult to predict. The main aim of this study was to evaluate the ef"&amp;"fects of the invasive macroalga Asparagopsis taxifornus on biodiversity by comparing the mobile macrofauna inhabiting this species to the dominant native species Halopteris scoparia. This is the first comprehensive study of the possible effects of this wi"&amp;"despread invasive species on higher trophic levels. A hierarchical sampling design with two different spatial scales was conducted to explore the consistency of the patterns observed. Fifty-nine species belonging to superorder Peracarida were found, accou"&amp;"nting 90% of all organisms. A. taxiformis hosted an impoverished epifaunal assemblage in comparison to that associated with the native seaweed, showing significantly lower values of diversity, abundance and number of epifaunal species across study locatio"&amp;"ns. The structure of the associated macrofauna (both in terms of species composition, variability among samples and relative abundance of the species) was also different. Our results highlighted the strong influence of A. taxiformis in the resident commun"&amp;"ity, with differences among the two macroalgae in all the parameters considered. Finally, our results also reflect a biotic homogenization of the epifaunal assemblages associated to A. taxiformis, a scarcely explored consequence of invasive processes in m"&amp;"arine environments. Future studies exploring the cascading effects of the observed changes in the epifaunal assemblages would be necessary in order to estimate system responses to macroalgal invasions.")</f>
        <v>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v>
      </c>
      <c r="C413" s="24" t="str">
        <f>IFERROR(__xludf.DUMMYFUNCTION("""COMPUTED_VALUE"""),"10.1016/j.marenvres.2018.07.016")</f>
        <v>10.1016/j.marenvres.2018.07.016</v>
      </c>
      <c r="D413" s="24" t="str">
        <f>IFERROR(__xludf.DUMMYFUNCTION("""COMPUTED_VALUE"""),"Keck et al")</f>
        <v>Keck et al</v>
      </c>
      <c r="E413" s="24" t="str">
        <f>IFERROR(__xludf.DUMMYFUNCTION("""COMPUTED_VALUE"""),"WOS:000450376700006")</f>
        <v>WOS:000450376700006</v>
      </c>
      <c r="F413" s="24" t="str">
        <f>IFERROR(__xludf.DUMMYFUNCTION("""COMPUTED_VALUE"""),"[""ELIGIBLE""]")</f>
        <v>["ELIGIBLE"]</v>
      </c>
    </row>
    <row r="414">
      <c r="A414" s="24" t="str">
        <f>IFERROR(__xludf.DUMMYFUNCTION("""COMPUTED_VALUE"""),"Dung beetle persistence in human-modified landscapes: Combining indicator species with anthropogenic land use and fragmentation-related effects")</f>
        <v>Dung beetle persistence in human-modified landscapes: Combining indicator species with anthropogenic land use and fragmentation-related effects</v>
      </c>
      <c r="B414" s="24" t="str">
        <f>IFERROR(__xludf.DUMMYFUNCTION("""COMPUTED_VALUE"""),"Identifying and making use of ecological indicators becomes an essential task in the conservation of tropical systems, mainly in fragmented landscapes where land use intensification and habitat loss are confounding factors in the detection of species' res"&amp;"ponses to human-caused disturbance. We aimed to analyze the importance of anthropogenic land use and fragmentation-related effects on dung beetle (Coleoptera: Scarabaeinae) persistence according to the interior-exterior non-linear gradient (forest + matri"&amp;"x) in a fragmented Atlantic Forest landscape used to sugar cane production and cattle ranching/farming. We offer scores for a comprehensive set of community-level attributes, from beetle abundance to taxonomic and ecological composition (i.e. species body"&amp;" size), including a list of indicator species of different forest habitats and adjacent matrix. Dung beetles were surveyed by traps across forest interiors (i.e. core forest areas) and edges of a primary forest, small fragments, sugar cane fields and past"&amp;"ures in a total of 60 sites. Indicator analyses were conducted across the landscape, using two well-established methods (IndVal and SIMPER). Our results suggest that (1) cross-habitat taxonomic distinctness is associated with the presence of indicator spe"&amp;"cies, (2) some species benefit or are dependent of open habitats created by human-disturbances, such as forest edges (e.g. Canthon nigripennis) and matrices (e.g. Canthon aff. piluliformis, Dichotomius nisus and Trichilum externepunctatum), (3) although l"&amp;"andscape habitats exhibit reduced beta diversity, dung beetle assemblages are spatially organized in response to the presence of both forest habitats and matrix and fragment area, (4) forest interior supports beetle assemblages biased toward large-bodied "&amp;"species, (5) accordingly forest interior, forest edges and matrix support taxonomically distinct assemblages, both contributing to the bulk of species richness at landscape level, (6) the response of dung beetles to the interior-exterior non-linear gradie"&amp;"nt (i.e. forest edge+matrix) reveals a similar pattern regardless of the nature of the matrix, and (7) there is no within-habitat variation in beetle abundance and species richness associated with distance from forest edge. Given that there is a high numb"&amp;"er of forest-dependent or forest-interior specialist species (e.g. Aphengium aff. sordidum, Ateuchus aff. alipioi, Dichotomius mormon, Ontherus aff. erosus and Onthophagus aff. clypeatus) dung beetle persistence in human-modified landscape is highly depen"&amp;"dent on the presence of core areas, although edge-affected and matrix habitats may be complementary. This information is essential to permit a better prospect for dung beetle persistence in human-modified landscapes as they continue to move toward edge-do"&amp;"minated landscapes with intensively managed matrices. (C) 2015 Elsevier Ltd. All rights reserved.")</f>
        <v>Identifying and making use of ecological indicators becomes an essential task in the conservation of tropical systems, mainly in fragmented landscapes where land use intensification and habitat loss are confounding factors in the detection of species' responses to human-caused disturbance. We aimed to analyze the importance of anthropogenic land use and fragmentation-related effects on dung beetle (Coleoptera: Scarabaeinae) persistence according to the interior-exterior non-linear gradient (forest + matrix) in a fragmented Atlantic Forest landscape used to sugar cane production and cattle ranching/farming. We offer scores for a comprehensive set of community-level attributes, from beetle abundance to taxonomic and ecological composition (i.e. species body size), including a list of indicator species of different forest habitats and adjacent matrix. Dung beetles were surveyed by traps across forest interiors (i.e. core forest areas) and edges of a primary forest, small fragments, sugar cane fields and pastures in a total of 60 sites. Indicator analyses were conducted across the landscape, using two well-established methods (IndVal and SIMPER). Our results suggest that (1) cross-habitat taxonomic distinctness is associated with the presence of indicator species, (2) some species benefit or are dependent of open habitats created by human-disturbances, such as forest edges (e.g. Canthon nigripennis) and matrices (e.g. Canthon aff. piluliformis, Dichotomius nisus and Trichilum externepunctatum), (3) although landscape habitats exhibit reduced beta diversity, dung beetle assemblages are spatially organized in response to the presence of both forest habitats and matrix and fragment area, (4) forest interior supports beetle assemblages biased toward large-bodied species, (5) accordingly forest interior, forest edges and matrix support taxonomically distinct assemblages, both contributing to the bulk of species richness at landscape level, (6) the response of dung beetles to the interior-exterior non-linear gradient (i.e. forest edge+matrix) reveals a similar pattern regardless of the nature of the matrix, and (7) there is no within-habitat variation in beetle abundance and species richness associated with distance from forest edge. Given that there is a high number of forest-dependent or forest-interior specialist species (e.g. Aphengium aff. sordidum, Ateuchus aff. alipioi, Dichotomius mormon, Ontherus aff. erosus and Onthophagus aff. clypeatus) dung beetle persistence in human-modified landscape is highly dependent on the presence of core areas, although edge-affected and matrix habitats may be complementary. This information is essential to permit a better prospect for dung beetle persistence in human-modified landscapes as they continue to move toward edge-dominated landscapes with intensively managed matrices. (C) 2015 Elsevier Ltd. All rights reserved.</v>
      </c>
      <c r="C414" s="24" t="str">
        <f>IFERROR(__xludf.DUMMYFUNCTION("""COMPUTED_VALUE"""),"10.1016/j.ecolind.2015.02.032")</f>
        <v>10.1016/j.ecolind.2015.02.032</v>
      </c>
      <c r="D414" s="24" t="str">
        <f>IFERROR(__xludf.DUMMYFUNCTION("""COMPUTED_VALUE"""),"Keck et al")</f>
        <v>Keck et al</v>
      </c>
      <c r="E414" s="24" t="str">
        <f>IFERROR(__xludf.DUMMYFUNCTION("""COMPUTED_VALUE"""),"WOS:000356184800008")</f>
        <v>WOS:000356184800008</v>
      </c>
      <c r="F414" s="24" t="str">
        <f>IFERROR(__xludf.DUMMYFUNCTION("""COMPUTED_VALUE"""),"[""ELIGIBLE""]")</f>
        <v>["ELIGIBLE"]</v>
      </c>
    </row>
    <row r="415">
      <c r="A415" s="24" t="str">
        <f>IFERROR(__xludf.DUMMYFUNCTION("""COMPUTED_VALUE"""),"Effects of hydrocarbon pollution in the structure of macrobenthic assemblages from two large estuaries in Brazil")</f>
        <v>Effects of hydrocarbon pollution in the structure of macrobenthic assemblages from two large estuaries in Brazil</v>
      </c>
      <c r="B415" s="24" t="str">
        <f>IFERROR(__xludf.DUMMYFUNCTION("""COMPUTED_VALUE"""),"Changes in the structure of benthic macrofauna and its relationship with hydrocarbon contamination were determined at different spatial scales in sublittoral sediments of two large estuaries in Brazil. Guanabara Bay (GB) is a heavily polluted estuary due "&amp;"to the presence of a large industrial complex and high demographic density. Laranjeiras Bay (LB) lies in an Environmental Protection Area and can still be considered as preserved from human activities. Despite some spatial differences within each bay, the"&amp;" PAHs concentrations were significantly and consistently higher in GB, with values generally above the threshold effect levels. No signs of hydrocarbon contamination were observed in LB. Macrofauna abundance, diversity and overall assemblage structure wer"&amp;"e largely different between bays. Canonical analysis of principal coordinates (CAP), used to model the relationship between macrofauna and PAHs levels, indicated that this class of hydrocarbons is the main structuring factor of soft-bottom assemblages in "&amp;"both bays.")</f>
        <v>Changes in the structure of benthic macrofauna and its relationship with hydrocarbon contamination were determined at different spatial scales in sublittoral sediments of two large estuaries in Brazil. Guanabara Bay (GB) is a heavily polluted estuary due to the presence of a large industrial complex and high demographic density. Laranjeiras Bay (LB) lies in an Environmental Protection Area and can still be considered as preserved from human activities. Despite some spatial differences within each bay, the PAHs concentrations were significantly and consistently higher in GB, with values generally above the threshold effect levels. No signs of hydrocarbon contamination were observed in LB. Macrofauna abundance, diversity and overall assemblage structure were largely different between bays. Canonical analysis of principal coordinates (CAP), used to model the relationship between macrofauna and PAHs levels, indicated that this class of hydrocarbons is the main structuring factor of soft-bottom assemblages in both bays.</v>
      </c>
      <c r="C415" s="24" t="str">
        <f>IFERROR(__xludf.DUMMYFUNCTION("""COMPUTED_VALUE"""),"10.1016/j.marpolbul.2017.07.074")</f>
        <v>10.1016/j.marpolbul.2017.07.074</v>
      </c>
      <c r="D415" s="24" t="str">
        <f>IFERROR(__xludf.DUMMYFUNCTION("""COMPUTED_VALUE"""),"Keck et al")</f>
        <v>Keck et al</v>
      </c>
      <c r="E415" s="24" t="str">
        <f>IFERROR(__xludf.DUMMYFUNCTION("""COMPUTED_VALUE"""),"WOS:000418727000021")</f>
        <v>WOS:000418727000021</v>
      </c>
      <c r="F415" s="24" t="str">
        <f>IFERROR(__xludf.DUMMYFUNCTION("""COMPUTED_VALUE"""),"[""ELIGIBLE""]")</f>
        <v>["ELIGIBLE"]</v>
      </c>
    </row>
    <row r="416">
      <c r="A416" s="24" t="str">
        <f>IFERROR(__xludf.DUMMYFUNCTION("""COMPUTED_VALUE"""),"Anthropogenic effects on the marine environment adjacent to Palmer Station, Antarctica")</f>
        <v>Anthropogenic effects on the marine environment adjacent to Palmer Station, Antarctica</v>
      </c>
      <c r="B416" s="24" t="str">
        <f>IFERROR(__xludf.DUMMYFUNCTION("""COMPUTED_VALUE"""),"Localized contamination from research-related activities and its effects on macrofauna communities in the marine environment were investigated at Palmer Station, a medium-sized Antarctic research station. Relatively low concentrations of polycyclic aromat"&amp;"ic hydrocarbons (PAHs; 32-302 ng g(-1)) and total petroleum hydrocarbons (TPHs; 0.9-8.9 mu g g(-1)) were detected in sediments adjacent to the sewage outfall and pier, where most human activities were expected to have occurred, and at even lower concentra"&amp;"tions at two seemingly reference areas (PAHs 6-30 ng g(-1), TPHs 0.03-5.1 mu g g(-1)). Elevated concentrations of PAHs in one sample taken in one reference area (816 ng g(-1)) and polychlorinated biphenyls (353 ng g(-1)) and dichloro-diphenyl-trichloroeth"&amp;"ane (3.2 and 25.3 ng g(-1)) in two samples taken adjacent to the sewage outfall indicate spatial heterogeneity of localized sediment contamination. Limpet (Nacella concinna) tissues collected adjacent to Palmer Station had high concentrations of PAHs, cop"&amp;"per, lead, zinc and several other metals relative to outlying islands. Sediment and limpet tissue contaminant concentrations have decreased since the early 1990s following the Bahia Paraiso spill. Natural sediment characteristics affected macrofaunal comm"&amp;"unity composition more than contamination adjacent to Palmer Station, presumably because of the low overall contamination levels.")</f>
        <v>Localized contamination from research-related activities and its effects on macrofauna communities in the marine environment were investigated at Palmer Station, a medium-sized Antarctic research station. Relatively low concentrations of polycyclic aromatic hydrocarbons (PAHs; 32-302 ng g(-1)) and total petroleum hydrocarbons (TPHs; 0.9-8.9 mu g g(-1)) were detected in sediments adjacent to the sewage outfall and pier, where most human activities were expected to have occurred, and at even lower concentrations at two seemingly reference areas (PAHs 6-30 ng g(-1), TPHs 0.03-5.1 mu g g(-1)). Elevated concentrations of PAHs in one sample taken in one reference area (816 ng g(-1)) and polychlorinated biphenyls (353 ng g(-1)) and dichloro-diphenyl-trichloroethane (3.2 and 25.3 ng g(-1)) in two samples taken adjacent to the sewage outfall indicate spatial heterogeneity of localized sediment contamination. Limpet (Nacella concinna) tissues collected adjacent to Palmer Station had high concentrations of PAHs, copper, lead, zinc and several other metals relative to outlying islands. Sediment and limpet tissue contaminant concentrations have decreased since the early 1990s following the Bahia Paraiso spill. Natural sediment characteristics affected macrofaunal community composition more than contamination adjacent to Palmer Station, presumably because of the low overall contamination levels.</v>
      </c>
      <c r="C416" s="24" t="str">
        <f>IFERROR(__xludf.DUMMYFUNCTION("""COMPUTED_VALUE"""),"10.1017/S0954102021000535")</f>
        <v>10.1017/S0954102021000535</v>
      </c>
      <c r="D416" s="24" t="str">
        <f>IFERROR(__xludf.DUMMYFUNCTION("""COMPUTED_VALUE"""),"Keck et al")</f>
        <v>Keck et al</v>
      </c>
      <c r="E416" s="24" t="str">
        <f>IFERROR(__xludf.DUMMYFUNCTION("""COMPUTED_VALUE"""),"WOS:000727537300001")</f>
        <v>WOS:000727537300001</v>
      </c>
      <c r="F416" s="24" t="str">
        <f>IFERROR(__xludf.DUMMYFUNCTION("""COMPUTED_VALUE"""),"[""ELIGIBLE""]")</f>
        <v>["ELIGIBLE"]</v>
      </c>
    </row>
    <row r="417">
      <c r="A417" s="24" t="str">
        <f>IFERROR(__xludf.DUMMYFUNCTION("""COMPUTED_VALUE"""),"Synergism between two anthropic impacts: Caulerpa racemosa var. cylindracea invasion and seawater nutrient enrichment")</f>
        <v>Synergism between two anthropic impacts: Caulerpa racemosa var. cylindracea invasion and seawater nutrient enrichment</v>
      </c>
      <c r="B417" s="24" t="str">
        <f>IFERROR(__xludf.DUMMYFUNCTION("""COMPUTED_VALUE"""),"Although eutrophication and biological invasions are recognized as important elements of global change, few studies have assessed how their synergism can affect structural and functional traits of marine ecosystems. The present study aimed to evaluate the"&amp;" effect of seawater nutrient enrichment on the spread of the introduced Chlorophyta Caulerpa racemosa var. cylindracea and the interactive effects of nutritional enrichment and C. racemosa invasion on the native macroalgal assemblages of a subtidal rocky "&amp;"bottom. To achieve these objectives, a manipulative field experiment was carried out at 24 m depth in the northwestern Mediterranean Sea by adding C. racemosa and supplying the water column with nutrients. The following treatments were applied: non-manipu"&amp;"lated assemblages, nutrient enrichment, addition of C. racemosa, and both nutrient enrichment and addition of C. racemosa. Results showed that C. racemosa spread was enhanced by nutrient enrichment. Moreover, a significant interaction between nutritional "&amp;"increase and C. racemosa invasion was detected: the effects of C. racemosa invasion on native macroalgal assemblages were amplified by nutrient enrichment. Results suggested that synergism between effects of different anthropogenic impacts can have severe"&amp;" consequences on the integrity of marine ecosystems.")</f>
        <v>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v>
      </c>
      <c r="C417" s="24" t="str">
        <f>IFERROR(__xludf.DUMMYFUNCTION("""COMPUTED_VALUE"""),"10.3354/meps09053")</f>
        <v>10.3354/meps09053</v>
      </c>
      <c r="D417" s="24" t="str">
        <f>IFERROR(__xludf.DUMMYFUNCTION("""COMPUTED_VALUE"""),"Keck et al")</f>
        <v>Keck et al</v>
      </c>
      <c r="E417" s="24" t="str">
        <f>IFERROR(__xludf.DUMMYFUNCTION("""COMPUTED_VALUE"""),"WOS:000289489800005")</f>
        <v>WOS:000289489800005</v>
      </c>
      <c r="F417" s="24" t="str">
        <f>IFERROR(__xludf.DUMMYFUNCTION("""COMPUTED_VALUE"""),"[""ELIGIBLE""]")</f>
        <v>["ELIGIBLE"]</v>
      </c>
    </row>
    <row r="418">
      <c r="A418" s="24" t="str">
        <f>IFERROR(__xludf.DUMMYFUNCTION("""COMPUTED_VALUE"""),"A comparison of the short term effects of diesel fuel and lubricant oils on Antarctic benthic microbial communities")</f>
        <v>A comparison of the short term effects of diesel fuel and lubricant oils on Antarctic benthic microbial communities</v>
      </c>
      <c r="B418" s="24" t="str">
        <f>IFERROR(__xludf.DUMMYFUNCTION("""COMPUTED_VALUE"""),"The effects of diesel fuel and three lubricating oils on microbial communities in marine sediment were investigated in a field experiment at Casey Station, Antarctica. Sediment from a pristine site in Antarctica was treated with either Special Antarctic B"&amp;"lend (SAB) diesel, a synthetic lubricant (Mobil 0W-40), the same lubricant after use in a vehicle or an equivalent unused biodegradable lubricant (Titan GT1). The sediment was re-deployed in trays on the seabed for 5 weeks during the austral summer. The m"&amp;"icrobial community structure in the sediment upon collection, deployment and retrieval was investigated using denaturing gradient gel electrophoresis (DGGE), most probable number (MPN) counts and direct microscopic counting. It was found that only minor c"&amp;"hanges occurred in the microbial communities due to the experimental protocol. After 5 weeks however, there were significant differences between the communities in the SAB and clean and used lubricant (Mobil 0W-40) as compared to the control treatment. Th"&amp;"ere was no significant difference between the control and biodegradable oil (Titan GT1) treatment. These results indicate that SAB and synthetic lubricants have a measurable effect on sediment microbial communities in the short-term. The biodegradable oil"&amp;" did not produce such an effect and we conclude that the use of such an oil could reduce the risks associated with oil spills in the Antarctic environment. (c) 2005 Elsevier B.V. All rights reserved.")</f>
        <v>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v>
      </c>
      <c r="C418" s="24" t="str">
        <f>IFERROR(__xludf.DUMMYFUNCTION("""COMPUTED_VALUE"""),"10.1016/j.jembe.2005.02.005")</f>
        <v>10.1016/j.jembe.2005.02.005</v>
      </c>
      <c r="D418" s="24" t="str">
        <f>IFERROR(__xludf.DUMMYFUNCTION("""COMPUTED_VALUE"""),"Keck et al")</f>
        <v>Keck et al</v>
      </c>
      <c r="E418" s="24" t="str">
        <f>IFERROR(__xludf.DUMMYFUNCTION("""COMPUTED_VALUE"""),"WOS:000231153800005")</f>
        <v>WOS:000231153800005</v>
      </c>
      <c r="F418" s="24" t="str">
        <f>IFERROR(__xludf.DUMMYFUNCTION("""COMPUTED_VALUE"""),"[""ELIGIBLE""]")</f>
        <v>["ELIGIBLE"]</v>
      </c>
    </row>
    <row r="419">
      <c r="A419" s="24" t="str">
        <f>IFERROR(__xludf.DUMMYFUNCTION("""COMPUTED_VALUE"""),"A manipulative field experiment to evaluate an integrative methodology for assessing sediment pollution in estuarine ecosystems")</f>
        <v>A manipulative field experiment to evaluate an integrative methodology for assessing sediment pollution in estuarine ecosystems</v>
      </c>
      <c r="B419" s="24" t="str">
        <f>IFERROR(__xludf.DUMMYFUNCTION("""COMPUTED_VALUE"""),"The assessment of sediment contamination is of crucial importance for the management of estuarine ecosystems. Environmental risk assessment of oil pollution must be specific to these ecosystems because of their unique toxicant bioavailability dynamics, wh"&amp;"ich is not comparable with that of other ecosystems where the environmental parameters are less variable. The goal of this work was to test in two European estuarine areas (Ria de Aveiro, Portugal; La Manga, Spain) whether the common methodology used to e"&amp;"valuate sediment pollution in marine sediment (amphipod toxicity tests and community structure analysis) is suited to these physico-chemically unique systems. Manipulative field experiments were conducted at three oil concentration levels, to compare resu"&amp;"lting changes in community structure with laboratory and in situ amphipod toxicity tests carried out with native amphipod species Corophium multisetosum (Atlantic area) and Microdeutopus gryllotalpa (Mediterranean area). The impact of the toxicant was ref"&amp;"lected in the community structure and toxicity tests, both of which were correlated with oil concentration. These results point to this methodology being a reliable tool for assessing and monitoring pollution in estuarine areas. (C) 2009 Elsevier B.V. All"&amp;" rights reserved.")</f>
        <v>The assessment of sediment contamination is of crucial importance for the management of estuarine ecosystems. Environmental risk assessment of oil pollution must be specific to these ecosystems because of their unique toxicant bioavailability dynamics, which is not comparable with that of other ecosystems where the environmental parameters are less variable. The goal of this work was to test in two European estuarine areas (Ria de Aveiro, Portugal; La Manga, Spain) whether the common methodology used to evaluate sediment pollution in marine sediment (amphipod toxicity tests and community structure analysis) is suited to these physico-chemically unique systems. Manipulative field experiments were conducted at three oil concentration levels, to compare resulting changes in community structure with laboratory and in situ amphipod toxicity tests carried out with native amphipod species Corophium multisetosum (Atlantic area) and Microdeutopus gryllotalpa (Mediterranean area). The impact of the toxicant was reflected in the community structure and toxicity tests, both of which were correlated with oil concentration. These results point to this methodology being a reliable tool for assessing and monitoring pollution in estuarine areas. (C) 2009 Elsevier B.V. All rights reserved.</v>
      </c>
      <c r="C419" s="24" t="str">
        <f>IFERROR(__xludf.DUMMYFUNCTION("""COMPUTED_VALUE"""),"10.1016/j.scitotenv.2009.02.011")</f>
        <v>10.1016/j.scitotenv.2009.02.011</v>
      </c>
      <c r="D419" s="24" t="str">
        <f>IFERROR(__xludf.DUMMYFUNCTION("""COMPUTED_VALUE"""),"Keck et al")</f>
        <v>Keck et al</v>
      </c>
      <c r="E419" s="24" t="str">
        <f>IFERROR(__xludf.DUMMYFUNCTION("""COMPUTED_VALUE"""),"WOS:000265545200009")</f>
        <v>WOS:000265545200009</v>
      </c>
      <c r="F419" s="24" t="str">
        <f>IFERROR(__xludf.DUMMYFUNCTION("""COMPUTED_VALUE"""),"[""ELIGIBLE""]")</f>
        <v>["ELIGIBLE"]</v>
      </c>
    </row>
    <row r="420">
      <c r="A420" s="24" t="str">
        <f>IFERROR(__xludf.DUMMYFUNCTION("""COMPUTED_VALUE"""),"Habitat and seasonal variations in bacterial community structure and diversity in sediments of a Shallow lake")</f>
        <v>Habitat and seasonal variations in bacterial community structure and diversity in sediments of a Shallow lake</v>
      </c>
      <c r="B420" s="24" t="str">
        <f>IFERROR(__xludf.DUMMYFUNCTION("""COMPUTED_VALUE"""),"Benthic bacteria are drivers of aquatic ecosystem material circulation and energy flow, and are sensitive to environmental changes. In this study, a total of 79 sediment samples were collected from four representative habitat types (duck farm, fish farm, "&amp;"lotus pond and residential area) and one reference site (conservation district) of Baiyangdian Lake, North China, in three seasons (winter, spring and summer). The physical and chemical properties and the levels of contaminants in sediment were determined"&amp;". Bacterial communities were studied by 16S rRNA high-throughput sequencing techniques. The result showed that, Proteobacteria, Chloroflexi, Bacteroidetes, Firmicutes and Actinobacteria were the dominant species at the phylum level in Baiyangdian. Sulfuri"&amp;"curvum, Thiobacillus Dechloromonas, Sulfurovum, Nitrospira and Desulfatiglans were the dominant species at the genus level. The dominant genus was different among different habitats. Proteobacteria exhibited the highest relative abundance in all seasons, "&amp;"and the relative abundance of dominant bacteria was highest in winter. The main functional group from the sampling sites were contamination tolerance bacteria, such as sulfur-oxidizing, sulfate-reducing and nitrifying bacteria. Sulfur-oxidizing bacteria w"&amp;"ere found mainly in duck farms and residential areas, whereas sulfate-reducing bacteria and nitrifying bacteria occurred in lotus ponds. Habitat type was the most important factor influencing the bacterial community composition, evenness and diversity. Se"&amp;"diment pH and the amount of active phosphorus played the most important role in the composition of the bacterial community, and the heavy metals (Zn, Mn and Cr) and organic pollutants (polycyclic aromatic hydrocarbons, PAH) also had moderate influence. As"&amp;" Baiyangdian Lake is the central of Xiong'an New Area, the water quality management has become the hottest topic. Plenty of researches about environmental variables and aquatic species were taken, but lacking report of bacteria. This study provide basic i"&amp;"nformation of bacterial community composition in this area, and help to understand the response of the bacterial community to habitat and seasonal change, which provide a scientific basis for the recovery and reconstruction of the degraded ecosystem.")</f>
        <v>Benthic bacteria are drivers of aquatic ecosystem material circulation and energy flow, and are sensitive to environmental changes. In this study, a total of 79 sediment samples were collected from four representative habitat types (duck farm, fish farm, lotus pond and residential area) and one reference site (conservation district) of Baiyangdian Lake, North China, in three seasons (winter, spring and summer). The physical and chemical properties and the levels of contaminants in sediment were determined. Bacterial communities were studied by 16S rRNA high-throughput sequencing techniques. The result showed that, Proteobacteria, Chloroflexi, Bacteroidetes, Firmicutes and Actinobacteria were the dominant species at the phylum level in Baiyangdian. Sulfuricurvum, Thiobacillus Dechloromonas, Sulfurovum, Nitrospira and Desulfatiglans were the dominant species at the genus level. The dominant genus was different among different habitats. Proteobacteria exhibited the highest relative abundance in all seasons, and the relative abundance of dominant bacteria was highest in winter. The main functional group from the sampling sites were contamination tolerance bacteria, such as sulfur-oxidizing, sulfate-reducing and nitrifying bacteria. Sulfur-oxidizing bacteria were found mainly in duck farms and residential areas, whereas sulfate-reducing bacteria and nitrifying bacteria occurred in lotus ponds. Habitat type was the most important factor influencing the bacterial community composition, evenness and diversity. Sediment pH and the amount of active phosphorus played the most important role in the composition of the bacterial community, and the heavy metals (Zn, Mn and Cr) and organic pollutants (polycyclic aromatic hydrocarbons, PAH) also had moderate influence. As Baiyangdian Lake is the central of Xiong'an New Area, the water quality management has become the hottest topic. Plenty of researches about environmental variables and aquatic species were taken, but lacking report of bacteria. This study provide basic information of bacterial community composition in this area, and help to understand the response of the bacterial community to habitat and seasonal change, which provide a scientific basis for the recovery and reconstruction of the degraded ecosystem.</v>
      </c>
      <c r="C420" s="24" t="str">
        <f>IFERROR(__xludf.DUMMYFUNCTION("""COMPUTED_VALUE"""),"10.1016/j.ecolind.2020.106959")</f>
        <v>10.1016/j.ecolind.2020.106959</v>
      </c>
      <c r="D420" s="24" t="str">
        <f>IFERROR(__xludf.DUMMYFUNCTION("""COMPUTED_VALUE"""),"Keck et al")</f>
        <v>Keck et al</v>
      </c>
      <c r="E420" s="24" t="str">
        <f>IFERROR(__xludf.DUMMYFUNCTION("""COMPUTED_VALUE"""),"WOS:000591903100004")</f>
        <v>WOS:000591903100004</v>
      </c>
      <c r="F420" s="24" t="str">
        <f>IFERROR(__xludf.DUMMYFUNCTION("""COMPUTED_VALUE"""),"[""ELIGIBLE""]")</f>
        <v>["ELIGIBLE"]</v>
      </c>
    </row>
    <row r="421">
      <c r="A421" s="24" t="str">
        <f>IFERROR(__xludf.DUMMYFUNCTION("""COMPUTED_VALUE"""),"Influence of an Antarctic waste dump on recruitment to nearshore marine soft-sediment assemblages")</f>
        <v>Influence of an Antarctic waste dump on recruitment to nearshore marine soft-sediment assemblages</v>
      </c>
      <c r="B421" s="24" t="str">
        <f>IFERROR(__xludf.DUMMYFUNCTION("""COMPUTED_VALUE"""),"Abandoned waste dumps in Antarctica pose an environmental hazard due to contaminant mobilisation in marine and terrestrial habitats. At Casey Station, east Antarctica, a shoreline waste dump has contaminated adjacent marine sediments with metals, hydrocar"&amp;"bons and organic carbon. This study experimentally assessed a model whereby contamination of marine sediment can lead to changes in recruitment and differences in soft-sediment assemblages. We tested the hypotheses that recruitment would be different at d"&amp;"isturbed 'station' locations compared to controls and different in contaminated sediment compared to control sediment. We conducted 2 reciprocal sediment-transplant field experiments over 2 consecutive years in which defaunated sediments were deployed at "&amp;"disturbed locations and control locations and were recovered after 9 mo (March to November: winter), and also after 12 mo. The majority of fauna recruiting to the experiment were highly motile species with non-pelagic lecithotrophic larvae, such as gammar"&amp;"ids, tanaids, isopods and gastropods. There were large differences in recruiting assemblages between all locations and there were significant differences in recruitment between disturbed and control locations. Assemblages in contaminated sediment were sig"&amp;"nificantly different from those in control sediment. Differences in abundances of individual taxa between control and contaminated sediment were complex and difficult to interpret. Assemblages recruiting to the control locations were more variable than th"&amp;"ose recruiting to disturbed locations. This study provides evidence that contaminants in marine sediments adjacent to the waste dump at Casey Station may be having an environmental impact.")</f>
        <v>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v>
      </c>
      <c r="C421" s="24" t="str">
        <f>IFERROR(__xludf.DUMMYFUNCTION("""COMPUTED_VALUE"""),"10.3354/meps276053")</f>
        <v>10.3354/meps276053</v>
      </c>
      <c r="D421" s="24" t="str">
        <f>IFERROR(__xludf.DUMMYFUNCTION("""COMPUTED_VALUE"""),"Keck et al")</f>
        <v>Keck et al</v>
      </c>
      <c r="E421" s="24" t="str">
        <f>IFERROR(__xludf.DUMMYFUNCTION("""COMPUTED_VALUE"""),"WOS:000223788100006")</f>
        <v>WOS:000223788100006</v>
      </c>
      <c r="F421" s="24" t="str">
        <f>IFERROR(__xludf.DUMMYFUNCTION("""COMPUTED_VALUE"""),"[""ELIGIBLE""]")</f>
        <v>["ELIGIBLE"]</v>
      </c>
    </row>
    <row r="422">
      <c r="A422" s="24" t="str">
        <f>IFERROR(__xludf.DUMMYFUNCTION("""COMPUTED_VALUE"""),"The effects of hydrocarbons on meiofauna in marine sediments in Antarctica")</f>
        <v>The effects of hydrocarbons on meiofauna in marine sediments in Antarctica</v>
      </c>
      <c r="B422" s="24" t="str">
        <f>IFERROR(__xludf.DUMMYFUNCTION("""COMPUTED_VALUE"""),"The effects of hydrocarbons in marine sediments on Antarctic meiofaunal communities (nematodes and copepods) were investigated in a five year field experiment at Casey Station, East Antarctica. The effects of four different types of hydrocarbons were exam"&amp;"ined: clean mineral lube oil, used mineral lube oil, synthetic lube oil marketed as being rapidly biodegradable, and diesel fuel (Special Antarctic Blend). Sediments were sieved to remove macrofauna and then treated with one of the oils, then deployed in "&amp;"trays on the seabed (12-18 m) under sea ice, along with control, uncontaminated sediment. Samples of the meiofaunal communities were collected at one, two and five years and nematodes identified to genus and copepods to family. There were significant diff"&amp;"erences between meiofaunal communities in hydrocarbon-treated sediment compared to controls, but each hydrocarbon type had quite different effects. Effects persisted to five years and communities showed no signs of recovery or becoming more similar to con"&amp;"trols. Nematodes were more sensitive to hydrocarbons than copepods, showing very distinct community differences between different treatments which persisted over the five years. In contrast, copepod communities showed less distinct, more variable changes,"&amp;" which decreased in severity over five years. Nematode abundance initially decreased in hydrocarbon treatments in comparison to controls, except for the biodegradable oil treatment, and this persisted also over five years. In contrast, copepod abundance i"&amp;"nitially increased in hydrocarbon treatments compared to controls, and then declined, and by five years abundances were lower in hydrocarbon treatments than in controls. Whilst structural community, abundance and diversity differences for nematodes and co"&amp;"pepods remained after 5 years, the nematode functional parameters based on feeding types and maturity characteristics showed a substantial degree of recovery after 5 years, suggesting some functional recovery of the nematode community. This experiment dem"&amp;"onstrates that different hydrocarbons can have very different effects on sediment meiofauna and that despite strong patterns of community effects it was very difficult to characterize effects on different taxa. The effects of oils in sediments are also li"&amp;"kely to persist for periods greater than five years and could take decades to recover.")</f>
        <v>The effects of hydrocarbons in marine sediments on Antarctic meiofaunal communities (nematodes and copepods) were investigated in a five year field experiment at Casey Station, East Antarctica. The effects of four different types of hydrocarbons were examined: clean mineral lube oil, used mineral lube oil, synthetic lube oil marketed as being rapidly biodegradable, and diesel fuel (Special Antarctic Blend). Sediments were sieved to remove macrofauna and then treated with one of the oils, then deployed in trays on the seabed (12-18 m) under sea ice, along with control, uncontaminated sediment. Samples of the meiofaunal communities were collected at one, two and five years and nematodes identified to genus and copepods to family. There were significant differences between meiofaunal communities in hydrocarbon-treated sediment compared to controls, but each hydrocarbon type had quite different effects. Effects persisted to five years and communities showed no signs of recovery or becoming more similar to controls. Nematodes were more sensitive to hydrocarbons than copepods, showing very distinct community differences between different treatments which persisted over the five years. In contrast, copepod communities showed less distinct, more variable changes, which decreased in severity over five years. Nematode abundance initially decreased in hydrocarbon treatments in comparison to controls, except for the biodegradable oil treatment, and this persisted also over five years. In contrast, copepod abundance initially increased in hydrocarbon treatments compared to controls, and then declined, and by five years abundances were lower in hydrocarbon treatments than in controls. Whilst structural community, abundance and diversity differences for nematodes and copepods remained after 5 years, the nematode functional parameters based on feeding types and maturity characteristics showed a substantial degree of recovery after 5 years, suggesting some functional recovery of the nematode community. This experiment demonstrates that different hydrocarbons can have very different effects on sediment meiofauna and that despite strong patterns of community effects it was very difficult to characterize effects on different taxa. The effects of oils in sediments are also likely to persist for periods greater than five years and could take decades to recover.</v>
      </c>
      <c r="C422" s="24" t="str">
        <f>IFERROR(__xludf.DUMMYFUNCTION("""COMPUTED_VALUE"""),"10.1016/j.jembe.2017.07.009")</f>
        <v>10.1016/j.jembe.2017.07.009</v>
      </c>
      <c r="D422" s="24" t="str">
        <f>IFERROR(__xludf.DUMMYFUNCTION("""COMPUTED_VALUE"""),"Keck et al")</f>
        <v>Keck et al</v>
      </c>
      <c r="E422" s="24" t="str">
        <f>IFERROR(__xludf.DUMMYFUNCTION("""COMPUTED_VALUE"""),"WOS:000412252700008")</f>
        <v>WOS:000412252700008</v>
      </c>
      <c r="F422" s="24" t="str">
        <f>IFERROR(__xludf.DUMMYFUNCTION("""COMPUTED_VALUE"""),"[""ELIGIBLE""]")</f>
        <v>["ELIGIBLE"]</v>
      </c>
    </row>
    <row r="423">
      <c r="A423" s="24" t="str">
        <f>IFERROR(__xludf.DUMMYFUNCTION("""COMPUTED_VALUE"""),"Spatial and temporal changes in the dung beetle diversity of a protected, but fragmented, landscape of the northernmost Neotropical rainforest")</f>
        <v>Spatial and temporal changes in the dung beetle diversity of a protected, but fragmented, landscape of the northernmost Neotropical rainforest</v>
      </c>
      <c r="B423" s="24" t="str">
        <f>IFERROR(__xludf.DUMMYFUNCTION("""COMPUTED_VALUE"""),"Studies addressing the temporal changes of ecological communities within fragmented forests transformed into natural protected areas are urgently needed. The creation of the Los Tuxtlas Biosphere Reserve (LTBR) in 1998 stopped the deforestation process of"&amp;" the northernmost tropical rainforest of the Neotropical region, allowing the analysis of the long-term effects on native communities after the halting of habitat fragmentation. We compared the diversity of dung beetles in 11 forest fragments and eight pa"&amp;"stures in the LTBR between two periods: 1999-2000, the early years after the creation of the LTBR; and 2016-2017, i.e., 17 years later. Species richness and abundance of dung beetles were similar in both periods, being higher in forest fragments than in p"&amp;"astures; however, the dominant species were different in each period in both forest fragments and pastures. The number of habitat indicator species increased in 2016-2017 compared to 1999-2000, with a high species diversity of forest indicators relative t"&amp;"o pasture indicators at both periods. Alpha and gamma diversifies were lower in 1999-2000 than in 2016-2017. Beta-diversity at the spatial level was strongly driven by species turnover, which was higher in pastures than in forest fragments. All functional"&amp;" groups (dwellers, rollers, and tunnellers) showed higher abundances in forest fragments than in pastures in both 1999-2000 and 2016-2017 periods. Our results suggest that stopping the fragmentation process in the LTBR has allowed the survival of native d"&amp;"ung beetle assemblages, which are undergoing a recovery process of their populations and ecological functions over the years.")</f>
        <v>Studies addressing the temporal changes of ecological communities within fragmented forests transformed into natural protected areas are urgently needed. The creation of the Los Tuxtlas Biosphere Reserve (LTBR) in 1998 stopped the deforestation process of the northernmost tropical rainforest of the Neotropical region, allowing the analysis of the long-term effects on native communities after the halting of habitat fragmentation. We compared the diversity of dung beetles in 11 forest fragments and eight pastures in the LTBR between two periods: 1999-2000, the early years after the creation of the LTBR; and 2016-2017, i.e., 17 years later. Species richness and abundance of dung beetles were similar in both periods, being higher in forest fragments than in pastures; however, the dominant species were different in each period in both forest fragments and pastures. The number of habitat indicator species increased in 2016-2017 compared to 1999-2000, with a high species diversity of forest indicators relative to pasture indicators at both periods. Alpha and gamma diversifies were lower in 1999-2000 than in 2016-2017. Beta-diversity at the spatial level was strongly driven by species turnover, which was higher in pastures than in forest fragments. All functional groups (dwellers, rollers, and tunnellers) showed higher abundances in forest fragments than in pastures in both 1999-2000 and 2016-2017 periods. Our results suggest that stopping the fragmentation process in the LTBR has allowed the survival of native dung beetle assemblages, which are undergoing a recovery process of their populations and ecological functions over the years.</v>
      </c>
      <c r="C423" s="24" t="str">
        <f>IFERROR(__xludf.DUMMYFUNCTION("""COMPUTED_VALUE"""),"10.1016/j.ecolind.2019.105968")</f>
        <v>10.1016/j.ecolind.2019.105968</v>
      </c>
      <c r="D423" s="24" t="str">
        <f>IFERROR(__xludf.DUMMYFUNCTION("""COMPUTED_VALUE"""),"Keck et al")</f>
        <v>Keck et al</v>
      </c>
      <c r="E423" s="24" t="str">
        <f>IFERROR(__xludf.DUMMYFUNCTION("""COMPUTED_VALUE"""),"WOS:000512603300001")</f>
        <v>WOS:000512603300001</v>
      </c>
      <c r="F423" s="24" t="str">
        <f>IFERROR(__xludf.DUMMYFUNCTION("""COMPUTED_VALUE"""),"[""ELIGIBLE""]")</f>
        <v>["ELIGIBLE"]</v>
      </c>
    </row>
    <row r="424">
      <c r="A424" s="24" t="str">
        <f>IFERROR(__xludf.DUMMYFUNCTION("""COMPUTED_VALUE"""),"Biological invasions increase the richness of arbuscular mycorrhizal fungi from a Hawaiian subtropical ecosystem")</f>
        <v>Biological invasions increase the richness of arbuscular mycorrhizal fungi from a Hawaiian subtropical ecosystem</v>
      </c>
      <c r="B424" s="24" t="str">
        <f>IFERROR(__xludf.DUMMYFUNCTION("""COMPUTED_VALUE"""),"Biological invasions can have various impacts on the diversity of important microbial mutualists such as mycorrhizal fungi, but few studies have tested whether the effects of invasions on mycorrhizal diversity are consistent across spatial gradients. Furt"&amp;"hermore, few of these studies have taken place in tropical ecosystems that experience an inordinate rate of invasions into native habitats. Here, we examined the effects of plant invasions dominated by non-native tree species on the diversity of arbuscula"&amp;"r mycorrhizal (AM) fungi in Hawaii. To test the hypothesis that invasions result in consistent changes in AM fungal diversity across spatial gradients relative to native forest habitats, we sampled soil in paired native and invaded sites from three waters"&amp;"heds and used amplicon sequencing to characterize AM fungal communities. Whether our analyses considered phylogenetic relatedness or not, we found that invasions consistently increased the richness of AM fungi. However, AM fungal species composition was n"&amp;"ot related to invasion status of the vegetation nor local environment, but stratified by watershed. Our results suggest that while invasions can lead to an overall increase in the diversity of microbial mutualists, the effects of plant host identity or ge"&amp;"ographic structuring potentially outweigh those of invasive species in determining the community membership of AM fungi. Thus, host specificity and spatial factors such as dispersal need to be taken into consideration when examining the effects of biologi"&amp;"cal invasions on symbiotic microbes.")</f>
        <v>Biological invasions can have various impacts on the diversity of important microbial mutualists such as mycorrhizal fungi, but few studies have tested whether the effects of invasions on mycorrhizal diversity are consistent across spatial gradients. Furthermore, few of these studies have taken place in tropical ecosystems that experience an inordinate rate of invasions into native habitats. Here, we examined the effects of plant invasions dominated by non-native tree species on the diversity of arbuscular mycorrhizal (AM) fungi in Hawaii. To test the hypothesis that invasions result in consistent changes in AM fungal diversity across spatial gradients relative to native forest habitats, we sampled soil in paired native and invaded sites from three watersheds and used amplicon sequencing to characterize AM fungal communities. Whether our analyses considered phylogenetic relatedness or not, we found that invasions consistently increased the richness of AM fungi. However, AM fungal species composition was not related to invasion status of the vegetation nor local environment, but stratified by watershed. Our results suggest that while invasions can lead to an overall increase in the diversity of microbial mutualists, the effects of plant host identity or geographic structuring potentially outweigh those of invasive species in determining the community membership of AM fungi. Thus, host specificity and spatial factors such as dispersal need to be taken into consideration when examining the effects of biological invasions on symbiotic microbes.</v>
      </c>
      <c r="C424" s="24" t="str">
        <f>IFERROR(__xludf.DUMMYFUNCTION("""COMPUTED_VALUE"""),"10.1007/s10530-018-1710-7")</f>
        <v>10.1007/s10530-018-1710-7</v>
      </c>
      <c r="D424" s="24" t="str">
        <f>IFERROR(__xludf.DUMMYFUNCTION("""COMPUTED_VALUE"""),"Keck et al")</f>
        <v>Keck et al</v>
      </c>
      <c r="E424" s="24" t="str">
        <f>IFERROR(__xludf.DUMMYFUNCTION("""COMPUTED_VALUE"""),"WOS:000441112500010")</f>
        <v>WOS:000441112500010</v>
      </c>
      <c r="F424" s="24" t="str">
        <f>IFERROR(__xludf.DUMMYFUNCTION("""COMPUTED_VALUE"""),"[""ELIGIBLE""]")</f>
        <v>["ELIGIBLE"]</v>
      </c>
    </row>
    <row r="425">
      <c r="A425" s="24" t="str">
        <f>IFERROR(__xludf.DUMMYFUNCTION("""COMPUTED_VALUE"""),"Above-below surface interactions mediate effects of seagrass disturbance on meiobenthic diversity, nematode and polychaete trophic structure")</f>
        <v>Above-below surface interactions mediate effects of seagrass disturbance on meiobenthic diversity, nematode and polychaete trophic structure</v>
      </c>
      <c r="B425" s="24" t="str">
        <f>IFERROR(__xludf.DUMMYFUNCTION("""COMPUTED_VALUE"""),"Ecological interactions between aquatic plants and sediment communities can shape the structure and function of natural systems. Currently, we do not fully understand how sea- grass habitat degradation impacts the biodiversity of belowground sediment comm"&amp;"unities. Here, we evaluated indirect effects of disturbance of seagrass meadows on meiobenthic community composition, with a five-month in situ experiment in a tropical seagrass meadow. Disturbance was created by reducing light availability (two levels of"&amp;" shading), and by mimicking grazing events (two levels) to assess impacts on meiobenthic diversity using high- throughput sequencing of 18S rRNA amplicons. Both shading and simulated grazing had an effect on meiobenthic community structure, mediated by se"&amp;"agrass-associated biotic drivers and sediment abiotic variables. Additionally, shading substantially altered the trophic structure of the nematode community. Our findings show that degradation of seagrass meadows can alter benthic community structure in c"&amp;"oastal areas with potential impacts to ecosystem functions mediated by meiobenthos in marine sediments.")</f>
        <v>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v>
      </c>
      <c r="C425" s="24" t="str">
        <f>IFERROR(__xludf.DUMMYFUNCTION("""COMPUTED_VALUE"""),"10.1038/s42003-019-0610-4")</f>
        <v>10.1038/s42003-019-0610-4</v>
      </c>
      <c r="D425" s="24" t="str">
        <f>IFERROR(__xludf.DUMMYFUNCTION("""COMPUTED_VALUE"""),"Keck et al")</f>
        <v>Keck et al</v>
      </c>
      <c r="E425" s="24" t="str">
        <f>IFERROR(__xludf.DUMMYFUNCTION("""COMPUTED_VALUE"""),"WOS:000488881700005")</f>
        <v>WOS:000488881700005</v>
      </c>
      <c r="F425" s="24" t="str">
        <f>IFERROR(__xludf.DUMMYFUNCTION("""COMPUTED_VALUE"""),"[""ELIGIBLE""]")</f>
        <v>["ELIGIBLE"]</v>
      </c>
    </row>
    <row r="426">
      <c r="A426" s="24" t="str">
        <f>IFERROR(__xludf.DUMMYFUNCTION("""COMPUTED_VALUE"""),"Effects of anthropogenic silt on aquatic macroinvertebrates and abiotic variables in streams in the Brazilian Amazon")</f>
        <v>Effects of anthropogenic silt on aquatic macroinvertebrates and abiotic variables in streams in the Brazilian Amazon</v>
      </c>
      <c r="B426" s="24" t="str">
        <f>IFERROR(__xludf.DUMMYFUNCTION("""COMPUTED_VALUE"""),"While environmental risks associated with petroleum extraction such as oil spills or leaks are relatively well known, little attention has been given to the impacts of silt. The increase in petroleum exploitation in Amazonia has resulted in sediment input"&amp;" to aquatic systems, with impacts on their biodiversity. Here we use a combination of field measurements and statistical analyses to evaluate the impacts of anthropogenic silt derived from the construction of roads, borrow pits, and wells during the terre"&amp;"strial development of gas and oil, on macroinvertebrate communities in streams of the Urucu Petroleum Province in the Central Brazilian Amazon. Ten impacted and nine non-impacted streams were sampled in January, April, and November of 2007. Macroinvertebr"&amp;"ates were sampled along a 100-m continuous reach in each stream at 10-m intervals using a dip net. Abiotic variables including, a siltation index (SI), suspended inorganic sediment (SIS), sediment color index (SCI), suspend organic sediment (SOS), pH, ele"&amp;"ctrical conductivity, dissolved oxygen, temperature, water velocity, channel width, and depth, were measured at three equidistant points in each stream (similar to 30-m intervals). SI did not differ between impacted and undisturbed streams. SIS was higher"&amp;" and SCI lower (more reddish) in impacted than in non-impacted streams. SCI had a positive and SIS a negative effect on both macroinvertebrate richness and density. SIS and SCI also influenced macrophyte taxonomic composition. In impacted streams, taxonom"&amp;"ic richness and density were 1.5 times lower than in non-impacted streams. No taxon was significantly associated with impacted streams. SIS was positively correlated with SOS and electrical conductivity while SCI was negatively correlated with SOS, electr"&amp;"ical conductivity, and pH. The lack of difference in SI between impacted and non-impacted streams suggests that anthropogenic sediment does not accumulate on stream beds. The reddish color of SIS in impacted streams reflects terrestrial erosion and indica"&amp;"tes the rapid flow of suspended sediments through these reaches, impacting macroinvertebrate richness, density, and species composition. Anthropogenic suspended silt has had a significant negative impact on aquatic macroinvertebrate diversity and density "&amp;"in streams in the Urucu Petroleum Province. Soil conservation measures are needed to reduce silt inputs and restore these streams to their natural condition. Additional studies are also needed to investigate the dynamics of sediments in the impacted strea"&amp;"ms.")</f>
        <v>While environmental risks associated with petroleum extraction such as oil spills or leaks are relatively well known, little attention has been given to the impacts of silt. The increase in petroleum exploitation in Amazonia has resulted in sediment input to aquatic systems, with impacts on their biodiversity. Here we use a combination of field measurements and statistical analyses to evaluate the impacts of anthropogenic silt derived from the construction of roads, borrow pits, and wells during the terrestrial development of gas and oil, on macroinvertebrate communities in streams of the Urucu Petroleum Province in the Central Brazilian Amazon. Ten impacted and nine non-impacted streams were sampled in January, April, and November of 2007. Macroinvertebrates were sampled along a 100-m continuous reach in each stream at 10-m intervals using a dip net. Abiotic variables including, a siltation index (SI), suspended inorganic sediment (SIS), sediment color index (SCI), suspend organic sediment (SOS), pH, electrical conductivity, dissolved oxygen, temperature, water velocity, channel width, and depth, were measured at three equidistant points in each stream (similar to 30-m intervals). SI did not differ between impacted and undisturbed streams. SIS was higher and SCI lower (more reddish) in impacted than in non-impacted streams. SCI had a positive and SIS a negative effect on both macroinvertebrate richness and density. SIS and SCI also influenced macrophyte taxonomic composition. In impacted streams, taxonomic richness and density were 1.5 times lower than in non-impacted streams. No taxon was significantly associated with impacted streams. SIS was positively correlated with SOS and electrical conductivity while SCI was negatively correlated with SOS, electrical conductivity, and pH. The lack of difference in SI between impacted and non-impacted streams suggests that anthropogenic sediment does not accumulate on stream beds. The reddish color of SIS in impacted streams reflects terrestrial erosion and indicates the rapid flow of suspended sediments through these reaches, impacting macroinvertebrate richness, density, and species composition. Anthropogenic suspended silt has had a significant negative impact on aquatic macroinvertebrate diversity and density in streams in the Urucu Petroleum Province. Soil conservation measures are needed to reduce silt inputs and restore these streams to their natural condition. Additional studies are also needed to investigate the dynamics of sediments in the impacted streams.</v>
      </c>
      <c r="C426" s="24" t="str">
        <f>IFERROR(__xludf.DUMMYFUNCTION("""COMPUTED_VALUE"""),"10.1007/s11368-009-0148-z")</f>
        <v>10.1007/s11368-009-0148-z</v>
      </c>
      <c r="D426" s="24" t="str">
        <f>IFERROR(__xludf.DUMMYFUNCTION("""COMPUTED_VALUE"""),"Keck et al")</f>
        <v>Keck et al</v>
      </c>
      <c r="E426" s="24" t="str">
        <f>IFERROR(__xludf.DUMMYFUNCTION("""COMPUTED_VALUE"""),"WOS:000273088400009")</f>
        <v>WOS:000273088400009</v>
      </c>
      <c r="F426" s="24" t="str">
        <f>IFERROR(__xludf.DUMMYFUNCTION("""COMPUTED_VALUE"""),"[""ELIGIBLE""]")</f>
        <v>["ELIGIBLE"]</v>
      </c>
    </row>
    <row r="427">
      <c r="A427" s="24" t="str">
        <f>IFERROR(__xludf.DUMMYFUNCTION("""COMPUTED_VALUE"""),"Logging, exotic plant invasions, and native plant reassembly in a lowland tropical rain forest")</f>
        <v>Logging, exotic plant invasions, and native plant reassembly in a lowland tropical rain forest</v>
      </c>
      <c r="B427" s="24" t="str">
        <f>IFERROR(__xludf.DUMMYFUNCTION("""COMPUTED_VALUE"""),"Habitat modification and biological invasions are key drivers of global environmental change. However, the extent and impact of exotic plant invasions in modified tropical landscapes remain poorly understood. We examined whether logging drives exotic plan"&amp;"t invasions and whether their combined influences alter understory plant community composition in lowland rain forests in Borneo. We tested the relationship between understory communities and local- and landscape-scale logging intensity, using leaf area i"&amp;"ndex (LAI) and aboveground biomass (AGB) data from 192 plots across a logging-intensity gradient from primary to repeatedly logged forests. Overall, we found relatively low levels of exotic plant invasions, despite an intensive logging history. Exotic spe"&amp;"cies were more speciose, had greater cover, and more biomass in sites with more local-scale canopy loss. Surprisingly, though, exotic species invasion was not related to either landscape-scale canopy loss or road configuration. Moreover, logging and invas"&amp;"ion did not seem to be acting synergistically on native plant composition, except that seedlings of the canopy-dominant Dipterocarpaceae family were less abundant in areas with higher exotic plant biomass. Current low levels of invasion, and limited assoc"&amp;"iation with native understory community change, suggest there is a window of opportunity to manage invasive impacts. We caution about potential lag effects and the possibly severe negative impacts of exotic plant invasions on the long-term quality of trop"&amp;"ical forest, particularly where agricultural plantations function as permanent seed sources for recurrent dispersal along logging roads. We therefore urge prioritization of strategic management plans to counter the growing threat of exotic plant invasions"&amp;" in modified tropical landscapes.")</f>
        <v>Habitat modification and biological invasions are key drivers of global environmental change. However, the extent and impact of exotic plant invasions in modified tropical landscapes remain poorly understood. We examined whether logging drives exotic plant invasions and whether their combined influences alter understory plant community composition in lowland rain forests in Borneo. We tested the relationship between understory communities and local- and landscape-scale logging intensity, using leaf area index (LAI) and aboveground biomass (AGB) data from 192 plots across a logging-intensity gradient from primary to repeatedly logged forests. Overall, we found relatively low levels of exotic plant invasions, despite an intensive logging history. Exotic species were more speciose, had greater cover, and more biomass in sites with more local-scale canopy loss. Surprisingly, though, exotic species invasion was not related to either landscape-scale canopy loss or road configuration. Moreover, logging and invasion did not seem to be acting synergistically on native plant composition, except that seedlings of the canopy-dominant Dipterocarpaceae family were less abundant in areas with higher exotic plant biomass. Current low levels of invasion, and limited association with native understory community change, suggest there is a window of opportunity to manage invasive impacts. We caution about potential lag effects and the possibly severe negative impacts of exotic plant invasions on the long-term quality of tropical forest, particularly where agricultural plantations function as permanent seed sources for recurrent dispersal along logging roads. We therefore urge prioritization of strategic management plans to counter the growing threat of exotic plant invasions in modified tropical landscapes.</v>
      </c>
      <c r="C427" s="24" t="str">
        <f>IFERROR(__xludf.DUMMYFUNCTION("""COMPUTED_VALUE"""),"10.1111/btp.12521")</f>
        <v>10.1111/btp.12521</v>
      </c>
      <c r="D427" s="24" t="str">
        <f>IFERROR(__xludf.DUMMYFUNCTION("""COMPUTED_VALUE"""),"Keck et al")</f>
        <v>Keck et al</v>
      </c>
      <c r="E427" s="24" t="str">
        <f>IFERROR(__xludf.DUMMYFUNCTION("""COMPUTED_VALUE"""),"WOS:000427005400008")</f>
        <v>WOS:000427005400008</v>
      </c>
      <c r="F427" s="24" t="str">
        <f>IFERROR(__xludf.DUMMYFUNCTION("""COMPUTED_VALUE"""),"[""ELIGIBLE""]")</f>
        <v>["ELIGIBLE"]</v>
      </c>
    </row>
    <row r="428">
      <c r="A428" s="24" t="str">
        <f>IFERROR(__xludf.DUMMYFUNCTION("""COMPUTED_VALUE"""),"Contamination effects by a 'conventional' and a 'biodegradable' lubricant oil on infaunal recruitment to Antarctic sediments: A field experiment")</f>
        <v>Contamination effects by a 'conventional' and a 'biodegradable' lubricant oil on infaunal recruitment to Antarctic sediments: A field experiment</v>
      </c>
      <c r="B428" s="24" t="str">
        <f>IFERROR(__xludf.DUMMYFUNCTION("""COMPUTED_VALUE"""),"To investigate the impacts of synthetic lubricants on Antarctic infaunal communities, a field experiment was setup near Australia's Casey Station, East Antarctica. Two types of synthetic lubricants were tested: an 'Unused' and 'Used' conventional syntheti"&amp;"c lubricant, and an alternative marketed as 'biodegradable'. Clean defaunated sediment was contaminated with the lubricants, decanted into trays, and deployed by divers onto the seabed in a randomised block design. Sediments were sampled 5 and 56 weeks af"&amp;"ter deployment. After 5 weeks, benthic assemblages that had recruited to the lubricant contaminated sediments were significantly different to those in 'Control' sediments, and differences were more pronounced after 56 weeks. Total number of individuals di"&amp;"d not significantly differ between treatments after 5 weeks. However, after 56 weeks total individuals in the 'Control' sediments were significantly greater than in the contaminated sediments. Nototanais antarcticus (tanaid) and to a lesser extent Monocul"&amp;"odes sp. (gammarid), Tanaid sp. IV and Eudorella sp. (cumacean) had significantly higher abundances in the control sediments after 56 weeks compared to the contaminated sediments. Copepods numerically dominated the benthic assemblages at both sampling tim"&amp;"es; however, their abundance did not significantly differ across treatments. The community recruiting to the contaminated sediments remained different from that in the 'Control' sediments for the duration of the experiment (I year). The 'biodegradable' lu"&amp;"bricant was just as environmentally harmful to the Antarctic infauna as the 'conventional' lubricant currently used at Australia's Antarctic stations. Our results demonstrate that changes to recruitment are one of the potential environmental consequences "&amp;"of a lubricant spill to Antarctic benthic communities, and reinforce the importance of preventative oil spill management and effective clean-up procedures. Further monitoring of this field experiment will provide much needed information about the long-ter"&amp;"m impacts by synthetic lubricants in the Antarctic marine environment. (c) 2006 Elsevier B.V. All rights reserved.")</f>
        <v>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v>
      </c>
      <c r="C428" s="24" t="str">
        <f>IFERROR(__xludf.DUMMYFUNCTION("""COMPUTED_VALUE"""),"10.1016/j.jembe.2006.09.010")</f>
        <v>10.1016/j.jembe.2006.09.010</v>
      </c>
      <c r="D428" s="24" t="str">
        <f>IFERROR(__xludf.DUMMYFUNCTION("""COMPUTED_VALUE"""),"Keck et al")</f>
        <v>Keck et al</v>
      </c>
      <c r="E428" s="24" t="str">
        <f>IFERROR(__xludf.DUMMYFUNCTION("""COMPUTED_VALUE"""),"WOS:000243557900009")</f>
        <v>WOS:000243557900009</v>
      </c>
      <c r="F428" s="24" t="str">
        <f>IFERROR(__xludf.DUMMYFUNCTION("""COMPUTED_VALUE"""),"[""ELIGIBLE""]")</f>
        <v>["ELIGIBLE"]</v>
      </c>
    </row>
    <row r="429">
      <c r="A429" s="24" t="str">
        <f>IFERROR(__xludf.DUMMYFUNCTION("""COMPUTED_VALUE"""),"Non-native habitat as home for non-native species: comparison of communities associated with invasive tubeworm and native oyster reefs")</f>
        <v>Non-native habitat as home for non-native species: comparison of communities associated with invasive tubeworm and native oyster reefs</v>
      </c>
      <c r="B429" s="24" t="str">
        <f>IFERROR(__xludf.DUMMYFUNCTION("""COMPUTED_VALUE"""),"Introduction vectors for marine non-native species, such as oyster culture and boat fouling, often select for organisms dependent on hard substrates during some or all life stages. In soft-sediment estuaries, hard substrate is a limited resource, which ca"&amp;"n increase with the introduction of hard habitat-creating non-native species. Positive interactions between non-native, habitat-creating species and non-native species utilizing such habitats could be a mechanism for enhanced invasion success. Most previo"&amp;"us studies on aquatic invasive habitat-creating species have demonstrated positive responses in associated communities, but few have directly addressed responses of other non-native species. We explored the association of native and non-native species wit"&amp;"h invasive habitat-creating species by comparing communities associated with non-native, reef-building tubeworms Ficopomatus enigmaticus and native oysters Ostrea conchaphila in Elkhorn Slough, a central California estuary. Non-native habitat supported gr"&amp;"eater densities of associated organisms-primarily highly abundant non-native amphipods (e.g. Monocorophium insidiosum, Melita nitida), tanaid (Sinelebus sp.), and tube-dwelling polychaetes (Polydora spp.). Detritivores were the most common trophic group, "&amp;"making up disproportionately more of the community associated with F. enigmaticus than was the case in the O. conchaphila community. Analysis of similarity (ANOSIM) showed that native species' community structure varied significantly among sites, but not "&amp;"between biogenic habitats. In contrast, non-natives varied with biogenic habitat type, but not with site. Thus, reefs of the invasive tubeworm F. enigmaticus interact positively with other non-native species.")</f>
        <v>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v>
      </c>
      <c r="C429" s="24" t="str">
        <f>IFERROR(__xludf.DUMMYFUNCTION("""COMPUTED_VALUE"""),"10.3354/ab00034")</f>
        <v>10.3354/ab00034</v>
      </c>
      <c r="D429" s="24" t="str">
        <f>IFERROR(__xludf.DUMMYFUNCTION("""COMPUTED_VALUE"""),"Keck et al")</f>
        <v>Keck et al</v>
      </c>
      <c r="E429" s="24" t="str">
        <f>IFERROR(__xludf.DUMMYFUNCTION("""COMPUTED_VALUE"""),"WOS:000259452400005")</f>
        <v>WOS:000259452400005</v>
      </c>
      <c r="F429" s="24" t="str">
        <f>IFERROR(__xludf.DUMMYFUNCTION("""COMPUTED_VALUE"""),"[""ELIGIBLE""]")</f>
        <v>["ELIGIBLE"]</v>
      </c>
    </row>
    <row r="430">
      <c r="A430" s="24" t="str">
        <f>IFERROR(__xludf.DUMMYFUNCTION("""COMPUTED_VALUE"""),"Impacts of tourism hotspots on vegetation communities show a higher potential for self-propagation along roads than hiking trails")</f>
        <v>Impacts of tourism hotspots on vegetation communities show a higher potential for self-propagation along roads than hiking trails</v>
      </c>
      <c r="B430" s="24" t="str">
        <f>IFERROR(__xludf.DUMMYFUNCTION("""COMPUTED_VALUE"""),"Vegetation communities along recreational tracks may suffer from substantial edge-effects through the impacts of trampling, modified environmental conditions and competition with species that benefit from disturbance. We assessed impacts on trackside vege"&amp;"tation by comparing high and low usage tourism sites at a 1 -10 m distance from recreational tracks in a popular arid-lands tourism destination in South Australia. The central aim was quantification of the strengths and spatial extent of tourism impacts a"&amp;"long recreational tracks with a qualitative comparison of roads and trails. Track-distance gradients were most prevalent at high usage sites. There, species community composition was altered, total plant cover decreased, non-native species cover increased"&amp;", plant diversity increased or decreased (depending on the distance) and soil compaction increased towards recreational tracks. Roadside effects were greater and more pervasive than trailside effects. Further, plant diversity did not continuously increase"&amp;" towards the road verge as it did along trails but dropped sharply in the immediate road shoulder which indicated high disturbance conditions that few species were able to tolerate. To our knowledge, we are the first to demonstrate that the access mode to"&amp;" a recreation site influences the potential of certain impacts, such as the increase of non-native species, to self-perpetuate from their points of introduction to disjointed sites with a predisposition to disturbance. Due to this propulsion of impacts, t"&amp;"he overall spatial extent of roadside impacts was far greater than initially apparent from assessments at the road verge. We discuss possible means of mitigating these impacts. (C) 2014 Elsevier Ltd. All rights reserved.")</f>
        <v>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v>
      </c>
      <c r="C430" s="24" t="str">
        <f>IFERROR(__xludf.DUMMYFUNCTION("""COMPUTED_VALUE"""),"10.1016/j.jenvman.2014.04.006")</f>
        <v>10.1016/j.jenvman.2014.04.006</v>
      </c>
      <c r="D430" s="24" t="str">
        <f>IFERROR(__xludf.DUMMYFUNCTION("""COMPUTED_VALUE"""),"Keck et al")</f>
        <v>Keck et al</v>
      </c>
      <c r="E430" s="24" t="str">
        <f>IFERROR(__xludf.DUMMYFUNCTION("""COMPUTED_VALUE"""),"WOS:000338810200020")</f>
        <v>WOS:000338810200020</v>
      </c>
      <c r="F430" s="24" t="str">
        <f>IFERROR(__xludf.DUMMYFUNCTION("""COMPUTED_VALUE"""),"[""ELIGIBLE""]")</f>
        <v>["ELIGIBLE"]</v>
      </c>
    </row>
    <row r="431">
      <c r="A431" s="24" t="str">
        <f>IFERROR(__xludf.DUMMYFUNCTION("""COMPUTED_VALUE"""),"Reduced-Impact Logging Maintain High Moss Diversity in Temperate Forests")</f>
        <v>Reduced-Impact Logging Maintain High Moss Diversity in Temperate Forests</v>
      </c>
      <c r="B431" s="24" t="str">
        <f>IFERROR(__xludf.DUMMYFUNCTION("""COMPUTED_VALUE"""),"Forestry harvesting represents an important economic activity around the world. Habitat degradation due to forest harvesting contributes to biodiversity loss; therefore, it is necessary to implement logging management aimed at reducing its impact. Forest "&amp;"management by reduce-impact logging (RIL) involves cutting trees following regulations focused on diminishing the impact on biodiversity by following harvesting plans based on forestry inventories and participation of trained workers. In Mexico, RIL is ap"&amp;"plied mainly in temperate habitats and its effectiveness has been assessed based on vascular plants. In this study, we analyzed the diversity and community structure of terrestrial and epiphytic mosses in managed (sites number = 3) and conserved (sites nu"&amp;"mber = 3) sites in the temperate forest of Sierra Juarez, Oaxaca, Mexico. Likewise, we evaluated the potential function of mosses as indicators of habitat degradation. Environmental variables were also quantified at local (canopy coverage, altitude, daily"&amp;" temperature, and light) and regional (total annual rainfall, orientation, and slope) scales to evaluate potential relationships with the community and species diversity. We documented 70 mosses species with a diversity (alfa, beta) and community structur"&amp;"e similar between managed and conserved sites. For terrestrial mosses, we found marginal differences in their communities, likely related to species coverture variation in managed sites. The diversity and community structure epiphytic mosses were not stat"&amp;"istically different in managed and conserved sites. Only the daily variation in light intensity was positively related to the variation of alpha diversity of epiphytic mosses. The species Dicranum sumichrastii Duby and Leptodontium viticulosoides (P. Beau"&amp;"v.) Wijk &amp; Margad. can be considered as ecological indicators for conserved and managed sites, respectively, likely due to their relationship with light and humidity conditions. Our results suggest that that forest management by RIL could be considered as"&amp;" a promising tool to balance timber production and moss diversity.")</f>
        <v>Forestry harvesting represents an important economic activity around the world. Habitat degradation due to forest harvesting contributes to biodiversity loss; therefore, it is necessary to implement logging management aimed at reducing its impact. Forest management by reduce-impact logging (RIL) involves cutting trees following regulations focused on diminishing the impact on biodiversity by following harvesting plans based on forestry inventories and participation of trained workers. In Mexico, RIL is applied mainly in temperate habitats and its effectiveness has been assessed based on vascular plants. In this study, we analyzed the diversity and community structure of terrestrial and epiphytic mosses in managed (sites number = 3) and conserved (sites number = 3) sites in the temperate forest of Sierra Juarez, Oaxaca, Mexico. Likewise, we evaluated the potential function of mosses as indicators of habitat degradation. Environmental variables were also quantified at local (canopy coverage, altitude, daily temperature, and light) and regional (total annual rainfall, orientation, and slope) scales to evaluate potential relationships with the community and species diversity. We documented 70 mosses species with a diversity (alfa, beta) and community structure similar between managed and conserved sites. For terrestrial mosses, we found marginal differences in their communities, likely related to species coverture variation in managed sites. The diversity and community structure epiphytic mosses were not statistically different in managed and conserved sites. Only the daily variation in light intensity was positively related to the variation of alpha diversity of epiphytic mosses. The species Dicranum sumichrastii Duby and Leptodontium viticulosoides (P. Beauv.) Wijk &amp; Margad. can be considered as ecological indicators for conserved and managed sites, respectively, likely due to their relationship with light and humidity conditions. Our results suggest that that forest management by RIL could be considered as a promising tool to balance timber production and moss diversity.</v>
      </c>
      <c r="C431" s="24" t="str">
        <f>IFERROR(__xludf.DUMMYFUNCTION("""COMPUTED_VALUE"""),"10.3390/f12040383")</f>
        <v>10.3390/f12040383</v>
      </c>
      <c r="D431" s="24" t="str">
        <f>IFERROR(__xludf.DUMMYFUNCTION("""COMPUTED_VALUE"""),"Keck et al")</f>
        <v>Keck et al</v>
      </c>
      <c r="E431" s="24" t="str">
        <f>IFERROR(__xludf.DUMMYFUNCTION("""COMPUTED_VALUE"""),"WOS:000643039900001")</f>
        <v>WOS:000643039900001</v>
      </c>
      <c r="F431" s="24" t="str">
        <f>IFERROR(__xludf.DUMMYFUNCTION("""COMPUTED_VALUE"""),"[""ELIGIBLE""]")</f>
        <v>["ELIGIBLE"]</v>
      </c>
    </row>
    <row r="432">
      <c r="A432" s="24" t="str">
        <f>IFERROR(__xludf.DUMMYFUNCTION("""COMPUTED_VALUE"""),"Soil biota community composition as affected by Cryptostegia madagascariensis invasion in a tropical Cambisol from North-eastern Brazil")</f>
        <v>Soil biota community composition as affected by Cryptostegia madagascariensis invasion in a tropical Cambisol from North-eastern Brazil</v>
      </c>
      <c r="B432" s="24" t="str">
        <f>IFERROR(__xludf.DUMMYFUNCTION("""COMPUTED_VALUE"""),"We aimed to analyse the effects of Cryptostegia madagascariensis' invasion on soil biota community composition from a tropical Fluvisol at the Brazilian Northeast. We collected soil organisms from two dissimilar environments (e.g., invaded and non-invaded"&amp;") using Provid-type traps into transects. There was a positive correlation between the abundance of Araneae, Blattodea, Homoptera and, Pseudoscorpiones with the invaded environment. On the other hand, the frequency of occurrence of Hymenoptera was signifi"&amp;"cantly higher in the invaded environment compared to the non-invaded one. The biological invasion process promoted by C. madagascariensis reduces soil biota diversity, and the frequency of occurrence of important functional groups, such as predators (e.g."&amp;", Araneae, Dermaptera, and Scorpiones), and litter transformers (e.g., Coleoptera). This creates a negative plant-soil feedback that promote the functional redundancy process by soil organisms and the biological invasion process by the invader into the Ca"&amp;"atinga ecoregion.")</f>
        <v>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v>
      </c>
      <c r="C432" s="24" t="str">
        <f>IFERROR(__xludf.DUMMYFUNCTION("""COMPUTED_VALUE"""),"10.1007/s42965-021-00177-y")</f>
        <v>10.1007/s42965-021-00177-y</v>
      </c>
      <c r="D432" s="24" t="str">
        <f>IFERROR(__xludf.DUMMYFUNCTION("""COMPUTED_VALUE"""),"Keck et al")</f>
        <v>Keck et al</v>
      </c>
      <c r="E432" s="24" t="str">
        <f>IFERROR(__xludf.DUMMYFUNCTION("""COMPUTED_VALUE"""),"WOS:000671535000002")</f>
        <v>WOS:000671535000002</v>
      </c>
      <c r="F432" s="24" t="str">
        <f>IFERROR(__xludf.DUMMYFUNCTION("""COMPUTED_VALUE"""),"[""ELIGIBLE""]")</f>
        <v>["ELIGIBLE"]</v>
      </c>
    </row>
    <row r="433">
      <c r="A433" s="24" t="str">
        <f>IFERROR(__xludf.DUMMYFUNCTION("""COMPUTED_VALUE"""),"Effects of rain forest logging on species richness and assemblage composition of small mammals in Southeast Asia")</f>
        <v>Effects of rain forest logging on species richness and assemblage composition of small mammals in Southeast Asia</v>
      </c>
      <c r="B433" s="24" t="str">
        <f>IFERROR(__xludf.DUMMYFUNCTION("""COMPUTED_VALUE"""),"Aim The effects of logging and habitat degradation on the richness and abundance of small mammals in Asian rain forests are largely unknown. This work compares the species richness, dominance and evenness of small non-volant mammals between logged and unl"&amp;"ogged forests, and assesses whether assemblage variability (beta-diversity) is similar between forest types. Location Southeast Asia, northern Borneo (Sabah, Malaysia), Sunda-shelf. Methods We surveyed species-rich assemblages of small non-volant mammals "&amp;"in three unlogged and three logged forests for 2 years. At each forest site, we sampled a permanently marked transect and two additional sites in three trapping sessions. All analyses were performed at both levels to include the effects of local abundance"&amp;"s and point estimates, separately from the relative abundances of species on a more regional scale. Results We trapped a total of 1218 individuals of 28 species. Eleven common species accounted for 95% of all captures. Species richness and diversity were "&amp;"significantly higher in unlogged forest (27 species) than in logged forest (17 species). This was mainly attributable to the smaller number of rarely recorded species in logged forest (five compared with 16 in unlogged forest, with a total of fewer than 1"&amp;"0 captures). However, all common species were present in both logged and unlogged forests, and our analyses revealed similar patterns of dominance, evenness and fluctuations in abundance. Hence overall assemblage composition in multivariate space did not "&amp;"differ greatly between forest types. Assemblages of Muridae and Tupaiidae showed similar population fluctuations in space and time, indicating that the ecology of these taxa may be partially driven by the same environmental factors. Main conclusions Altho"&amp;"ugh species were distributed patchily within sites, analyses at local and regional scales revealed similar patterns in diversity and assemblage variability, suggesting that effects of forest modification did not differ extensively locally and regionally, "&amp;"but had a profound effect on rare species. Our results emphasize the importance and conservation value of logged forest stands that are able to hold a large proportion of the small mammals also found in unlogged forests. Rare and more specialized species "&amp;"are more vulnerable to forest degradation than commonly caught species, resulting in the complete loss, or a decrease in numbers, of certain groups, such as arboreal small mammals and Viverridae.")</f>
        <v>Aim The effects of logging and habitat degradation on the richness and abundance of small mammals in Asian rain forests are largely unknown. This work compares the species richness, dominance and evenness of small non-volant mammals between logged and unlogged forests, and assesses whether assemblage variability (beta-diversity) is similar between forest types. Location Southeast Asia, northern Borneo (Sabah, Malaysia), Sunda-shelf. Methods We surveyed species-rich assemblages of small non-volant mammals in three unlogged and three logged forests for 2 years. At each forest site, we sampled a permanently marked transect and two additional sites in three trapping sessions. All analyses were performed at both levels to include the effects of local abundances and point estimates, separately from the relative abundances of species on a more regional scale. Results We trapped a total of 1218 individuals of 28 species. Eleven common species accounted for 95% of all captures. Species richness and diversity were significantly higher in unlogged forest (27 species) than in logged forest (17 species). This was mainly attributable to the smaller number of rarely recorded species in logged forest (five compared with 16 in unlogged forest, with a total of fewer than 10 captures). However, all common species were present in both logged and unlogged forests, and our analyses revealed similar patterns of dominance, evenness and fluctuations in abundance. Hence overall assemblage composition in multivariate space did not differ greatly between forest types. Assemblages of Muridae and Tupaiidae showed similar population fluctuations in space and time, indicating that the ecology of these taxa may be partially driven by the same environmental factors. Main conclusions Although species were distributed patchily within sites, analyses at local and regional scales revealed similar patterns in diversity and assemblage variability, suggesting that effects of forest modification did not differ extensively locally and regionally, but had a profound effect on rare species. Our results emphasize the importance and conservation value of logged forest stands that are able to hold a large proportion of the small mammals also found in unlogged forests. Rare and more specialized species are more vulnerable to forest degradation than commonly caught species, resulting in the complete loss, or a decrease in numbers, of certain groups, such as arboreal small mammals and Viverridae.</v>
      </c>
      <c r="C433" s="24" t="str">
        <f>IFERROR(__xludf.DUMMYFUNCTION("""COMPUTED_VALUE"""),"10.1111/j.1365-2699.2006.01677.x")</f>
        <v>10.1111/j.1365-2699.2006.01677.x</v>
      </c>
      <c r="D433" s="24" t="str">
        <f>IFERROR(__xludf.DUMMYFUNCTION("""COMPUTED_VALUE"""),"Keck et al")</f>
        <v>Keck et al</v>
      </c>
      <c r="E433" s="24" t="str">
        <f>IFERROR(__xludf.DUMMYFUNCTION("""COMPUTED_VALUE"""),"WOS:000247264800014")</f>
        <v>WOS:000247264800014</v>
      </c>
      <c r="F433" s="24" t="str">
        <f>IFERROR(__xludf.DUMMYFUNCTION("""COMPUTED_VALUE"""),"[""ELIGIBLE""]")</f>
        <v>["ELIGIBLE"]</v>
      </c>
    </row>
    <row r="434">
      <c r="A434" s="24" t="str">
        <f>IFERROR(__xludf.DUMMYFUNCTION("""COMPUTED_VALUE"""),"FISH ASSEMBLAGES IN THREE ARID MANGROVE SYSTEMS OF THE GULF OF CALIFORNIA: COMPARING OBSERVATIONS FROM 1980 AND 2010")</f>
        <v>FISH ASSEMBLAGES IN THREE ARID MANGROVE SYSTEMS OF THE GULF OF CALIFORNIA: COMPARING OBSERVATIONS FROM 1980 AND 2010</v>
      </c>
      <c r="B434" s="24" t="str">
        <f>IFERROR(__xludf.DUMMYFUNCTION("""COMPUTED_VALUE"""),"We evaluated the fish community structure in three mangrove systems from La Paz Bay, southwestern Gulf of California, Mexico, during two annual cycles separated by 30 yrs (1980-1981 and 2009-2010). The three mangrove system have suffered different degrees"&amp;" of anthropogenic impact that range from relatively pristine (Balandra) to minor impacts from development (Zacatecas), and to highly modified (Enfermeria). A robust comparison between periods was attained by field sampling and identification of fishes usi"&amp;"ng a museum collection. Species richness, density, biomass, Shannon diversity, Pielou evenness, and average taxonomic distinctness (ATD) were computed using data collected during each period (12 monthly samples). During both periods, a few species dominat"&amp;"ed fish abundance in the three systems [Eucinostomus dolvii (Gill, 1863), Diapterus brevirostris (Sauvage, 1879), and Mugil curema (Valenciennes, 1836)]. Enfermeria showed the most substantial changes in ecological indices; there were significant differen"&amp;"ces in mean monthly richness, density, and evenness over time. MDS and ANOSIM analyses revealed no differences in assemblage structure; however, SIMPER analysis indicated greater similarity in the assemblage structure overtime in Enfermeria (38.06%) compa"&amp;"red with Zacatecas (33.49%) and Balandra (9.71%). ATD values were relatively consistent between periods at Balandra and Zacatecas. However, a few samples collected at Enfermeria had ATD values that indicated that the dominant species were closely related."&amp;" This is likely due to the extensive habitat modification the system has suffered. Our study emphasizes the importance of long-term studies for understanding the changes in community structure in mangrove systems that are caused by habitat alteration.")</f>
        <v>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v>
      </c>
      <c r="C434" s="24" t="str">
        <f>IFERROR(__xludf.DUMMYFUNCTION("""COMPUTED_VALUE"""),"10.5343/bms.2011.1111")</f>
        <v>10.5343/bms.2011.1111</v>
      </c>
      <c r="D434" s="24" t="str">
        <f>IFERROR(__xludf.DUMMYFUNCTION("""COMPUTED_VALUE"""),"Keck et al")</f>
        <v>Keck et al</v>
      </c>
      <c r="E434" s="24" t="str">
        <f>IFERROR(__xludf.DUMMYFUNCTION("""COMPUTED_VALUE"""),"WOS:000310106200007")</f>
        <v>WOS:000310106200007</v>
      </c>
      <c r="F434" s="24" t="str">
        <f>IFERROR(__xludf.DUMMYFUNCTION("""COMPUTED_VALUE"""),"[""ELIGIBLE""]")</f>
        <v>["ELIGIBLE"]</v>
      </c>
    </row>
    <row r="435">
      <c r="A435" s="24" t="str">
        <f>IFERROR(__xludf.DUMMYFUNCTION("""COMPUTED_VALUE"""),"Responses of the ichthyofauna to urbanization in two urban areas in Southeast Brazil")</f>
        <v>Responses of the ichthyofauna to urbanization in two urban areas in Southeast Brazil</v>
      </c>
      <c r="B435" s="24" t="str">
        <f>IFERROR(__xludf.DUMMYFUNCTION("""COMPUTED_VALUE"""),"In this study, we evaluated the trophic structure and composition of the ichthyofauna in streams from non-urbanized and urbanized areas in two municipalities with approximately 30,000 inhabitants. We sampled fish fauna in nine pool-run stretches, four loc"&amp;"ated in urban and five in non-urban areas. We adapted a physical habitat index (PHI) that summarized the physical attributes of the habitat, and a fish-based biotic integrity index (IBI) for the trophic structure of fish assemblage. Higher median scores o"&amp;"f habitat parameters characterized non-urban stretches owing to better riparian vegetation and shading, bank stability and larger substrates. Diversity, richness and evenness indexes, as well as the abundance and biomass comparison (ABC), did not differ b"&amp;"etween urban and non-urban areas. The PHI was significantly correlated with the IBI and a non-metric multidimensional scaling (NMDS) analysis showed differences in the composition of the ichthyofauna. These results illustrated a common process in fish ass"&amp;"emblages subjected to environmental impact, in which the generalist species replaced more specialist species, altering the species composition but maintaining a similar community structure. In general, the species responses were dependent on their trophic"&amp;" plasticity and foraging habitats. We showed that in a gradient of habitat alteration, species composition and thophic structure are better indicators of degradation than simple diversity indexes. We also discuss the implications of the urbanization in sm"&amp;"all towns toward changes in the species composition of freshwater fish, and the utilization of biotic and abiotic characteristics to document these changes.")</f>
        <v>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v>
      </c>
      <c r="C435" s="24" t="str">
        <f>IFERROR(__xludf.DUMMYFUNCTION("""COMPUTED_VALUE"""),"10.1007/s11252-014-0352-5")</f>
        <v>10.1007/s11252-014-0352-5</v>
      </c>
      <c r="D435" s="24" t="str">
        <f>IFERROR(__xludf.DUMMYFUNCTION("""COMPUTED_VALUE"""),"Keck et al")</f>
        <v>Keck et al</v>
      </c>
      <c r="E435" s="24" t="str">
        <f>IFERROR(__xludf.DUMMYFUNCTION("""COMPUTED_VALUE"""),"WOS:000341090700003")</f>
        <v>WOS:000341090700003</v>
      </c>
      <c r="F435" s="24" t="str">
        <f>IFERROR(__xludf.DUMMYFUNCTION("""COMPUTED_VALUE"""),"[""ELIGIBLE""]")</f>
        <v>["ELIGIBLE"]</v>
      </c>
    </row>
    <row r="436">
      <c r="A436" s="24" t="str">
        <f>IFERROR(__xludf.DUMMYFUNCTION("""COMPUTED_VALUE"""),"Habitat alteration and community-level effects of an invasive ecosystem engineer: a case study along the coast of NSW, Australia")</f>
        <v>Habitat alteration and community-level effects of an invasive ecosystem engineer: a case study along the coast of NSW, Australia</v>
      </c>
      <c r="B436" s="24" t="str">
        <f>IFERROR(__xludf.DUMMYFUNCTION("""COMPUTED_VALUE"""),"We investigated the effects of the habitat-modifying green algae Caulerpa taxifolia on meiobenthic communities along the coast of New South Wales, Australia. Samples were taken from unvegetated sediments, sediments underneath the native seagrass Zostera c"&amp;"apricorni, and sediments invaded by C. taxifolia at 3 sites along the coast. Meiofaunal responses to invasion varied in type and magnitude depending on the site, ranging from a slight increase to a substantial reduction in meiofauna and nematode abundance"&amp;"s and diversity. The multivariate structure of meiofauna communities and nematode assemblages, in particular, differed significantly in sediments invaded by C. taxifolia when compared to native habitats, but the magnitude of this dissimilarity differed be"&amp;"tween the sites. These differential responses of meiofauna to C. taxifolia were explained by different sediment redox potentials. Sediments with low redox potential showed significantly lower fauna abundances, lower numbers of meiofaunal taxa and nematode"&amp;" species and more distinct assemblages. The response of meiofauna to C. taxifolia also depended on spatial scale. Whereas significant loss of benthic biodiversity was observed locally at one of the sites, at the larger scale C. taxifolia promoted an overa"&amp;"ll increase in nematode species richness by favouring species that were absent from the native environments. Finally, we suggest there might be some time-lags associated with the impacts of C. taxifolia and point to the importance of considering the time "&amp;"since invasion when evaluating the impact of invasive species.")</f>
        <v>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v>
      </c>
      <c r="C436" s="24" t="str">
        <f>IFERROR(__xludf.DUMMYFUNCTION("""COMPUTED_VALUE"""),"10.3354/meps09547")</f>
        <v>10.3354/meps09547</v>
      </c>
      <c r="D436" s="24" t="str">
        <f>IFERROR(__xludf.DUMMYFUNCTION("""COMPUTED_VALUE"""),"Keck et al")</f>
        <v>Keck et al</v>
      </c>
      <c r="E436" s="24" t="str">
        <f>IFERROR(__xludf.DUMMYFUNCTION("""COMPUTED_VALUE"""),"WOS:000301231500008")</f>
        <v>WOS:000301231500008</v>
      </c>
      <c r="F436" s="24" t="str">
        <f>IFERROR(__xludf.DUMMYFUNCTION("""COMPUTED_VALUE"""),"[""ELIGIBLE""]")</f>
        <v>["ELIGIBLE"]</v>
      </c>
    </row>
    <row r="437">
      <c r="A437" s="24" t="str">
        <f>IFERROR(__xludf.DUMMYFUNCTION("""COMPUTED_VALUE"""),"Invasion of aquarium origin soft corals on a tropical rocky reef in the southwest Atlantic, Brazil")</f>
        <v>Invasion of aquarium origin soft corals on a tropical rocky reef in the southwest Atlantic, Brazil</v>
      </c>
      <c r="B437" s="24" t="str">
        <f>IFERROR(__xludf.DUMMYFUNCTION("""COMPUTED_VALUE"""),"Non-indigenous species (NIS) can cause substantial change in ecosystems and as marine invasives they can become a major threat to coastal and subtidal habitats. In September 2017 previously unknown and apparently NIS soft corals were detected on a shallow"&amp;" subtidal tropical rocky reef at Ilha Grande Bay, southeast Brazil. The present study aims to identify the species, quantify their distribution, abundance, and their interactions with native species. The most abundant NIS belonged to the recently describe"&amp;"d genus Sansibia (family Xeniidae) and the less common species was identified as Clavularia cf. viridis (family Clavulariidae). They were found along 170 m of shoreline at all depths where hard substrate was available. Sansibia sp. dominated deeper commun"&amp;"ities, associated positively with some macroalgal and negatively with the zoantharian Palythoa caribaeonon, which probably provided greater biotic resistance to invasion. Both species are of Indo-Pacific origin and typical of those ornamentals found in th"&amp;"e aquarium trade.")</f>
        <v>Non-indigenous species (NIS) can cause substantial change in ecosystems and as marine invasives they can become a major threat to coastal and subtidal habitats. In September 2017 previously unknown and apparently NIS soft corals were detected on a shallow subtidal tropical rocky reef at Ilha Grande Bay, southeast Brazil. The present study aims to identify the species, quantify their distribution, abundance, and their interactions with native species. The most abundant NIS belonged to the recently described genus Sansibia (family Xeniidae) and the less common species was identified as Clavularia cf. viridis (family Clavulariidae). They were found along 170 m of shoreline at all depths where hard substrate was available. Sansibia sp. dominated deeper communities, associated positively with some macroalgal and negatively with the zoantharian Palythoa caribaeonon, which probably provided greater biotic resistance to invasion. Both species are of Indo-Pacific origin and typical of those ornamentals found in the aquarium trade.</v>
      </c>
      <c r="C437" s="24" t="str">
        <f>IFERROR(__xludf.DUMMYFUNCTION("""COMPUTED_VALUE"""),"10.1016/j.marpolbul.2018.03.014")</f>
        <v>10.1016/j.marpolbul.2018.03.014</v>
      </c>
      <c r="D437" s="24" t="str">
        <f>IFERROR(__xludf.DUMMYFUNCTION("""COMPUTED_VALUE"""),"Keck et al")</f>
        <v>Keck et al</v>
      </c>
      <c r="E437" s="24" t="str">
        <f>IFERROR(__xludf.DUMMYFUNCTION("""COMPUTED_VALUE"""),"WOS:000436221000011")</f>
        <v>WOS:000436221000011</v>
      </c>
      <c r="F437" s="24" t="str">
        <f>IFERROR(__xludf.DUMMYFUNCTION("""COMPUTED_VALUE"""),"[""ELIGIBLE""]")</f>
        <v>["ELIGIBLE"]</v>
      </c>
    </row>
    <row r="438">
      <c r="A438" s="24" t="str">
        <f>IFERROR(__xludf.DUMMYFUNCTION("""COMPUTED_VALUE"""),"Biological Invasions in the Amazonian Tropical Rain Forest: The Case of Drosophilidae (Insecta, Diptera) in Ecuador, South America")</f>
        <v>Biological Invasions in the Amazonian Tropical Rain Forest: The Case of Drosophilidae (Insecta, Diptera) in Ecuador, South America</v>
      </c>
      <c r="B438" s="24" t="str">
        <f>IFERROR(__xludf.DUMMYFUNCTION("""COMPUTED_VALUE"""),"There have been few reports of invasions in continental rain forests, especially for exotic animals. This study provides original data concerning the potential of exotic drosophilid species to colonize the Amazonian tropical rain forest. To investigate if"&amp;" the structure of drosophilid assemblages differed in response to anthropogenic disturbance, we performed a taxonomic survey at six sites within the Yasuni National Park in Ecuadorian Amazonia along a disturbance gradient from pristine to clearcut artific"&amp;"ial forest. A total of 7425 individuals from 34 species were collected of which seven species were exotic. There was significant variation in the assemblage composition along this disturbance gradient; 31 percent of which was explained by the presence of "&amp;"exotic species, particularly at the most disturbed sites, through nonmetric multidimensional scaling and SIMPER analyses. These results confirm the susceptibility of continental rain forests to invasion by exotic species. There is an urgent need to develo"&amp;"p and implement monitoring systems, for example, based on drosophilid assemblage surveys, to detect exotic invasions in continental tropical forests.")</f>
        <v>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v>
      </c>
      <c r="C438" s="24" t="str">
        <f>IFERROR(__xludf.DUMMYFUNCTION("""COMPUTED_VALUE"""),"10.1111/j.1744-7429.2010.00628.x")</f>
        <v>10.1111/j.1744-7429.2010.00628.x</v>
      </c>
      <c r="D438" s="24" t="str">
        <f>IFERROR(__xludf.DUMMYFUNCTION("""COMPUTED_VALUE"""),"Keck et al")</f>
        <v>Keck et al</v>
      </c>
      <c r="E438" s="24" t="str">
        <f>IFERROR(__xludf.DUMMYFUNCTION("""COMPUTED_VALUE"""),"WOS:000283949700013")</f>
        <v>WOS:000283949700013</v>
      </c>
      <c r="F438" s="24" t="str">
        <f>IFERROR(__xludf.DUMMYFUNCTION("""COMPUTED_VALUE"""),"[""ELIGIBLE""]")</f>
        <v>["ELIGIBLE"]</v>
      </c>
    </row>
    <row r="439">
      <c r="A439" s="24" t="str">
        <f>IFERROR(__xludf.DUMMYFUNCTION("""COMPUTED_VALUE"""),"Plant diversity drives responses of gall-inducing insects to anthropization in Neotropical savannas")</f>
        <v>Plant diversity drives responses of gall-inducing insects to anthropization in Neotropical savannas</v>
      </c>
      <c r="B439" s="24" t="str">
        <f>IFERROR(__xludf.DUMMYFUNCTION("""COMPUTED_VALUE"""),"Human-induced habitat modification is among the main factors that threaten biodiversity on the planet. For highly specialized herbivorous insects, such as galling insects, anthropogenic disturbances that affect plants can have great effects on insects. In"&amp;" this sense, in the present study, we investigated the diversity of host plants and gall-inducing insects in anthropized and preserved remnants of Neotropical savannas in the Brazilian Cerrado. Sampling was performed in 30 plots (10 x 10 m) distributed in"&amp;" six study areas. Of these total, fifteen plots were in areas with anthropized vegetation and fifteen plots in areas with preserved vegetation. Overall, we recorded 67 species of gall-inducing insects and 39 species of host plants. We found that the diver"&amp;"sity of both host plant species and gall-inducing insects differed significantly between areas, being higher in preserved plots than in anthropized plots. Our results revelated that changes in the species richness and composition of gall-inducing insects "&amp;"from preserved environments to anthropized environments were mediated by changes in the richness and composition of the plant species, respectively. Our study stands out as the first to demonstrate that plant diversity drives responses of gall-inducing in"&amp;"sects to human disturbance in Neotropical savannas. Our findings indicate that the preservation of natural vegetation is important for the conservation of plant assemblages and their gall-inducing insects in urban environments.")</f>
        <v>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v>
      </c>
      <c r="C439" s="24" t="str">
        <f>IFERROR(__xludf.DUMMYFUNCTION("""COMPUTED_VALUE"""),"10.1007/s42965-021-00148-3")</f>
        <v>10.1007/s42965-021-00148-3</v>
      </c>
      <c r="D439" s="24" t="str">
        <f>IFERROR(__xludf.DUMMYFUNCTION("""COMPUTED_VALUE"""),"Keck et al")</f>
        <v>Keck et al</v>
      </c>
      <c r="E439" s="24" t="str">
        <f>IFERROR(__xludf.DUMMYFUNCTION("""COMPUTED_VALUE"""),"WOS:000619912500001")</f>
        <v>WOS:000619912500001</v>
      </c>
      <c r="F439" s="24" t="str">
        <f>IFERROR(__xludf.DUMMYFUNCTION("""COMPUTED_VALUE"""),"[""ELIGIBLE""]")</f>
        <v>["ELIGIBLE"]</v>
      </c>
    </row>
    <row r="440">
      <c r="A440" s="24" t="str">
        <f>IFERROR(__xludf.DUMMYFUNCTION("""COMPUTED_VALUE"""),"Shoreline development drives invasion of Phragmites australis and the loss of plant diversity on New England salt marshes")</f>
        <v>Shoreline development drives invasion of Phragmites australis and the loss of plant diversity on New England salt marshes</v>
      </c>
      <c r="B440" s="24" t="str">
        <f>IFERROR(__xludf.DUMMYFUNCTION("""COMPUTED_VALUE"""),"The reed Phragmites australis Cav. is aggressively invading salt marshes along the Atlantic Coast of North America. We examined the interactive role of habitat alteration (i.e., shoreline development) in driving this invasion and its consequences for plan"&amp;"t richness in New England salt marshes. We surveyed 22 salt marshes in Narragansett Bay, Rhode Island, and quantified shoreline development, Phragmites cover, soil salinity, and nitrogen availability. Shoreline development, operationally defined as remova"&amp;"l of the woody vegetation bordering marshes, explained &gt;90% of intermarsh variation in Phragmites cover. Shoreline development was also significantly correlated with reduced soil salinities and increased nitrogen availability, suggesting that removing woo"&amp;"dy vegetation bordering marshes increases nitrogen availability and decreases soil salinities, thus facilitating Phragmites invasion. Soil salinity (64%) and nitrogen availability (56%) alone explained a large proportion of variation in Phragmites cover, "&amp;"but together they explained 80% of the variation in Phragmites invasion success. Both univariate and aggregate (multidimensional scaling) analyses of plant community composition revealed that Phragmites dominance in developed salt marshes resulted in an a"&amp;"lmost three-fold decrease in plant species richness. Our findings illustrate the importance of maintaining integrity of habitat borders in conserving natural communities and provide an example of the critical role that local conservation can play in prese"&amp;"rving these systems. In addition, our findings provide ecologists and natural resource managers with a mechanistic understanding of how human habitat alteration in one vegetation community can interact with species introductions in adjacent communities (i"&amp;".e., flow-on or adjacency effects) to hasten ecosystem degradation.")</f>
        <v>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v>
      </c>
      <c r="C440" s="24" t="str">
        <f>IFERROR(__xludf.DUMMYFUNCTION("""COMPUTED_VALUE"""),"10.1111/j.1523-1739.2004.00112.x")</f>
        <v>10.1111/j.1523-1739.2004.00112.x</v>
      </c>
      <c r="D440" s="24" t="str">
        <f>IFERROR(__xludf.DUMMYFUNCTION("""COMPUTED_VALUE"""),"Keck et al")</f>
        <v>Keck et al</v>
      </c>
      <c r="E440" s="24" t="str">
        <f>IFERROR(__xludf.DUMMYFUNCTION("""COMPUTED_VALUE"""),"WOS:000224071800028")</f>
        <v>WOS:000224071800028</v>
      </c>
      <c r="F440" s="24" t="str">
        <f>IFERROR(__xludf.DUMMYFUNCTION("""COMPUTED_VALUE"""),"[""ELIGIBLE""]")</f>
        <v>["ELIGIBLE"]</v>
      </c>
    </row>
    <row r="441">
      <c r="A441" s="24" t="str">
        <f>IFERROR(__xludf.DUMMYFUNCTION("""COMPUTED_VALUE"""),"Urbanization alters the composition, but not the diversity and structure, of Neotropical savanna woody plant communities")</f>
        <v>Urbanization alters the composition, but not the diversity and structure, of Neotropical savanna woody plant communities</v>
      </c>
      <c r="B441" s="24" t="str">
        <f>IFERROR(__xludf.DUMMYFUNCTION("""COMPUTED_VALUE"""),"Urbanization is one of the main drivers of environmental change and can result in drastic changes to the biodiversity and composition of plant communities. The objective of the present work was to investigate whether the structure, diversity and compositi"&amp;"on of Neotropical savanna woody plant communities differ among fragments immersed in urban, peri-urban and rural environments. The study was carried out in nine Neotropical savannas with distinct levels of urbanization in the municipality of Montes Claros"&amp;", state of Minas Gerais, Brazil. A total of 469 woody individuals belonging to 76 species and 30 families of plants were sampled. The most specious families were the Fabaceae with seventeen species and the Vochysiaceae with eight. The most abundant specie"&amp;"s were Myracrodruon urundeuva in urban areas, Byrsonima pachyphyla in peri-urban areas and Hymenaea stigonocarpa in rural areas. The diversity (species richness, estimated species richness and Simpson diversity index) and structure (abundance, cover and h"&amp;"eight) of the plant communities under study did not vary in response to urbanization, although species composition experienced notable changes. The urban plant communities were very distinct from the rural plant communities. Furthermore, the dominant spec"&amp;"ies were very different among the urban, peri-urban and rural areas. These findings demonstrate that urbanization affects Neotropical savanna species that are susceptible to anthropization. Furthermore, among the anthropogenic pressures related to urbaniz"&amp;"ation, fragmentation and isolation seem to be the most influential determinants of the composition of Neotropical savanna communities.")</f>
        <v>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v>
      </c>
      <c r="C441" s="24" t="str">
        <f>IFERROR(__xludf.DUMMYFUNCTION("""COMPUTED_VALUE"""),"10.1007/s12224-020-09366-4")</f>
        <v>10.1007/s12224-020-09366-4</v>
      </c>
      <c r="D441" s="24" t="str">
        <f>IFERROR(__xludf.DUMMYFUNCTION("""COMPUTED_VALUE"""),"Keck et al")</f>
        <v>Keck et al</v>
      </c>
      <c r="E441" s="24" t="str">
        <f>IFERROR(__xludf.DUMMYFUNCTION("""COMPUTED_VALUE"""),"WOS:000534700300001")</f>
        <v>WOS:000534700300001</v>
      </c>
      <c r="F441" s="24" t="str">
        <f>IFERROR(__xludf.DUMMYFUNCTION("""COMPUTED_VALUE"""),"[""ELIGIBLE""]")</f>
        <v>["ELIGIBLE"]</v>
      </c>
    </row>
    <row r="442">
      <c r="A442" s="24" t="str">
        <f>IFERROR(__xludf.DUMMYFUNCTION("""COMPUTED_VALUE"""),"Introduced deer reduce native plant cover and facilitate invasion of non-native tree species: evidence for invasional meltdown")</f>
        <v>Introduced deer reduce native plant cover and facilitate invasion of non-native tree species: evidence for invasional meltdown</v>
      </c>
      <c r="B442" s="24" t="str">
        <f>IFERROR(__xludf.DUMMYFUNCTION("""COMPUTED_VALUE"""),"Invasive species are a major threat to native communities and ecosystems worldwide. One factor frequently invoked to explain the invasiveness of exotic species is their release in the new habitat from control by natural enemies (enemy-release hypothesis)."&amp;" More recently, interactions between exotic species have been proposed as a potential mechanism to facilitate invasions (invasional meltdown hypothesis). We studied the effects of introduced deer on native plant communities and exotic plant species on an "&amp;"island in Patagonia, Argentina using five 400 m(2) exclosures paired with control areas in an Austrocedrus chilensis native forest stand. We hypothesized that introduced deer modify native understory composition and abundance and facilitate invasion of in"&amp;"troduced tree species that have been widely planted in the region. After 4 years of deer exclusion, native Austrocedrus and exotic Pseudotsuga menziesii tree sapling abundances are not different inside and outside exclosures. However, deer browsing has st"&amp;"rongly inhibited growth of native tree saplings (relative height growth is 77% lower with deer present), while exotic tree sapling growth is less affected (relative height growth is 3.3% lower). Deer significantly change abundance and composition of nativ"&amp;"e understory plants. Cover of native plants in exclosures increased while cover in controls remained constant. Understory composition in exclosures after only 4 years differs greatly from that in controls, mainly owing to the abundance of highly-browsed n"&amp;"ative species. This study shows that introduced deer can aid the invasion of non-native tree species through negatively affecting native plant species.")</f>
        <v>Invasive species are a major threat to native communities and ecosystems worldwide. One factor frequently invoked to explain the invasiveness of exotic species is their release in the new habitat from control by natural enemies (enemy-release hypothesis). More recently, interactions between exotic species have been proposed as a potential mechanism to facilitate invasions (invasional meltdown hypothesis). We studied the effects of introduced deer on native plant communities and exotic plant species on an island in Patagonia, Argentina using five 400 m(2) exclosures paired with control areas in an Austrocedrus chilensis native forest stand. We hypothesized that introduced deer modify native understory composition and abundance and facilitate invasion of introduced tree species that have been widely planted in the region. After 4 years of deer exclusion, native Austrocedrus and exotic Pseudotsuga menziesii tree sapling abundances are not different inside and outside exclosures. However, deer browsing has strongly inhibited growth of native tree saplings (relative height growth is 77% lower with deer present), while exotic tree sapling growth is less affected (relative height growth is 3.3% lower). Deer significantly change abundance and composition of native understory plants. Cover of native plants in exclosures increased while cover in controls remained constant. Understory composition in exclosures after only 4 years differs greatly from that in controls, mainly owing to the abundance of highly-browsed native species. This study shows that introduced deer can aid the invasion of non-native tree species through negatively affecting native plant species.</v>
      </c>
      <c r="C442" s="24" t="str">
        <f>IFERROR(__xludf.DUMMYFUNCTION("""COMPUTED_VALUE"""),"10.1007/s10530-009-9623-0")</f>
        <v>10.1007/s10530-009-9623-0</v>
      </c>
      <c r="D442" s="24" t="str">
        <f>IFERROR(__xludf.DUMMYFUNCTION("""COMPUTED_VALUE"""),"Keck et al")</f>
        <v>Keck et al</v>
      </c>
      <c r="E442" s="24" t="str">
        <f>IFERROR(__xludf.DUMMYFUNCTION("""COMPUTED_VALUE"""),"WOS:000273588100002")</f>
        <v>WOS:000273588100002</v>
      </c>
      <c r="F442" s="24" t="str">
        <f>IFERROR(__xludf.DUMMYFUNCTION("""COMPUTED_VALUE"""),"[""ELIGIBLE""]")</f>
        <v>["ELIGIBLE"]</v>
      </c>
    </row>
    <row r="443">
      <c r="A443" s="24" t="str">
        <f>IFERROR(__xludf.DUMMYFUNCTION("""COMPUTED_VALUE"""),"Intertidal fish communities may make poor indicators of environmental quality: Lessons from a study of mangrove habitat modification")</f>
        <v>Intertidal fish communities may make poor indicators of environmental quality: Lessons from a study of mangrove habitat modification</v>
      </c>
      <c r="B443" s="24" t="str">
        <f>IFERROR(__xludf.DUMMYFUNCTION("""COMPUTED_VALUE"""),"Utilization of fish as indicators of environmental quality in estuarine systems has received much recent attention, although some results have raised questions about using these taxa for such a role. We attempted to identify a fish response to a horticult"&amp;"ural practice which removes portions of mangrove forest canopy to create unobstructed vistas. Fish were sampled monthly from six pairs of sites within the mangrove-forested intertidal zone of Rookery Bay, FL over two years. Following a first year of basel"&amp;"ine sampling, the mangroves in one site from each pair of sites were pruned in accordance to Florida State law (Mangrove Trimming and Preservation Act of 1996), resulting in a mean 46% and 50% reduction in canopy coverage and litter fall, respectively. Ho"&amp;"wever neither the abundance nor species composition of fish in trimmed versus control plots were significantly different (Two-Way Repeated Measures ANOVA's for paired plot differences in fish density and biomass: nonmetric multidimensional scaling, and AN"&amp;"OSIM) suggesting that fish did not respond to mangrove canopy damage. Our results show that due to rather high spatial and temporal variability in fish abundance, it would be difficult to detect any but extreme changes of these taxa in the mangrove intert"&amp;"idal zone, and this may be a common feature of the fish communities of mangrove intertidal zones and other coastal systems. We suggest that improved use of fish as indicators of intertidal habitat quality would benefit from improved information on environ"&amp;"mental factors which determine fish distribution and abundance in these areas. Moreover, since a majority of the fish in the intertidal zone is habitat generalists, we propose that individual-level measures of fish response to habitat quality may be more "&amp;"effective than fish abundance. (C) 2012 Elsevier Ltd. All rights reserved.")</f>
        <v>Utilization of fish as indicators of environmental quality in estuarine systems has received much recent attention, although some results have raised questions about using these taxa for such a role. We attempted to identify a fish response to a horticultural practice which removes portions of mangrove forest canopy to create unobstructed vistas. Fish were sampled monthly from six pairs of sites within the mangrove-forested intertidal zone of Rookery Bay, FL over two years. Following a first year of baseline sampling, the mangroves in one site from each pair of sites were pruned in accordance to Florida State law (Mangrove Trimming and Preservation Act of 1996), resulting in a mean 46% and 50% reduction in canopy coverage and litter fall, respectively. However neither the abundance nor species composition of fish in trimmed versus control plots were significantly different (Two-Way Repeated Measures ANOVA's for paired plot differences in fish density and biomass: nonmetric multidimensional scaling, and ANOSIM) suggesting that fish did not respond to mangrove canopy damage. Our results show that due to rather high spatial and temporal variability in fish abundance, it would be difficult to detect any but extreme changes of these taxa in the mangrove intertidal zone, and this may be a common feature of the fish communities of mangrove intertidal zones and other coastal systems. We suggest that improved use of fish as indicators of intertidal habitat quality would benefit from improved information on environmental factors which determine fish distribution and abundance in these areas. Moreover, since a majority of the fish in the intertidal zone is habitat generalists, we propose that individual-level measures of fish response to habitat quality may be more effective than fish abundance. (C) 2012 Elsevier Ltd. All rights reserved.</v>
      </c>
      <c r="C443" s="24" t="str">
        <f>IFERROR(__xludf.DUMMYFUNCTION("""COMPUTED_VALUE"""),"10.1016/j.ecolind.2012.07.008")</f>
        <v>10.1016/j.ecolind.2012.07.008</v>
      </c>
      <c r="D443" s="24" t="str">
        <f>IFERROR(__xludf.DUMMYFUNCTION("""COMPUTED_VALUE"""),"Keck et al")</f>
        <v>Keck et al</v>
      </c>
      <c r="E443" s="24" t="str">
        <f>IFERROR(__xludf.DUMMYFUNCTION("""COMPUTED_VALUE"""),"WOS:000311059900048")</f>
        <v>WOS:000311059900048</v>
      </c>
      <c r="F443" s="24" t="str">
        <f>IFERROR(__xludf.DUMMYFUNCTION("""COMPUTED_VALUE"""),"[""ELIGIBLE""]")</f>
        <v>["ELIGIBLE"]</v>
      </c>
    </row>
    <row r="444">
      <c r="A444" s="24" t="str">
        <f>IFERROR(__xludf.DUMMYFUNCTION("""COMPUTED_VALUE"""),"Fine-Scale Effects of Boat Moorings on Soft Sediment Communities Masked in Large-Scale Comparisons")</f>
        <v>Fine-Scale Effects of Boat Moorings on Soft Sediment Communities Masked in Large-Scale Comparisons</v>
      </c>
      <c r="B444" s="24" t="str">
        <f>IFERROR(__xludf.DUMMYFUNCTION("""COMPUTED_VALUE"""),"Population growth is driving the demand for recreational marine infrastructure, resulting in extensive coastal habitat modification. Boat moorings, for example, are popular for vessel storage and are known to damage seagrass communities, yet little is kno"&amp;"wn about how they influence unvegetated sediment habitats. Here we investigate the effects of boat moorings on sediment infauna using metrics of community composition, diversity, total abundance and abundances of individual functional groups and dominant "&amp;"taxa. Metrics were compared at fine and larger spatial scales, to investigate how spatial variability affects the ecological assessments in soft-sedimentary environments. Fine-scale models revealed changes in community composition and mollusk abundance wi"&amp;"th the distance from moorings, while sediment grain size was also an important predictor for composition, bivalve and polychaete abundances, although the direction of effects varied. When the same metrics were compared at larger scales (i.e., boating infr"&amp;"astructure present or lacking) we found that spatial variability among locations was detected, but no effect for moorings. With increased urbanization and industrialization of coastal areas there is a clear need to account for the scale of potential ecolo"&amp;"gical effects in investigations of coastal infrastructure developments.")</f>
        <v>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v>
      </c>
      <c r="C444" s="24" t="str">
        <f>IFERROR(__xludf.DUMMYFUNCTION("""COMPUTED_VALUE"""),"10.3389/fmars.2019.00101")</f>
        <v>10.3389/fmars.2019.00101</v>
      </c>
      <c r="D444" s="24" t="str">
        <f>IFERROR(__xludf.DUMMYFUNCTION("""COMPUTED_VALUE"""),"Keck et al")</f>
        <v>Keck et al</v>
      </c>
      <c r="E444" s="24" t="str">
        <f>IFERROR(__xludf.DUMMYFUNCTION("""COMPUTED_VALUE"""),"WOS:000462713800001")</f>
        <v>WOS:000462713800001</v>
      </c>
      <c r="F444" s="24" t="str">
        <f>IFERROR(__xludf.DUMMYFUNCTION("""COMPUTED_VALUE"""),"[""ELIGIBLE""]")</f>
        <v>["ELIGIBLE"]</v>
      </c>
    </row>
    <row r="445">
      <c r="A445" s="24" t="str">
        <f>IFERROR(__xludf.DUMMYFUNCTION("""COMPUTED_VALUE"""),"Fish community responses to stream flow alterations and habitat modifications by small hydropower projects in the Western Ghats biodiversity hotspot, India")</f>
        <v>Fish community responses to stream flow alterations and habitat modifications by small hydropower projects in the Western Ghats biodiversity hotspot, India</v>
      </c>
      <c r="B445" s="24" t="str">
        <f>IFERROR(__xludf.DUMMYFUNCTION("""COMPUTED_VALUE"""),"1. Small hydropower projects ( SHPs) are promoted as environmentally benign alternatives to larger dams; however, the impacts of SHPs have been poorly studied, especially in tropical developing countries, where their growth is being encouraged. 2. This st"&amp;"udy assessed the impacts of two SHPs on freshwater fish communities in the Western Ghats biodiversity hotspot of India. Two dammed and one undammed tributary of the Netravathi River, having similar stream order, elevation, and surrounding land- use types,"&amp;" were identified as test and control sites respectively. Streamgeometry, water chemistry, and fish assemblages were compared across upstream, dewatered, anddownstreamlocationcategorieswithin andacross the threestreams. 3. Flow alterations induced by SHPs "&amp;"affected the dewatered river stretches most severely. Stream wetted width and depths diminished drastically in dammed dewatered segments, and consequently this region was characterized by elevated water temperature and reduced dissolved oxygen. 4. Fish sp"&amp;"ecies composition varied significantly between dammed and undammed sites, across the upstream, dewatered, and downstream location categories. Dammed segments had lower fish species richness, diversity, and endemicity, and were dominated by eurytopic speci"&amp;"es ( adapted to lentic conditions), unlike the control site, which was dominated by rheophilic species ( adapted to flowing waters). Regression analyses indicated that fish species richness in dammed streams increased with distance from the dam in the ups"&amp;"tream direction. 5. The SHPs were found to have severe impacts on stream geometry, water chemistry, and aquatic biota, especially in the dry season. 6. Given the ambitious targets of planned SHP growth, most of which are within ecologically fragile region"&amp;"s, changes in SHP operations and policies are proposed to enable the conservation of river fish diversity. These include mandatory environmental impact assessments, conserving undammed headwater streams in regulated basins, maintaining adequate environmen"&amp;"tal flows, and implementing other mitigation measures.")</f>
        <v>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v>
      </c>
      <c r="C445" s="24" t="str">
        <f>IFERROR(__xludf.DUMMYFUNCTION("""COMPUTED_VALUE"""),"10.1002/aqc.2904")</f>
        <v>10.1002/aqc.2904</v>
      </c>
      <c r="D445" s="24" t="str">
        <f>IFERROR(__xludf.DUMMYFUNCTION("""COMPUTED_VALUE"""),"Keck et al")</f>
        <v>Keck et al</v>
      </c>
      <c r="E445" s="24" t="str">
        <f>IFERROR(__xludf.DUMMYFUNCTION("""COMPUTED_VALUE"""),"WOS:000442565600020")</f>
        <v>WOS:000442565600020</v>
      </c>
      <c r="F445" s="24" t="str">
        <f>IFERROR(__xludf.DUMMYFUNCTION("""COMPUTED_VALUE"""),"[""ELIGIBLE""]")</f>
        <v>["ELIGIBLE"]</v>
      </c>
    </row>
    <row r="446">
      <c r="A446" s="24" t="str">
        <f>IFERROR(__xludf.DUMMYFUNCTION("""COMPUTED_VALUE"""),"Diversity and composition of Arctiidae moth ensembles along a successional gradient in the Ecuadorian Andes")</f>
        <v>Diversity and composition of Arctiidae moth ensembles along a successional gradient in the Ecuadorian Andes</v>
      </c>
      <c r="B446" s="24" t="str">
        <f>IFERROR(__xludf.DUMMYFUNCTION("""COMPUTED_VALUE"""),"Andean montane rain forests are among the most species-rich terrestrial habitats. Little is known about their insect communities and how these respond to anthropogenic habitat alteration. We investigated exceptionally speciose ensembles of nocturnal tiger"&amp;" moths (Arctiidae) at 15 anthropogenically disturbed sites, which together depict a gradient of forest recovery and six closed-forest understorey sites in southern Ecuador. At weak light traps we sampled 9211 arctiids, representing 287 species. Arctiid ab"&amp;"undance and diversity were highest at advanced succession sites, where secondary scrub or young forest had re-established, followed by early succession sites, and were lowest, but still high, in mature forest understorey. The proportion of rare species sh"&amp;"owed the reverse pattern. We ordinated moth samples by non-metric multidimensional scaling using the chord-normalized expected species shared index (CNESS) index at various levels of the sample size parameter m. A distinct segregation of arctiid ensembles"&amp;" at succession sites from those in mature forest consistently emerged only at high m-values. Segregation between ensembles of early vs. late succession stages was also clear at high m values only, and was rather weak. Rare species were responsible for muc"&amp;"h of the faunal difference along the succession gradient, whereas many common arctiid species occurred in all sites. Matrix correlation tests as well as exploration of relationships between ordination axes and environmental variables revealed the degree o"&amp;"f habitat openness, and to a lesser extent, elevation, as best predictors of faunal dissimilarity. Faunal differences were not related to geographical distances between sampling sites. Our results suggest that many of the more common tiger moths of Neotro"&amp;"pical montane forests have a substantial recolonization potential at the small spatial scale of our study and accordingly occur also in landscape mosaics surrounding nature reserves. These species contribute to the unexpectedly high diversity of arctiid e"&amp;"nsembles at disturbed sites, whereas the proportion of rare species declines outside mature forest.")</f>
        <v>Andean montane rain forests are among the most species-rich terrestrial habitats. Little is known about their insect communities and how these respond to anthropogenic habitat alteration. We investigated exceptionally speciose ensembles of nocturnal tiger moths (Arctiidae) at 15 anthropogenically disturbed sites, which together depict a gradient of forest recovery and six closed-forest understorey sites in southern Ecuador. At weak light traps we sampled 9211 arctiids, representing 287 species. Arctiid abundance and diversity were highest at advanced succession sites, where secondary scrub or young forest had re-established, followed by early succession sites, and were lowest, but still high, in mature forest understorey. The proportion of rare species showed the reverse pattern. We ordinated moth samples by non-metric multidimensional scaling using the chord-normalized expected species shared index (CNESS) index at various levels of the sample size parameter m. A distinct segregation of arctiid ensembles at succession sites from those in mature forest consistently emerged only at high m-values. Segregation between ensembles of early vs. late succession stages was also clear at high m values only, and was rather weak. Rare species were responsible for much of the faunal difference along the succession gradient, whereas many common arctiid species occurred in all sites. Matrix correlation tests as well as exploration of relationships between ordination axes and environmental variables revealed the degree of habitat openness, and to a lesser extent, elevation, as best predictors of faunal dissimilarity. Faunal differences were not related to geographical distances between sampling sites. Our results suggest that many of the more common tiger moths of Neotropical montane forests have a substantial recolonization potential at the small spatial scale of our study and accordingly occur also in landscape mosaics surrounding nature reserves. These species contribute to the unexpectedly high diversity of arctiid ensembles at disturbed sites, whereas the proportion of rare species declines outside mature forest.</v>
      </c>
      <c r="C446" s="24" t="str">
        <f>IFERROR(__xludf.DUMMYFUNCTION("""COMPUTED_VALUE"""),"10.1111/j.1366-9516.2005.00167.x")</f>
        <v>10.1111/j.1366-9516.2005.00167.x</v>
      </c>
      <c r="D446" s="24" t="str">
        <f>IFERROR(__xludf.DUMMYFUNCTION("""COMPUTED_VALUE"""),"Keck et al")</f>
        <v>Keck et al</v>
      </c>
      <c r="E446" s="24" t="str">
        <f>IFERROR(__xludf.DUMMYFUNCTION("""COMPUTED_VALUE"""),"WOS:000231504400003")</f>
        <v>WOS:000231504400003</v>
      </c>
      <c r="F446" s="24" t="str">
        <f>IFERROR(__xludf.DUMMYFUNCTION("""COMPUTED_VALUE"""),"[""ELIGIBLE""]")</f>
        <v>["ELIGIBLE"]</v>
      </c>
    </row>
    <row r="447">
      <c r="A447" s="24" t="str">
        <f>IFERROR(__xludf.DUMMYFUNCTION("""COMPUTED_VALUE"""),"Can invasive habitat-forming species play the same role as native ones? The case of the exotic marine macroalga Rugulopteryx okamurae in the Strait of Gibraltar")</f>
        <v>Can invasive habitat-forming species play the same role as native ones? The case of the exotic marine macroalga Rugulopteryx okamurae in the Strait of Gibraltar</v>
      </c>
      <c r="B447" s="24" t="str">
        <f>IFERROR(__xludf.DUMMYFUNCTION("""COMPUTED_VALUE"""),"The addition or loss of habitat-forming species may lead to significant changes in the structure and functioning of marine benthic ecosystems as a whole. However, the nature of the impact of invasive macroalgae on native mobile invertebrate assemblage is "&amp;"still hard to predict. In this sense, the degree of morphological resemblance (mainly structural complexity) between native and exotic habitat-forming species has been proposed as a suitable predictor of epifauna response to biological invasions. The rece"&amp;"ntly introduced macroalga Rugulopteryx okamurae is becoming a dominant element in coastal rocky bottoms in the Strait of Gibraltar, where it is sympatric with the native species Dictyota dichotoma. Despite the high morphological similarity between both ha"&amp;"bitat-forming species, native and exotic macroalgae hosted different macrofaunal assemblages. Dictyota dichotoma showed lower number of species, abundance of individuals, and diversity values than the introduced macroalga. Most shared species showed highe"&amp;"r abundance on R. okamurae, but there was high variability in the response to macroalgal identity across higher taxa. Thus, there were no major differences in polychaete assemblage between macroalgal species or among sites, when considering univariate mea"&amp;"sures (abundance of individuals, number of species and H ' values) or species composition (with the exception of abundance values), while peracarid crustaceans and molluscs showed the opposite pattern. Therefore, our results suggest that morphological sim"&amp;"ilarities among habitat-forming species do not always allow predicting of whether the invasive taxa are functionally equivalent to native ones. They also highlight the relevance of fine taxonomical resolution for revealing complex impacts of invasive macr"&amp;"oalgae. In addition, R. okamurae's capacity to determine significant changes on native fauna has been pointed out.")</f>
        <v>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v>
      </c>
      <c r="C447" s="24" t="str">
        <f>IFERROR(__xludf.DUMMYFUNCTION("""COMPUTED_VALUE"""),"10.1007/s10530-019-02049-y")</f>
        <v>10.1007/s10530-019-02049-y</v>
      </c>
      <c r="D447" s="24" t="str">
        <f>IFERROR(__xludf.DUMMYFUNCTION("""COMPUTED_VALUE"""),"Keck et al")</f>
        <v>Keck et al</v>
      </c>
      <c r="E447" s="24" t="str">
        <f>IFERROR(__xludf.DUMMYFUNCTION("""COMPUTED_VALUE"""),"WOS:000487812700007")</f>
        <v>WOS:000487812700007</v>
      </c>
      <c r="F447" s="24" t="str">
        <f>IFERROR(__xludf.DUMMYFUNCTION("""COMPUTED_VALUE"""),"[""ELIGIBLE""]")</f>
        <v>["ELIGIBLE"]</v>
      </c>
    </row>
    <row r="448">
      <c r="A448" s="24" t="str">
        <f>IFERROR(__xludf.DUMMYFUNCTION("""COMPUTED_VALUE"""),"Arthropod Assemblages in Invasive and Native Vegetation of Great Salt Lake Wetlands")</f>
        <v>Arthropod Assemblages in Invasive and Native Vegetation of Great Salt Lake Wetlands</v>
      </c>
      <c r="B448" s="24" t="str">
        <f>IFERROR(__xludf.DUMMYFUNCTION("""COMPUTED_VALUE"""),"Wetlands provide essential habitat for shorebirds, songbirds, and waterfowl. Invasive species can disrupt trophic interactions within wetlands by altering the arthropod assemblages on which birds rely. An invasive grass species, Phragmites australis (comm"&amp;"on reed), has invaded wetlands across North America, including those surrounding the Great Salt Lake, Utah, U.S.A. Phragmites outcompetes native vegetation and alters habitat for resident and migratory birds, yet how Phragmites affects arthropod assemblag"&amp;"es is unclear. To address these knowledge gaps, this study investigated how arthropod assemblages differ between native and invasive vegetation in Great Salt Lake wetlands. We examined the arthropod assemblages found within three native habitats as well a"&amp;"s in Phragmites-invaded areas. There were few differences in arthropod assemblages between Phragmites and two native habitats (hardstem bulrush, Schoenoplectus acutus and alkali bulrush, Bolboschoenus maritimus). Arthropod assemblages differed between Phr"&amp;"agmites and the native Salicornia rubra (pickleweed), which differed markedly from the other plant species in structure, biomass, and related site conditions. Identifying how arthropods interact with Phragmites and native vegetation is critical to recogni"&amp;"zing how to effectively manage wetlands for bird habitat. By gaining an understanding of these relationships, arthropod biomass, abundance, diversity, and assemblage composition could serve as assessment metrics for determining wetland management success.")</f>
        <v>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v>
      </c>
      <c r="C448" s="24" t="str">
        <f>IFERROR(__xludf.DUMMYFUNCTION("""COMPUTED_VALUE"""),"10.1007/s13157-021-01446-1")</f>
        <v>10.1007/s13157-021-01446-1</v>
      </c>
      <c r="D448" s="24" t="str">
        <f>IFERROR(__xludf.DUMMYFUNCTION("""COMPUTED_VALUE"""),"Keck et al")</f>
        <v>Keck et al</v>
      </c>
      <c r="E448" s="24" t="str">
        <f>IFERROR(__xludf.DUMMYFUNCTION("""COMPUTED_VALUE"""),"WOS:000642157800001")</f>
        <v>WOS:000642157800001</v>
      </c>
      <c r="F448" s="24" t="str">
        <f>IFERROR(__xludf.DUMMYFUNCTION("""COMPUTED_VALUE"""),"[""ELIGIBLE""]")</f>
        <v>["ELIGIBLE"]</v>
      </c>
    </row>
    <row r="449">
      <c r="A449" s="24" t="str">
        <f>IFERROR(__xludf.DUMMYFUNCTION("""COMPUTED_VALUE"""),"Keeping up with introduced marine species at a remote biodiversity hotspot: awareness, training and collaboration across different sectors is key")</f>
        <v>Keeping up with introduced marine species at a remote biodiversity hotspot: awareness, training and collaboration across different sectors is key</v>
      </c>
      <c r="B449" s="24" t="str">
        <f>IFERROR(__xludf.DUMMYFUNCTION("""COMPUTED_VALUE"""),"Despite being a well-recognized issue, the introduction of non-native marine species is an underestimated topic in highly biodiverse developing countries. The Indonesian archipelago sits at the center of the Coral Triangle, extending over several biogeogr"&amp;"aphic regions with unique benthic communities, where the extent of non-native species presence is largely unknown. It is also at the center of maritime traffic between Australasia and Asia, and therefore at risk of introduction of species that are carried"&amp;" on the hulls and ballast water of vessels. In the present study, we aimed to raise awareness on marine biological invasions across the Indonesian archipelago by fostering discussions among scientists, educating science students, generating media articles"&amp;" for the public and actively involving island communities. We also aimed to test the suitability of a range of methods commonly used in bioinvasion research (settlement arrays, DNA barcoding and environmental DNA metabarcoding, vessel surveys) to establis"&amp;"h a baseline for biofouling species and potential threats, while developing much needed capacity for monitoring and application to other areas. We recorded 66 different non-coral specimens in the fouling communities of a remote group of islands of the Ind"&amp;"onesian archipelago, represented mainly by the taxa Porifera, Tunicata and Mollusca, which are known to include notorious invasive species. None of the identified species was known to be invasive in the region but several were cryptogenic and/or were cons"&amp;"idered to have a very broad global distribution range that can potentially include part, or all, of the Indonesian archipelago. One species, the ascidian Didemnum molle, was found to quickly settle and spread on available blank substrates. While settlemen"&amp;"t plates (monitored every 5 months) proved suitable for early detection of potential incursions of these organisms, benthic surveys, DNA barcoding and eDNA metabarcoding provide valuable complementary baseline biodiversity information. A combination of sa"&amp;"mpling methods is therefore recommended for similar studies in understudied high biodiversity areas. Results from vessel surveys highlights the importance of civil society education in helping prevent bioinvasions. This study represents the first marine b"&amp;"iological invasions baseline, awareness and capacity development training carried in the Indonesian archipelago. The lessons taken from the variety of methods explored in a simultaneously scientific and educational setting should prove useful and motivate"&amp;" similar work in other areas of the world.")</f>
        <v>Despite being a well-recognized issue, the introduction of non-native marine species is an underestimated topic in highly biodiverse developing countries. The Indonesian archipelago sits at the center of the Coral Triangle, extending over several biogeographic regions with unique benthic communities, where the extent of non-native species presence is largely unknown. It is also at the center of maritime traffic between Australasia and Asia, and therefore at risk of introduction of species that are carried on the hulls and ballast water of vessels. In the present study, we aimed to raise awareness on marine biological invasions across the Indonesian archipelago by fostering discussions among scientists, educating science students, generating media articles for the public and actively involving island communities. We also aimed to test the suitability of a range of methods commonly used in bioinvasion research (settlement arrays, DNA barcoding and environmental DNA metabarcoding, vessel surveys) to establish a baseline for biofouling species and potential threats, while developing much needed capacity for monitoring and application to other areas. We recorded 66 different non-coral specimens in the fouling communities of a remote group of islands of the Indonesian archipelago, represented mainly by the taxa Porifera, Tunicata and Mollusca, which are known to include notorious invasive species. None of the identified species was known to be invasive in the region but several were cryptogenic and/or were considered to have a very broad global distribution range that can potentially include part, or all, of the Indonesian archipelago. One species, the ascidian Didemnum molle, was found to quickly settle and spread on available blank substrates. While settlement plates (monitored every 5 months) proved suitable for early detection of potential incursions of these organisms, benthic surveys, DNA barcoding and eDNA metabarcoding provide valuable complementary baseline biodiversity information. A combination of sampling methods is therefore recommended for similar studies in understudied high biodiversity areas. Results from vessel surveys highlights the importance of civil society education in helping prevent bioinvasions. This study represents the first marine biological invasions baseline, awareness and capacity development training carried in the Indonesian archipelago. The lessons taken from the variety of methods explored in a simultaneously scientific and educational setting should prove useful and motivate similar work in other areas of the world.</v>
      </c>
      <c r="C449" s="24" t="str">
        <f>IFERROR(__xludf.DUMMYFUNCTION("""COMPUTED_VALUE"""),"10.1007/s10530-019-02126-2")</f>
        <v>10.1007/s10530-019-02126-2</v>
      </c>
      <c r="D449" s="24" t="str">
        <f>IFERROR(__xludf.DUMMYFUNCTION("""COMPUTED_VALUE"""),"Keck et al")</f>
        <v>Keck et al</v>
      </c>
      <c r="E449" s="24" t="str">
        <f>IFERROR(__xludf.DUMMYFUNCTION("""COMPUTED_VALUE"""),"WOS:000496257300003")</f>
        <v>WOS:000496257300003</v>
      </c>
      <c r="F449" s="24" t="str">
        <f>IFERROR(__xludf.DUMMYFUNCTION("""COMPUTED_VALUE"""),"[""ELIGIBLE""]")</f>
        <v>["ELIGIBLE"]</v>
      </c>
    </row>
    <row r="450">
      <c r="A450" s="24" t="str">
        <f>IFERROR(__xludf.DUMMYFUNCTION("""COMPUTED_VALUE"""),"Contributions of marine infrastructures to marine planning and protected area networking")</f>
        <v>Contributions of marine infrastructures to marine planning and protected area networking</v>
      </c>
      <c r="B450" s="24" t="str">
        <f>IFERROR(__xludf.DUMMYFUNCTION("""COMPUTED_VALUE"""),"1. Marine infrastructures are becoming ubiquitous as a result of the increasing exploitation of resources in the nearshore environment. These infrastructures are frequently linked with habitat degradation, pollution, and the establishment and spread of al"&amp;"ien species. As marine infrastructures are perceived as threats to marine ecosystems, they are typically disregarded in conservation planning schemes. 2. Here, the presence of invertebrates and fish was surveyed in infrastructure areas with prohibited pub"&amp;"lic access, as well as in nearby rocky reef areas that had no infrastructure and were open to the public. 3. It was found that species richness, Shannon diversity, and uniqueness of both fish and invertebrates were significantly higher in the infrastructu"&amp;"re habitats than in the rocky reef habitats in most cases. Surprisingly, the findings show that the proportion of alien species was higher in the unprotected rocky reef habitats compared with that in the infrastructure habitats. 4. These counterintuitive "&amp;"findings suggest that marine infrastructures that limit unauthorized access to the surrounding territory may contribute to conservation if they are acknowledged and managed, according to their potential to provide a habitat for marine species. This sugges"&amp;"ts that these areas should be considered by planners as opportunities to enhance the connectivity of populations and to supplement marine protected areas in heavily impacted marine environments.")</f>
        <v>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v>
      </c>
      <c r="C450" s="24" t="str">
        <f>IFERROR(__xludf.DUMMYFUNCTION("""COMPUTED_VALUE"""),"10.1002/aqc.2916")</f>
        <v>10.1002/aqc.2916</v>
      </c>
      <c r="D450" s="24" t="str">
        <f>IFERROR(__xludf.DUMMYFUNCTION("""COMPUTED_VALUE"""),"Keck et al")</f>
        <v>Keck et al</v>
      </c>
      <c r="E450" s="24" t="str">
        <f>IFERROR(__xludf.DUMMYFUNCTION("""COMPUTED_VALUE"""),"WOS:000442565600007")</f>
        <v>WOS:000442565600007</v>
      </c>
      <c r="F450" s="24" t="str">
        <f>IFERROR(__xludf.DUMMYFUNCTION("""COMPUTED_VALUE"""),"[""ELIGIBLE""]")</f>
        <v>["ELIGIBLE"]</v>
      </c>
    </row>
    <row r="451">
      <c r="A451" s="24" t="str">
        <f>IFERROR(__xludf.DUMMYFUNCTION("""COMPUTED_VALUE"""),"Benthic assemblages, biodiversity and invasiveness in marinas and commercial harbours: an investigation using a bioindicator group")</f>
        <v>Benthic assemblages, biodiversity and invasiveness in marinas and commercial harbours: an investigation using a bioindicator group</v>
      </c>
      <c r="B451" s="24" t="str">
        <f>IFERROR(__xludf.DUMMYFUNCTION("""COMPUTED_VALUE"""),"Fouling communities on artificial marine structures are generally different from benthic communities in natural rocky habitats. However, they may also differ among different types of artificial structures. Two artificial structures in direct contact with "&amp;"arriving vessels were compared: floating pontoons within recreational marinas, and sea-walls within commercial harbours. Natural rocky habitats were used as a reference, and the genus Eudendrium (Cnidaria, Hydrozoa) was chosen as a bioindicator. The assem"&amp;"blages were different among the three types of habitat studied, with different species characterising each habitat. The probability of finding an invasive Eudendrium species was significantly higher on pontoons. Diversity was the lowest on pontoons, but i"&amp;"t was not significantly different between sea-walls and natural rocks. In general, a barrier to the spread of exotic species exists between harbours and natural rocky habitats. Floating pontoons seem to be a less suitable habitat for native fauna and a ke"&amp;"y element in marine biological invasions.")</f>
        <v>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v>
      </c>
      <c r="C451" s="24" t="str">
        <f>IFERROR(__xludf.DUMMYFUNCTION("""COMPUTED_VALUE"""),"10.1080/08927014.2016.1151500")</f>
        <v>10.1080/08927014.2016.1151500</v>
      </c>
      <c r="D451" s="24" t="str">
        <f>IFERROR(__xludf.DUMMYFUNCTION("""COMPUTED_VALUE"""),"Keck et al")</f>
        <v>Keck et al</v>
      </c>
      <c r="E451" s="24" t="str">
        <f>IFERROR(__xludf.DUMMYFUNCTION("""COMPUTED_VALUE"""),"WOS:000373313200010")</f>
        <v>WOS:000373313200010</v>
      </c>
      <c r="F451" s="24" t="str">
        <f>IFERROR(__xludf.DUMMYFUNCTION("""COMPUTED_VALUE"""),"[""ELIGIBLE""]")</f>
        <v>["ELIGIBLE"]</v>
      </c>
    </row>
    <row r="452">
      <c r="A452" s="24" t="str">
        <f>IFERROR(__xludf.DUMMYFUNCTION("""COMPUTED_VALUE"""),"Effects of Alien Plants on Ecosystem Structure and Functioning and Implications for Restoration: Insights from Three Degraded Sites in South African Fynbos")</f>
        <v>Effects of Alien Plants on Ecosystem Structure and Functioning and Implications for Restoration: Insights from Three Degraded Sites in South African Fynbos</v>
      </c>
      <c r="B452" s="24" t="str">
        <f>IFERROR(__xludf.DUMMYFUNCTION("""COMPUTED_VALUE"""),"We investigated the type and extent of degradation at three sites on the Agulhas Plain, South Africa: an old field dominated by the alien grass Pennisetum clandestinum Pers. (kikuyu), an abandoned Eucalyptus plantation, and a natural fynbos community inva"&amp;"ded by nitrogen fixing-Australian Acacia species. These forms of degradation are representative of many areas in the region. By identifying the nature and degree of ecosystem degradation we aimed to determine appropriate strategies for restoration in this"&amp;" biodiversity hotspot. Vegetation surveys were conducted at degraded sites and carefully selected reference sites. Soil-stored propagule seed banks and macro- and micro-soil nutrients were determined. Species richness, diversity and native cover under Euc"&amp;"alyptus were extremely low compared to the reference site and alterations of the soil nutrients were the most severe. The cover of indigenous species under Acacia did not differ significantly from that in reference sites, but species richness was lower un"&amp;"der Acacia and soils were considerably enriched. Native species richness was much lower in the kikuyu site, but soil nutrient status was similar to the reference site. Removal of the alien species alone may be sufficient to re-initiate ecosystem recovery "&amp;"at the kikuyu site, whereas active restoration is required to restore functioning ecosystems dominated by native species in the Acacia thicket and the Eucalyptus plantation. To restore native plant communities we suggest burning, mulching with sawdust and"&amp;" sowing of native species.")</f>
        <v>We investigated the type and extent of degradation at three sites on the Agulhas Plain, South Africa: an old field dominated by the alien grass Pennisetum clandestinum Pers. (kikuyu), an abandoned Eucalyptus plantation, and a natural fynbos community invaded by nitrogen fixing-Australian Acacia species. These forms of degradation are representative of many areas in the region. By identifying the nature and degree of ecosystem degradation we aimed to determine appropriate strategies for restoration in this biodiversity hotspot. Vegetation surveys were conducted at degraded sites and carefully selected reference sites. Soil-stored propagule seed banks and macro- and micro-soil nutrients were determined. Species richness, diversity and native cover under Eucalyptus were extremely low compared to the reference site and alterations of the soil nutrients were the most severe. The cover of indigenous species under Acacia did not differ significantly from that in reference sites, but species richness was lower under Acacia and soils were considerably enriched. Native species richness was much lower in the kikuyu site, but soil nutrient status was similar to the reference site. Removal of the alien species alone may be sufficient to re-initiate ecosystem recovery at the kikuyu site, whereas active restoration is required to restore functioning ecosystems dominated by native species in the Acacia thicket and the Eucalyptus plantation. To restore native plant communities we suggest burning, mulching with sawdust and sowing of native species.</v>
      </c>
      <c r="C452" s="24" t="str">
        <f>IFERROR(__xludf.DUMMYFUNCTION("""COMPUTED_VALUE"""),"10.1007/s00267-011-9675-7")</f>
        <v>10.1007/s00267-011-9675-7</v>
      </c>
      <c r="D452" s="24" t="str">
        <f>IFERROR(__xludf.DUMMYFUNCTION("""COMPUTED_VALUE"""),"Keck et al")</f>
        <v>Keck et al</v>
      </c>
      <c r="E452" s="24" t="str">
        <f>IFERROR(__xludf.DUMMYFUNCTION("""COMPUTED_VALUE"""),"WOS:000291748500005")</f>
        <v>WOS:000291748500005</v>
      </c>
      <c r="F452" s="24" t="str">
        <f>IFERROR(__xludf.DUMMYFUNCTION("""COMPUTED_VALUE"""),"[""ELIGIBLE""]")</f>
        <v>["ELIGIBLE"]</v>
      </c>
    </row>
    <row r="453">
      <c r="A453" s="24" t="str">
        <f>IFERROR(__xludf.DUMMYFUNCTION("""COMPUTED_VALUE"""),"Effects of Caulerpa racemosa invasion on soft-bottom assemblages in the Western Mediterranean Sea")</f>
        <v>Effects of Caulerpa racemosa invasion on soft-bottom assemblages in the Western Mediterranean Sea</v>
      </c>
      <c r="B453" s="24" t="str">
        <f>IFERROR(__xludf.DUMMYFUNCTION("""COMPUTED_VALUE"""),"The present study aimed at evaluating the effects of Caulerpa racemosa var. cylindracea spread on Mediterranean soft-bottom assemblages. The benthic assemblages colonized by C. racemosa were compared with non invaded assemblages at multiple spatial scales"&amp;". In addition, a manipulative experiment has been conducted over a one-year period in order to compare the structure of native assemblages invaded by the alga with others where the alga has been manually removed and others that were not invaded. Results o"&amp;"f both studies showed that Mediterranean soft-bottom assemblages invaded by C. racemosa differed from non invaded ones in terms of species composition, abundance and patterns of spatial variability. Moreover, in areas cleaned out from the alga, the benthi"&amp;"c assemblages begin to recover their structure and after one year they get more similar to the assemblages observed in non invaded areas. The present paper, taking into account different aspects of C. racemosa invasion in Mediterranean soft bottoms, highl"&amp;"ighted that the observed increase in alpha diversity did not correspond to an increase in the overall diversity of the studied system. Infact, the loss of beta diversity in invaded sites, together with the spread of species typical of vegetated habitats, "&amp;"may contribute to a homogenization of the Mediterranean coastal system. Furthermore, a possible role of ecosystem engineer for C. racemosa can be hypothesized.")</f>
        <v>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v>
      </c>
      <c r="C453" s="24" t="str">
        <f>IFERROR(__xludf.DUMMYFUNCTION("""COMPUTED_VALUE"""),"10.1007/s10530-011-9938-5")</f>
        <v>10.1007/s10530-011-9938-5</v>
      </c>
      <c r="D453" s="24" t="str">
        <f>IFERROR(__xludf.DUMMYFUNCTION("""COMPUTED_VALUE"""),"Keck et al")</f>
        <v>Keck et al</v>
      </c>
      <c r="E453" s="24" t="str">
        <f>IFERROR(__xludf.DUMMYFUNCTION("""COMPUTED_VALUE"""),"WOS:000298645800005")</f>
        <v>WOS:000298645800005</v>
      </c>
      <c r="F453" s="24" t="str">
        <f>IFERROR(__xludf.DUMMYFUNCTION("""COMPUTED_VALUE"""),"[""ELIGIBLE""]")</f>
        <v>["ELIGIBLE"]</v>
      </c>
    </row>
    <row r="454">
      <c r="A454" s="24" t="str">
        <f>IFERROR(__xludf.DUMMYFUNCTION("""COMPUTED_VALUE"""),"Colonisation and modification of soft substratum habitats by the invasive macroalga Sargassum muticum")</f>
        <v>Colonisation and modification of soft substratum habitats by the invasive macroalga Sargassum muticum</v>
      </c>
      <c r="B454" s="24" t="str">
        <f>IFERROR(__xludf.DUMMYFUNCTION("""COMPUTED_VALUE"""),"Sargassum muticum is an invasive brown macroalga that originates from Japan. In the introduced range, thalli can grow in soft substratum habitats attached to embedded rock fragments and shells, Within Strangford Lough, Northern Ireland, S. muticum has rap"&amp;"idly colonised large areas of soft substrata, where dispersal by peripatetic or 'stone-walking' plants is very effective. Sediment cores were collected under and outside canopies of S. muticum in Strangford Lough (S. muticum first recorded there in 1995) "&amp;"and Langstone Harbour, English Channel (S. muticum first found there in 1974) to investigate modification of the infaunal assemblages. At both study sites, community analyses highlighted significant differences between the assemblages under the canopies a"&amp;"nd those in adjacent unvegetated areas. In Strangford Lough, the invertebrate community under the canopy contained a higher abundance of smaller, opportunistic, r-selected species than outside the canopy. By contrast, the communities under and outside the"&amp;" canopy at Langstone Harbour were similar in species composition, diversity and dominance, but overall faunal abundance was greater under the canopy. Sediment characteristics were not affected by S. muticum canopies, but the infaunal changes may be relate"&amp;"d to environmental modification; shading, flow suppression and temperature stratification were also investigated. The differences between these 2 sites indicate that localised conditions and/or the duration of colonisation of S. muticum are important in d"&amp;"etermining the nature of habitat modification.")</f>
        <v>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v>
      </c>
      <c r="C454" s="24" t="str">
        <f>IFERROR(__xludf.DUMMYFUNCTION("""COMPUTED_VALUE"""),"10.3354/meps321087")</f>
        <v>10.3354/meps321087</v>
      </c>
      <c r="D454" s="24" t="str">
        <f>IFERROR(__xludf.DUMMYFUNCTION("""COMPUTED_VALUE"""),"Keck et al")</f>
        <v>Keck et al</v>
      </c>
      <c r="E454" s="24" t="str">
        <f>IFERROR(__xludf.DUMMYFUNCTION("""COMPUTED_VALUE"""),"WOS:000241282700009")</f>
        <v>WOS:000241282700009</v>
      </c>
      <c r="F454" s="24" t="str">
        <f>IFERROR(__xludf.DUMMYFUNCTION("""COMPUTED_VALUE"""),"[""ELIGIBLE""]")</f>
        <v>["ELIGIBLE"]</v>
      </c>
    </row>
    <row r="455">
      <c r="A455" s="24" t="str">
        <f>IFERROR(__xludf.DUMMYFUNCTION("""COMPUTED_VALUE"""),"Contrasting responses of native ant communities to invasion by an ant invader, Linepithema humile")</f>
        <v>Contrasting responses of native ant communities to invasion by an ant invader, Linepithema humile</v>
      </c>
      <c r="B455" s="24" t="str">
        <f>IFERROR(__xludf.DUMMYFUNCTION("""COMPUTED_VALUE"""),"Invasive alien species pose a serious threat to the integrity and function of natural ecosystems. Understanding how these invaders alter natural communities is therefore an important aspect in predicting the likely future outcomes of biological invasions."&amp;" Many studies have documented the consequences of invasive alien species on native community structure, through the displacement and local extinction of native species. However, sampling methods and intensities are rarely standardised across such studies,"&amp;" meaning that it is not clear whether differences in response among native communities to the same invader species are due to biological differences between the invaded regions, or differences in the methodologies used. Here we use a matched sampling meth"&amp;"odology to compare the effects of the Argentine ant (Linepithema humile Mayr) on native ant community assemblages in two distinct biogeographical regions that share similar ecologies: Girona (Spain) and Jonkershoek Nature Reserve (South Africa). We found "&amp;"a strong negative association between L. humile presence and native ant species richness within both geographic regions. However, the effects differed between the two study regions: in Girona, a single native ant species (Plagiolepis pygmaea) persisted in"&amp;" invaded sites; by contrast, substantially more native ant species persisted at invaded sites in Jonkershoek Nature Reserve. In addition, in Jonkershoek Nature Reserve, the abundance of certain native species appeared to increase in the presence of L. hum"&amp;"ile. This study therefore demonstrates the potential variable effects of an invasive species in contrasting locations within different biogeographical regions. Future work should explore the causes of this differential resistance among communities and exp"&amp;"and standardised sampling approaches to more invaded zones to further explore how local biotic or abiotic conditions of a region determine the nature and extent of impact of L. humile invasion on native ant communities.")</f>
        <v>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v>
      </c>
      <c r="C455" s="24" t="str">
        <f>IFERROR(__xludf.DUMMYFUNCTION("""COMPUTED_VALUE"""),"10.1007/s10530-021-02522-7")</f>
        <v>10.1007/s10530-021-02522-7</v>
      </c>
      <c r="D455" s="24" t="str">
        <f>IFERROR(__xludf.DUMMYFUNCTION("""COMPUTED_VALUE"""),"Keck et al")</f>
        <v>Keck et al</v>
      </c>
      <c r="E455" s="24" t="str">
        <f>IFERROR(__xludf.DUMMYFUNCTION("""COMPUTED_VALUE"""),"WOS:000636412300005")</f>
        <v>WOS:000636412300005</v>
      </c>
      <c r="F455" s="24" t="str">
        <f>IFERROR(__xludf.DUMMYFUNCTION("""COMPUTED_VALUE"""),"[""ELIGIBLE""]")</f>
        <v>["ELIGIBLE"]</v>
      </c>
    </row>
    <row r="456">
      <c r="A456" s="24" t="str">
        <f>IFERROR(__xludf.DUMMYFUNCTION("""COMPUTED_VALUE"""),"Dam inundation simplifies the plant community composition")</f>
        <v>Dam inundation simplifies the plant community composition</v>
      </c>
      <c r="B456" s="24" t="str">
        <f>IFERROR(__xludf.DUMMYFUNCTION("""COMPUTED_VALUE"""),"The construction of dams has caused riparian habitat degradation and ecosystem service loss globally. It is critical to assess the response of riparian plant communities to inundation gradients for their conservation. Recent evidence suggests that plant c"&amp;"ommunity assemblages are governed by flooding stress, soil nutrient availability, climate (environmental filtering) and dispersal, speciation, local extinction (dispersal filtering), but it remains unclear which dominates the riparian ecosystem regulated "&amp;"by a dam. Thus, this article aims to elucidate the relative importance of environmental and dispersal filtering to variations in plant communities to understand community assembly mechanisms in riparian ecosystems. Here we used plant community data relate"&amp;"d to four elevations in the riparian zone of the Three Gorges Dam Reservoir in China to show that species richness and diversity, community height, and the cover of total, annual, and exotic plant categories decreased, while the cover of perennial and nat"&amp;"ive plant groups increased under higher flooding stress. Community composition varied substantially with elevation, and species composition tended to converge with increased inundation, characterized by flood-tolerant species. The community composition un"&amp;"derwent stronger environmental filtering at low elevations and stronger dispersal filtering at high elevations, with stronger environmental filtering across riparian ecosystems. Therefore, we conclude that dam inundation drives community assemblages of ri"&amp;"parian plants by the combined effects of environmental and dispersal filtering. Still, their relative contribution varies between elevations, and environmental filtering is more important in shaping community assembly. This study is the first to confirm t"&amp;"hat plant community assembly in the dam-regulated riparian area is determined by both niche-based and stochastic processes. Thus, we highlighted the importance of considering inundation intensity, propagule sources, and river connectivity when implementin"&amp;"g restoration projects. (c) 2021 Elsevier B.V. All rights reserved.")</f>
        <v>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v>
      </c>
      <c r="C456" s="24" t="str">
        <f>IFERROR(__xludf.DUMMYFUNCTION("""COMPUTED_VALUE"""),"10.1016/j.scitotenv.2021.149827")</f>
        <v>10.1016/j.scitotenv.2021.149827</v>
      </c>
      <c r="D456" s="24" t="str">
        <f>IFERROR(__xludf.DUMMYFUNCTION("""COMPUTED_VALUE"""),"Keck et al")</f>
        <v>Keck et al</v>
      </c>
      <c r="E456" s="24" t="str">
        <f>IFERROR(__xludf.DUMMYFUNCTION("""COMPUTED_VALUE"""),"WOS:000704393400014")</f>
        <v>WOS:000704393400014</v>
      </c>
      <c r="F456" s="24" t="str">
        <f>IFERROR(__xludf.DUMMYFUNCTION("""COMPUTED_VALUE"""),"[""ELIGIBLE""]")</f>
        <v>["ELIGIBLE"]</v>
      </c>
    </row>
    <row r="457">
      <c r="A457" s="24" t="str">
        <f>IFERROR(__xludf.DUMMYFUNCTION("""COMPUTED_VALUE"""),"Microbats in a 'leafy' urban landscape: are they persisting, and what factors influence their presence?")</f>
        <v>Microbats in a 'leafy' urban landscape: are they persisting, and what factors influence their presence?</v>
      </c>
      <c r="B457" s="24" t="str">
        <f>IFERROR(__xludf.DUMMYFUNCTION("""COMPUTED_VALUE"""),"Urbanization is an extreme form of habitat modification, but retention of native vegetation in bushland reserves may improve the ecological sustainability of cities. We focused on bats (Microchiroptera) and investigated the use of the urban matrix and sur"&amp;"rounding bushland in a region of Sydney, Australia, where remnant bushland persists and gardens often support large trees. Ultrasonic surveys were conducted at 40 sites over one summer season in the backyard matrix, bushland remnants and surrounding Natio"&amp;"nal Parks to determine which species were present, and the influence of landscape elements and habitat characteristics on activity, species richness and presence of individual species. In total, 15 of the 17 microbat species known from the Sydney region w"&amp;"ere recorded in the study area. Yet only three of these species, Chalinolobus gouldii, Mormopterus species 2 and Miniopterus schreibersii were present in more than 40% of sites. Bat activity was significantly higher in remnant bushland on shale soils and "&amp;"in backyards, compared with sandstone gully and ridge remnants, or reference sites in nearby National Parks. Furthermore, species assemblages in urban areas were different from assemblages in reference sites. Of all the habitat characteristics examined, t"&amp;"he amount of bushland within 0.5-3 km surrounding a site and tree density were the most common predictors of individual species presence, particularly rare species. Area of bushland, hollow abundance and average tree diameter were positively correlated wi"&amp;"th species richness, while tree diameter was the strongest predictor of total microbat activity. The proximity of large areas of bushland and the many trees remaining in residential areas of the northern 'leafy' suburbs of Sydney allowed the persistence o"&amp;"f a range of bat species. The higher bat activity on fertile shale soils indicated that bushland remnants embedded within cities can have high conservation value for bats. Surveys in more urbanized areas of Sydney are needed to test predictions of the mod"&amp;"els derived in this study.")</f>
        <v>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v>
      </c>
      <c r="C457" s="24" t="str">
        <f>IFERROR(__xludf.DUMMYFUNCTION("""COMPUTED_VALUE"""),"10.1111/j.1442-9993.2010.02202.x")</f>
        <v>10.1111/j.1442-9993.2010.02202.x</v>
      </c>
      <c r="D457" s="24" t="str">
        <f>IFERROR(__xludf.DUMMYFUNCTION("""COMPUTED_VALUE"""),"Keck et al")</f>
        <v>Keck et al</v>
      </c>
      <c r="E457" s="24" t="str">
        <f>IFERROR(__xludf.DUMMYFUNCTION("""COMPUTED_VALUE"""),"WOS:000294219000008")</f>
        <v>WOS:000294219000008</v>
      </c>
      <c r="F457" s="24" t="str">
        <f>IFERROR(__xludf.DUMMYFUNCTION("""COMPUTED_VALUE"""),"[""ELIGIBLE""]")</f>
        <v>["ELIGIBLE"]</v>
      </c>
    </row>
    <row r="458">
      <c r="A458" s="24" t="str">
        <f>IFERROR(__xludf.DUMMYFUNCTION("""COMPUTED_VALUE"""),"Tracking an invasion: community changes in hardwood forests following the arrival of Amynthas agrestis and Amynthas tokioensis in Wisconsin")</f>
        <v>Tracking an invasion: community changes in hardwood forests following the arrival of Amynthas agrestis and Amynthas tokioensis in Wisconsin</v>
      </c>
      <c r="B458" s="24" t="str">
        <f>IFERROR(__xludf.DUMMYFUNCTION("""COMPUTED_VALUE"""),"Because Upper Midwest temperate forests lack native earthworms, the invasions of European and Asian earthworms can significantly alter soils and understory vegetation. Earthworms' ability to increase leaf litter decay, alter nutrient cycling by mixing the"&amp;" organic layer with mineral soil, and decrease plant species richness leads to concern about the Asian `jumping earthworm' (Amynthas agrestis and A. tokioensis) species that were recorded in the University of Wisconsin-Madison Arboretum in 2013. In 2015, "&amp;"we found A. agrestis and A. tokioensis in a distinct 8-ha region of a 23-ha hardwood forest surveyed in the Arboretum; by 2016 A. agrestis and A. tokioensis had spread over an additional 7 ha. Plots also contained the European earthworm species Lumbricus "&amp;"terrestris, L. rubellus, and Apporectodea spp., whose distributions decreased from 2015 to 2016. While leaf litter, plant species richness, and tree and shrub seedling abundance were generally reduced in areas with European earthworms, they were typically"&amp;" slightly increased in areas with A. agrestis and A. tokioensis versus those without. Although our results do not show substantial impacts of A. agrestis and A. tokioensis on vegetation in the initial years of invasion, the rapid replacement of European e"&amp;"arthworms by A. agrestis and A. tokioensis suggests continued monitoring of these new invasive species is important to better understand their potential to change the Upper Midwest's forests.")</f>
        <v>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v>
      </c>
      <c r="C458" s="24" t="str">
        <f>IFERROR(__xludf.DUMMYFUNCTION("""COMPUTED_VALUE"""),"10.1007/s10530-017-1653-4")</f>
        <v>10.1007/s10530-017-1653-4</v>
      </c>
      <c r="D458" s="24" t="str">
        <f>IFERROR(__xludf.DUMMYFUNCTION("""COMPUTED_VALUE"""),"Keck et al")</f>
        <v>Keck et al</v>
      </c>
      <c r="E458" s="24" t="str">
        <f>IFERROR(__xludf.DUMMYFUNCTION("""COMPUTED_VALUE"""),"WOS:000434033000004")</f>
        <v>WOS:000434033000004</v>
      </c>
      <c r="F458" s="24" t="str">
        <f>IFERROR(__xludf.DUMMYFUNCTION("""COMPUTED_VALUE"""),"[""ELIGIBLE""]")</f>
        <v>["ELIGIBLE"]</v>
      </c>
    </row>
    <row r="459">
      <c r="A459" s="24" t="str">
        <f>IFERROR(__xludf.DUMMYFUNCTION("""COMPUTED_VALUE"""),"Fish assemblage structure in a Neotropical urbanised prairie stream exposed to multiple natural and anthropic factors")</f>
        <v>Fish assemblage structure in a Neotropical urbanised prairie stream exposed to multiple natural and anthropic factors</v>
      </c>
      <c r="B459" s="24" t="str">
        <f>IFERROR(__xludf.DUMMYFUNCTION("""COMPUTED_VALUE"""),"A myriad of factors affect stream fish assemblages, and most of them are intimately regulated by surrounding land uses. One of the most pernicious impacts on streams is the release of urban effluents. Accordingly, understanding the fish assemblage pattern"&amp;"s as well as the environmental drivers that modulate them in the context of urban streams which also are exposed to other land uses is mandatory. We evaluated the longitudinal patterns of fish assemblages in an urbanised Neotropical prairie stream exposed"&amp;" to downstream patches of different surrounding land uses. Several variables of water quality, in-stream habitat and riparian corridors were measured, and their relationships with fish metrics were explored. A fish metric selection protocol was implemente"&amp;"d, and several multivariate analyses were used. Three main patterns of fish response were observed. Assemblage-level attributes as diversity, richness, biomass, number of families and trophic guilds and proportion of Characiformes and intolerant species w"&amp;"ere responsive to the natural gradient in habitat (pools) and riparian (riparian width) conditions expected in non-impacted lotic ecosystems. Conversely, a downstream continuum of recovery in water quality (dissolved oxygen, conductivity, NO3:NH4 and bact"&amp;"eriological loads) and habitat structure (sediment depth) would influence the distribution of fish species regarding their environmental tolerance and habitat preferences. Finally, local habitat aspects (nitrites, submerged macrophytes, bare soil cover an"&amp;"d bank incisions by livestock) seemed relevant for the trophic structure (omnivorous species) of fish assemblages. A complex natural and anthropic longitudinal scenario together with local disruptions imposed by surrounding land uses were directive for fi"&amp;"sh.")</f>
        <v>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v>
      </c>
      <c r="C459" s="24" t="str">
        <f>IFERROR(__xludf.DUMMYFUNCTION("""COMPUTED_VALUE"""),"10.1111/eff.12625")</f>
        <v>10.1111/eff.12625</v>
      </c>
      <c r="D459" s="24" t="str">
        <f>IFERROR(__xludf.DUMMYFUNCTION("""COMPUTED_VALUE"""),"Keck et al")</f>
        <v>Keck et al</v>
      </c>
      <c r="E459" s="24" t="str">
        <f>IFERROR(__xludf.DUMMYFUNCTION("""COMPUTED_VALUE"""),"WOS:000678487600001")</f>
        <v>WOS:000678487600001</v>
      </c>
      <c r="F459" s="24" t="str">
        <f>IFERROR(__xludf.DUMMYFUNCTION("""COMPUTED_VALUE"""),"[""ELIGIBLE""]")</f>
        <v>["ELIGIBLE"]</v>
      </c>
    </row>
    <row r="460">
      <c r="A460" s="24" t="str">
        <f>IFERROR(__xludf.DUMMYFUNCTION("""COMPUTED_VALUE"""),"Yellow crazy ant (Anoplolepis gracilipes) invasions within undisturbed mainland Australian habitats: no support for biotic resistance hypothesis")</f>
        <v>Yellow crazy ant (Anoplolepis gracilipes) invasions within undisturbed mainland Australian habitats: no support for biotic resistance hypothesis</v>
      </c>
      <c r="B460" s="24" t="str">
        <f>IFERROR(__xludf.DUMMYFUNCTION("""COMPUTED_VALUE"""),"Ants are highly successful invaders, especially on islands, yet undisturbed mainland environments often do not contain invasive ants, and this observation is largely attributed to biotic resistance. An exception is the incursion of Yellow crazy ant Anoplo"&amp;"lepis gracilipes within northeast Arnhem Land. The existence of A. gracilipes within this landscape's intact environments containing highly competitive ant communities indicates that biotic resistance is not a terminally inhibitory factor mediating this a"&amp;"nt's distribution at the regional scale. We test whether biotic resistance may still operate at a more local scale by assessing whether ecological impacts are proportional to habitat suitability for A. gracilipes, as well as to the competitiveness of the "&amp;"invaded ant community. The abundance and species richness of native ants were consistently greater in uninfested than infested plots but the magnitude of the impacts did not differ between habitats. The abundance and ordinal richness of other macro-invert"&amp;"ebrates were consistently lower in infested plots in all habitats. A significant negative relationship was found for native ant abundance and A. gracilipes abundance. No relationships were found between A. gracilipes abundance and any measure of other mac"&amp;"ro-invertebrates. The relative contribution of small ants (&lt; 2.5 mm) to total abundance and relative species richness was always greater in infested sites coinciding with a reduction of the contribution of the larger size classes. Differences in the relat"&amp;"ive abundance of ant functional groups between infested and uninfested sites reflected impacts according to ant size classes and ecology. The widespread scale of these incursions and non-differential level of impacts among the habitats, irrespective of na"&amp;"tive ant community competitiveness and abiotic suitability to A. gracilipes, does not support the biotic resistance hypothesis.")</f>
        <v>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v>
      </c>
      <c r="C460" s="24" t="str">
        <f>IFERROR(__xludf.DUMMYFUNCTION("""COMPUTED_VALUE"""),"10.1007/s10530-010-9701-3")</f>
        <v>10.1007/s10530-010-9701-3</v>
      </c>
      <c r="D460" s="24" t="str">
        <f>IFERROR(__xludf.DUMMYFUNCTION("""COMPUTED_VALUE"""),"Keck et al")</f>
        <v>Keck et al</v>
      </c>
      <c r="E460" s="24" t="str">
        <f>IFERROR(__xludf.DUMMYFUNCTION("""COMPUTED_VALUE"""),"WOS:000280892600023")</f>
        <v>WOS:000280892600023</v>
      </c>
      <c r="F460" s="24" t="str">
        <f>IFERROR(__xludf.DUMMYFUNCTION("""COMPUTED_VALUE"""),"[""ELIGIBLE""]")</f>
        <v>["ELIGIBLE"]</v>
      </c>
    </row>
    <row r="461">
      <c r="A461" s="24" t="str">
        <f>IFERROR(__xludf.DUMMYFUNCTION("""COMPUTED_VALUE"""),"Shared mycorrhizae but distinct communities of other root-associated microbes on co-occurring native and invasive maples")</f>
        <v>Shared mycorrhizae but distinct communities of other root-associated microbes on co-occurring native and invasive maples</v>
      </c>
      <c r="B461" s="24" t="str">
        <f>IFERROR(__xludf.DUMMYFUNCTION("""COMPUTED_VALUE"""),"Background. Biological invasions are major drivers of environmental change that can significantly alter ecosystem function and diversity. In plants, soil microbes play an important role in plant establishment and growth; however, relatively little is know"&amp;"n about the role they might play in biological invasions. A first step to assess whether root microbes may be playing a role in the invasion process is to find out if invasive plants host different microbes than neighbouring native plant species. Methods."&amp;" In this study we investigated differences in root associated microbes of native sugar maple (Acer saccharum Marsh.) and exotic Norway maple (A. platanoides L.) collected from a forested reserve in eastern Canada. We used microscopy to examine root fungi "&amp;"and high-throughput sequencing to characterize the bacterial, fungal and arbuscular mycorrhizal communities of both maple species over one growing season. Results. We found differences in root associated bacterial and fungal communities between host speci"&amp;"es. Norway maple had a higher bacterial and fungal OTU (operational taxonomic units) richness compared to sugar maple, and the indicator species analysis revealed that nine fungal OTUs and three bacterial OTUs had a significant preference for sugar maple."&amp;" The dominant bacterial phyla found on the roots of both maple species were Actinobacteria and Proteobacteria. The most common fungal orders associated with the Norway maple roots (in descending order) were Helotiales, Agaricales, Pleosporales, Hypocreale"&amp;"s, Trechisporales while the Agaricales, Pleosporales, Helotiales, Capnodiales and Hypocreales were the dominant orders present in the sugar maple roots. Dark septate fungi colonization levels were higher in the sugar maple, but no differences in arbuscula"&amp;"r mycorrhizal fungal communities and colonization rates were detected between maple species. Discussion. Our findings show that two congeneric plant species grown in close proximity can harbor distinct root microbial communities. These findings provide fu"&amp;"rther support for the importance of plant species in structuring root associated microbe communities. The high colonization levels observed in Norway maple demonstrates its compatibility with arbuscular mycorrhizal fungi in the introduced range. Plant-ass"&amp;"ociated microbial communities can affect host fitness and function in many ways; therefore, the observed differences suggest a possibility that biotic interactions can influence the dynamics between native and invasive species.")</f>
        <v>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v>
      </c>
      <c r="C461" s="24" t="str">
        <f>IFERROR(__xludf.DUMMYFUNCTION("""COMPUTED_VALUE"""),"10.7717/peerj.7295")</f>
        <v>10.7717/peerj.7295</v>
      </c>
      <c r="D461" s="24" t="str">
        <f>IFERROR(__xludf.DUMMYFUNCTION("""COMPUTED_VALUE"""),"Keck et al")</f>
        <v>Keck et al</v>
      </c>
      <c r="E461" s="24" t="str">
        <f>IFERROR(__xludf.DUMMYFUNCTION("""COMPUTED_VALUE"""),"WOS:000477791200001")</f>
        <v>WOS:000477791200001</v>
      </c>
      <c r="F461" s="24" t="str">
        <f>IFERROR(__xludf.DUMMYFUNCTION("""COMPUTED_VALUE"""),"[""ELIGIBLE""]")</f>
        <v>["ELIGIBLE"]</v>
      </c>
    </row>
    <row r="462">
      <c r="A462" s="24" t="str">
        <f>IFERROR(__xludf.DUMMYFUNCTION("""COMPUTED_VALUE"""),"The invasive herb Lupinus polyphyllus can reduce plant species richness independently of local invasion age")</f>
        <v>The invasive herb Lupinus polyphyllus can reduce plant species richness independently of local invasion age</v>
      </c>
      <c r="B462" s="24" t="str">
        <f>IFERROR(__xludf.DUMMYFUNCTION("""COMPUTED_VALUE"""),"The ecological impacts of invasive species may change or accumulate with time since local invasion, potentially inducing further changes in communities and the abiotic environment. Yet, time since invasion is rarely considered when investigating the ecolo"&amp;"gical impacts of invasive non-native species. To examine the effect of time since invasion on the ecological impacts of Lupinus polyphyllus, a perennial nitrogen-fixing herb, we surveyed vascular plant communities in the presence and absence of L. polyphy"&amp;"llus in young, intermediate, and old semi-natural grassland sites (ca. 5, 10, 15 years representing both time since lupine invasion and plant community age). We analyzed vascular plant community composition, vascular plant species richness, and the cover "&amp;"of various ecological plant groups and L. polyphyllus. In contrast to our hypotheses, we found no change in the mean cover of L. polyphyllus (about 35%) with time since local invasion, and an ordination did not suggest marked changes in plant community co"&amp;"mposition. L. polyphyllus was associated with lower species richness in invaded plant communities but this effect did not change with time since invasion. Invaded plant communities were also associated with lower occurrence of generalist, oligotrophic (lo"&amp;"w-nutrient-adapted) and copiotrophic (nutrient-demanding) species but no temporal dynamics were detected. We conclude that even the intermediate cover of L. polyphyllus can reduce plant species richness, but the ecological impact caused by this invader mi"&amp;"ght not dramatically change or accumulate with time since invasion.")</f>
        <v>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v>
      </c>
      <c r="C462" s="24" t="str">
        <f>IFERROR(__xludf.DUMMYFUNCTION("""COMPUTED_VALUE"""),"10.1007/s10530-021-02652-y")</f>
        <v>10.1007/s10530-021-02652-y</v>
      </c>
      <c r="D462" s="24" t="str">
        <f>IFERROR(__xludf.DUMMYFUNCTION("""COMPUTED_VALUE"""),"Keck et al")</f>
        <v>Keck et al</v>
      </c>
      <c r="E462" s="24" t="str">
        <f>IFERROR(__xludf.DUMMYFUNCTION("""COMPUTED_VALUE"""),"WOS:000712262800002")</f>
        <v>WOS:000712262800002</v>
      </c>
      <c r="F462" s="24" t="str">
        <f>IFERROR(__xludf.DUMMYFUNCTION("""COMPUTED_VALUE"""),"[""ELIGIBLE""]")</f>
        <v>["ELIGIBLE"]</v>
      </c>
    </row>
    <row r="463">
      <c r="A463" s="24" t="str">
        <f>IFERROR(__xludf.DUMMYFUNCTION("""COMPUTED_VALUE"""),"Pine invasion decreases density and changes native tree communities in woodland Cerrado")</f>
        <v>Pine invasion decreases density and changes native tree communities in woodland Cerrado</v>
      </c>
      <c r="B463" s="24" t="str">
        <f>IFERROR(__xludf.DUMMYFUNCTION("""COMPUTED_VALUE"""),"Background: Invasive plants can negatively impact native communities, but the majority of the effects of these invasions have been demonstrated only for temperate ecosystems. Tropical ecosystems, including the Cerrado, a biodiversity hotspot, are known to"&amp;" be invaded by numerous non-native species, but studies of their impacts are largely lacking. Aims: Our research aimed at quantifying how Pinus spp. presence and density affected Cerrado plant communities. Methods: We sampled areas invaded and non-invaded"&amp;" by Pinus spp. to determine if pine invasion affected native tree richness, diversity, evenness, and density. We also evaluated if community composition differed between invaded and non-invaded sites. Results: We found invaded plots had lower native tree "&amp;"densities than non-invaded plots and that Pinus spp. invasions changed native tree communities by reducing native species abundances. Conclusion: Invasive pines had negative impacts on the native Cerrado tree community by reducing native plant density and"&amp;" changing species abundances. Reduced density and abundance at early invasion stages can result in reduction in biodiversity in the long term.")</f>
        <v>Background: Invasive plants can negatively impact native communities, but the majority of the effects of these invasions have been demonstrated only for temperate ecosystems. Tropical ecosystems, including the Cerrado, a biodiversity hotspot, are known to be invaded by numerous non-native species, but studies of their impacts are largely lacking. Aims: Our research aimed at quantifying how Pinus spp. presence and density affected Cerrado plant communities. Methods: We sampled areas invaded and non-invaded by Pinus spp. to determine if pine invasion affected native tree richness, diversity, evenness, and density. We also evaluated if community composition differed between invaded and non-invaded sites. Results: We found invaded plots had lower native tree densities than non-invaded plots and that Pinus spp. invasions changed native tree communities by reducing native species abundances. Conclusion: Invasive pines had negative impacts on the native Cerrado tree community by reducing native plant density and changing species abundances. Reduced density and abundance at early invasion stages can result in reduction in biodiversity in the long term.</v>
      </c>
      <c r="C463" s="24" t="str">
        <f>IFERROR(__xludf.DUMMYFUNCTION("""COMPUTED_VALUE"""),"10.1080/17550874.2019.1675097")</f>
        <v>10.1080/17550874.2019.1675097</v>
      </c>
      <c r="D463" s="24" t="str">
        <f>IFERROR(__xludf.DUMMYFUNCTION("""COMPUTED_VALUE"""),"Keck et al")</f>
        <v>Keck et al</v>
      </c>
      <c r="E463" s="24" t="str">
        <f>IFERROR(__xludf.DUMMYFUNCTION("""COMPUTED_VALUE"""),"WOS:000492811100001")</f>
        <v>WOS:000492811100001</v>
      </c>
      <c r="F463" s="24" t="str">
        <f>IFERROR(__xludf.DUMMYFUNCTION("""COMPUTED_VALUE"""),"[""ELIGIBLE""]")</f>
        <v>["ELIGIBLE"]</v>
      </c>
    </row>
    <row r="464">
      <c r="A464" s="24" t="str">
        <f>IFERROR(__xludf.DUMMYFUNCTION("""COMPUTED_VALUE"""),"Assessing condition of macroinvertebrate communities and sediment toxicity in the St. Lawrence River at Massena Area-of-Concern")</f>
        <v>Assessing condition of macroinvertebrate communities and sediment toxicity in the St. Lawrence River at Massena Area-of-Concern</v>
      </c>
      <c r="B464" s="24" t="str">
        <f>IFERROR(__xludf.DUMMYFUNCTION("""COMPUTED_VALUE"""),"In 1972, the USA and Canada agreed to restore the chemical, physical, and biological integrity of the Great Lakes ecosystem under the first Great Lakes Water Quality Agreement. In subsequent amendments, part of the St. Lawrence River at Massena, New York "&amp;"and segments of three tributaries, were designated as an Area of Concern (AOC) due to the effects of polychlorinated biphenyls (PCBs), lead and copper contamination, and habitat degradation and resulting impairment to several beneficial uses. Because sedi"&amp;"ments have been largely remediated, the present study was initiated to evaluate the current status of the benthic macroinvertebrate (benthos) beneficial use impairment (BUI). Benthic macroinvertebrate communities and sediment toxicity tests using Chironom"&amp;"us dilutus were used to test the hypotheses that community condition and sediment toxicity at AOC sites were not significantly different from those of adjacent reference sites. Grain size was found to be the main driver of community composition and macroi"&amp;"nvertebrate assemblages, and bioassessment metrics did not differ significantly between AOC and reference sites of the same sediment class. Median growth of C dilutus and its survival in three of the four river systems did not differ significantly in sedi"&amp;"ments from AOC and reference sites. Comparable macroinvertebrate assemblages and general lack of toxicity across most AOC and reference sites suggest that the quality of sediments should not significantly impair benthic macroinvertebrate communities in mo"&amp;"st sites in the St. Lawrence River AOC. (C) 2016 International Association for Great Lakes Research. Published by Elsevier B.V. All rights reserved.")</f>
        <v>In 1972, the USA and Canada agreed to restore the chemical, physical, and biological integrity of the Great Lakes ecosystem under the first Great Lakes Water Quality Agreement. In subsequent amendments, part of the St. Lawrence River at Massena, New York and segments of three tributaries, were designated as an Area of Concern (AOC) due to the effects of polychlorinated biphenyls (PCBs), lead and copper contamination, and habitat degradation and resulting impairment to several beneficial uses. Because sediments have been largely remediated, the present study was initiated to evaluate the current status of the benthic macroinvertebrate (benthos) beneficial use impairment (BUI). Benthic macroinvertebrate communities and sediment toxicity tests using Chironomus dilutus were used to test the hypotheses that community condition and sediment toxicity at AOC sites were not significantly different from those of adjacent reference sites. Grain size was found to be the main driver of community composition and macroinvertebrate assemblages, and bioassessment metrics did not differ significantly between AOC and reference sites of the same sediment class. Median growth of C dilutus and its survival in three of the four river systems did not differ significantly in sediments from AOC and reference sites. Comparable macroinvertebrate assemblages and general lack of toxicity across most AOC and reference sites suggest that the quality of sediments should not significantly impair benthic macroinvertebrate communities in most sites in the St. Lawrence River AOC. (C) 2016 International Association for Great Lakes Research. Published by Elsevier B.V. All rights reserved.</v>
      </c>
      <c r="C464" s="24" t="str">
        <f>IFERROR(__xludf.DUMMYFUNCTION("""COMPUTED_VALUE"""),"10.1016/j.jglr.2016.05.001")</f>
        <v>10.1016/j.jglr.2016.05.001</v>
      </c>
      <c r="D464" s="24" t="str">
        <f>IFERROR(__xludf.DUMMYFUNCTION("""COMPUTED_VALUE"""),"Keck et al")</f>
        <v>Keck et al</v>
      </c>
      <c r="E464" s="24" t="str">
        <f>IFERROR(__xludf.DUMMYFUNCTION("""COMPUTED_VALUE"""),"WOS:000383933900020")</f>
        <v>WOS:000383933900020</v>
      </c>
      <c r="F464" s="24" t="str">
        <f>IFERROR(__xludf.DUMMYFUNCTION("""COMPUTED_VALUE"""),"[""ELIGIBLE""]")</f>
        <v>["ELIGIBLE"]</v>
      </c>
    </row>
    <row r="465">
      <c r="A465" s="24" t="str">
        <f>IFERROR(__xludf.DUMMYFUNCTION("""COMPUTED_VALUE"""),"Testing the effects of ant invasions on non-ant arthropods with high-resolution taxonomic data")</f>
        <v>Testing the effects of ant invasions on non-ant arthropods with high-resolution taxonomic data</v>
      </c>
      <c r="B465" s="24" t="str">
        <f>IFERROR(__xludf.DUMMYFUNCTION("""COMPUTED_VALUE"""),"Invasions give rise to a wide range of ecological effects. Many invasions proceed without noticeable impacts on the resident biota, whereas others shift species composition and even alter ecosystem function. Ant invasions generate a broad spectrum of ecol"&amp;"ogical effects, but controversy surrounds the extent of these impacts, especially with regard to how other arthropods are affected. This uncertainty in part results from the widespread use of low-resolution taxonomic data, which can mask the presence of o"&amp;"ther introduced species and make it difficult to isolate the effects of ant invasions on native species. Here, we use high-resolution taxonomic data to examine the effects of Argentine ant invasions on arthropods on Santa Cruz Island, California. We sampl"&amp;"ed arthropods in eight pairs of invaded and uninvaded plots and then collaborated with taxonomic experts to identify taxa in four focal groups: spiders, bark lice, beetles, and ants. Spiders, bark lice, and beetles made up; 40% of the 9868 non-ant arthrop"&amp;"od individuals sampled; the majority of focal group arthropods were putatively native taxa. Although our results indicate strong negative effects of the Argentine ant on native ants, as is well documented, invaded and uninvaded plots did not differ with r"&amp;"espect to the richness, abundance, or species composition of spiders, bark lice, and beetles. One common, introduced species of bark louse was more common in uninvaded plots than in invaded plots, and including this species into our analyses changed the r"&amp;"elationship between bark louse richness vs. L. humile abundance from no relationship to a significant negative relationship. This case illustrates how failure to differentiate native and introduced taxa can lead to erroneous conclusions about the effects "&amp;"of ant invasions. Our results caution against unqualified assertions about the effects of ant invasions on non-ant arthropods, and more generally demonstrate that accurate assessments of invasion impacts depend on adequate information about species identi"&amp;"ty.")</f>
        <v>Invasions give rise to a wide range of ecological effects. Many invasions proceed without noticeable impacts on the resident biota, whereas others shift species composition and even alter ecosystem function. Ant invasions generate a broad spectrum of ecological effects, but controversy surrounds the extent of these impacts, especially with regard to how other arthropods are affected. This uncertainty in part results from the widespread use of low-resolution taxonomic data, which can mask the presence of other introduced species and make it difficult to isolate the effects of ant invasions on native species. Here, we use high-resolution taxonomic data to examine the effects of Argentine ant invasions on arthropods on Santa Cruz Island, California. We sampled arthropods in eight pairs of invaded and uninvaded plots and then collaborated with taxonomic experts to identify taxa in four focal groups: spiders, bark lice, beetles, and ants. Spiders, bark lice, and beetles made up; 40% of the 9868 non-ant arthropod individuals sampled; the majority of focal group arthropods were putatively native taxa. Although our results indicate strong negative effects of the Argentine ant on native ants, as is well documented, invaded and uninvaded plots did not differ with respect to the richness, abundance, or species composition of spiders, bark lice, and beetles. One common, introduced species of bark louse was more common in uninvaded plots than in invaded plots, and including this species into our analyses changed the relationship between bark louse richness vs. L. humile abundance from no relationship to a significant negative relationship. This case illustrates how failure to differentiate native and introduced taxa can lead to erroneous conclusions about the effects of ant invasions. Our results caution against unqualified assertions about the effects of ant invasions on non-ant arthropods, and more generally demonstrate that accurate assessments of invasion impacts depend on adequate information about species identity.</v>
      </c>
      <c r="C465" s="24" t="str">
        <f>IFERROR(__xludf.DUMMYFUNCTION("""COMPUTED_VALUE"""),"10.1890/14-0952.1")</f>
        <v>10.1890/14-0952.1</v>
      </c>
      <c r="D465" s="24" t="str">
        <f>IFERROR(__xludf.DUMMYFUNCTION("""COMPUTED_VALUE"""),"Keck et al")</f>
        <v>Keck et al</v>
      </c>
      <c r="E465" s="24" t="str">
        <f>IFERROR(__xludf.DUMMYFUNCTION("""COMPUTED_VALUE"""),"WOS:000362532600008")</f>
        <v>WOS:000362532600008</v>
      </c>
      <c r="F465" s="24" t="str">
        <f>IFERROR(__xludf.DUMMYFUNCTION("""COMPUTED_VALUE"""),"[""ELIGIBLE""]")</f>
        <v>["ELIGIBLE"]</v>
      </c>
    </row>
    <row r="466">
      <c r="A466" s="24" t="str">
        <f>IFERROR(__xludf.DUMMYFUNCTION("""COMPUTED_VALUE"""),"MORE EXOTIC AND FEWER NATIVE PLANT SPECIES: RIVERINE VEGETATION PATTERNS ASSOCIATED WITH ALTERED SEASONAL FLOW PATTERNS")</f>
        <v>MORE EXOTIC AND FEWER NATIVE PLANT SPECIES: RIVERINE VEGETATION PATTERNS ASSOCIATED WITH ALTERED SEASONAL FLOW PATTERNS</v>
      </c>
      <c r="B466" s="24" t="str">
        <f>IFERROR(__xludf.DUMMYFUNCTION("""COMPUTED_VALUE"""),"Natural flow regimes are important for sustaining riverine vegetation. The regulation of river flows to provide water for agriculture often results in changes to flow timing. This study assesses the impact of altered seasonal flow patterns on riverine flo"&amp;"ra. Within temperate Australia, we surveyed the vegetation of five lowland rivers, three of which have large dams that alter their seasonal flow patterns; the other two are unregulated. From four to six sites were selected on each river, and these were cl"&amp;"assified into three levels of regulation based on the extent to which the timing of their seasonal flow patterns were altered. Sites were surveyed in winter and the following summer. Permanent quadrats were also established at a number of the surveyed sit"&amp;"es and resurveyed every 3months. Of the 267 plant taxa identified, 145 were exotic (non-native). More exotic taxa and fewer native taxa were associated with increasing level of seasonal flow inversion (regulation). In particular, greater numbers of short-"&amp;"lived exotic terrestrial taxa and fewer native woody taxa were associated with increasing level of regulation. Some exotic woody species (e.g. willows) were more common in the unregulated rivers and may have life-history traits favoured by the natural sea"&amp;"sonal flow patterns of study area. Multivariate analyses showed that level of regulation had a significant effect on the overall composition of the riverine vegetation. Our results provide support for the hypotheses that flow regulation adversely affects "&amp;"native species diversity and increases the vulnerability of riparian zones to invasion by exotic species; however, these effects are dependent on plant species' life-history strategies. Our study highlights the importance of natural seasonal flow patterns"&amp;" for sustaining native riverine plant communities. Flow management aimed at maintaining or restoring ecological values should consider seasonal flow patterns. Winter/spring flow peaks may be particularly important for the recruitment of native riverine pl"&amp;"ants, especially trees and shrubs, and reducing the extent of exotic annuals and grasses. Copyright (c) 2012 John Wiley &amp; Sons, Ltd.")</f>
        <v>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v>
      </c>
      <c r="C466" s="24" t="str">
        <f>IFERROR(__xludf.DUMMYFUNCTION("""COMPUTED_VALUE"""),"10.1002/rra.2571")</f>
        <v>10.1002/rra.2571</v>
      </c>
      <c r="D466" s="24" t="str">
        <f>IFERROR(__xludf.DUMMYFUNCTION("""COMPUTED_VALUE"""),"Keck et al")</f>
        <v>Keck et al</v>
      </c>
      <c r="E466" s="24" t="str">
        <f>IFERROR(__xludf.DUMMYFUNCTION("""COMPUTED_VALUE"""),"WOS:000321327000002")</f>
        <v>WOS:000321327000002</v>
      </c>
      <c r="F466" s="24" t="str">
        <f>IFERROR(__xludf.DUMMYFUNCTION("""COMPUTED_VALUE"""),"[""ELIGIBLE""]")</f>
        <v>["ELIGIBLE"]</v>
      </c>
    </row>
    <row r="467">
      <c r="A467" s="24" t="str">
        <f>IFERROR(__xludf.DUMMYFUNCTION("""COMPUTED_VALUE"""),"Diversity patterns of alien and native plant species in Trieste port area: exploring the role of urban habitats in biodiversity conservation")</f>
        <v>Diversity patterns of alien and native plant species in Trieste port area: exploring the role of urban habitats in biodiversity conservation</v>
      </c>
      <c r="B467" s="24" t="str">
        <f>IFERROR(__xludf.DUMMYFUNCTION("""COMPUTED_VALUE"""),"Nowadays, urban areas play a crucial role in biodiversity conservation and habitat protection despite the constant pressures on which these habitats are subjected. They may even host relatively new plant communities due to the peculiar ecosystem where the"&amp;"y vegetate. The port of Trieste (NE Italy) is characterized by a mixed mosaic of intensely human impacted areas (where commercial activities are still ongoing) flanked by abandoned areas where vegetation persists or has spontaneously recovered. In this st"&amp;"udy, we sampled the whole port area through a stratified random sampling by placing multiscalar nested plots in four different habitats (strata) previously identified by photo-interpretation. Plant species richness and abundance were assessed in each plot"&amp;". Each species was then classified as native or alien and patterns of species richness and complementarity were compared among habitats. Results show that there is a significant difference in species richness patterns among habitats, while observed patter"&amp;"ns are likely to vary at different spatial scales. As expected, urban plots account for most of the alien species in the sampling, while wooded plots cope better with invasion, accounting for a lower alien/native ratio. These results highlight how habitat"&amp;" diversity enhances biodiversity in urban areas and how it could provide an effective filtering effect able to reduce the spread of alien species. In addition, we provide further evidence for the use of multi-scale approaches in order to study the complex"&amp;" relationships between spatial heterogeneity and plant species richness.")</f>
        <v>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v>
      </c>
      <c r="C467" s="24" t="str">
        <f>IFERROR(__xludf.DUMMYFUNCTION("""COMPUTED_VALUE"""),"10.1007/s11252-017-0667-0")</f>
        <v>10.1007/s11252-017-0667-0</v>
      </c>
      <c r="D467" s="24" t="str">
        <f>IFERROR(__xludf.DUMMYFUNCTION("""COMPUTED_VALUE"""),"Keck et al")</f>
        <v>Keck et al</v>
      </c>
      <c r="E467" s="24" t="str">
        <f>IFERROR(__xludf.DUMMYFUNCTION("""COMPUTED_VALUE"""),"WOS:000411519400018")</f>
        <v>WOS:000411519400018</v>
      </c>
      <c r="F467" s="24" t="str">
        <f>IFERROR(__xludf.DUMMYFUNCTION("""COMPUTED_VALUE"""),"[""ELIGIBLE""]")</f>
        <v>["ELIGIBLE"]</v>
      </c>
    </row>
    <row r="468">
      <c r="A468" s="24" t="str">
        <f>IFERROR(__xludf.DUMMYFUNCTION("""COMPUTED_VALUE"""),"Structure of intertidal sessile communities before and after the invasion of Isognomon bicolor (CB Adams, 1845) (Bivalvia, Isognomonidae) in southeastern Brazil")</f>
        <v>Structure of intertidal sessile communities before and after the invasion of Isognomon bicolor (CB Adams, 1845) (Bivalvia, Isognomonidae) in southeastern Brazil</v>
      </c>
      <c r="B468" s="24" t="str">
        <f>IFERROR(__xludf.DUMMYFUNCTION("""COMPUTED_VALUE"""),"Scientists recognize the importance of ecological data prior to invasion by non-native species in order to evaluate changes in the recipient community. Here we assess the potential impact of the invasion of the bivalve Isognomon bicolor (C.B. Adams, 1845)"&amp;" on Brazilian rocky shores through the use of surveys both before and after the arrival of this non-native species. The invader was mostly distributed across the mid and low shore levels of the intertidal zone with relative abundance ranging from 9.0 to 3"&amp;"6.7 percent cover. The mid shore, previously dominated by the native barnacle Tetraclita stalactifera (Lamarck, 1818), was co-dominated by this barnacle species and I. bicolor after invasion. The relative abundance of these species, and presumably the int"&amp;"eraction strength between them, differed between sites. At the site where I. bicolor reached the highest abundance (around 30% on average), the abundance of T. stalactifera decreased on average 70% compared to baseline values obtained before the I. bicolo"&amp;"r invasion. Finally, conspicuous and extensive I. bicolor beds such as those observed in this study have not been reported in its original distribution range. Beds of I. bicolor may create a much more intricate biogenic matrix than the extents of bare roc"&amp;"k and barnacle clumps it replaced. This bivalve may act as an ecosystem engineer and, thus a functionally different component of the intertidal community in its invaded range compared to its native distribution.")</f>
        <v>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v>
      </c>
      <c r="C468" s="24" t="str">
        <f>IFERROR(__xludf.DUMMYFUNCTION("""COMPUTED_VALUE"""),"10.3391/ai.2014.9.4.04")</f>
        <v>10.3391/ai.2014.9.4.04</v>
      </c>
      <c r="D468" s="24" t="str">
        <f>IFERROR(__xludf.DUMMYFUNCTION("""COMPUTED_VALUE"""),"Keck et al")</f>
        <v>Keck et al</v>
      </c>
      <c r="E468" s="24" t="str">
        <f>IFERROR(__xludf.DUMMYFUNCTION("""COMPUTED_VALUE"""),"WOS:000345597500004")</f>
        <v>WOS:000345597500004</v>
      </c>
      <c r="F468" s="24" t="str">
        <f>IFERROR(__xludf.DUMMYFUNCTION("""COMPUTED_VALUE"""),"[""ELIGIBLE""]")</f>
        <v>["ELIGIBLE"]</v>
      </c>
    </row>
    <row r="469">
      <c r="A469" s="24" t="str">
        <f>IFERROR(__xludf.DUMMYFUNCTION("""COMPUTED_VALUE"""),"Local coexistence of native and invasive ant species is associated with micro-spatial shifts in foraging activity")</f>
        <v>Local coexistence of native and invasive ant species is associated with micro-spatial shifts in foraging activity</v>
      </c>
      <c r="B469" s="24" t="str">
        <f>IFERROR(__xludf.DUMMYFUNCTION("""COMPUTED_VALUE"""),"Invasive species often displace native species by outcompeting them. Yet, some native species can persist even in heavily invaded areas. The mechanisms mediating this local coexistence are still unclear. Fine-scale microclimatic heterogeneity could promot"&amp;"e the local coexistence of native and invasive animal competitors. We tested if native ant species could coexist with a recent ant invader, Tapinoma magnum, by shifting their foraging activity in time or space to different microclimatic conditions. We com"&amp;"pared the foraging activity of native epigeic ant species among invaded and uninvaded sites. We collected ants at baits in green spaces on the north, east, south and west sides of buildings in the morning, at noon and in the afternoon to test if native sp"&amp;"ecies foraged under different microclimatic conditions in invaded sites. Invaded sites had lower ant species richness, diversity, and relative abundance. The native black garden ant Lasius niger - one of the most widespread Palearctic ant species - persis"&amp;"ted at high densities in invaded areas but foraged less on the east side of buildings and more on the west side. Microclimatic heterogeneity might promote native and invasive species coexistence by allowing some native species to shift their foraging beha"&amp;"viour to locally avoid or outcompete invasive competitors. Better understanding how fine-scale micro-environmental heterogeneity affects native species' persistence in invaded areas could help to predict and locally mitigate the negative impacts of biolog"&amp;"ical invasions.")</f>
        <v>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v>
      </c>
      <c r="C469" s="24" t="str">
        <f>IFERROR(__xludf.DUMMYFUNCTION("""COMPUTED_VALUE"""),"10.1007/s10530-021-02678-2")</f>
        <v>10.1007/s10530-021-02678-2</v>
      </c>
      <c r="D469" s="24" t="str">
        <f>IFERROR(__xludf.DUMMYFUNCTION("""COMPUTED_VALUE"""),"Keck et al")</f>
        <v>Keck et al</v>
      </c>
      <c r="E469" s="24" t="str">
        <f>IFERROR(__xludf.DUMMYFUNCTION("""COMPUTED_VALUE"""),"WOS:000722498000003")</f>
        <v>WOS:000722498000003</v>
      </c>
      <c r="F469" s="24" t="str">
        <f>IFERROR(__xludf.DUMMYFUNCTION("""COMPUTED_VALUE"""),"[""ELIGIBLE""]")</f>
        <v>["ELIGIBLE"]</v>
      </c>
    </row>
    <row r="470">
      <c r="A470" s="24" t="str">
        <f>IFERROR(__xludf.DUMMYFUNCTION("""COMPUTED_VALUE"""),"Well-managed grassland heterogeneity promotes butterfly conservation in a corridor network")</f>
        <v>Well-managed grassland heterogeneity promotes butterfly conservation in a corridor network</v>
      </c>
      <c r="B470" s="24" t="str">
        <f>IFERROR(__xludf.DUMMYFUNCTION("""COMPUTED_VALUE"""),"Habitat degradation is a major concern in transformed landscapes, as it reduces complexity by removing species, interactions, and ultimately biodiversity. Degradation is also of concern for ecological networks (ENs) composed of an interconnected system of"&amp;" conservation corridors among South Africa's commercial forestry compartments. These corridors are predominantly grasslands, and used as rangeland, so managed to optimize grazing conditions. Yet, how this management approach influences biodiversity remain"&amp;"s unknown. Here, we studied how butterfly assemblages respond to local differences in rangeland quality (low, high and reference sites), and how this effect compared to that of local environmental variables (e.g. rockiness and bare ground), meso environme"&amp;"ntal gradients (e.g. topographic position and aspect), and landscape composition (i.e. proportion of different land cover types in the surrounding matrix). We calculated species richness and composition, Shannon's diversity index (H'), and the Butterfly C"&amp;"onservation Index (BCIn) representing the proportion of sensitive and range-restricted butterfly species per site. Rangeland quality was considered less important for butterflies than other environmental variables, but it was also significantly confounded"&amp;" with other environmental variables. At the landscape scale, proportion of grassland in the landscape matrix influenced butterfly assemblage composition, while proportion of thicket had a significant positive effect on BCIn. Moreover, the effect of elevat"&amp;"ion on assemblage composition emphasizes the value of maintaining environmental gradients within these conservation corridors. At the meso spatial scale, butterfly species richness and diversity (H') declined with increased dominance by a single plant spe"&amp;"cies, which usually occurs late in a normal fire cycle. This suggests a reliance by butterflies on recurring natural disturbances for long-term persistence. We recommend moderate patch burning and grazing, as well as occasional hot burns to reduce thicket"&amp;" in Afromontane grassland. This approach would improve local scale vegetation patterns, and increase heterogeneity across the landscape for conserving these butterflies into the future.")</f>
        <v>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v>
      </c>
      <c r="C470" s="24" t="str">
        <f>IFERROR(__xludf.DUMMYFUNCTION("""COMPUTED_VALUE"""),"10.1016/j.jenvman.2019.03.021")</f>
        <v>10.1016/j.jenvman.2019.03.021</v>
      </c>
      <c r="D470" s="24" t="str">
        <f>IFERROR(__xludf.DUMMYFUNCTION("""COMPUTED_VALUE"""),"Keck et al")</f>
        <v>Keck et al</v>
      </c>
      <c r="E470" s="24" t="str">
        <f>IFERROR(__xludf.DUMMYFUNCTION("""COMPUTED_VALUE"""),"WOS:000464296400042")</f>
        <v>WOS:000464296400042</v>
      </c>
      <c r="F470" s="24" t="str">
        <f>IFERROR(__xludf.DUMMYFUNCTION("""COMPUTED_VALUE"""),"[""ELIGIBLE""]")</f>
        <v>["ELIGIBLE"]</v>
      </c>
    </row>
    <row r="471">
      <c r="A471" s="24" t="str">
        <f>IFERROR(__xludf.DUMMYFUNCTION("""COMPUTED_VALUE"""),"IMPACTS OF XANTHIUM STRUMARIUM L. INVASION ON VASCULAR PLANT DIVERSITY IN POTHWAR REGION (PAKISTAN)")</f>
        <v>IMPACTS OF XANTHIUM STRUMARIUM L. INVASION ON VASCULAR PLANT DIVERSITY IN POTHWAR REGION (PAKISTAN)</v>
      </c>
      <c r="B471" s="24" t="str">
        <f>IFERROR(__xludf.DUMMYFUNCTION("""COMPUTED_VALUE"""),"Studies on the impacts of alien plants help to understand extent of biological invasion. Multiple analyses of diversity parameters at different locations allow general explanations of impact on species diversity and richness in plant communities. The curr"&amp;"ent study assessed impact of Xanthium strumarium invasion on native plant diversity in Pothwar region of Pakistan. The approach used for study was random samplings with two categorical factors: invaded and non-invaded plots under same habitat conditions. "&amp;"Differences in species frequency (N), species richness (R), evenness (J'), Shannon diversity index (H') and Simpson index of dominance (lambda) were compared between invaded and control plots by t-test series. Control plots harbored by average 1.3 more sp"&amp;"ecies/10m(2). The control category was more diverse (H'=2.00) than invaded category (H'=1.82). Non-invaded plots showed a higher floristic richness than invaded ones. At multivariate scale, ordination (nMDS) and ANOSIM showed significant magnitude of diff"&amp;"erences between invaded and control plots. The decrease in diversity indices in invaded over control sites indicated that plant communities become less biodiverse due to Xanthium strumarium invasion. This makes X. strumarium a candidate of consideration f"&amp;"or appropriate control measures.")</f>
        <v>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v>
      </c>
      <c r="C471" s="24" t="str">
        <f>IFERROR(__xludf.DUMMYFUNCTION("""COMPUTED_VALUE"""),"10.13133/2239-3129/14411")</f>
        <v>10.13133/2239-3129/14411</v>
      </c>
      <c r="D471" s="24" t="str">
        <f>IFERROR(__xludf.DUMMYFUNCTION("""COMPUTED_VALUE"""),"Keck et al")</f>
        <v>Keck et al</v>
      </c>
      <c r="E471" s="24" t="str">
        <f>IFERROR(__xludf.DUMMYFUNCTION("""COMPUTED_VALUE"""),"WOS:000467951700005")</f>
        <v>WOS:000467951700005</v>
      </c>
      <c r="F471" s="24" t="str">
        <f>IFERROR(__xludf.DUMMYFUNCTION("""COMPUTED_VALUE"""),"[""ELIGIBLE""]")</f>
        <v>["ELIGIBLE"]</v>
      </c>
    </row>
    <row r="472">
      <c r="A472" s="24" t="str">
        <f>IFERROR(__xludf.DUMMYFUNCTION("""COMPUTED_VALUE"""),"Strong impacts of signal crayfish invasion on upland stream fish and invertebrate communities")</f>
        <v>Strong impacts of signal crayfish invasion on upland stream fish and invertebrate communities</v>
      </c>
      <c r="B472" s="24" t="str">
        <f>IFERROR(__xludf.DUMMYFUNCTION("""COMPUTED_VALUE"""),"Impacts of invasive signal crayfishPacifastacus leniusculuson native species and ecosystems are widely recognised, but mostly through small-scale studies and laboratory experiments that may not always reflect impacts in nature. Recorded effects of signal "&amp;"crayfish on fish populations are equivocal. In this study, using the before-after/control-impact and control-impact approaches, the effects of signal crayfish invasion on native fishes, particularly benthic fishes and young-of-year (YoY) salmonids, and ma"&amp;"croinvertebrate communities, were determined on several spatial and temporal scales through three correlated study elements (S-1-S-3), in upland streams of the River Tees, England. In S-1, we sampled fish and benthic macroinvertebrates of 18 streams ident"&amp;"ically in 2011 and 2018. These streams were categorised into two groups: (1) uninvaded (without signal crayfish in both sampling years;n = 7); and (2) invaded (with signal crayfish) streams, comprising pre-invaded (invaded before 2011;n = 8) and newly inv"&amp;"aded (invaded between 2011 and 2018,n = 3). Despite similar habitat conditions in both years (all variablesp &gt; 0.05) fish and macroinvertebrate communities changed over time in pre-invaded streams and by comparison to uninvaded streams. A decline in the a"&amp;"bundance of benthic fish and YoY salmonids was observed in pre-invaded and newly invaded streams. Complete disappearance of bullheadCottus perifretumfollowing signal crayfish invasion was recorded in two pre-invaded streams. In the second study, S-2, we a"&amp;"ssessed within-stream differences in fishes and macroinvertebrates in two Tees streams by comparing sections with (invaded) and without (uninvaded) signal crayfish. Compared to uninvaded sections, taxonomic richness and abundance of fish and macroinverteb"&amp;"rates were significantly lower in invaded sections, and the overall communities also differed significantly. In S-3, long-term data series (since 1990) of water quality and macroinvertebrates of six Tees streams comprising those invaded by signal crayfish"&amp;" (n = 3) and uninvaded (n = 3) were analysed. Water quality showed little change, or an improvement, over time but significant changes in the macroinvertebrate taxonomic richness and community structure occurred following signal crayfish invasion. Long-te"&amp;"rm changes in macroinvertebrate communities in invaded streams tended to be due to declines in more sedentary taxa such as molluscs and cased trichopterans. Widespread and long-term ecological disruption is occurring because of signal crayfish invasion in"&amp;" upland streams of the Tees catchment that may lead to a complete disappearance of some benthic fish species, as well as reduced densities of YoY salmonids and a shift towards less diverse macroinvertebrate communities, dominated by more mobile, crayfish-"&amp;"resistant taxa.")</f>
        <v>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v>
      </c>
      <c r="C472" s="24" t="str">
        <f>IFERROR(__xludf.DUMMYFUNCTION("""COMPUTED_VALUE"""),"10.1111/fwb.13631")</f>
        <v>10.1111/fwb.13631</v>
      </c>
      <c r="D472" s="24" t="str">
        <f>IFERROR(__xludf.DUMMYFUNCTION("""COMPUTED_VALUE"""),"Keck et al")</f>
        <v>Keck et al</v>
      </c>
      <c r="E472" s="24" t="str">
        <f>IFERROR(__xludf.DUMMYFUNCTION("""COMPUTED_VALUE"""),"WOS:000577739600001")</f>
        <v>WOS:000577739600001</v>
      </c>
      <c r="F472" s="24" t="str">
        <f>IFERROR(__xludf.DUMMYFUNCTION("""COMPUTED_VALUE"""),"[""ELIGIBLE""]")</f>
        <v>["ELIGIBLE"]</v>
      </c>
    </row>
    <row r="473">
      <c r="A473" s="24" t="str">
        <f>IFERROR(__xludf.DUMMYFUNCTION("""COMPUTED_VALUE"""),"Legacy effects of invasive grass impact soil microbes and native shrub growth")</f>
        <v>Legacy effects of invasive grass impact soil microbes and native shrub growth</v>
      </c>
      <c r="B473" s="24" t="str">
        <f>IFERROR(__xludf.DUMMYFUNCTION("""COMPUTED_VALUE"""),"In California, invasive grasses have displaced native plants, transforming much of the endemic coastal sage scrub (CSS) to nonnative grasslands. This has occurred for several reasons, including increased competitive ability of invasive grasses and long-te"&amp;"rm alterations to the soil environment, called legacy effects. Despite the magnitude of this problem, however, it is not well understood how these legacy effects have altered the soil microbial community and, indirectly, native plant restoration. We asses"&amp;"sed the microbial composition of soils collected from an uninvaded CSS community (uninvaded soil) and a nearby 10-ha site from which the invasive grass Harding grass (Phalaris aquatica L.) was removed after 11 yr of growth (postinvasive soil). We also mea"&amp;"sured the survival rate, biomass, and length of three CSS species and P. aquatica grown in both soil types (uninvaded and postinvasive). Our findings indicate that P. aquatica may create microbial legacy effects in the soil that likely cause soil conditio"&amp;"ns inhibitory to the survival rate, biomass, and length of coastal sagebrush, but not the other two native plant species. Specifically, coastal sagebrush growth was lower in the postinvasive soil, which had more Bacteroidetes, Proteobacteria, Agrobacteriu"&amp;"m, Bradyrhizobium, Rhizobium (R. leguminosarum), Candidatus koribacter, Candidatus solibacter, and rhizophilic arbuscular mycorrhizal fungi, and fewer Planctomycetes, Acidobacteria, Nitrospira, and Rubrobacter compared with the uninvaded soil. Shifts in s"&amp;"oil microbial community composition such as these can have important implications for restoration strategies in postinvasive sites.")</f>
        <v>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v>
      </c>
      <c r="C473" s="24" t="str">
        <f>IFERROR(__xludf.DUMMYFUNCTION("""COMPUTED_VALUE"""),"10.1017/inp.2018.32")</f>
        <v>10.1017/inp.2018.32</v>
      </c>
      <c r="D473" s="24" t="str">
        <f>IFERROR(__xludf.DUMMYFUNCTION("""COMPUTED_VALUE"""),"Keck et al")</f>
        <v>Keck et al</v>
      </c>
      <c r="E473" s="24" t="str">
        <f>IFERROR(__xludf.DUMMYFUNCTION("""COMPUTED_VALUE"""),"WOS:000467922300004")</f>
        <v>WOS:000467922300004</v>
      </c>
      <c r="F473" s="24" t="str">
        <f>IFERROR(__xludf.DUMMYFUNCTION("""COMPUTED_VALUE"""),"[""ELIGIBLE""]")</f>
        <v>["ELIGIBLE"]</v>
      </c>
    </row>
    <row r="474">
      <c r="A474" s="24" t="str">
        <f>IFERROR(__xludf.DUMMYFUNCTION("""COMPUTED_VALUE"""),"THE EFFECTS OF AN INVASIVE ALIEN PLANT (CHROMOLAENA ODORATA) ON LARGE AFRICAN MAMMALS")</f>
        <v>THE EFFECTS OF AN INVASIVE ALIEN PLANT (CHROMOLAENA ODORATA) ON LARGE AFRICAN MAMMALS</v>
      </c>
      <c r="B474" s="24" t="str">
        <f>IFERROR(__xludf.DUMMYFUNCTION("""COMPUTED_VALUE"""),"Alien plants have invaded most ecosystem types (terrestrial, fresh water and marine) and are responsible for the loss of irreplaceable natural services on which humankind relies. They alter food quantity, quality and accessibility, and may result in decli"&amp;"nes in native species richness, which may ultimately. result.. in.. extinction. For an effective management of invasive alien plants, it is important to understand the effects that such plants have on all levels of biodiversity. However, the effects that "&amp;"invasive alien plants, such as the Triffid weed (Chromolaena odorata), have on mammalian biodiversity, especially large mammalian species, are not well-known, although they play major ecological roles in areas such as nutrient cycling. Also, little is kno"&amp;"wn about the recovery of the ecosystem following alien plant removal. This study investigated the effects of C. odorata invasion on large mammalian herbivores in Hluhluwe-iMfolozi Park and whether clearing of this plant helped in rehabilitating the habita"&amp;"t. We used track counts to estimate and compare species richness, diversity and abundance indices for large mammalian species between areas with differing C. odorata invasion durations (ca 2 years, ca 10 years, ca 20 years), areas with differing clearing "&amp;"times (cl &lt; 2 years, cl 3-5 years) and an area without any history of C. odorata invasion as a control. The results from this study show that large mammalian species utilised the uninvaded and the cleared areas more than the invaded areas. Species richnes"&amp;"s, abundance and diversity decreased with increasing invasion duration and cleared areas showed an increasing species richness and abundance. We conclude that this invasive alien plant modifies habitats and their removal does aid in the restoration of the"&amp;" ecosystem.")</f>
        <v>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v>
      </c>
      <c r="C474" s="24" t="str">
        <f>IFERROR(__xludf.DUMMYFUNCTION("""COMPUTED_VALUE"""),"10.24189/ncr.2017.048")</f>
        <v>10.24189/ncr.2017.048</v>
      </c>
      <c r="D474" s="24" t="str">
        <f>IFERROR(__xludf.DUMMYFUNCTION("""COMPUTED_VALUE"""),"Keck et al")</f>
        <v>Keck et al</v>
      </c>
      <c r="E474" s="24" t="str">
        <f>IFERROR(__xludf.DUMMYFUNCTION("""COMPUTED_VALUE"""),"WOS:000430588400009")</f>
        <v>WOS:000430588400009</v>
      </c>
      <c r="F474" s="24" t="str">
        <f>IFERROR(__xludf.DUMMYFUNCTION("""COMPUTED_VALUE"""),"[""ELIGIBLE""]")</f>
        <v>["ELIGIBLE"]</v>
      </c>
    </row>
    <row r="475">
      <c r="A475" s="24" t="str">
        <f>IFERROR(__xludf.DUMMYFUNCTION("""COMPUTED_VALUE"""),"Non-indigenous macroalga hosts different epiphytic assemblages to conspecific natives in southeast Australia")</f>
        <v>Non-indigenous macroalga hosts different epiphytic assemblages to conspecific natives in southeast Australia</v>
      </c>
      <c r="B475" s="24" t="str">
        <f>IFERROR(__xludf.DUMMYFUNCTION("""COMPUTED_VALUE"""),"Codium fragile ssp. tomentosoides is one of the five most invasive macroalgae worldwide. We compared epiphytic assemblages between native (ssp. tasmanicum and ssp. novae-zelandiae combined) and non-indigenous (ssp. tomentosoides) subspecies of Codium frag"&amp;"ile on three rocky intertidal shores in southeast Australia. Twelve species of epiphytes covered up to 20% of the surface of both native and non-indigenous Codium subspecies, but none were unique to either subspecies. For C. fragile subspecies, epiphytic "&amp;"cover declined from the lower (older) parts of the thallus to the branch tips. The abundance and species composition of epiphytes differed significantly between native and non-indigenous C. fragile, but differences varied among rocky shores. Results demon"&amp;"strate that non-indigenous C. fragile does not play a functionally similar role to closely related native Codium subspecies. Spatial differences in epiphytic assemblages between Codium subspecies among rocky shores demonstrate that effects of non-indigeno"&amp;"us species may be strongly location specific. Thus, our study emphasises the need to investigate variation in the effects of invaders across the regional landscape.")</f>
        <v>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v>
      </c>
      <c r="C475" s="24" t="str">
        <f>IFERROR(__xludf.DUMMYFUNCTION("""COMPUTED_VALUE"""),"10.1007/s00227-010-1391-y")</f>
        <v>10.1007/s00227-010-1391-y</v>
      </c>
      <c r="D475" s="24" t="str">
        <f>IFERROR(__xludf.DUMMYFUNCTION("""COMPUTED_VALUE"""),"Keck et al")</f>
        <v>Keck et al</v>
      </c>
      <c r="E475" s="24" t="str">
        <f>IFERROR(__xludf.DUMMYFUNCTION("""COMPUTED_VALUE"""),"WOS:000276610000016")</f>
        <v>WOS:000276610000016</v>
      </c>
      <c r="F475" s="24" t="str">
        <f>IFERROR(__xludf.DUMMYFUNCTION("""COMPUTED_VALUE"""),"[""ELIGIBLE""]")</f>
        <v>["ELIGIBLE"]</v>
      </c>
    </row>
    <row r="476">
      <c r="A476" s="24" t="str">
        <f>IFERROR(__xludf.DUMMYFUNCTION("""COMPUTED_VALUE"""),"Invasion Impact Analysis of Broussonetia papyrifera in Pakistan")</f>
        <v>Invasion Impact Analysis of Broussonetia papyrifera in Pakistan</v>
      </c>
      <c r="B476" s="24" t="str">
        <f>IFERROR(__xludf.DUMMYFUNCTION("""COMPUTED_VALUE"""),"Phytosociological studies help to understand extent of biological invasion. The current study assessed impact of Broussonetia papyrifera invasion on native vegetation in Pothwar region of Pakistan. The approach used for study was random samplings with two"&amp;" categorical factors; invaded and non-invaded (control) under same habitat conditions. Differences in number of species (S), abundance (N), species richness (R), evenness (J'), Shannon diversity index (H') and Simpson index of dominance (lambda) were comp"&amp;"ared between invaded and control plots by t-test series. Control plots harbored by average of 1.28 more species per 10 m(2). The control category was diverse (H' = 2.15) than invaded category (H' = 1.65). The higher value of species richness in control pl"&amp;"ots shows heterogeneous nature of communities and vice versa in invaded plots. The lower value of index of dominance in invaded plots shows less sample diversity than control ones. This decrease in number of species directly affects a-diversity in invaded"&amp;" plots. At multivariate scale, ordination (nMDS) and ANOSIM showed significant magnitude of differences between invaded and control plots in all sites. The decrease in diversity indices in invaded indicated that plant communities become less productive du"&amp;"e to Paper mulberry invasion. This makes B. papyrifera candidate of consideration for appropriate control measures.")</f>
        <v>Phytosociological studies help to understand extent of biological invasion. The current study assessed impact of Broussonetia papyrifera invasion on native vegetation in Pothwar region of Pakistan. The approach used for study was random samplings with two categorical factors; invaded and non-invaded (control) under same habitat conditions. Differences in number of species (S), abundance (N), species richness (R), evenness (J'), Shannon diversity index (H') and Simpson index of dominance (lambda) were compared between invaded and control plots by t-test series. Control plots harbored by average of 1.28 more species per 10 m(2). The control category was diverse (H' = 2.15) than invaded category (H' = 1.65). The higher value of species richness in control plots shows heterogeneous nature of communities and vice versa in invaded plots. The lower value of index of dominance in invaded plots shows less sample diversity than control ones. This decrease in number of species directly affects a-diversity in invaded plots. At multivariate scale, ordination (nMDS) and ANOSIM showed significant magnitude of differences between invaded and control plots in all sites. The decrease in diversity indices in invaded indicated that plant communities become less productive due to Paper mulberry invasion. This makes B. papyrifera candidate of consideration for appropriate control measures.</v>
      </c>
      <c r="C476" s="24" t="str">
        <f>IFERROR(__xludf.DUMMYFUNCTION("""COMPUTED_VALUE"""),"10.15244/pjoes/111320")</f>
        <v>10.15244/pjoes/111320</v>
      </c>
      <c r="D476" s="24" t="str">
        <f>IFERROR(__xludf.DUMMYFUNCTION("""COMPUTED_VALUE"""),"Keck et al")</f>
        <v>Keck et al</v>
      </c>
      <c r="E476" s="24" t="str">
        <f>IFERROR(__xludf.DUMMYFUNCTION("""COMPUTED_VALUE"""),"WOS:000527787100029")</f>
        <v>WOS:000527787100029</v>
      </c>
      <c r="F476" s="24" t="str">
        <f>IFERROR(__xludf.DUMMYFUNCTION("""COMPUTED_VALUE"""),"[""ELIGIBLE""]")</f>
        <v>["ELIGIBLE"]</v>
      </c>
    </row>
    <row r="477">
      <c r="A477" s="24" t="str">
        <f>IFERROR(__xludf.DUMMYFUNCTION("""COMPUTED_VALUE"""),"From forest to farmland:: Species richness patterns of trees and understorey plants along a gradient of forest conversion in southwestern Cameroon")</f>
        <v>From forest to farmland:: Species richness patterns of trees and understorey plants along a gradient of forest conversion in southwestern Cameroon</v>
      </c>
      <c r="B477" s="24" t="str">
        <f>IFERROR(__xludf.DUMMYFUNCTION("""COMPUTED_VALUE"""),"Vegetation surveys were carried out at 24 sampling stations distributed over four land use types, namely near-primary forest, secondary forest, agroforestry systems and annual crop lands in the northeastern part of the Korup region, Cameroon, to assess th"&amp;"e impact of forest conversion on trees and understorey plants. Tree species richness decreased significantly with increasing level of habitat modification, being highest and almost equal in secondary and near-primary forests. Understorey plant species ric"&amp;"hness was significantly higher in annual crop lands than in other land use types. The four land use types differed in tree and understorey plant species composition, the difference being smaller among natural forests. Tree and understorey plant density di"&amp;"ffered significantly between habitat types. Density was strongly correlated with species richness, both for trees and understorey plants. Five tree and 15 understorey plant species showed significant responses to habitat. A 90% average drop in tree basal "&amp;"area from forest to farmland was registered. Our findings support the view that agroforestry systems with natural shade trees can serve to protect many forest species, but that especially annual crop lands could be redesigned to improve biodiversity conse"&amp;"rvation in agricultural landscapes of tropical rainforest regions.")</f>
        <v>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v>
      </c>
      <c r="C477" s="24" t="str">
        <f>IFERROR(__xludf.DUMMYFUNCTION("""COMPUTED_VALUE"""),"10.1007/s10531-005-3368-6")</f>
        <v>10.1007/s10531-005-3368-6</v>
      </c>
      <c r="D477" s="24" t="str">
        <f>IFERROR(__xludf.DUMMYFUNCTION("""COMPUTED_VALUE"""),"Keck et al")</f>
        <v>Keck et al</v>
      </c>
      <c r="E477" s="24" t="str">
        <f>IFERROR(__xludf.DUMMYFUNCTION("""COMPUTED_VALUE"""),"WOS:000242418500005")</f>
        <v>WOS:000242418500005</v>
      </c>
      <c r="F477" s="24" t="str">
        <f>IFERROR(__xludf.DUMMYFUNCTION("""COMPUTED_VALUE"""),"[""ELIGIBLE""]")</f>
        <v>["ELIGIBLE"]</v>
      </c>
    </row>
    <row r="478">
      <c r="A478" s="24" t="str">
        <f>IFERROR(__xludf.DUMMYFUNCTION("""COMPUTED_VALUE"""),"Severity of impacts of an introduced species corresponds with regional eco-evolutionary experience")</f>
        <v>Severity of impacts of an introduced species corresponds with regional eco-evolutionary experience</v>
      </c>
      <c r="B478" s="24" t="str">
        <f>IFERROR(__xludf.DUMMYFUNCTION("""COMPUTED_VALUE"""),"Invasive plant impacts vary widely across introduced ranges. We tested the hypothesis that differences in the eco-evolutionary experience of native communities with the invader correspond with the impacts of invasive species on native vegetation, with imp"&amp;"acts increasing with ecological novelty. We compared plant species richness and composition beneath Pinus contorta to that in adjacent vegetation and other P. contorta stands across a network of sites in its native (Canada and USA) and non-native (Argenti"&amp;"na, Chile, Finland, New Zealand, Scotland, Sweden) ranges. At sites in North America and Europe, within the natural distribution of the genus Pinus, P. contorta was not associated with decreases in diversity. In the Southern Hemisphere, where there are no"&amp;" native Pinaceae, plant communities beneath P. contorta were less diverse than in other regions and compared to uninvaded native vegetation. Effects on native vegetation were particularly pronounced where P. contorta was a more novel life form and exhibit"&amp;"ed higher growth rates. Our results support the hypothesis that the eco-evolutionary experience of the native vegetation, and thus the novelty of the invader, determines the magnitude of invader impacts on native communities. Understanding the eco-evoluti"&amp;"onary context of invasions will help to better understand and predict where invasion impacts will be greatest and to prioritize invasive species management.")</f>
        <v>Invasive plant impacts vary widely across introduced ranges. We tested the hypothesis that differences in the eco-evolutionary experience of native communities with the invader correspond with the impacts of invasive species on native vegetation, with impacts increasing with ecological novelty. We compared plant species richness and composition beneath Pinus contorta to that in adjacent vegetation and other P. contorta stands across a network of sites in its native (Canada and USA) and non-native (Argentina, Chile, Finland, New Zealand, Scotland, Sweden) ranges. At sites in North America and Europe, within the natural distribution of the genus Pinus, P. contorta was not associated with decreases in diversity. In the Southern Hemisphere, where there are no native Pinaceae, plant communities beneath P. contorta were less diverse than in other regions and compared to uninvaded native vegetation. Effects on native vegetation were particularly pronounced where P. contorta was a more novel life form and exhibited higher growth rates. Our results support the hypothesis that the eco-evolutionary experience of the native vegetation, and thus the novelty of the invader, determines the magnitude of invader impacts on native communities. Understanding the eco-evolutionary context of invasions will help to better understand and predict where invasion impacts will be greatest and to prioritize invasive species management.</v>
      </c>
      <c r="C478" s="24" t="str">
        <f>IFERROR(__xludf.DUMMYFUNCTION("""COMPUTED_VALUE"""),"10.1111/ecog.04014")</f>
        <v>10.1111/ecog.04014</v>
      </c>
      <c r="D478" s="24" t="str">
        <f>IFERROR(__xludf.DUMMYFUNCTION("""COMPUTED_VALUE"""),"Keck et al")</f>
        <v>Keck et al</v>
      </c>
      <c r="E478" s="24" t="str">
        <f>IFERROR(__xludf.DUMMYFUNCTION("""COMPUTED_VALUE"""),"WOS:000454810100002")</f>
        <v>WOS:000454810100002</v>
      </c>
      <c r="F478" s="24" t="str">
        <f>IFERROR(__xludf.DUMMYFUNCTION("""COMPUTED_VALUE"""),"[""ELIGIBLE""]")</f>
        <v>["ELIGIBLE"]</v>
      </c>
    </row>
    <row r="479">
      <c r="A479" s="24" t="str">
        <f>IFERROR(__xludf.DUMMYFUNCTION("""COMPUTED_VALUE"""),"Native and introduced land snail species as ecological indicators in different land use types in Java")</f>
        <v>Native and introduced land snail species as ecological indicators in different land use types in Java</v>
      </c>
      <c r="B479" s="24" t="str">
        <f>IFERROR(__xludf.DUMMYFUNCTION("""COMPUTED_VALUE"""),"We investigated the effects of different land use types and environmental parameters on the number and abundance of native and introduced land snail species in East Java. 2919 specimens were sampled and assigned to 55 species of which 8 are introduced. Wh"&amp;"ereas species richness was highest in primary forest, the highest number of introduced species was found in agroforest. The snail assemblages in different habitat types differ much clearer in composition than in total species richness. Plantations and agr"&amp;"oforest are dominated by introduced pulmonates with regard to number of individuals, while primary forest is dominated by native prosobranchs. The habitat requirements of the introduced pulmonates differ from those of the native species. In the study area"&amp;", the abundance of native as well as introduced pulmonate species increased with increasing human impact. However, the abundance of introduced pulmonate species decreased with increasing density of the canopy cover, whereas the abundance of native pulmona"&amp;"te species increased with increasing canopy cover. The abundance of native prosobranch land snails also tends to increase with increasing canopy cover and with the availability of deadwood, but decreased with increasing human impact. Improving the canopy "&amp;"cover and retaining deadwood in plantations and agroforests might help to control the populations of introduced species or even prevent their establishment in these habitats. Land snails are good indicators for the long-term stability of natural habitats,"&amp;" because several species are restricted to undisturbed natural habitats and because of their low dispersal abilities. However, complete inventories of land snail species are costly. Therefore we propose two indices that can be scored with much less effort"&amp;", namely the percentage of prosobranch individuals and the percentage of individuals of introduced species. Both indices are significantly correlated with the number of native species. Dense plantations and agroforests bordering primary forests may protec"&amp;"t the latter from introduced species and help to conserve the native fauna by reducing desiccation and buffering the human impact on the primary forests. (C) 2016 The Authors. Published by Elsevier Ltd.")</f>
        <v>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v>
      </c>
      <c r="C479" s="24" t="str">
        <f>IFERROR(__xludf.DUMMYFUNCTION("""COMPUTED_VALUE"""),"10.1016/j.ecolind.2016.05.013")</f>
        <v>10.1016/j.ecolind.2016.05.013</v>
      </c>
      <c r="D479" s="24" t="str">
        <f>IFERROR(__xludf.DUMMYFUNCTION("""COMPUTED_VALUE"""),"Keck et al")</f>
        <v>Keck et al</v>
      </c>
      <c r="E479" s="24" t="str">
        <f>IFERROR(__xludf.DUMMYFUNCTION("""COMPUTED_VALUE"""),"WOS:000388785200050")</f>
        <v>WOS:000388785200050</v>
      </c>
      <c r="F479" s="24" t="str">
        <f>IFERROR(__xludf.DUMMYFUNCTION("""COMPUTED_VALUE"""),"[""ELIGIBLE""]")</f>
        <v>["ELIGIBLE"]</v>
      </c>
    </row>
    <row r="480">
      <c r="A480" s="24" t="str">
        <f>IFERROR(__xludf.DUMMYFUNCTION("""COMPUTED_VALUE"""),"How might intensification of farming influence dung beetle diversity (Coleoptera: Scarabaeidae) in Maputo Special Reserve (Mozambique)?")</f>
        <v>How might intensification of farming influence dung beetle diversity (Coleoptera: Scarabaeidae) in Maputo Special Reserve (Mozambique)?</v>
      </c>
      <c r="B480" s="24" t="str">
        <f>IFERROR(__xludf.DUMMYFUNCTION("""COMPUTED_VALUE"""),"There are concerns over the increasing encroachment of humans, domestic livestock, and farming onto Maputo Special Reserve because of the potential for habitat modification. Therefore, differences between an undisturbed area of the reserve and a neighbour"&amp;"ing farming area are assessed using dung beetle as indicators. In each of the two areas, pig-dung-baited pitfall traps were used to sample dung beetle assemblages in two contrasting habitats, grassland and forest. Distributional analysis of the 57 species"&amp;" and 36 942 individuals that were captured, showed that species richness, species turnover, relative abundance patterns, and biogeographical composition differed strongly between both habitats and areas under different land usage. However, in analyses tha"&amp;"t apportion variation, the greatest amounts were related to habitat rather than land usage. Even so, in both habitats, the total and mean number of species per trap was higher in the farmed area than in the reserve although this was a significant trend on"&amp;"ly in grassland. Furthermore, in grassland, widespread species were better represented in the farmed area than in the reserve whereas in forest, widespread species were poorly represented compared to grassland. Also in forest, Maputaland endemics were bet"&amp;"ter represented in the reserve than in the farmed area. Further work is necessary to separate the different geographical, ecological, and land usage factors responsible for the patterns detected in this preliminary study. Even so, there are clearly differ"&amp;"ences between the Maputo Special Reserve and the farmed area.")</f>
        <v>There are concerns over the increasing encroachment of humans, domestic livestock, and farming onto Maputo Special Reserve because of the potential for habitat modification. Therefore, differences between an undisturbed area of the reserve and a neighbouring farming area are assessed using dung beetle as indicators. In each of the two areas, pig-dung-baited pitfall traps were used to sample dung beetle assemblages in two contrasting habitats, grassland and forest. Distributional analysis of the 57 species and 36 942 individuals that were captured, showed that species richness, species turnover, relative abundance patterns, and biogeographical composition differed strongly between both habitats and areas under different land usage. However, in analyses that apportion variation, the greatest amounts were related to habitat rather than land usage. Even so, in both habitats, the total and mean number of species per trap was higher in the farmed area than in the reserve although this was a significant trend only in grassland. Furthermore, in grassland, widespread species were better represented in the farmed area than in the reserve whereas in forest, widespread species were poorly represented compared to grassland. Also in forest, Maputaland endemics were better represented in the reserve than in the farmed area. Further work is necessary to separate the different geographical, ecological, and land usage factors responsible for the patterns detected in this preliminary study. Even so, there are clearly differences between the Maputo Special Reserve and the farmed area.</v>
      </c>
      <c r="C480" s="24" t="str">
        <f>IFERROR(__xludf.DUMMYFUNCTION("""COMPUTED_VALUE"""),"10.1007/s10841-010-9270-x")</f>
        <v>10.1007/s10841-010-9270-x</v>
      </c>
      <c r="D480" s="24" t="str">
        <f>IFERROR(__xludf.DUMMYFUNCTION("""COMPUTED_VALUE"""),"Keck et al")</f>
        <v>Keck et al</v>
      </c>
      <c r="E480" s="24" t="str">
        <f>IFERROR(__xludf.DUMMYFUNCTION("""COMPUTED_VALUE"""),"WOS:000279310800007")</f>
        <v>WOS:000279310800007</v>
      </c>
      <c r="F480" s="24" t="str">
        <f>IFERROR(__xludf.DUMMYFUNCTION("""COMPUTED_VALUE"""),"[""ELIGIBLE""]")</f>
        <v>["ELIGIBLE"]</v>
      </c>
    </row>
    <row r="481">
      <c r="A481" s="24" t="str">
        <f>IFERROR(__xludf.DUMMYFUNCTION("""COMPUTED_VALUE"""),"Experimental removal of the invasive Caulerpa racemosa triggers partial assemblage recovery")</f>
        <v>Experimental removal of the invasive Caulerpa racemosa triggers partial assemblage recovery</v>
      </c>
      <c r="B481" s="24" t="str">
        <f>IFERROR(__xludf.DUMMYFUNCTION("""COMPUTED_VALUE"""),"The invasive species Caulerpa racemosa var. cylindracea represents a serious threat to the diversity of benthic assemblages in the Mediterranean Sea. In the present study, a removal experiment was carried out to test whether, after 18 months of C. racemos"&amp;"a var. cylindracea exclusion, the macrophyte assemblage resembled a non-invaded assemblage. The results show that in the assemblage invaded by C. racemosa var. cylindracea the number of species, macrophyte cover, Shannon diversity and Pielou's evenness we"&amp;"re lower than in the non-invaded assemblage. Erect perennial species were particularly affected and other introduced species were significantly reduced or completely excluded. After 18 months of removal/exclusion of C. racemosa var. cylindracea, only part"&amp;"ial recovery of the macrophyte assemblage could be observed. Species numbers, total cover and erect perennial species cover were still significantly lower than in the non-invaded plots. However Shannon diversity and Pielou's evenness had reached comparabl"&amp;"e levels. In contrast to native macrophytes, the total cover of other introduced species reached a level comparable to the non-invaded plots. In summary, the present study revealed that after 18 months of C. racemosa var. cylindracea exclusion: (i) only p"&amp;"artial recovery of the macrophyte assemblage occurred; and (ii) the development of other invasive species was favoured by the absence of C. racemosa var. cylindracea (Sisyphus effect).")</f>
        <v>The invasive species Caulerpa racemosa var. cylindracea represents a serious threat to the diversity of benthic assemblages in the Mediterranean Sea. In the present study, a removal experiment was carried out to test whether, after 18 months of C. racemosa var. cylindracea exclusion, the macrophyte assemblage resembled a non-invaded assemblage. The results show that in the assemblage invaded by C. racemosa var. cylindracea the number of species, macrophyte cover, Shannon diversity and Pielou's evenness were lower than in the non-invaded assemblage. Erect perennial species were particularly affected and other introduced species were significantly reduced or completely excluded. After 18 months of removal/exclusion of C. racemosa var. cylindracea, only partial recovery of the macrophyte assemblage could be observed. Species numbers, total cover and erect perennial species cover were still significantly lower than in the non-invaded plots. However Shannon diversity and Pielou's evenness had reached comparable levels. In contrast to native macrophytes, the total cover of other introduced species reached a level comparable to the non-invaded plots. In summary, the present study revealed that after 18 months of C. racemosa var. cylindracea exclusion: (i) only partial recovery of the macrophyte assemblage occurred; and (ii) the development of other invasive species was favoured by the absence of C. racemosa var. cylindracea (Sisyphus effect).</v>
      </c>
      <c r="C481" s="24" t="str">
        <f>IFERROR(__xludf.DUMMYFUNCTION("""COMPUTED_VALUE"""),"10.1017/S0025315410000792")</f>
        <v>10.1017/S0025315410000792</v>
      </c>
      <c r="D481" s="24" t="str">
        <f>IFERROR(__xludf.DUMMYFUNCTION("""COMPUTED_VALUE"""),"Keck et al")</f>
        <v>Keck et al</v>
      </c>
      <c r="E481" s="24" t="str">
        <f>IFERROR(__xludf.DUMMYFUNCTION("""COMPUTED_VALUE"""),"WOS:000287282500011")</f>
        <v>WOS:000287282500011</v>
      </c>
      <c r="F481" s="24" t="str">
        <f>IFERROR(__xludf.DUMMYFUNCTION("""COMPUTED_VALUE"""),"[""ELIGIBLE""]")</f>
        <v>["ELIGIBLE"]</v>
      </c>
    </row>
    <row r="482">
      <c r="A482" s="24" t="str">
        <f>IFERROR(__xludf.DUMMYFUNCTION("""COMPUTED_VALUE"""),"Effects ofAgeratina adenophoraInvasion on the Understory Community and Soil Phosphorus Characteristics of Different Forest Types in Southwest China")</f>
        <v>Effects ofAgeratina adenophoraInvasion on the Understory Community and Soil Phosphorus Characteristics of Different Forest Types in Southwest China</v>
      </c>
      <c r="B482" s="24" t="str">
        <f>IFERROR(__xludf.DUMMYFUNCTION("""COMPUTED_VALUE"""),"Understanding the influence of invasive species on community composition and ecosystem properties is necessary to maintain ecosystem functions. However, little is known about how understory plant communities and soil nutrients respond to invasion under di"&amp;"fferent land cover types. Here, we investigated the effects of the invasive speciesAgeratina adenophoraon the species and functional diversity of understory communities and on soil phosphorus (P) status in three forest types: CF, coniferous forest; MF, co"&amp;"niferous and broadleaf mixed forest; and EBF, evergreen broadleaf forest. We found that the species and functional diversity indices of the understory community significantly varied by forest type. Among the invaded plots, the greatest decrease in functio"&amp;"nal diversity (functional richness, functional divergence, and functional dispersion) and biotic homogenization were found in the CF rather than the MF or EBF. In addition, the invasion byA. adenophorasignificantly increased the soil NaHCO3-extractable in"&amp;"organic P and organic P in the MF and EBF, respectively, while obviously decreasing the soil maximum P sorption capacity and maximum buffering capacity in the CF. However, the changes in the species and functional attributes of the understory communities "&amp;"were weakly associated with changes in the soil P status, probably because of the different response times to invasion in different forest types. The implication of these changes for ecosystem structure and function must be separately considered when pred"&amp;"icting and managing invasion at a landscape scale.")</f>
        <v>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v>
      </c>
      <c r="C482" s="24" t="str">
        <f>IFERROR(__xludf.DUMMYFUNCTION("""COMPUTED_VALUE"""),"10.3390/f11080806")</f>
        <v>10.3390/f11080806</v>
      </c>
      <c r="D482" s="24" t="str">
        <f>IFERROR(__xludf.DUMMYFUNCTION("""COMPUTED_VALUE"""),"Keck et al")</f>
        <v>Keck et al</v>
      </c>
      <c r="E482" s="24" t="str">
        <f>IFERROR(__xludf.DUMMYFUNCTION("""COMPUTED_VALUE"""),"WOS:000565601200001")</f>
        <v>WOS:000565601200001</v>
      </c>
      <c r="F482" s="24" t="str">
        <f>IFERROR(__xludf.DUMMYFUNCTION("""COMPUTED_VALUE"""),"[""ELIGIBLE""]")</f>
        <v>["ELIGIBLE"]</v>
      </c>
    </row>
    <row r="483">
      <c r="A483" s="24" t="str">
        <f>IFERROR(__xludf.DUMMYFUNCTION("""COMPUTED_VALUE"""),"The invasive tropical tanner grass decreases diversity of the native aquatic macrophyte community at two scales in a subtropical tidal river")</f>
        <v>The invasive tropical tanner grass decreases diversity of the native aquatic macrophyte community at two scales in a subtropical tidal river</v>
      </c>
      <c r="B483" s="24" t="str">
        <f>IFERROR(__xludf.DUMMYFUNCTION("""COMPUTED_VALUE"""),"The tropical tanner grass, Urochloa arrecta, is one of the worst aquatic plant invaders in Brazilian freshwater ecosystems. This study aimed to compare beds of macrophytes dominated and without U. arrecta in the Guaraguacu River, a subtropical tidal river"&amp;" in South Brazil, to analyze effects that this invasive grass has on the biodiversity of native macrophytes at two spatial scales. We compared macrophyte beds dominated by tanner grass to macrophyte beds without, considering species richness, composition,"&amp;" and beta diversity at two scales of variation: among-beds and within-beds. We expected that beds dominated by tanner grass would have lower biodiversity, thus promoting macrophyte biotic homogenization. Our results confirmed our hypotheses, highlighting "&amp;"the lower species richness in beds dominated by tanner grass. Species composition differed among beds. In general, nestedness among beds dominated by U. arrecta was more related to variation in species composition. Beds dominated by tanner grass had lower"&amp;" turnover and higher nestedness within beds. This study indicates a prominent sign of biotic homogenization promoted by U. arrecta, and highlights the degree of biotic homogenization among and within beds.")</f>
        <v>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v>
      </c>
      <c r="C483" s="24" t="str">
        <f>IFERROR(__xludf.DUMMYFUNCTION("""COMPUTED_VALUE"""),"10.1590/0102-33062020abb0360")</f>
        <v>10.1590/0102-33062020abb0360</v>
      </c>
      <c r="D483" s="24" t="str">
        <f>IFERROR(__xludf.DUMMYFUNCTION("""COMPUTED_VALUE"""),"Keck et al")</f>
        <v>Keck et al</v>
      </c>
      <c r="E483" s="24" t="str">
        <f>IFERROR(__xludf.DUMMYFUNCTION("""COMPUTED_VALUE"""),"WOS:000686272700016")</f>
        <v>WOS:000686272700016</v>
      </c>
      <c r="F483" s="24" t="str">
        <f>IFERROR(__xludf.DUMMYFUNCTION("""COMPUTED_VALUE"""),"[""ELIGIBLE""]")</f>
        <v>["ELIGIBLE"]</v>
      </c>
    </row>
    <row r="484">
      <c r="A484" s="24" t="str">
        <f>IFERROR(__xludf.DUMMYFUNCTION("""COMPUTED_VALUE"""),"Moss invasion in a dune ecosystem influences ground-dwelling arthropod community structure and reduces soil biological activity")</f>
        <v>Moss invasion in a dune ecosystem influences ground-dwelling arthropod community structure and reduces soil biological activity</v>
      </c>
      <c r="B484" s="24" t="str">
        <f>IFERROR(__xludf.DUMMYFUNCTION("""COMPUTED_VALUE"""),"One of the most invasive moss species worldwide is Campylopus introflexus, which can change vegetation and habitat conditions of native ecosystems (dunes, heathland). However, the impact of the moss on the community structure of multiple arthropod taxa an"&amp;"d ecosystem functions is still poorly understood. For a better understanding of impacts of invasive species, scientific studies are needed which explicitly define the investigated impact. We defined impact based on the most recently recommended categories"&amp;": 'directionality', 'classification and measurement', 'ecological or socio-economic changes', and 'scale'. We investigated the impact of C. introflexus on a wide range of ground-dwelling arthropods (pitfall traps) and on soil biological activity (bait-lam"&amp;"ina test) by comparing invaded and uninvaded grey dunes in a field observational study on the island of Hiddensee, Germany. We found that the moss and the associated habitat modifications influenced the arthropod community structure. The effects on arthro"&amp;"pod densities were taxon-specific and were positive (Coleoptera, Formicidae, Opiliones) or neutral (Araneae, Orthoptera). For Collembola and Isopoda we assumed an indirectly negative effect of the moss due to associated lower field layer cover and soil mo"&amp;"isture. C. introflexus drastically reduced the soil biological activity, which was about six times lower in invaded grey dunes. The reduced soil moisture associated with the moss invasion was identified as the main driver of the shifts in community struct"&amp;"ure and soil biological activity. By explicitly defining 'impact' in our study, we add to recent discussions within invasion ecology about invasive species impacts. Our study demonstrates the importance of cross-taxon approaches which include key ecosyste"&amp;"m processes such as soil biological activity and therefore contributes to the progress towards the general understanding of plant invasion impacts.")</f>
        <v>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v>
      </c>
      <c r="C484" s="24" t="str">
        <f>IFERROR(__xludf.DUMMYFUNCTION("""COMPUTED_VALUE"""),"10.1007/s10530-015-0971-7")</f>
        <v>10.1007/s10530-015-0971-7</v>
      </c>
      <c r="D484" s="24" t="str">
        <f>IFERROR(__xludf.DUMMYFUNCTION("""COMPUTED_VALUE"""),"Keck et al")</f>
        <v>Keck et al</v>
      </c>
      <c r="E484" s="24" t="str">
        <f>IFERROR(__xludf.DUMMYFUNCTION("""COMPUTED_VALUE"""),"WOS:000363482600010")</f>
        <v>WOS:000363482600010</v>
      </c>
      <c r="F484" s="24" t="str">
        <f>IFERROR(__xludf.DUMMYFUNCTION("""COMPUTED_VALUE"""),"[""ELIGIBLE""]")</f>
        <v>["ELIGIBLE"]</v>
      </c>
    </row>
    <row r="485">
      <c r="A485" s="24" t="str">
        <f>IFERROR(__xludf.DUMMYFUNCTION("""COMPUTED_VALUE"""),"Effects of repeated fires on native plant community development at Hawaii Volcanoes National Park")</f>
        <v>Effects of repeated fires on native plant community development at Hawaii Volcanoes National Park</v>
      </c>
      <c r="B485" s="24" t="str">
        <f>IFERROR(__xludf.DUMMYFUNCTION("""COMPUTED_VALUE"""),"Catastrophic fires in wet forest have been highlighted as examples of drivers that overcome community resilience by altering feedback processes such that ecosystems are shifted into alternative, often less-desirable stable states. Recent successive lava-i"&amp;"gnited wildfires, in slow-growing evergreen Myrtaceae-dominated mesic and wet forests at Hawaii Volcanoes National Park, provided an ideal opportunity to examine how forest species' responses differ after single and repeated fires. In mesic (Metrosideros "&amp;"polymorpha-Dicranopteris linearis) and wet (Metrosideros-Cibotium glaucum) forests, the first fire was stand-replacing where 99% of the dominant overstorey trees (M. polymorpha) were top-killed; however, nearly half of these individuals survived by basal "&amp;"sprouting. The second fire dramatically increased mortality by killing the basal sprouts. Similarly, native tree fern C. glaucum survival was significantly reduced after repeated fires in the wet forest. The composition of the understorey in both communit"&amp;"ies after repeated fires differed in unexpected ways from once-burned and unburned forests. Repeated fires resulted in lower tree survival and rapid occupation by aggressive herbaceous species, potentially limiting tree growth and recruitment. The expecte"&amp;"d consequence is that native forest recovery will be delayed or even prevented by feedback processes established post-fire serving to maintain novel treeless alternate states.")</f>
        <v>Catastrophic fires in wet forest have been highlighted as examples of drivers that overcome community resilience by altering feedback processes such that ecosystems are shifted into alternative, often less-desirable stable states. Recent successive lava-ignited wildfires, in slow-growing evergreen Myrtaceae-dominated mesic and wet forests at Hawaii Volcanoes National Park, provided an ideal opportunity to examine how forest species' responses differ after single and repeated fires. In mesic (Metrosideros polymorpha-Dicranopteris linearis) and wet (Metrosideros-Cibotium glaucum) forests, the first fire was stand-replacing where 99% of the dominant overstorey trees (M. polymorpha) were top-killed; however, nearly half of these individuals survived by basal sprouting. The second fire dramatically increased mortality by killing the basal sprouts. Similarly, native tree fern C. glaucum survival was significantly reduced after repeated fires in the wet forest. The composition of the understorey in both communities after repeated fires differed in unexpected ways from once-burned and unburned forests. Repeated fires resulted in lower tree survival and rapid occupation by aggressive herbaceous species, potentially limiting tree growth and recruitment. The expected consequence is that native forest recovery will be delayed or even prevented by feedback processes established post-fire serving to maintain novel treeless alternate states.</v>
      </c>
      <c r="C485" s="24" t="str">
        <f>IFERROR(__xludf.DUMMYFUNCTION("""COMPUTED_VALUE"""),"10.1071/WF12135")</f>
        <v>10.1071/WF12135</v>
      </c>
      <c r="D485" s="24" t="str">
        <f>IFERROR(__xludf.DUMMYFUNCTION("""COMPUTED_VALUE"""),"Keck et al")</f>
        <v>Keck et al</v>
      </c>
      <c r="E485" s="24" t="str">
        <f>IFERROR(__xludf.DUMMYFUNCTION("""COMPUTED_VALUE"""),"WOS:000329813500003")</f>
        <v>WOS:000329813500003</v>
      </c>
      <c r="F485" s="24" t="str">
        <f>IFERROR(__xludf.DUMMYFUNCTION("""COMPUTED_VALUE"""),"[""ELIGIBLE""]")</f>
        <v>["ELIGIBLE"]</v>
      </c>
    </row>
    <row r="486">
      <c r="A486" s="24" t="str">
        <f>IFERROR(__xludf.DUMMYFUNCTION("""COMPUTED_VALUE"""),"Ecological consequences of amphibian larvae and their native and alien predators on the community structure of temporary ponds")</f>
        <v>Ecological consequences of amphibian larvae and their native and alien predators on the community structure of temporary ponds</v>
      </c>
      <c r="B486" s="24" t="str">
        <f>IFERROR(__xludf.DUMMYFUNCTION("""COMPUTED_VALUE"""),"1. Connections between consumers and resources in food webs are complex and affect the structure and functioning of ecosystems. We assessed the influence of amphibians as consumers on the structure and functioning of temporary ponds, determining their imp"&amp;"act on macrophyte abundance, zooplankton diversity and water chemistry. 2. The effect of amphibians may be modulated by interactions with predators or competitors that alter tadpole density or behaviour. Therefore, we also investigated the consumptive and"&amp;" non-consumptive effects of native and invasive predators on amphibian larvae and pond ecosystems. 3. High amphibian density decreased macrophyte biomass and zooplankton diversity and increased water turbidity and nutrient content. These effects were larg"&amp;"ely attributable to tadpoles of the largest herbivorous species, spadefoot toads (Pelobates cultripes). In the absence of spadefoot toads, amphibians unexpectedly affected plant biomass positively. 4. Invasive crayfish (Procambarus clarkii) altered commun"&amp;"ity structure in similar ways to high densities of amphibians and caused greater mortality of amphibian larvae than did native predators. 5. The high herbivorous impact of spadefoot toads and invasive crayfish carried over to the following hydrological cy"&amp;"cle.")</f>
        <v>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v>
      </c>
      <c r="C486" s="24" t="str">
        <f>IFERROR(__xludf.DUMMYFUNCTION("""COMPUTED_VALUE"""),"10.1111/fwb.12402")</f>
        <v>10.1111/fwb.12402</v>
      </c>
      <c r="D486" s="24" t="str">
        <f>IFERROR(__xludf.DUMMYFUNCTION("""COMPUTED_VALUE"""),"Keck et al")</f>
        <v>Keck et al</v>
      </c>
      <c r="E486" s="24" t="str">
        <f>IFERROR(__xludf.DUMMYFUNCTION("""COMPUTED_VALUE"""),"WOS:000339480500018")</f>
        <v>WOS:000339480500018</v>
      </c>
      <c r="F486" s="24" t="str">
        <f>IFERROR(__xludf.DUMMYFUNCTION("""COMPUTED_VALUE"""),"[""ELIGIBLE""]")</f>
        <v>["ELIGIBLE"]</v>
      </c>
    </row>
    <row r="487">
      <c r="A487" s="24" t="str">
        <f>IFERROR(__xludf.DUMMYFUNCTION("""COMPUTED_VALUE"""),"Limited effects of Sargassum horneri, an invasive alga, on temperate reef fish assemblages")</f>
        <v>Limited effects of Sargassum horneri, an invasive alga, on temperate reef fish assemblages</v>
      </c>
      <c r="B487" s="24" t="str">
        <f>IFERROR(__xludf.DUMMYFUNCTION("""COMPUTED_VALUE"""),"Biological invasions can dramatically affect the ecology of invaded regions, and globally have resulted in economic damages that total billions of dollars annually. In recent years, an invasive alga, Sargassum horned, has become established and spread alo"&amp;"ng the coast of southern California (USA). Using field observations and a field experiment, we explored how this non-native alga influences the structure of fish assemblages on temperate reefs in southern California where S. horned has become prolific. Fi"&amp;"sh and algal assemblages were quantified along transects on rocky reefs at depths of 3 and 6 m at 6-8 study sites spanning 5 km on 4 occasions over 1.5 yr. Spatiotemporal variation in the fish assemblage was not strongly correlated with the abundance of i"&amp;"nvasive S. horned over this period, although it became less variable as native giant kelp Macrocystis pyrifera disappeared from the study sites due to a warm-water event, during which the invasive S. horneri became more dominant. An experiment removing a "&amp;"total of 4.25 t of S. homed from 6 x 6 m plots (n = 14) revealed that the invasive alga did not affect fish abundance, species richness, species diversity (H'), or multivariate assemblage structure over a 5 mo period. Overall, we found little evidence of "&amp;"negative effects of S. horned on fishes even though it drastically changed the underwater landscape. Nevertheless, we advise cautionary management actions to limit the movement of this invasive alga because its effects on other community members, such as "&amp;"other algal species, may be detrimental, and longer-term effects on fishes might develop.")</f>
        <v>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v>
      </c>
      <c r="C487" s="24" t="str">
        <f>IFERROR(__xludf.DUMMYFUNCTION("""COMPUTED_VALUE"""),"10.3354/meps13321")</f>
        <v>10.3354/meps13321</v>
      </c>
      <c r="D487" s="24" t="str">
        <f>IFERROR(__xludf.DUMMYFUNCTION("""COMPUTED_VALUE"""),"Keck et al")</f>
        <v>Keck et al</v>
      </c>
      <c r="E487" s="24" t="str">
        <f>IFERROR(__xludf.DUMMYFUNCTION("""COMPUTED_VALUE"""),"WOS:000545931200009")</f>
        <v>WOS:000545931200009</v>
      </c>
      <c r="F487" s="24" t="str">
        <f>IFERROR(__xludf.DUMMYFUNCTION("""COMPUTED_VALUE"""),"[""ELIGIBLE""]")</f>
        <v>["ELIGIBLE"]</v>
      </c>
    </row>
    <row r="488">
      <c r="A488" s="24" t="str">
        <f>IFERROR(__xludf.DUMMYFUNCTION("""COMPUTED_VALUE"""),"The spread of the Argentine ant: environmental determinants and impacts on native ant communities")</f>
        <v>The spread of the Argentine ant: environmental determinants and impacts on native ant communities</v>
      </c>
      <c r="B488" s="24" t="str">
        <f>IFERROR(__xludf.DUMMYFUNCTION("""COMPUTED_VALUE"""),"The increasing numbers of invasive species have stimulated the study of the underlying causes promoting the establishment and spread of exotic species. We tracked the spread of the highly invasive Argentine ant (Linepithema humile) along an environmental "&amp;"and habitat gradient on the northeastern Iberian Peninsula to determine the role of climatic, habitat and biotic variables on the rate of spread, and examine impact on native ant communities. We found the species well-established within natural environmen"&amp;"ts. The mean annual rate of spread of the invasion (7.94 +/- A 2.99 m/year) was relatively low compared to other studies, suggesting that resistance posed by native ants in natural environments with no or low human disturbance might delay (although not pr"&amp;"event) the spread of the invasion irrespectively of the land-use type. Factors related to the distance to urban areas and characteristics of native and introduced populations explained the rate of spread of the invasion, while habitat-related variables de"&amp;"termined the distribution of native ants and the impact of the Argentine ant on them. Native ant communities became more homogeneous following the invasion due to the decline of species richness and abundance. Only few species (Plagiolepis pygmaea and Tem"&amp;"nothorax spp.) were able to cope with the spread of the invasion, and were possibly favored by the local extinction of other ant species. Taken together, our results indicate that land uses per se do not directly affect the spread of L. humile, but influe"&amp;"nce its invasive success by molding the configuration of native ant communities and the abiotic suitability of the site.")</f>
        <v>The increasing numbers of invasive species have stimulated the study of the underlying causes promoting the establishment and spread of exotic species. We tracked the spread of the highly invasive Argentine ant (Linepithema humile) along an environmental and habitat gradient on the northeastern Iberian Peninsula to determine the role of climatic, habitat and biotic variables on the rate of spread, and examine impact on native ant communities. We found the species well-established within natural environments. The mean annual rate of spread of the invasion (7.94 +/- A 2.99 m/year) was relatively low compared to other studies, suggesting that resistance posed by native ants in natural environments with no or low human disturbance might delay (although not prevent) the spread of the invasion irrespectively of the land-use type. Factors related to the distance to urban areas and characteristics of native and introduced populations explained the rate of spread of the invasion, while habitat-related variables determined the distribution of native ants and the impact of the Argentine ant on them. Native ant communities became more homogeneous following the invasion due to the decline of species richness and abundance. Only few species (Plagiolepis pygmaea and Temnothorax spp.) were able to cope with the spread of the invasion, and were possibly favored by the local extinction of other ant species. Taken together, our results indicate that land uses per se do not directly affect the spread of L. humile, but influence its invasive success by molding the configuration of native ant communities and the abiotic suitability of the site.</v>
      </c>
      <c r="C488" s="24" t="str">
        <f>IFERROR(__xludf.DUMMYFUNCTION("""COMPUTED_VALUE"""),"10.1007/s10530-009-9650-x")</f>
        <v>10.1007/s10530-009-9650-x</v>
      </c>
      <c r="D488" s="24" t="str">
        <f>IFERROR(__xludf.DUMMYFUNCTION("""COMPUTED_VALUE"""),"Keck et al")</f>
        <v>Keck et al</v>
      </c>
      <c r="E488" s="24" t="str">
        <f>IFERROR(__xludf.DUMMYFUNCTION("""COMPUTED_VALUE"""),"WOS:000279682800005")</f>
        <v>WOS:000279682800005</v>
      </c>
      <c r="F488" s="24" t="str">
        <f>IFERROR(__xludf.DUMMYFUNCTION("""COMPUTED_VALUE"""),"[""ELIGIBLE""]")</f>
        <v>["ELIGIBLE"]</v>
      </c>
    </row>
    <row r="489">
      <c r="A489" s="24" t="str">
        <f>IFERROR(__xludf.DUMMYFUNCTION("""COMPUTED_VALUE"""),"Characteristics of the Psidium cattleianum invasion of secondary rainforests")</f>
        <v>Characteristics of the Psidium cattleianum invasion of secondary rainforests</v>
      </c>
      <c r="B489" s="24" t="str">
        <f>IFERROR(__xludf.DUMMYFUNCTION("""COMPUTED_VALUE"""),"Strawberry guava (Psidium cattleianum) is a shade-tolerant shrub or small tree invader in tropical and subtropical regions and is considered among the world's top 100 worst invasive species. Studies from affected regions report deleterious effects of stra"&amp;"wberry guava invasion on native vegetation. Here we examine the life history demographics and environmental determinants of strawberry guava invasions to inform effective weed management in affected rainforest regions. We surveyed the vegetation of 8 matu"&amp;"re rainforest and 33 successional sites at various stages of regeneration in the Australian Wet Tropics and found that strawberry guava invasion was largely restricted to successional forests. Strawberry guava exhibited high stem and seedling densities, r"&amp;"epresented approximately 8% of all individual stems recorded and 20% of all seedlings recorded. The species also had the highest basal area among all the non-native woody species measured. We compared environmental and community level effects between stra"&amp;"wberry guava-invaded and non-invaded sites, and modelled how the species basal area and recruitment patterns respond to these effects. Invaded sites differed from non-invaded sites in several environmental features such as aspect, distance from intact for"&amp;"est blocks, as well as supported higher grass and herb stem densities. Our analysis showed that invasion is currently ongoing in secondary forests, and also that strawberry guava is able to establish and persist under closed canopies. If left unchecked, s"&amp;"trawberry guava invasion will have deleterious consequences for native regenerating forest in the Australian Wet Tropics.")</f>
        <v>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v>
      </c>
      <c r="C489" s="24" t="str">
        <f>IFERROR(__xludf.DUMMYFUNCTION("""COMPUTED_VALUE"""),"10.1111/aec.12319")</f>
        <v>10.1111/aec.12319</v>
      </c>
      <c r="D489" s="24" t="str">
        <f>IFERROR(__xludf.DUMMYFUNCTION("""COMPUTED_VALUE"""),"Keck et al")</f>
        <v>Keck et al</v>
      </c>
      <c r="E489" s="24" t="str">
        <f>IFERROR(__xludf.DUMMYFUNCTION("""COMPUTED_VALUE"""),"WOS:000382788800001")</f>
        <v>WOS:000382788800001</v>
      </c>
      <c r="F489" s="24" t="str">
        <f>IFERROR(__xludf.DUMMYFUNCTION("""COMPUTED_VALUE"""),"[""ELIGIBLE""]")</f>
        <v>["ELIGIBLE"]</v>
      </c>
    </row>
    <row r="490">
      <c r="A490" s="24" t="str">
        <f>IFERROR(__xludf.DUMMYFUNCTION("""COMPUTED_VALUE"""),"Impact of an invasive weed, Parthenium hysterophorus, on a pasture community in south east Queensland, Australia")</f>
        <v>Impact of an invasive weed, Parthenium hysterophorus, on a pasture community in south east Queensland, Australia</v>
      </c>
      <c r="B490" s="24" t="str">
        <f>IFERROR(__xludf.DUMMYFUNCTION("""COMPUTED_VALUE"""),"Parthenium weed is a highly invasive alien species in more than 40 countries around the world. Along with severe negative effects on human and animal health and crop production, it also causes harm to ecosystem functioning by reducing the native plant spe"&amp;"cies biodiversity. However, its impacts on native plant species, especially in pasture communities, are less known. Given parthenium weed causes substantial losses to Australian pastures' productivity, it is crucial to estimate its impact on pasture commu"&amp;"nities. This study evaluates the impact of parthenium weed upon species diversity in a pasture community at Kilcoy, south east Queensland, Australia. Sub-sites containing three levels of parthenium weed density (i.e. high, low and zero) were chosen to qua"&amp;"ntify the above- and below-ground plant community structure. Species richness, diversity and evenness were all found to be significantly reduced as the density of parthenium weed increased; an effect was evident even when parthenium weed was present at re"&amp;"latively low densities (i.e. two plants m(-2)). This trend was observed in the summer season as well as in winter season when this annual weed was absent from the above-ground plant community. This demonstrates the strong impact that parthenium weed has u"&amp;"pon the community composition and functioning throughout the year. It also shows the long-term impact of parthenium weed on the soil seed bank where it had displaced several native species. So, management options used for parthenium weed should also consi"&amp;"der the reduction of parthenium weed seed bank along with controlling its above-ground populations.")</f>
        <v>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v>
      </c>
      <c r="C490" s="24" t="str">
        <f>IFERROR(__xludf.DUMMYFUNCTION("""COMPUTED_VALUE"""),"10.1007/s11356-017-0327-1")</f>
        <v>10.1007/s11356-017-0327-1</v>
      </c>
      <c r="D490" s="24" t="str">
        <f>IFERROR(__xludf.DUMMYFUNCTION("""COMPUTED_VALUE"""),"Keck et al")</f>
        <v>Keck et al</v>
      </c>
      <c r="E490" s="24" t="str">
        <f>IFERROR(__xludf.DUMMYFUNCTION("""COMPUTED_VALUE"""),"WOS:000417545800025")</f>
        <v>WOS:000417545800025</v>
      </c>
      <c r="F490" s="24" t="str">
        <f>IFERROR(__xludf.DUMMYFUNCTION("""COMPUTED_VALUE"""),"[""ELIGIBLE""]")</f>
        <v>["ELIGIBLE"]</v>
      </c>
    </row>
    <row r="491">
      <c r="A491" s="24" t="str">
        <f>IFERROR(__xludf.DUMMYFUNCTION("""COMPUTED_VALUE"""),"Invader-invader mutualism influences land snail community composition and alters invasion success of alien species in tropical rainforest")</f>
        <v>Invader-invader mutualism influences land snail community composition and alters invasion success of alien species in tropical rainforest</v>
      </c>
      <c r="B491" s="24" t="str">
        <f>IFERROR(__xludf.DUMMYFUNCTION("""COMPUTED_VALUE"""),"Mutualism between invaders may alter a key characteristic of the recipient community, leading to the entry or in situ release of other exotic species. We considered whether mutualism between invasive yellow crazy ant Anoplolepis gracilipes and exotic hone"&amp;"ydew-producing scale insects indirectly facilitated land snails (exotic and native) via the removal of a native omnivore, the red land crab Gecarcoidea natalis. In plateau rainforest on Christmas Island, Indian Ocean, the land snail community was surveyed"&amp;" at 28 sites representing four forest states that differed in the density of red crabs, the abundance of yellow crazy ants and management history. One-way ANOVAs and multivariate analyses were used to determine differences in land snail species abundance "&amp;"and composition between forest states. Sample-based rarefaction was used to determine differences in species richness. The removal of the red land crab by supercolonies of yellow crazy ants was associated with a significant increase in the abundance of bo"&amp;"th invasive (14 species) and native (four species) land snails. Compositional differences in the land snail community were driven most strongly by the significantly greater abundance of a few common species in forest states devoid of red crabs. In forest "&amp;"where the crab population had recovered following management for ants, the land snail assemblage did not differ from intact, uninvaded forest. The land snail community was dominated by exotic species that can coexist alongside red crabs in rainforest unin"&amp;"vaded by exotic ants and scale insects. However, the ant-scale mutualism significantly increased land snail abundance and altered their composition indirectly though the alteration of the recipient community. We suggest these constitute 'population-releas"&amp;"e' secondary invasion in which the impacts of previously successful invaders facilitate a significant increase in abundance of other exotic species already established at low density within the community. Understanding facilitative interactions between in"&amp;"vaders and indirect consequences of impacts will provide invaluable insights for conservation in heavily invaded ecosystems.")</f>
        <v>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v>
      </c>
      <c r="C491" s="24" t="str">
        <f>IFERROR(__xludf.DUMMYFUNCTION("""COMPUTED_VALUE"""),"10.1007/s10530-015-0903-6")</f>
        <v>10.1007/s10530-015-0903-6</v>
      </c>
      <c r="D491" s="24" t="str">
        <f>IFERROR(__xludf.DUMMYFUNCTION("""COMPUTED_VALUE"""),"Keck et al")</f>
        <v>Keck et al</v>
      </c>
      <c r="E491" s="24" t="str">
        <f>IFERROR(__xludf.DUMMYFUNCTION("""COMPUTED_VALUE"""),"WOS:000359427400013")</f>
        <v>WOS:000359427400013</v>
      </c>
      <c r="F491" s="24" t="str">
        <f>IFERROR(__xludf.DUMMYFUNCTION("""COMPUTED_VALUE"""),"[""ELIGIBLE""]")</f>
        <v>["ELIGIBLE"]</v>
      </c>
    </row>
    <row r="492">
      <c r="A492" s="24" t="str">
        <f>IFERROR(__xludf.DUMMYFUNCTION("""COMPUTED_VALUE"""),"The impact of an invasive predator (Orconectes rusticus) on freshwater snail communities: insights on habitat-specific effects from a multilake long-term study")</f>
        <v>The impact of an invasive predator (Orconectes rusticus) on freshwater snail communities: insights on habitat-specific effects from a multilake long-term study</v>
      </c>
      <c r="B492" s="24" t="str">
        <f>IFERROR(__xludf.DUMMYFUNCTION("""COMPUTED_VALUE"""),"Most studies of the impacts of invasive species are done at small spatial and short temporal scales, greatly limiting generalizations to natural ecosystems. In contrast, we examined the long-term, whole-lake impacts of predation by the introduced rusty cr"&amp;"ayfish (Orconectes rusticus) on snail communities in 10 lakes in northern Wisconsin, USA. In 1987 and 2002, crayfish and snails were surveyed in lakes that initially differed in O. rusticus abundance; during the 15 years between surveys, crayfish abundanc"&amp;"e changed substantially in four lakes. In the two lakes where O. rusticus populations increased from low to high densities, large reductions occurred in snail abundance. As predicted, snails declined much more in habitats preferred by O. rusticus (sand an"&amp;"d cobble) than in habitats that are avoided by the crayfish (muck). In the two lakes where O. rusticus abundance decreased dramatically after 1987, no significant increase occurred in snail densities, illustrating the difference in response time of snail "&amp;"populations to release from predation relative to increasing predation. Contrary to prediction, no consistent difference in snail species composition existed between high and low crayfish density lakes.")</f>
        <v>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v>
      </c>
      <c r="C492" s="24" t="str">
        <f>IFERROR(__xludf.DUMMYFUNCTION("""COMPUTED_VALUE"""),"10.1139/F2012-052")</f>
        <v>10.1139/F2012-052</v>
      </c>
      <c r="D492" s="24" t="str">
        <f>IFERROR(__xludf.DUMMYFUNCTION("""COMPUTED_VALUE"""),"Keck et al")</f>
        <v>Keck et al</v>
      </c>
      <c r="E492" s="24" t="str">
        <f>IFERROR(__xludf.DUMMYFUNCTION("""COMPUTED_VALUE"""),"WOS:000306000100003")</f>
        <v>WOS:000306000100003</v>
      </c>
      <c r="F492" s="24" t="str">
        <f>IFERROR(__xludf.DUMMYFUNCTION("""COMPUTED_VALUE"""),"[""ELIGIBLE""]")</f>
        <v>["ELIGIBLE"]</v>
      </c>
    </row>
    <row r="493">
      <c r="A493" s="24" t="str">
        <f>IFERROR(__xludf.DUMMYFUNCTION("""COMPUTED_VALUE"""),"Soil arthropod composition differs between old-fields dominated by exotic plant species and remnant native grasslands")</f>
        <v>Soil arthropod composition differs between old-fields dominated by exotic plant species and remnant native grasslands</v>
      </c>
      <c r="B493" s="24" t="str">
        <f>IFERROR(__xludf.DUMMYFUNCTION("""COMPUTED_VALUE"""),"Secondary succession after agriculture abandonment (old-fields) is mostly dominated by exotic grass species. Non-native plant invasions may alter soil fauna, potentially inducing plant-soil feedbacks. Despite their importance in nutrient cycling and plant"&amp;"-soil interactions, meso and macrofauna received less attention than bacteria or fungi. Here we compared the composition of the soil arthropod community in native remnants and plant exotic-dominated old-fields grasslands in the Inland Pampa, Argentina. We"&amp;" sampled independent remnants and old-field grassland plots within a 100 km(2) agricultural landscape to test the hypothesis that the abundance of soil arthropod organisms is related to the quality of the plant biomass, whereas the diversity of the soil b"&amp;"iota is related to plant species richness, resulting in a different soil biota composition because of differing plant communities. When compared to non-invaded remnant grasslands, soil activity and soil food-web characteristics of the old-fields sites inc"&amp;"luded: 1. Higher total arthropod abundance, particularly of Isopoda, Pseudoescorpionida and Blattaria; 2. Lower abundance of Hymenoptera and Enthomobryomorpha (Collembola); 3. Lower diversity, and evenness, but similar richness of soil organisms orders; 4"&amp;". Higher soil respiration rates and soil temperature; and 5. Higher total soil N and K+ content, but lower soil P content. These results illustrate that soil arthropod composition can vary widely within grasslands patches depending on plant species compos"&amp;"ition. Also, the more diverse plant community of remnant grasslands supports a more diverse soil biota, although soil activity is slower. Our results support the strong linkage between plant community and soil arthropod composition and suggest that change"&amp;"s in soil biota composition might promote plant-soil feedback interactions inducing the persistence of these alternative grassland states in new agricultural human-modified landscapes.")</f>
        <v>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v>
      </c>
      <c r="C493" s="24" t="str">
        <f>IFERROR(__xludf.DUMMYFUNCTION("""COMPUTED_VALUE"""),"10.1016/j.actao.2018.06.003")</f>
        <v>10.1016/j.actao.2018.06.003</v>
      </c>
      <c r="D493" s="24" t="str">
        <f>IFERROR(__xludf.DUMMYFUNCTION("""COMPUTED_VALUE"""),"Keck et al")</f>
        <v>Keck et al</v>
      </c>
      <c r="E493" s="24" t="str">
        <f>IFERROR(__xludf.DUMMYFUNCTION("""COMPUTED_VALUE"""),"WOS:000441487500009")</f>
        <v>WOS:000441487500009</v>
      </c>
      <c r="F493" s="24" t="str">
        <f>IFERROR(__xludf.DUMMYFUNCTION("""COMPUTED_VALUE"""),"[""ELIGIBLE""]")</f>
        <v>["ELIGIBLE"]</v>
      </c>
    </row>
    <row r="494">
      <c r="A494" s="24" t="str">
        <f>IFERROR(__xludf.DUMMYFUNCTION("""COMPUTED_VALUE"""),"Effects of saltmarsh invasion by Spartina alterniflora on arthropod community structure and diets")</f>
        <v>Effects of saltmarsh invasion by Spartina alterniflora on arthropod community structure and diets</v>
      </c>
      <c r="B494" s="24" t="str">
        <f>IFERROR(__xludf.DUMMYFUNCTION("""COMPUTED_VALUE"""),"Invasive plants strongly affect physical and biotic environments of native ecosystems. Insects and other arthropods as one of the major components of many ecosystems are very sensitive to subtle changes in abiotic and biotic environments. We examined the "&amp;"effects of exotic Spartina alterniflora invasion on community structure and diets of arthropods in a saltmarsh previously dominated by native Phragmites australis in Yangtze River estuary through net sweeping and plant harvesting methods and stable isotop"&amp;"e analysis. Our results showed that diversity indices were not significantly different between exotic and native plant communities, but the total abundance of insects estimated through plant harvesting method was found to be lower in Spartina monoculture "&amp;"than that in Phragmites monoculture. Community structure of insects in Spartina monoculture was dissimilar to that in Phragmites monoculture and Phragmites-Spartina mixture. Moreover, stable carbon isotope patterns of arthropods were significantly differe"&amp;"nt between Phragmites and Spartina monocultures. Although some native arthropods (perhaps generalists) shifted their diets, many native taxa did prefer Phragmites to Spartina even in Spartina monoculture. Spartina invasions resulted in reduced abundances "&amp;"of some arthropds, and increased dominance of others feeding preferably on Spartina. This study provides evidence that invasive plants can change the community structure and diets of native arthropods, which will eventually alter the arthropod food web, a"&amp;"nd affect the integrity and functioning of native ecosystems within a nature reserve that has been set aside for conserving the native biodiversity and maintaining the ecosystem integrity. In this sense, Spartina invasions in the Yangtze River estuary nee"&amp;"d to be managed appropriately.")</f>
        <v>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v>
      </c>
      <c r="C494" s="24" t="str">
        <f>IFERROR(__xludf.DUMMYFUNCTION("""COMPUTED_VALUE"""),"10.1007/s10530-008-9279-1")</f>
        <v>10.1007/s10530-008-9279-1</v>
      </c>
      <c r="D494" s="24" t="str">
        <f>IFERROR(__xludf.DUMMYFUNCTION("""COMPUTED_VALUE"""),"Keck et al")</f>
        <v>Keck et al</v>
      </c>
      <c r="E494" s="24" t="str">
        <f>IFERROR(__xludf.DUMMYFUNCTION("""COMPUTED_VALUE"""),"WOS:000263128000015")</f>
        <v>WOS:000263128000015</v>
      </c>
      <c r="F494" s="24" t="str">
        <f>IFERROR(__xludf.DUMMYFUNCTION("""COMPUTED_VALUE"""),"[""ELIGIBLE""]")</f>
        <v>["ELIGIBLE"]</v>
      </c>
    </row>
    <row r="495">
      <c r="A495" s="24" t="str">
        <f>IFERROR(__xludf.DUMMYFUNCTION("""COMPUTED_VALUE"""),"Effects of the introduction of an omnivorous fish on the biodiversity and functioning of an upland Amazonian lake")</f>
        <v>Effects of the introduction of an omnivorous fish on the biodiversity and functioning of an upland Amazonian lake</v>
      </c>
      <c r="B495" s="24" t="str">
        <f>IFERROR(__xludf.DUMMYFUNCTION("""COMPUTED_VALUE"""),"The introduction of nonnative species is one of the main threats to freshwater ecosystems. Although omnivory and intraguild predation are common in those systems, little is known about the effects of introduced omnivorous fish on pelagic and littoral comm"&amp;"unities. This study tested predictions of food-web theory regarding the effects of omnivorous fish introduction on previously fishless lakes in the Amazonian uplands of Serra dos Carajas, Para, Brazil. The trophic structure of two similar lakes, one with "&amp;"and the other without the introduced omnivorous fish Astyanax bimaculatus, was compared using a data series of biotic variables collected from both lakes twice a year from 2010 to 2013. Zooplankton was more abundant in the lake with fish, and the zooplank"&amp;"ton composition differed between lakes. Phytoplankton richness and chlorophyll-a were higher in the lake with the introduced fish than in the fishless lake regardless of phosphorus limitation. For the benthic macroinvertebrate communities, species richnes"&amp;"s and biomass were higher in the fishless lake. Our results also indicate that A. bimaculatus has the potential to link pelagic and littoral habitats through nutrient cycling. The differences observed between the studied lakes are consistent with predicti"&amp;"ons from food-web theory regarding the effects of multichain omnivorous fish on trophic dynamics. Despite limitations regarding replication at the ecosystem level, it is possible to infer from our findings that the introduction of an omnivorous fish might"&amp;" have changed lake overall functioning.")</f>
        <v>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v>
      </c>
      <c r="C495" s="24" t="str">
        <f>IFERROR(__xludf.DUMMYFUNCTION("""COMPUTED_VALUE"""),"10.1590/1809-4392201804131")</f>
        <v>10.1590/1809-4392201804131</v>
      </c>
      <c r="D495" s="24" t="str">
        <f>IFERROR(__xludf.DUMMYFUNCTION("""COMPUTED_VALUE"""),"Keck et al")</f>
        <v>Keck et al</v>
      </c>
      <c r="E495" s="24" t="str">
        <f>IFERROR(__xludf.DUMMYFUNCTION("""COMPUTED_VALUE"""),"WOS:000480634100009")</f>
        <v>WOS:000480634100009</v>
      </c>
      <c r="F495" s="24" t="str">
        <f>IFERROR(__xludf.DUMMYFUNCTION("""COMPUTED_VALUE"""),"[""ELIGIBLE""]")</f>
        <v>["ELIGIBLE"]</v>
      </c>
    </row>
    <row r="496">
      <c r="A496" s="24" t="str">
        <f>IFERROR(__xludf.DUMMYFUNCTION("""COMPUTED_VALUE"""),"Negative correlations between native macrophyte diversity and water hyacinth abundance are stronger in its introduced than in its native range")</f>
        <v>Negative correlations between native macrophyte diversity and water hyacinth abundance are stronger in its introduced than in its native range</v>
      </c>
      <c r="B496" s="24" t="str">
        <f>IFERROR(__xludf.DUMMYFUNCTION("""COMPUTED_VALUE"""),"Aim We tested the hypothesis that the diversity and abundance of aquatic macrophytes are negatively related with Eichhornia crassipes abundance in its introduced range, but not in its native range. Location Upper Parana River Floodplain, Brazil and Southe"&amp;"ast China. Methods We sampled aquatic macrophytes patches in Brazil (native range) and China (introduced range) along a biomass gradient of E. crassipes. For each patch, we obtained values of species richness and aquatic macrophytes percentage cover, as r"&amp;"esponse variables in regression models. We also used species accumulation curves to quantify the total plot diversity in dominated and non-dominated plots for both countries. Finally, we compared the influence of E. crassipes dominance on community compos"&amp;"ition and beta diversity with Permanova and Permdisp, respectively. Results The regression analyses revealed a negative correlation between macrophyte richness and cover and E. crassipes biomass only in the introduced range. The cumulative number of speci"&amp;"es decreased at a higher extent in plots dominated by E. crassipes in China, compared with Brazil. Also, species composition changed and beta diversity decreased in the dominated plots in China, but not in Brazil. Main Conclusions The reduction of all div"&amp;"ersity attributes related to E. crassipes probably results from its engineer species role, which decreases littoral region habitat heterogeneity and affects rare species in the introduced range. Differences between countries may be associated with impacts"&amp;" of water hyacinth on native macrophytes as this plant grows very fast and is highly competitive. Although less probable, biotic resistance at the establishment phase of water hyacinth in sites with higher number of native species is also a possibility. R"&amp;"egardless of the main mechanism explaining our patterns, it is suggested that invasion by water hyacinth is a cause for concern for its higher impacts in the introduced ranges than the native ranges.")</f>
        <v>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v>
      </c>
      <c r="C496" s="24" t="str">
        <f>IFERROR(__xludf.DUMMYFUNCTION("""COMPUTED_VALUE"""),"10.1111/ddi.13014")</f>
        <v>10.1111/ddi.13014</v>
      </c>
      <c r="D496" s="24" t="str">
        <f>IFERROR(__xludf.DUMMYFUNCTION("""COMPUTED_VALUE"""),"Keck et al")</f>
        <v>Keck et al</v>
      </c>
      <c r="E496" s="24" t="str">
        <f>IFERROR(__xludf.DUMMYFUNCTION("""COMPUTED_VALUE"""),"WOS:000506904800001")</f>
        <v>WOS:000506904800001</v>
      </c>
      <c r="F496" s="24" t="str">
        <f>IFERROR(__xludf.DUMMYFUNCTION("""COMPUTED_VALUE"""),"[""ELIGIBLE""]")</f>
        <v>["ELIGIBLE"]</v>
      </c>
    </row>
    <row r="497">
      <c r="A497" s="24" t="str">
        <f>IFERROR(__xludf.DUMMYFUNCTION("""COMPUTED_VALUE"""),"Monitoring Extreme Impacts of Rugulopteryx okamurae (Dictyotales, Ochrophyta) in El Estrecho Natural Park (Biosphere Reserve). Showing Radical Changes in the Underwater Seascape")</f>
        <v>Monitoring Extreme Impacts of Rugulopteryx okamurae (Dictyotales, Ochrophyta) in El Estrecho Natural Park (Biosphere Reserve). Showing Radical Changes in the Underwater Seascape</v>
      </c>
      <c r="B497" s="24" t="str">
        <f>IFERROR(__xludf.DUMMYFUNCTION("""COMPUTED_VALUE"""),"The invasive macroalga Rugulopteryx okamurae represents an unprecedented case of bioinvasion by marine macroalgae facing the European coasts. Since the first apparition of the species in the Strait of Gibraltar in 2015, its fast dispersion along the intro"&amp;"duced habitats constitutes a real challenge to develop monitoring strategies that ahead of its impacts. The present study uses three different approaches to address impacts on the benthic ecosystems, at the same time offers relevant data for future manage"&amp;"ment actions in El Estrecho Natural Park (PNE). Information obtained by monitoring permanent sentinel stations revealed a significant loss in resident species coverage after the moment of maximum growth in 2017. Thus, despite coverage of R. okamurae did n"&amp;"ot strongly varied in the latter years, impacts generated remain high in the habitats studied. Estimations of the invasive species coverage by combining cartographic image analysis and in situ data predicted a major occupation (over 85% coverage) between "&amp;"10 and 30 m, coinciding with the maximum rocky surface areas (m(2)) mapped on the PNE. Furthermore, a Citizen Science research collaboration evidenced impacts on the benthic seascape through an ad hoc exploration of images that allowed a before and after "&amp;"comparison of the invasion process in the same geographic locations. This has made it possible to graphically demonstrate severe changes in the underwater seascape and, therefore, the general impact of this new biological invasion. The spatial colonizatio"&amp;"n estimations combined with the impacts reported by both scientific [Sessile Bioindicators in Permanent Quadrats (SBPQ) sentinel stations] and civilian (Citizen Science) monitoring methodologies claim the urgent development of further studies that allow t"&amp;"he design of monitoring strategies against R. okamurae expansion across the Mediterranean and Atlantic waters.")</f>
        <v>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v>
      </c>
      <c r="C497" s="24" t="str">
        <f>IFERROR(__xludf.DUMMYFUNCTION("""COMPUTED_VALUE"""),"10.3389/fevo.2021.639161")</f>
        <v>10.3389/fevo.2021.639161</v>
      </c>
      <c r="D497" s="24" t="str">
        <f>IFERROR(__xludf.DUMMYFUNCTION("""COMPUTED_VALUE"""),"Keck et al")</f>
        <v>Keck et al</v>
      </c>
      <c r="E497" s="24" t="str">
        <f>IFERROR(__xludf.DUMMYFUNCTION("""COMPUTED_VALUE"""),"WOS:000645110000001")</f>
        <v>WOS:000645110000001</v>
      </c>
      <c r="F497" s="24" t="str">
        <f>IFERROR(__xludf.DUMMYFUNCTION("""COMPUTED_VALUE"""),"[""ELIGIBLE""]")</f>
        <v>["ELIGIBLE"]</v>
      </c>
    </row>
    <row r="498">
      <c r="A498" s="24" t="str">
        <f>IFERROR(__xludf.DUMMYFUNCTION("""COMPUTED_VALUE"""),"Exploring trophic effects of spotted knapweed (Centaurea stoebe L.) on arthropod diversity using DNA metabarcoding")</f>
        <v>Exploring trophic effects of spotted knapweed (Centaurea stoebe L.) on arthropod diversity using DNA metabarcoding</v>
      </c>
      <c r="B498" s="24" t="str">
        <f>IFERROR(__xludf.DUMMYFUNCTION("""COMPUTED_VALUE"""),"Biological invasions are of particular concern in grasslands, as these systems are highly susceptible to changes in ecosystem energy flows following invasions by exotic plants. Spotted knapweed (Centaurea stoebe L), a Eurasian, perennial forb, is consider"&amp;"ed one of the most ecologically harmful invasive plants in North American grasslands and may lead to changes in trophic dynamics, particularly within arthropod communities, which depend on plants for food and habitat. Using DNA metabarcoding to assess com"&amp;"munity dynamics of arthropods collected from pitfall traps and sweep nets, we explored the effects of C. stoebe density on the alpha, beta and functional diversity of arthropods in a semi arid grassland in British Columbia, Canada. We used trait-based app"&amp;"roaches to investigate the functional responses of terrestrial arthropod communities to better understand the effects of C. stoebe on trophic dynamics. Our study found seasonal differences in the beta-diversity of arthropods, but no differences in arthrop"&amp;"od alpha-diversity in knapweed populations. However, our study found a significant reduction in detritivore relative abundance coupled with increases in predator relative abundance, indicating that knapweed density altered the detrital food web. Conversel"&amp;"y, herbivores were unaffected by knapweed density, suggesting evidence for greater stability of the grazing food web. Further, predator:prey ratios were highest under high knapweed density. These ratios suggest that top down effects are likely stronger th"&amp;"an the bottomup effects of C. stoebe invasion. DNA metabarcoding provides the tools to develop detailed surveys of species diversity across a range of environments and trophic levels, which could be a useful guide for planning restoration. (C) 2020 Publis"&amp;"hed by Elsevier Inc.")</f>
        <v>Biological invasions are of particular concern in grasslands, as these systems are highly susceptible to changes in ecosystem energy flows following invasions by exotic plants. Spotted knapweed (Centaurea stoebe L), a Eurasian, perennial forb, is considered one of the most ecologically harmful invasive plants in North American grasslands and may lead to changes in trophic dynamics, particularly within arthropod communities, which depend on plants for food and habitat. Using DNA metabarcoding to assess community dynamics of arthropods collected from pitfall traps and sweep nets, we explored the effects of C. stoebe density on the alpha, beta and functional diversity of arthropods in a semi arid grassland in British Columbia, Canada. We used trait-based approaches to investigate the functional responses of terrestrial arthropod communities to better understand the effects of C. stoebe on trophic dynamics. Our study found seasonal differences in the beta-diversity of arthropods, but no differences in arthropod alpha-diversity in knapweed populations. However, our study found a significant reduction in detritivore relative abundance coupled with increases in predator relative abundance, indicating that knapweed density altered the detrital food web. Conversely, herbivores were unaffected by knapweed density, suggesting evidence for greater stability of the grazing food web. Further, predator:prey ratios were highest under high knapweed density. These ratios suggest that top down effects are likely stronger than the bottomup effects of C. stoebe invasion. DNA metabarcoding provides the tools to develop detailed surveys of species diversity across a range of environments and trophic levels, which could be a useful guide for planning restoration. (C) 2020 Published by Elsevier Inc.</v>
      </c>
      <c r="C498" s="24" t="str">
        <f>IFERROR(__xludf.DUMMYFUNCTION("""COMPUTED_VALUE"""),"10.1016/j.fooweb.2020.e00157")</f>
        <v>10.1016/j.fooweb.2020.e00157</v>
      </c>
      <c r="D498" s="24" t="str">
        <f>IFERROR(__xludf.DUMMYFUNCTION("""COMPUTED_VALUE"""),"Keck et al")</f>
        <v>Keck et al</v>
      </c>
      <c r="E498" s="24" t="str">
        <f>IFERROR(__xludf.DUMMYFUNCTION("""COMPUTED_VALUE"""),"WOS:000646860800014")</f>
        <v>WOS:000646860800014</v>
      </c>
      <c r="F498" s="24" t="str">
        <f>IFERROR(__xludf.DUMMYFUNCTION("""COMPUTED_VALUE"""),"[""ELIGIBLE""]")</f>
        <v>["ELIGIBLE"]</v>
      </c>
    </row>
    <row r="499">
      <c r="A499" s="24" t="str">
        <f>IFERROR(__xludf.DUMMYFUNCTION("""COMPUTED_VALUE"""),"Humans and scavenging raptors facilitate Argentine ant invasion in Donana National Park: no counter-effect of biotic resistance")</f>
        <v>Humans and scavenging raptors facilitate Argentine ant invasion in Donana National Park: no counter-effect of biotic resistance</v>
      </c>
      <c r="B499" s="24" t="str">
        <f>IFERROR(__xludf.DUMMYFUNCTION("""COMPUTED_VALUE"""),"Biotic resistance by native communities could have a role in the spread of invasive species. This seems to be the case in the invasion of the Argentine ant, Linepithema humile, but only when the environment is unfavorable for the survival of the invader. "&amp;"We studied the progress of Argentine ant invasion through favorable and unfavorable habitats of Donana National Park across three temporal snapshots covering three decades (1992, 2000, 2016). We assessed biotic resistance of the native community using spe"&amp;"cies richness, as well as dominance and community structure. We also explored the role of abiotic factors (quality of surrounding habitat and spatial variables) and of potential vectors of Argentine ant dispersal across unfavorable areas. We found no evid"&amp;"ence of biotic resistance after examining native ant species richness, proportion of native dominant ants, or community structure. On the contrary, invasion proceeded from trees with higher ant species richness, probably because those trees are larger and"&amp;" provide more resources and better protection from aridity. Furthermore, we found evidence that the invasion of new trees across a matrix of unfavorable habitat could be influenced not only by humans, but also by scavenging avian predators, which could ac"&amp;"t as vectors of ant dispersal through transport of carrion also exploited by the ants. Such leapfrog expansion through mobile predators could represent an overlooked mechanism that would enrich our understanding of invasion dynamics and provide potential "&amp;"opportunities for management of invasive species.")</f>
        <v>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v>
      </c>
      <c r="C499" s="24" t="str">
        <f>IFERROR(__xludf.DUMMYFUNCTION("""COMPUTED_VALUE"""),"10.1007/s10530-019-01971-5")</f>
        <v>10.1007/s10530-019-01971-5</v>
      </c>
      <c r="D499" s="24" t="str">
        <f>IFERROR(__xludf.DUMMYFUNCTION("""COMPUTED_VALUE"""),"Keck et al")</f>
        <v>Keck et al</v>
      </c>
      <c r="E499" s="24" t="str">
        <f>IFERROR(__xludf.DUMMYFUNCTION("""COMPUTED_VALUE"""),"WOS:000467649500029")</f>
        <v>WOS:000467649500029</v>
      </c>
      <c r="F499" s="24" t="str">
        <f>IFERROR(__xludf.DUMMYFUNCTION("""COMPUTED_VALUE"""),"[""ELIGIBLE""]")</f>
        <v>["ELIGIBLE"]</v>
      </c>
    </row>
    <row r="500">
      <c r="A500" s="24" t="str">
        <f>IFERROR(__xludf.DUMMYFUNCTION("""COMPUTED_VALUE"""),"Differences between epiphytic assemblages on introduced Caulerpa taxifolia and coexisting eelgrass (Zostera capricorni) in Botany Bay (NSW, Australia)")</f>
        <v>Differences between epiphytic assemblages on introduced Caulerpa taxifolia and coexisting eelgrass (Zostera capricorni) in Botany Bay (NSW, Australia)</v>
      </c>
      <c r="B500" s="24" t="str">
        <f>IFERROR(__xludf.DUMMYFUNCTION("""COMPUTED_VALUE"""),"A preliminary Study was conducted to assess the potential effects of introduced Caulerpa taxifolia (Caulerpales, Chlorophyta) on the biodiversity and trophic functioning of seagrass systems in New South Wales, Australia. Epiphytic assemblages growing on f"&amp;"ronds of C. taxifolia were compared to those on eelgrass Zostera capricorni (Aschers.) leaves in zones where both species were coexisting. The study was conducted at three shallow sites (ca. 1 m depth) in Botany Bay during austral spring. Assemblages oil "&amp;"both C. taxifolia and Z capricorni were dominated by epiphytic algae (ca. 65% of the total taxa) but results showed significantly greater numbers oil C. taxifolia compared to Z. capricorni as well as important differences among study sites. n-MDS ordinati"&amp;"ons and PERMANOVA analyses confirmed the existence of significant differences in the assemblage compositions of C. taxifolia and Z capricorni as well as differences between times and sites. SIMPER analysis showed that animal composition made a higher cont"&amp;"ribution to dissimilarities between habitats compared to epiphytic algae (36% vs. 23% respectively). In particular, filter-feeding organisms, associated with surfaces such as ascidians (5 taxa) and bryozoans (2 taxa) emerged as important contributing taxa"&amp;". Hence, Our results Suggest that introduced C. taxifolia from Botany Bay is a suitable Substratum for settlement of epiphytes, a[ least during the study period, and that observed patterns are due to differences in habitat structure. Further research is n"&amp;"ecessary to determine the influence of seasonal processes, such as production of toxic secondary metabolites, in other invaded locations of New South Wales.")</f>
        <v>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v>
      </c>
      <c r="C500" s="24" t="str">
        <f>IFERROR(__xludf.DUMMYFUNCTION("""COMPUTED_VALUE"""),"10.3989/scimar.2008.72n4645")</f>
        <v>10.3989/scimar.2008.72n4645</v>
      </c>
      <c r="D500" s="24" t="str">
        <f>IFERROR(__xludf.DUMMYFUNCTION("""COMPUTED_VALUE"""),"Keck et al")</f>
        <v>Keck et al</v>
      </c>
      <c r="E500" s="24" t="str">
        <f>IFERROR(__xludf.DUMMYFUNCTION("""COMPUTED_VALUE"""),"WOS:000262997400003")</f>
        <v>WOS:000262997400003</v>
      </c>
      <c r="F500" s="24" t="str">
        <f>IFERROR(__xludf.DUMMYFUNCTION("""COMPUTED_VALUE"""),"[""ELIGIBLE""]")</f>
        <v>["ELIGIBLE"]</v>
      </c>
    </row>
    <row r="501">
      <c r="A501" s="24" t="str">
        <f>IFERROR(__xludf.DUMMYFUNCTION("""COMPUTED_VALUE"""),"Invasion of Argentine ants (Hymenoptera: Formicidae) in South Australia:: Impacts on community composition and abundance of invertebrates in urban parklands")</f>
        <v>Invasion of Argentine ants (Hymenoptera: Formicidae) in South Australia:: Impacts on community composition and abundance of invertebrates in urban parklands</v>
      </c>
      <c r="B501" s="24" t="str">
        <f>IFERROR(__xludf.DUMMYFUNCTION("""COMPUTED_VALUE"""),"The Argentine ant (Linepithema humile Mayr) is a worldwide invasive pest species that has been associated with losses of native ant and non-ant invertebrates in its introduced range. To date, few studies have investigated the effects of Argentine ants on "&amp;"native invertebrates in Australia. This study assessed the effects of Argentine ants on community composition of invertebrates, with particular focus on resident ant communities and functional groups. In this study, the author compared the composition and"&amp;" abundances of invertebrates between invaded and uninvaded locations at four paired sites in Adelaide, South Australia. The results showed that there were significantly fewer non-Argentine ants at invaded sites than at uninvaded sites. In particular, ants"&amp;" from the two common and widespread genera Iridomyrmex and Camponotus showed decreased abundances at the invaded sites. Multidimensional scaling analyses revealed differences in the composition of ant communities at the invaded and uninvaded sites, with u"&amp;"ninvaded sites characterized by a similar native ant species composition, while communities at the invaded sites displayed much greater variability in species composition. These results suggest that the presence of Argentine ants may have a negative effec"&amp;"t on particular ant genera and functional groups, with likely disruptions to ecosystem processes.")</f>
        <v>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v>
      </c>
      <c r="C501" s="24" t="str">
        <f>IFERROR(__xludf.DUMMYFUNCTION("""COMPUTED_VALUE"""),"10.1111/j.1442-9993.2006.01592.x")</f>
        <v>10.1111/j.1442-9993.2006.01592.x</v>
      </c>
      <c r="D501" s="24" t="str">
        <f>IFERROR(__xludf.DUMMYFUNCTION("""COMPUTED_VALUE"""),"Keck et al")</f>
        <v>Keck et al</v>
      </c>
      <c r="E501" s="24" t="str">
        <f>IFERROR(__xludf.DUMMYFUNCTION("""COMPUTED_VALUE"""),"WOS:000239112400004")</f>
        <v>WOS:000239112400004</v>
      </c>
      <c r="F501" s="24" t="str">
        <f>IFERROR(__xludf.DUMMYFUNCTION("""COMPUTED_VALUE"""),"[""ELIGIBLE""]")</f>
        <v>["ELIGIBLE"]</v>
      </c>
    </row>
    <row r="502">
      <c r="A502" s="24" t="str">
        <f>IFERROR(__xludf.DUMMYFUNCTION("""COMPUTED_VALUE"""),"Response of the forest floor invertebrate community to canopy gap formation caused by early stages of emerald ash borer-induced ash mortality")</f>
        <v>Response of the forest floor invertebrate community to canopy gap formation caused by early stages of emerald ash borer-induced ash mortality</v>
      </c>
      <c r="B502" s="24" t="str">
        <f>IFERROR(__xludf.DUMMYFUNCTION("""COMPUTED_VALUE"""),"Emerald ash borer (EAB; Agrilus planipennis) is an invasive wood-boring beetle that causes rapid ash tree mortality, widespread formation of canopy gaps, and accumulation of coarse woody debris (CWD) in forests. The objective was to quantify the effects o"&amp;"f canopy gaps, ash CWD and their interaction caused by EAB-induced ash mortality on the forest floor invertebrate community. A two-year manipulative experiment was conducted in forests at NASA Plum Brook Research Station in Ohio, USA. Canopy gaps caused b"&amp;"y ash mortality decreased the activity-abundance of some taxa, such as Opiliones, Carabidae and several families of Collembola, as well as invertebrate richness and diversity, but had minor effects on community composition. CWD had minimal effects on the "&amp;"forest floor invertebrate community overall, but altered the activity-abundance of several invertebrate groups, and marginally increased taxonomic evenness in closed canopy treatments. The results of this study suggest that the effects of ash mortality on"&amp;" forest floor invertebrate communities change over time due to an inverse temporal relationship in magnitude effects of canopy gaps, which diminish over time, and accumulation of CWD, which increases over time. These findings contribute to our understandi"&amp;"ng of the effects of disturbance on ecosystems and the cascading ecological impacts of emerald ash borer invasions in forests. (C) 2016 Elsevier B.V. All rights reserved.")</f>
        <v>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v>
      </c>
      <c r="C502" s="24" t="str">
        <f>IFERROR(__xludf.DUMMYFUNCTION("""COMPUTED_VALUE"""),"10.1016/j.foreco.2016.05.034")</f>
        <v>10.1016/j.foreco.2016.05.034</v>
      </c>
      <c r="D502" s="24" t="str">
        <f>IFERROR(__xludf.DUMMYFUNCTION("""COMPUTED_VALUE"""),"Keck et al")</f>
        <v>Keck et al</v>
      </c>
      <c r="E502" s="24" t="str">
        <f>IFERROR(__xludf.DUMMYFUNCTION("""COMPUTED_VALUE"""),"WOS:000379886900026")</f>
        <v>WOS:000379886900026</v>
      </c>
      <c r="F502" s="24" t="str">
        <f>IFERROR(__xludf.DUMMYFUNCTION("""COMPUTED_VALUE"""),"[""ELIGIBLE""]")</f>
        <v>["ELIGIBLE"]</v>
      </c>
    </row>
    <row r="503">
      <c r="A503" s="24" t="str">
        <f>IFERROR(__xludf.DUMMYFUNCTION("""COMPUTED_VALUE"""),"Soil bacterial communities remain altered after 30 years of agriculture abandonment in Pampa grasslands")</f>
        <v>Soil bacterial communities remain altered after 30 years of agriculture abandonment in Pampa grasslands</v>
      </c>
      <c r="B503" s="24" t="str">
        <f>IFERROR(__xludf.DUMMYFUNCTION("""COMPUTED_VALUE"""),"Old fields are spreading in the world because of agriculture abandonment, and they show a persistence of exotic plant species with little recovery towards the original vegetation composition. Soil biota may also differ between old fields and native grassl"&amp;"ands, but were comparatively less studied than plant communities, despite their importance in biogeochemical processes. Here we compared soil bacterial communities of exotic-dominated old fields with those of remnants of native grasslands in the Inland Pa"&amp;"mpa, Argentina, using the 16S rRNA gene amplicon sequencing approach. We also characterized plant communities, soil physico-chemical properties, and soil respiration. We expected more diverse soil bacterial communities, with higher heterogeneity, in remna"&amp;"nt grasslands than in old fields because of a more diverse and more heterogeneous plant community. However, our results showed that soil bacterial communities had higher Shannon diversity in old fields than in remnant grasslands, but richness was not sign"&amp;"ificantly different. Also we found different bacterial community compositions between grasslands even at a low taxonomic level. On the other hand, old fields harbored less heterogeneous bacterial communities than remnants, and bacteria and plant beta dive"&amp;"rsity were correlated. Despite contrasting plant and bacterial composition between old fields and remnant grasslands, soil physico-chemical properties were quite similar between grasslands. Overall, our results showed that bacterial communities in grassla"&amp;"nd soils were associated with changes in plant communities after agricultural abandonment. Plant-microbial feedbacks might regulate plant and soil bacterial community assemblage in old fields, yet further research is needed to demonstrate this potential f"&amp;"eedback mechanism.")</f>
        <v>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v>
      </c>
      <c r="C503" s="24" t="str">
        <f>IFERROR(__xludf.DUMMYFUNCTION("""COMPUTED_VALUE"""),"10.1007/s00442-020-04736-3")</f>
        <v>10.1007/s00442-020-04736-3</v>
      </c>
      <c r="D503" s="24" t="str">
        <f>IFERROR(__xludf.DUMMYFUNCTION("""COMPUTED_VALUE"""),"Keck et al")</f>
        <v>Keck et al</v>
      </c>
      <c r="E503" s="24" t="str">
        <f>IFERROR(__xludf.DUMMYFUNCTION("""COMPUTED_VALUE"""),"WOS:000562937400002")</f>
        <v>WOS:000562937400002</v>
      </c>
      <c r="F503" s="24" t="str">
        <f>IFERROR(__xludf.DUMMYFUNCTION("""COMPUTED_VALUE"""),"[""ELIGIBLE""]")</f>
        <v>["ELIGIBLE"]</v>
      </c>
    </row>
    <row r="504">
      <c r="A504" s="24" t="str">
        <f>IFERROR(__xludf.DUMMYFUNCTION("""COMPUTED_VALUE"""),"A forest pathogen drives change in plant functional trait composition in the Southwest Australian Floristic Region")</f>
        <v>A forest pathogen drives change in plant functional trait composition in the Southwest Australian Floristic Region</v>
      </c>
      <c r="B504" s="24" t="str">
        <f>IFERROR(__xludf.DUMMYFUNCTION("""COMPUTED_VALUE"""),"Plant functional traits weighted by cover-abundance have been used to measure change across a wide range of temperature, moisture and grazing gradients. We use this approach along a chronosequence of disease infestation (Phytophthora cinnamomi) in the spe"&amp;"cies-diverse Banksia woodlands of the Southwest Australian Floristic Region (SWAFR). We compare the use of absolute (community-weighted totals-CWT) and relative cover data (community-weighted means-CWM) to demonstrate the importance of total cover change "&amp;"in reference to the Mass Ratio Hypothesis. Plant species cover-abundance was recorded along a space-for-time disease chronosequence, and functional trait data collected for the 48 dominant species from healthy vegetation. Six traits with deduced links to "&amp;"key ecosystem functions were measured for each species and values for two indices (CWT and CWM) compared along the disease chronosequence. Trait data was collected on plant height, growth form, specific leaf area, leaf dry matter content, root pattern and"&amp;" carbohydrate storage. Despite substantial shifts in individual species cover and a reduction in total species cover, the majority of CWM values did not change significantly following disease infestation. The use of relative cover-abundance data disregard"&amp;"s important changes in total species cover, apparent from our comparative analysis. In contrast to CWMs, all CWT values were reduced following disease infestation, suggesting a potential reduction in productivity, reduced capacity as a carbon sink and alt"&amp;"ered site water balance. Verification of these potential changes in ecosystem functions is required using fine-scale quantitative techniques. The CWT index is complementary to traditional CWMs and useful when analysing changes in plant trait data where to"&amp;"tal species cover changes have been detected. In relation to P. cinnamomi infestation, shifts in CWT trait values indicate the ability of an introduced plant pathogen to have substantial indirect impacts beyond substantial floristic change. (C) 2010 Elsev"&amp;"ier B.V. All rights reserved.")</f>
        <v>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v>
      </c>
      <c r="C504" s="24" t="str">
        <f>IFERROR(__xludf.DUMMYFUNCTION("""COMPUTED_VALUE"""),"10.1016/j.agee.2010.11.004")</f>
        <v>10.1016/j.agee.2010.11.004</v>
      </c>
      <c r="D504" s="24" t="str">
        <f>IFERROR(__xludf.DUMMYFUNCTION("""COMPUTED_VALUE"""),"Keck et al")</f>
        <v>Keck et al</v>
      </c>
      <c r="E504" s="24" t="str">
        <f>IFERROR(__xludf.DUMMYFUNCTION("""COMPUTED_VALUE"""),"WOS:000298894500007")</f>
        <v>WOS:000298894500007</v>
      </c>
      <c r="F504" s="24" t="str">
        <f>IFERROR(__xludf.DUMMYFUNCTION("""COMPUTED_VALUE"""),"[""ELIGIBLE""]")</f>
        <v>["ELIGIBLE"]</v>
      </c>
    </row>
    <row r="505">
      <c r="A505" s="24" t="str">
        <f>IFERROR(__xludf.DUMMYFUNCTION("""COMPUTED_VALUE"""),"Differences in ecological structure, function, and native species abundance between native and invaded Hawaiian streams")</f>
        <v>Differences in ecological structure, function, and native species abundance between native and invaded Hawaiian streams</v>
      </c>
      <c r="B505" s="24" t="str">
        <f>IFERROR(__xludf.DUMMYFUNCTION("""COMPUTED_VALUE"""),"Poeciliids, one of the most invasive species worldwide, are found on almost every continent and have been identified as an invasive species of concern in the United States, New Zealand, and Australia. Despite their global prevalence, few studies have quan"&amp;"tified their impacts on tropical stream ecosystem structure, function, and biodiversity. Utilizing Hawaiian streams as model ecosystems, we documented how ecological structure, function, and native species abundance differed between poeciliid-free and poe"&amp;"ciliid-invaded tropical streams. Stream nutrient yields, benthic biofilm biomass, densities of macroinvertebrates and fish, and community structures of benthic algae, macroinvertebrates, and fish were compared between streams with and without established "&amp;"poeciliid populations on the island of Hawaii, Hawaii, USA. Sum nitrate (Sigma NO3- = NO3- + NO2-), total nitrogen, and total organic carbon yields were eight times, six times, and five times higher, respectively, in poeciliid streams than in poeciliid-fr"&amp;"ee streams. Benthic biofilm ash-free dry mass was 1.5x higher in poeciliid streams than in poeciliid-free streams. Percentage contributions of chironomids and hydroptilid caddisflies to macroinvertebrate densities were lower in poeciliid streams compared "&amp;"to poeciliid-free streams, while percentage contributions of Cheumatopsyche analis caddisflies, Dugesia sp. flatworms, and oligochaetes were higher. Additionally, mean densities of native gobies were two times lower in poeciliid streams than in poeciliid-"&amp;"free ones, with poeciliid densities being approximately eight times higher than native fish densities. Our results, coupled with the wide distribution of invasive poeciliids across Hawaii and elsewhere in the tropics, suggest that poeciliids may negativel"&amp;"y impact the ecosystem structure, function, and native species abundance of tropical streams they invade. This underscores the need for increased public awareness to prevent future introductions and for developing and implementing effective eradication an"&amp;"d restoration strategies.")</f>
        <v>Poeciliids, one of the most invasive species worldwide, are found on almost every continent and have been identified as an invasive species of concern in the United States, New Zealand, and Australia. Despite their global prevalence, few studies have quantified their impacts on tropical stream ecosystem structure, function, and biodiversity. Utilizing Hawaiian streams as model ecosystems, we documented how ecological structure, function, and native species abundance differed between poeciliid-free and poeciliid-invaded tropical streams. Stream nutrient yields, benthic biofilm biomass, densities of macroinvertebrates and fish, and community structures of benthic algae, macroinvertebrates, and fish were compared between streams with and without established poeciliid populations on the island of Hawaii, Hawaii, USA. Sum nitrate (Sigma NO3- = NO3- + NO2-), total nitrogen, and total organic carbon yields were eight times, six times, and five times higher, respectively, in poeciliid streams than in poeciliid-free streams. Benthic biofilm ash-free dry mass was 1.5x higher in poeciliid streams than in poeciliid-free streams. Percentage contributions of chironomids and hydroptilid caddisflies to macroinvertebrate densities were lower in poeciliid streams compared to poeciliid-free streams, while percentage contributions of Cheumatopsyche analis caddisflies, Dugesia sp. flatworms, and oligochaetes were higher. Additionally, mean densities of native gobies were two times lower in poeciliid streams than in poeciliid-free ones, with poeciliid densities being approximately eight times higher than native fish densities. Our results, coupled with the wide distribution of invasive poeciliids across Hawaii and elsewhere in the tropics, suggest that poeciliids may negatively impact the ecosystem structure, function, and native species abundance of tropical streams they invade. This underscores the need for increased public awareness to prevent future introductions and for developing and implementing effective eradication and restoration strategies.</v>
      </c>
      <c r="C505" s="24" t="str">
        <f>IFERROR(__xludf.DUMMYFUNCTION("""COMPUTED_VALUE"""),"10.1890/12-0529.1")</f>
        <v>10.1890/12-0529.1</v>
      </c>
      <c r="D505" s="24" t="str">
        <f>IFERROR(__xludf.DUMMYFUNCTION("""COMPUTED_VALUE"""),"Keck et al")</f>
        <v>Keck et al</v>
      </c>
      <c r="E505" s="24" t="str">
        <f>IFERROR(__xludf.DUMMYFUNCTION("""COMPUTED_VALUE"""),"WOS:000323935700012")</f>
        <v>WOS:000323935700012</v>
      </c>
      <c r="F505" s="24" t="str">
        <f>IFERROR(__xludf.DUMMYFUNCTION("""COMPUTED_VALUE"""),"[""ELIGIBLE""]")</f>
        <v>["ELIGIBLE"]</v>
      </c>
    </row>
    <row r="506">
      <c r="A506" s="24" t="str">
        <f>IFERROR(__xludf.DUMMYFUNCTION("""COMPUTED_VALUE"""),"Combined effects of local habitat, anthropogenic stress, and dispersal on stream ecosystems: a mesocosm experiment")</f>
        <v>Combined effects of local habitat, anthropogenic stress, and dispersal on stream ecosystems: a mesocosm experiment</v>
      </c>
      <c r="B506" s="24" t="str">
        <f>IFERROR(__xludf.DUMMYFUNCTION("""COMPUTED_VALUE"""),"The effects of anthropogenic stressors on community structure and ecosystem functioning can be strongly influenced by local habitat structure and dispersal from source communities. Catchment land uses increase the input of fine sediments into stream chann"&amp;"els, clogging the interstitial spaces of benthic habitats. Aquatic macrophytes enhance habitat heterogeneity and mediate important ecosystem functions, being thus a key component of habitat structure in many streams. Therefore, the recovery of macrophytes"&amp;" following in-stream habitat modification may be prerequisite for successful stream restoration. Restoration success is also affected by dispersal of organisms from the source community, with potentially the strongest responses in relatively isolated head"&amp;"water sites that receive a limited amount of dispersing individuals. We used a factorial design in a set of stream mesocosms to study the independent and combined effects of an anthropogenic stressor (sand sedimentation), local habitat (macrophytes, i.e.,"&amp;" moss transplants), and enhanced dispersal (two levels: high vs. low) on organic matter retention, algal accrual rate, leaf decomposition, and macroinvertebrate community structure. Overall, all responses were simple additive effects with no interactions "&amp;"between treatments. Sand reduced algal accumulation, total invertebrate density, and density of a few individual taxa. Mosses reduced algal accrual rate and algae-grazing invertebrates, but enhanced organic matter retention and the number of detritus and "&amp;"filter feeders. Mosses also reduced macroinvertebrate diversity by increasing the dominance by a few taxa. Mosses reduced leaf mass loss, possibly because the organic matter retained by mosses provided an additional food source for leaf-shredding inverteb"&amp;"rates and thus reduced shredder aggregation into leaf packs. The effect of mosses on macroinvertebrate communities and ecosystem functioning was distinct irrespective of the level of dispersal, suggesting strong environmental control of community structur"&amp;"e. The strong environmental control of macroinvertebrate community composition even under enhanced dispersal suggests that re-establishing key habitat features, such as natural stream vegetation, could aid ecosystem recovery in boreal streams.")</f>
        <v>The effects of anthropogenic stressors on community structure and ecosystem functioning can be strongly influenced by local habitat structure and dispersal from source communities. Catchment land uses increase the input of fine sediments into stream channels, clogging the interstitial spaces of benthic habitats. Aquatic macrophytes enhance habitat heterogeneity and mediate important ecosystem functions, being thus a key component of habitat structure in many streams. Therefore, the recovery of macrophytes following in-stream habitat modification may be prerequisite for successful stream restoration. Restoration success is also affected by dispersal of organisms from the source community, with potentially the strongest responses in relatively isolated headwater sites that receive a limited amount of dispersing individuals. We used a factorial design in a set of stream mesocosms to study the independent and combined effects of an anthropogenic stressor (sand sedimentation), local habitat (macrophytes, i.e., moss transplants), and enhanced dispersal (two levels: high vs. low) on organic matter retention, algal accrual rate, leaf decomposition, and macroinvertebrate community structure. Overall, all responses were simple additive effects with no interactions between treatments. Sand reduced algal accumulation, total invertebrate density, and density of a few individual taxa. Mosses reduced algal accrual rate and algae-grazing invertebrates, but enhanced organic matter retention and the number of detritus and filter feeders. Mosses also reduced macroinvertebrate diversity by increasing the dominance by a few taxa. Mosses reduced leaf mass loss, possibly because the organic matter retained by mosses provided an additional food source for leaf-shredding invertebrates and thus reduced shredder aggregation into leaf packs. The effect of mosses on macroinvertebrate communities and ecosystem functioning was distinct irrespective of the level of dispersal, suggesting strong environmental control of community structure. The strong environmental control of macroinvertebrate community composition even under enhanced dispersal suggests that re-establishing key habitat features, such as natural stream vegetation, could aid ecosystem recovery in boreal streams.</v>
      </c>
      <c r="C506" s="24" t="str">
        <f>IFERROR(__xludf.DUMMYFUNCTION("""COMPUTED_VALUE"""),"10.1002/eap.1762")</f>
        <v>10.1002/eap.1762</v>
      </c>
      <c r="D506" s="24" t="str">
        <f>IFERROR(__xludf.DUMMYFUNCTION("""COMPUTED_VALUE"""),"Keck et al")</f>
        <v>Keck et al</v>
      </c>
      <c r="E506" s="24" t="str">
        <f>IFERROR(__xludf.DUMMYFUNCTION("""COMPUTED_VALUE"""),"WOS:000443555100019")</f>
        <v>WOS:000443555100019</v>
      </c>
      <c r="F506" s="24" t="str">
        <f>IFERROR(__xludf.DUMMYFUNCTION("""COMPUTED_VALUE"""),"[""ELIGIBLE""]")</f>
        <v>["ELIGIBLE"]</v>
      </c>
    </row>
    <row r="507">
      <c r="A507" s="24" t="str">
        <f>IFERROR(__xludf.DUMMYFUNCTION("""COMPUTED_VALUE"""),"Reduction of Grazing Capacity in High-Elevation Rangelands After Black Locust Invasion in South Africa")</f>
        <v>Reduction of Grazing Capacity in High-Elevation Rangelands After Black Locust Invasion in South Africa</v>
      </c>
      <c r="B507" s="24" t="str">
        <f>IFERROR(__xludf.DUMMYFUNCTION("""COMPUTED_VALUE"""),"The growing invasion of ecosystems by invasive alien plants (IAPs) has substantially affected biodiversity worldwide, compromising provision of ecosystem services. In this study, we present evidence of the impacts of an IAP, Robinia pseudoacacia L., on na"&amp;"tive plant diversity in montane rangelands of South Africa and its threats to grazing, an ecosystem service. We assessed stand characteristics, understory vegetation composition and rangeland condition similarities in invaded and uninvaded sites. We obser"&amp;"ved a shift in grass communities after invasion by R. pseudoacacia as invaded communities differed by 96% from uninvaded rangeland. Invaded habitat was dominated by nitrophilous, shade-tolerant alien ruderals that follow the primitive C-3 carbon fixation "&amp;"pathway. Nitrogen fixation and light-demanding properties of R. pseudoacacia are likely to be the main factors driving these changes. As a result, range condition was significantly lower in invaded habitats with smaller and dense trees (180 +/- 24.3) (mea"&amp;"n +/- standard error) when compared with adjacent uninvaded habitat (401 +/- 24.3). These preliminary findings support an urgent need for sustainable control of R. pseudoacacia as an effective approach to stop further reduction in grazing capacity and los"&amp;"ses in livestock production. (C) 2021 The Society for Range Management. Published by Elsevier Inc. All rights reserved.")</f>
        <v>The growing invasion of ecosystems by invasive alien plants (IAPs) has substantially affected biodiversity worldwide, compromising provision of ecosystem services. In this study, we present evidence of the impacts of an IAP, Robinia pseudoacacia L., on native plant diversity in montane rangelands of South Africa and its threats to grazing, an ecosystem service. We assessed stand characteristics, understory vegetation composition and rangeland condition similarities in invaded and uninvaded sites. We observed a shift in grass communities after invasion by R. pseudoacacia as invaded communities differed by 96% from uninvaded rangeland. Invaded habitat was dominated by nitrophilous, shade-tolerant alien ruderals that follow the primitive C-3 carbon fixation pathway. Nitrogen fixation and light-demanding properties of R. pseudoacacia are likely to be the main factors driving these changes. As a result, range condition was significantly lower in invaded habitats with smaller and dense trees (180 +/- 24.3) (mean +/- standard error) when compared with adjacent uninvaded habitat (401 +/- 24.3). These preliminary findings support an urgent need for sustainable control of R. pseudoacacia as an effective approach to stop further reduction in grazing capacity and losses in livestock production. (C) 2021 The Society for Range Management. Published by Elsevier Inc. All rights reserved.</v>
      </c>
      <c r="C507" s="24" t="str">
        <f>IFERROR(__xludf.DUMMYFUNCTION("""COMPUTED_VALUE"""),"10.1016/j.rama.2021.02.006")</f>
        <v>10.1016/j.rama.2021.02.006</v>
      </c>
      <c r="D507" s="24" t="str">
        <f>IFERROR(__xludf.DUMMYFUNCTION("""COMPUTED_VALUE"""),"Keck et al")</f>
        <v>Keck et al</v>
      </c>
      <c r="E507" s="24" t="str">
        <f>IFERROR(__xludf.DUMMYFUNCTION("""COMPUTED_VALUE"""),"WOS:000643559800013")</f>
        <v>WOS:000643559800013</v>
      </c>
      <c r="F507" s="24" t="str">
        <f>IFERROR(__xludf.DUMMYFUNCTION("""COMPUTED_VALUE"""),"[""ELIGIBLE""]")</f>
        <v>["ELIGIBLE"]</v>
      </c>
    </row>
    <row r="508">
      <c r="A508" s="24" t="str">
        <f>IFERROR(__xludf.DUMMYFUNCTION("""COMPUTED_VALUE"""),"Consequences of iceplant (Carpobrotus) invasion on the vegetation and seed bank structure on a Mediterranean island: response elements for their local eradication")</f>
        <v>Consequences of iceplant (Carpobrotus) invasion on the vegetation and seed bank structure on a Mediterranean island: response elements for their local eradication</v>
      </c>
      <c r="B508" s="24" t="str">
        <f>IFERROR(__xludf.DUMMYFUNCTION("""COMPUTED_VALUE"""),"Biological invasions are one of the world's leading causes of biodiversity loss. Islands are particularly good models for studying the impact of invasive species. Bagaud island (58 ha), which is part of Port-Cros National Park (southeastern France), is cu"&amp;"rrently suffering an invasion of Carpobrotus. A restoration project has been established with the aim of eradicating these species to protect native ecosystems. The objective of the present study was to examine the plant composition of the local vegetatio"&amp;"n and seed bank (in litter and soil) focusing on (i) Carpobrotus patches and (ii) native plant communities, with the ultimate goal of determining whether Carpobrotus removal is followed by native plant community colonization. A further objective of this s"&amp;"tudy was to help identify the most effective protocol for adequate ecological restoration. Native plant communities found around Carpobrotus patches can vary depending on whether the patch is located on the coast or inland; we can therefore expect a varie"&amp;"ty of plant communities to form following Carpobrotus removal. Even though Carpobrotus litter can frequently contain seeds of native species, such Atriplex prostrata, Frankenia sp. and Sonchus asper, it also contained many more Carpobrotus seeds (77.6%). "&amp;"Therefore, it is important to remove Carpobrotus litter to prevent large numbers of Carpobrotus seeds from recolonizing after eradication. We conclude that the most effective ecological restoration protocol consists of the following: (i) the removal of li"&amp;"ving Carpobrotus plants and (ii) the removal of Carpobrotus litter. This protocol can be made even more effective by following it up in the near and mid-term by periodic and thorough checks for Carpobrotus reinvasion.")</f>
        <v>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v>
      </c>
      <c r="C508" s="24" t="str">
        <f>IFERROR(__xludf.DUMMYFUNCTION("""COMPUTED_VALUE"""),"10.1080/12538078.2014.910473")</f>
        <v>10.1080/12538078.2014.910473</v>
      </c>
      <c r="D508" s="24" t="str">
        <f>IFERROR(__xludf.DUMMYFUNCTION("""COMPUTED_VALUE"""),"Keck et al")</f>
        <v>Keck et al</v>
      </c>
      <c r="E508" s="24" t="str">
        <f>IFERROR(__xludf.DUMMYFUNCTION("""COMPUTED_VALUE"""),"WOS:000348288100008")</f>
        <v>WOS:000348288100008</v>
      </c>
      <c r="F508" s="24" t="str">
        <f>IFERROR(__xludf.DUMMYFUNCTION("""COMPUTED_VALUE"""),"[""ELIGIBLE""]")</f>
        <v>["ELIGIBLE"]</v>
      </c>
    </row>
    <row r="509">
      <c r="A509" s="24" t="str">
        <f>IFERROR(__xludf.DUMMYFUNCTION("""COMPUTED_VALUE"""),"Willow (Salix x rubens) invasion of the riparian zone in south-eastern Australia: reduced abundance and altered composition of terrestrial arthropods")</f>
        <v>Willow (Salix x rubens) invasion of the riparian zone in south-eastern Australia: reduced abundance and altered composition of terrestrial arthropods</v>
      </c>
      <c r="B509" s="24" t="str">
        <f>IFERROR(__xludf.DUMMYFUNCTION("""COMPUTED_VALUE"""),"This study investigated the impact of invasion by an alien hybrid willow (the white-crack willow, Salix x rubens) on the abundance and diversity of terrestrial arthropods along the lower Tarago River in south-eastern Australia in spring and summer. Canopy"&amp;" arthropods were sampled by branch clippings, flying insects by sticky traps, and arthropod stream inputs by floating pan traps in willow-invaded and uninvaded river sections. Willow-invaded river sections had a significantly lower abundance and diversity"&amp;" of canopy arthropods, but the abundance and diversity of flying insects did not differ between willow-invaded and native sections. Overall input of terrestrial arthropods was lower in willow-invaded sections but this depended on sampling date. In general"&amp;", differences in arthropod abundance between willow-invaded and native river sections were greater in spring than summer, which may reflect seasonal changes in resource availability in native river sections. Morphospecies composition also differed signifi"&amp;"cantly between willow-invaded and native sections. These changes in abundance, diversity, and composition of terrestrial arthropods following plant invasion of the riparian zone may indirectly alter in-stream food webs and have important effects on higher"&amp;"-order consumers in the riparian zone.")</f>
        <v>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v>
      </c>
      <c r="C509" s="24" t="str">
        <f>IFERROR(__xludf.DUMMYFUNCTION("""COMPUTED_VALUE"""),"10.1111/j.1366-9516.2004.00104.x")</f>
        <v>10.1111/j.1366-9516.2004.00104.x</v>
      </c>
      <c r="D509" s="24" t="str">
        <f>IFERROR(__xludf.DUMMYFUNCTION("""COMPUTED_VALUE"""),"Keck et al")</f>
        <v>Keck et al</v>
      </c>
      <c r="E509" s="24" t="str">
        <f>IFERROR(__xludf.DUMMYFUNCTION("""COMPUTED_VALUE"""),"WOS:000223744500018")</f>
        <v>WOS:000223744500018</v>
      </c>
      <c r="F509" s="24" t="str">
        <f>IFERROR(__xludf.DUMMYFUNCTION("""COMPUTED_VALUE"""),"[""ELIGIBLE""]")</f>
        <v>["ELIGIBLE"]</v>
      </c>
    </row>
    <row r="510">
      <c r="A510" s="24" t="str">
        <f>IFERROR(__xludf.DUMMYFUNCTION("""COMPUTED_VALUE"""),"Invasive Impatiens glandulifera: A driver of changes in native vegetation?")</f>
        <v>Invasive Impatiens glandulifera: A driver of changes in native vegetation?</v>
      </c>
      <c r="B510" s="24" t="str">
        <f>IFERROR(__xludf.DUMMYFUNCTION("""COMPUTED_VALUE"""),"Biological invasions are one of the major threats to biodiversity worldwide and contribute to changing community patterns and ecosystem processes. However, it is often not obvious whether an invader is the driver causing ecosystem changes or a passenger w"&amp;"hich is facilitated by previous ecosystem changes. Causality of the impact can be demonstrated by experimental removal of the invader or introduction into a native community. Using such an experimental approach, we tested whether the impact of the invasiv"&amp;"e plant Impatiens glandulifera on native vegetation is causal, and whether the impact is habitat-dependent. We conducted a field study comparing invaded and uninvaded plots with plots from which I. glandulifera was removed and plots where I. glandulifera "&amp;"was planted within two riparian habitats, alder forests and meadows. A negative impact of planting I. glandulifera and a concurrent positive effect of removal on the native vegetation indicated a causal effect of I. glandulifera on total native biomass an"&amp;"d growth of Urtica dioica. Species alpha-diversity and composition were not affected by I. glandulifera manipulations. Thus, I. glandulifera had a causal but low effect on the native vegetation. The impact depended slightly on habitat as only the effect o"&amp;"f I. glandulifera planting on total biomass was slightly stronger in alder forests than meadows. We suggest that I. glandulifera is a back-seat driver of changes, which is facilitated by previous ecosystem changes but is also a driver of further changes. "&amp;"Small restrictions of growth of the planted I. glandulifera and general association of I. glandulifera with disturbances indicate characteristics of a back-seat driver. For management of I. glandulifera populations, this requires habitat restoration along"&amp;" with removal of the invader.")</f>
        <v>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v>
      </c>
      <c r="C510" s="24" t="str">
        <f>IFERROR(__xludf.DUMMYFUNCTION("""COMPUTED_VALUE"""),"10.1002/ece3.7135")</f>
        <v>10.1002/ece3.7135</v>
      </c>
      <c r="D510" s="24" t="str">
        <f>IFERROR(__xludf.DUMMYFUNCTION("""COMPUTED_VALUE"""),"Keck et al")</f>
        <v>Keck et al</v>
      </c>
      <c r="E510" s="24" t="str">
        <f>IFERROR(__xludf.DUMMYFUNCTION("""COMPUTED_VALUE"""),"WOS:000606980400001")</f>
        <v>WOS:000606980400001</v>
      </c>
      <c r="F510" s="24" t="str">
        <f>IFERROR(__xludf.DUMMYFUNCTION("""COMPUTED_VALUE"""),"[""ELIGIBLE""]")</f>
        <v>["ELIGIBLE"]</v>
      </c>
    </row>
    <row r="511">
      <c r="A511" s="24" t="str">
        <f>IFERROR(__xludf.DUMMYFUNCTION("""COMPUTED_VALUE"""),"Invasion impacts on biodiversity: responses of ant communities to infestation by cat's claw creeper vine, Macfadyena unguis-cati (Bignoniaceae) in subtropical Australia")</f>
        <v>Invasion impacts on biodiversity: responses of ant communities to infestation by cat's claw creeper vine, Macfadyena unguis-cati (Bignoniaceae) in subtropical Australia</v>
      </c>
      <c r="B511" s="24" t="str">
        <f>IFERROR(__xludf.DUMMYFUNCTION("""COMPUTED_VALUE"""),"Ants are the dominant soil faunal group in many if not most terrestrial ecosystems, and play a key role in soil structure and function. This study documents the impacts of invasion by the exotic cat's claw creeper vine, Macfadyena unguis-cati (L.) Gentry "&amp;"(Bignoniaceae) on surface-situated (epigaeic) and subterranean (hypogaeic) ant communities in subtropical SE Queensland Australia where it is a major environmental weed of riparian areas, rainforest communities and remnant natural vegetation, smothering s"&amp;"tanding vegetation and causing canopy collapse. Soil ants were sampled in infested and uninfested areas at eight sites spanning both riparian and non-riparian habitats in subtropical SE Queensland. Patterns of ant species composition and functional groupi"&amp;"ng in response to patch invasion status, landscape type and habitat stratum were investigated using ANOVA and non-metric multidimensional scaling ordination. The epigaeic and subterranean strata supported markedly different ant assemblages, and ant commun"&amp;"ities also differed between riparian and non-riparian habitats. However, M. unguis-cati invasion had a surprisingly limited impact. There was a tendency for ant abundance and species richness to be lower in infested patches, and overall species compositio"&amp;"n was different between infested and uninfested patches, but these differences were relatively small, and did not occur consistently across sites. There were changes in functional group composition that conformed to known functional group responses to env"&amp;"ironmental change, but these were similarly limited and inconsistent across sites. Our study has shown that ant communities are surprisingly resilient to invasion by M. unguis-cati, and serves as a warning against making assumptions about invasion impacts"&amp;" based on visual appearances.")</f>
        <v>Ants are the dominant soil faunal group in many if not most terrestrial ecosystems, and play a key role in soil structure and function. This study documents the impacts of invasion by the exotic cat's claw creeper vine, Macfadyena unguis-cati (L.) Gentry (Bignoniaceae) on surface-situated (epigaeic) and subterranean (hypogaeic) ant communities in subtropical SE Queensland Australia where it is a major environmental weed of riparian areas, rainforest communities and remnant natural vegetation, smothering standing vegetation and causing canopy collapse. Soil ants were sampled in infested and uninfested areas at eight sites spanning both riparian and non-riparian habitats in subtropical SE Queensland. Patterns of ant species composition and functional grouping in response to patch invasion status, landscape type and habitat stratum were investigated using ANOVA and non-metric multidimensional scaling ordination. The epigaeic and subterranean strata supported markedly different ant assemblages, and ant communities also differed between riparian and non-riparian habitats. However, M. unguis-cati invasion had a surprisingly limited impact. There was a tendency for ant abundance and species richness to be lower in infested patches, and overall species composition was different between infested and uninfested patches, but these differences were relatively small, and did not occur consistently across sites. There were changes in functional group composition that conformed to known functional group responses to environmental change, but these were similarly limited and inconsistent across sites. Our study has shown that ant communities are surprisingly resilient to invasion by M. unguis-cati, and serves as a warning against making assumptions about invasion impacts based on visual appearances.</v>
      </c>
      <c r="C511" s="24" t="str">
        <f>IFERROR(__xludf.DUMMYFUNCTION("""COMPUTED_VALUE"""),"10.1007/s10530-011-0040-9")</f>
        <v>10.1007/s10530-011-0040-9</v>
      </c>
      <c r="D511" s="24" t="str">
        <f>IFERROR(__xludf.DUMMYFUNCTION("""COMPUTED_VALUE"""),"Keck et al")</f>
        <v>Keck et al</v>
      </c>
      <c r="E511" s="24" t="str">
        <f>IFERROR(__xludf.DUMMYFUNCTION("""COMPUTED_VALUE"""),"WOS:000296350800012")</f>
        <v>WOS:000296350800012</v>
      </c>
      <c r="F511" s="24" t="str">
        <f>IFERROR(__xludf.DUMMYFUNCTION("""COMPUTED_VALUE"""),"[""ELIGIBLE""]")</f>
        <v>["ELIGIBLE"]</v>
      </c>
    </row>
    <row r="512">
      <c r="A512" s="24" t="str">
        <f>IFERROR(__xludf.DUMMYFUNCTION("""COMPUTED_VALUE"""),"Influence of two non-indigenous plants on intertidal macrobenthic communities in Ximen Island Special Marine Protected Area, China")</f>
        <v>Influence of two non-indigenous plants on intertidal macrobenthic communities in Ximen Island Special Marine Protected Area, China</v>
      </c>
      <c r="B512" s="24" t="str">
        <f>IFERROR(__xludf.DUMMYFUNCTION("""COMPUTED_VALUE"""),"Many coastal habitats are being substantially altered by non-indigenous plants (NIP). In the present study, intertidal macrobenthic communities of three habitats - a non-vegetated tidal flat (TF), a marsh with the smooth cordgrass Spartina alterniflora (S"&amp;"A) and a Kandelia candel mangrove forest (KC) - were examined during periods of ebb tide in February, May, August and November 2015 in Ximen Island Special Marine Protected Area, Zhejiang Province, China. S. alterniflora was introduced from North America "&amp;"in 1979 and invaded Ximen Island spontaneously. K. candel was a direct, artificial introduction in 1957 from Fujian, China. A total of 48 species of macrobenthos were collected from Ximen Island. The average density of macrobenthos in TF, SA and KC was 13"&amp;"65, 1398 and 669 ind./m(2), respectively, and the average biomass of macrobenthos in TF, SA and KC was 144.13, 43.00 and 138.70 g/m(2), respectively. There were no significant differences among the three habitats on density and biomass of macrobenthos, wi"&amp;"th the exception of density in spring and biomass in autumn. Diversity indices of macrobenthos did not exhibit significant differences among the three habitats, except for Margalef's richness index (d) in KC. However, Results of one-way analysis of simila"&amp;"rity (ANOSIM) revealed significant differences in macrobenthic community structure among the three habitats and four seasons. It was concluded that, although few significant differences were observed in the density, biomass and diversity indices of macrob"&amp;"enthos among habitats, there were significant changes in the macrobenthic communities' structure after the introduction of S. alterniflora and K. candel. Therefore, when we use plants as ecological engineering materials, we need to take into account all o"&amp;"f their potential ecological consequences.")</f>
        <v>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v>
      </c>
      <c r="C512" s="24" t="str">
        <f>IFERROR(__xludf.DUMMYFUNCTION("""COMPUTED_VALUE"""),"10.1016/j.ecoleng.2017.12.023")</f>
        <v>10.1016/j.ecoleng.2017.12.023</v>
      </c>
      <c r="D512" s="24" t="str">
        <f>IFERROR(__xludf.DUMMYFUNCTION("""COMPUTED_VALUE"""),"Keck et al")</f>
        <v>Keck et al</v>
      </c>
      <c r="E512" s="24" t="str">
        <f>IFERROR(__xludf.DUMMYFUNCTION("""COMPUTED_VALUE"""),"WOS:000424938300013")</f>
        <v>WOS:000424938300013</v>
      </c>
      <c r="F512" s="24" t="str">
        <f>IFERROR(__xludf.DUMMYFUNCTION("""COMPUTED_VALUE"""),"[""ELIGIBLE""]")</f>
        <v>["ELIGIBLE"]</v>
      </c>
    </row>
    <row r="513">
      <c r="A513" s="24" t="str">
        <f>IFERROR(__xludf.DUMMYFUNCTION("""COMPUTED_VALUE"""),"Effects of Non-Indigenous Oysters on Microbial Diversity and Ecosystem Functioning")</f>
        <v>Effects of Non-Indigenous Oysters on Microbial Diversity and Ecosystem Functioning</v>
      </c>
      <c r="B513" s="24" t="str">
        <f>IFERROR(__xludf.DUMMYFUNCTION("""COMPUTED_VALUE"""),"Invasive ecosystem engineers can physically and chemically alter the receiving environment, thereby affecting biodiversity and ecosystem functioning. The Pacific oyster, Crassostrea gigas, invasive throughout much of the world, can establish dense populat"&amp;"ions monopolising shorelines and possibly altering ecosystem processes including decomposition and nutrient cycling. The effects of increasing cover of invasive C. gigas on ecosystem processes and associated microbial assemblages in mud-flats were tested "&amp;"experimentally in the field. Pore-water nutrients (NH4+ and total oxidised nitrogen), sediment chlorophyll content, microbial activity, total carbon and nitrogen, and community respiration (CO2 and CH4) were measured to assess changes in ecosystem functio"&amp;"ning. Assemblages of bacteria and functionally important microbes, including methanogens, methylotrophs and ammonia-oxidisers were assessed in the oxic and anoxic layers of sediment using terminal restriction length polymorphism of the bacterial 16S rRNA,"&amp;" mxaF, amoA and archaeal mcrA genes respectively. At higher covers (40 and 80%) of oysters there was significantly greater microbial activity, increased chlorophyll content, CO2 (13 fold greater) and CH4 (6 fold greater) emission from the sediment compare"&amp;"d to mud-flats without C. gigas. At 10% cover, C. gigas increased the concentration of total oxidised nitrogen and altered the assemblage structure of ammonia-oxidisers and methanogens. Concentrations of pore-water NH4+ were increased by C. gigas regardle"&amp;"ss of cover. Invasive species can alter ecosystem functioning not only directly, but also indirectly, by affecting microbial communities vital for the maintenance of ecosystem processes, but the nature and magnitude of these effects can be non-linear, dep"&amp;"ending on invader abundance.")</f>
        <v>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v>
      </c>
      <c r="C513" s="24" t="str">
        <f>IFERROR(__xludf.DUMMYFUNCTION("""COMPUTED_VALUE"""),"10.1371/journal.pone.0048410")</f>
        <v>10.1371/journal.pone.0048410</v>
      </c>
      <c r="D513" s="24" t="str">
        <f>IFERROR(__xludf.DUMMYFUNCTION("""COMPUTED_VALUE"""),"Keck et al")</f>
        <v>Keck et al</v>
      </c>
      <c r="E513" s="24" t="str">
        <f>IFERROR(__xludf.DUMMYFUNCTION("""COMPUTED_VALUE"""),"WOS:000310705300072")</f>
        <v>WOS:000310705300072</v>
      </c>
      <c r="F513" s="24" t="str">
        <f>IFERROR(__xludf.DUMMYFUNCTION("""COMPUTED_VALUE"""),"[""ELIGIBLE""]")</f>
        <v>["ELIGIBLE"]</v>
      </c>
    </row>
    <row r="514">
      <c r="A514" s="24" t="str">
        <f>IFERROR(__xludf.DUMMYFUNCTION("""COMPUTED_VALUE"""),"Large-scale cascaded dam constructions drive taxonomic and phylogenetic differentiation of fish fauna in the Lancang River, China")</f>
        <v>Large-scale cascaded dam constructions drive taxonomic and phylogenetic differentiation of fish fauna in the Lancang River, China</v>
      </c>
      <c r="B514" s="24" t="str">
        <f>IFERROR(__xludf.DUMMYFUNCTION("""COMPUTED_VALUE"""),"The establishment of widespread non-native species and the loss of native species driven by multiple anthropogenic disturbances have led to a dramatic reconfiguration of current biodiversity. Trends towards homogenization or differentiation of fish fauna "&amp;"due to the impact of both introductions and extirpations on the taxonomic facet of biodiversity have been observed worldwide, while such effects on the phylogenetic facet have seldom been quantified. Here, we measured the spatio-temporal changes in taxono"&amp;"mic and phylogenetic dissimilarities of fish assemblages among 12 mainstream reaches of the Lancang River against the background of large-scale cascaded dam construction. We found that both the taxonomic and phylogenetic structures of fish assemblages exh"&amp;"ibited heterogeneity due to the reduction in the distribution area of common native species and imbalanced invasion by non-native species, which resulted from habitat fragmentation caused by the large-scale cascaded dam construction. Furthermore, changes "&amp;"in taxonomic and phylogenetic dissimilarities were highly correlated. Patterns of fish assemblage based on both taxonomic and phylogenetic structures showed clear spatio-temporal differences due to the imbalance of regional changes, namely, small changes "&amp;"upstream and large changes downstream. This study revealed that taxonomic and phylogenetic dissimilarities could increase in dam-fragmented habitats via imbalanced native species loss and non-native species invasion. Therefore, the risk of a generally pos"&amp;"itive interpretation of taxonomic and phylogenetic differentiation is highlighted, which should be highly important to ecologists and conservationists.")</f>
        <v>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v>
      </c>
      <c r="C514" s="24" t="str">
        <f>IFERROR(__xludf.DUMMYFUNCTION("""COMPUTED_VALUE"""),"10.1007/s11160-019-09580-0")</f>
        <v>10.1007/s11160-019-09580-0</v>
      </c>
      <c r="D514" s="24" t="str">
        <f>IFERROR(__xludf.DUMMYFUNCTION("""COMPUTED_VALUE"""),"Keck et al")</f>
        <v>Keck et al</v>
      </c>
      <c r="E514" s="24" t="str">
        <f>IFERROR(__xludf.DUMMYFUNCTION("""COMPUTED_VALUE"""),"WOS:000517112600009")</f>
        <v>WOS:000517112600009</v>
      </c>
      <c r="F514" s="24" t="str">
        <f>IFERROR(__xludf.DUMMYFUNCTION("""COMPUTED_VALUE"""),"[""ELIGIBLE""]")</f>
        <v>["ELIGIBLE"]</v>
      </c>
    </row>
    <row r="515">
      <c r="A515" s="24" t="str">
        <f>IFERROR(__xludf.DUMMYFUNCTION("""COMPUTED_VALUE"""),"Invasion and management of a woody plant, Lantana camara L., alters vegetation diversity within wet sclerophyll forest in southeastern Australia")</f>
        <v>Invasion and management of a woody plant, Lantana camara L., alters vegetation diversity within wet sclerophyll forest in southeastern Australia</v>
      </c>
      <c r="B515" s="24" t="str">
        <f>IFERROR(__xludf.DUMMYFUNCTION("""COMPUTED_VALUE"""),"Plant invasions of natural communities are commonly associated with reduced species diversity and altered ecosystem structure and function. This study investigated the effects of invasion and management of the woody shrub Lantana camara (lantana) in wet s"&amp;"clerophyll forest on the southeast coast of Australia. The effects of L camara invasion and management on resident vegetation diversity and recruitment were determined as well as if invader management initiated community recovery. Vascular plant species r"&amp;"ichness, abundance and composition were surveyed and compared across L. camara invaded, non-invaded and managed sites following L. camara removal during a previous control event by land managers. Native tree juvenile and adult densities were compared betw"&amp;"een sites to investigate the potential effects of L. camara on species recruitment. Invasion of L. camara led to a reduction in species richness and compositions that diverged from non-invaded vegetation. Species richness was lower for fern, herb, tree an"&amp;"d vine species, highlighting the pervasive threat of L. camara. For many common tree species, juvenile densities were lower within invaded sites than non-invaded sites, yet adult densities were similar across all invasion categories. This indicates that r"&amp;"educed species diversity is driven in part by recruitment limitation mechanisms, which may include allelopathy and resource competition, rather than displacement of adult vegetation. Management of L. camara initiated community recovery by increasing speci"&amp;"es richness, abundance and recruitment. While community composition following L camara management diverged from non-invaded vegetation, vigorous tree and shrub recruitment signals that long-term community reinstatement will occur. However, secondary weed "&amp;"invasion occurred following L. camara control. Follow-up weed control may be necessary to prevent secondary plant invasion following invader management and facilitate long-term community recovery. Crown Copyright (C) 2008 Published by Elsevier B.V. All ri"&amp;"ghts reserved.")</f>
        <v>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v>
      </c>
      <c r="C515" s="24" t="str">
        <f>IFERROR(__xludf.DUMMYFUNCTION("""COMPUTED_VALUE"""),"10.1016/j.foreco.2008.10.040")</f>
        <v>10.1016/j.foreco.2008.10.040</v>
      </c>
      <c r="D515" s="24" t="str">
        <f>IFERROR(__xludf.DUMMYFUNCTION("""COMPUTED_VALUE"""),"Keck et al")</f>
        <v>Keck et al</v>
      </c>
      <c r="E515" s="24" t="str">
        <f>IFERROR(__xludf.DUMMYFUNCTION("""COMPUTED_VALUE"""),"WOS:000263215700022")</f>
        <v>WOS:000263215700022</v>
      </c>
      <c r="F515" s="24" t="str">
        <f>IFERROR(__xludf.DUMMYFUNCTION("""COMPUTED_VALUE"""),"[""ELIGIBLE""]")</f>
        <v>["ELIGIBLE"]</v>
      </c>
    </row>
    <row r="516">
      <c r="A516" s="24" t="str">
        <f>IFERROR(__xludf.DUMMYFUNCTION("""COMPUTED_VALUE"""),"Impact threshold for an alien plant invader, Lantana camara L., on native plant communities")</f>
        <v>Impact threshold for an alien plant invader, Lantana camara L., on native plant communities</v>
      </c>
      <c r="B516" s="24" t="str">
        <f>IFERROR(__xludf.DUMMYFUNCTION("""COMPUTED_VALUE"""),"Alien plant invaders significantly threaten native community diversity, although it is poorly understood whether invasion initiates a linear or non-linear loss of resident species. Where low abundances of an invader have little impact on native species di"&amp;"versity, then a threshold level may exist, above which native communities rapidly decline. Our aim was to assess the broadscale effects of an alien thicket-forming shrub, lantana (Lantana carnara L.), on wet sclerophyll forest in southeastern Australia. V"&amp;"ascular plant species richness, abundance and composition were measured and compared along a gradient of lantana invasion. There was a strong negative non-linear relationship between native species richness and lantana cover, indicative of an impact thres"&amp;"hold. Native species richness remained stable below 75% lantana cover, but declined rapidly above this threshold level, leading to compositional change. Thus, sparse lantana infestations had evidently little effect on the resident community, with impacts "&amp;"elicited at an advanced stage of invasion. The impact of lantana was pervasive, with all major structural groups (i.e. ferns, herbs, shrubs, trees and vines) exhibiting significant species losses; however, the rate of species loss was relatively greater f"&amp;"or tree and shrub species, signalling a shift in vegetation structure from tall open forest to low, dense lantana-dominated shrubland. Potentially, broadscale conservation of species diversity could be achieved by maintaining lantana infestations below th"&amp;"e 75% cover impact threshold at sites containing regionally common species that are also widely represented in non-invaded vegetation. This would enable targeted invader eradication at sites of high conservation value (i.e. those containing regionally rar"&amp;"e species or endangered ecological communities). (C) 2009 Elsevier Ltd. All rights reserved.")</f>
        <v>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v>
      </c>
      <c r="C516" s="24" t="str">
        <f>IFERROR(__xludf.DUMMYFUNCTION("""COMPUTED_VALUE"""),"10.1016/j.biocon.2009.06.012")</f>
        <v>10.1016/j.biocon.2009.06.012</v>
      </c>
      <c r="D516" s="24" t="str">
        <f>IFERROR(__xludf.DUMMYFUNCTION("""COMPUTED_VALUE"""),"Keck et al")</f>
        <v>Keck et al</v>
      </c>
      <c r="E516" s="24" t="str">
        <f>IFERROR(__xludf.DUMMYFUNCTION("""COMPUTED_VALUE"""),"WOS:000270203100029")</f>
        <v>WOS:000270203100029</v>
      </c>
      <c r="F516" s="24" t="str">
        <f>IFERROR(__xludf.DUMMYFUNCTION("""COMPUTED_VALUE"""),"[""ELIGIBLE""]")</f>
        <v>["ELIGIBLE"]</v>
      </c>
    </row>
    <row r="517">
      <c r="A517" s="24" t="str">
        <f>IFERROR(__xludf.DUMMYFUNCTION("""COMPUTED_VALUE"""),"Historical ecology of a biological invasion: the interplay of eutrophication and pollution determines time lags in establishment and detection")</f>
        <v>Historical ecology of a biological invasion: the interplay of eutrophication and pollution determines time lags in establishment and detection</v>
      </c>
      <c r="B517" s="24" t="str">
        <f>IFERROR(__xludf.DUMMYFUNCTION("""COMPUTED_VALUE"""),"Human disturbance modifies selection regimes, depressing native species fitness and enabling the establishment of non-indigenous species with suitable traits. A major impediment to test the effect of disturbance on invasion success is the lack of long-ter"&amp;"m data on the history of invasions. Here, we overcome this problem and reconstruct the effect of disturbance on the invasion of the bivalve Anadara transversa from sediment cores in the Adriatic Sea. We show that (1) the onset of major eutrophication in t"&amp;"he 1970s shifted communities towards species tolerating hypoxia, and (2) A. transversa was introduced in the 1970s but failed to reach reproductive size until the late 1990s because of metal contamination, resulting in an establishment and detection lag o"&amp;"f similar to 25 years. Subfossil assemblages enabled us to (1) disentangle the distinct stages of invasion, (2) quantify time-lags and (3) finely reconstruct the interaction between environmental factors and the invasion process, showing that while distur"&amp;"bance does promote invasions, a synergism of multiple disturbances can shift selection regimes beyond tolerance limits and induce significant time lags in establishment. The quantification of these time lags enabled us to reject the hypothesis that aquacu"&amp;"lture was an initial vector of introduction, making shipping the most probable source.")</f>
        <v>Human disturbance modifies selection regimes, depressing native species fitness and enabling the establishment of non-indigenous species with suitable traits. A major impediment to test the effect of disturbance on invasion success is the lack of long-term data on the history of invasions. Here, we overcome this problem and reconstruct the effect of disturbance on the invasion of the bivalve Anadara transversa from sediment cores in the Adriatic Sea. We show that (1) the onset of major eutrophication in the 1970s shifted communities towards species tolerating hypoxia, and (2) A. transversa was introduced in the 1970s but failed to reach reproductive size until the late 1990s because of metal contamination, resulting in an establishment and detection lag of similar to 25 years. Subfossil assemblages enabled us to (1) disentangle the distinct stages of invasion, (2) quantify time-lags and (3) finely reconstruct the interaction between environmental factors and the invasion process, showing that while disturbance does promote invasions, a synergism of multiple disturbances can shift selection regimes beyond tolerance limits and induce significant time lags in establishment. The quantification of these time lags enabled us to reject the hypothesis that aquaculture was an initial vector of introduction, making shipping the most probable source.</v>
      </c>
      <c r="C517" s="24" t="str">
        <f>IFERROR(__xludf.DUMMYFUNCTION("""COMPUTED_VALUE"""),"10.1007/s10530-017-1634-7")</f>
        <v>10.1007/s10530-017-1634-7</v>
      </c>
      <c r="D517" s="24" t="str">
        <f>IFERROR(__xludf.DUMMYFUNCTION("""COMPUTED_VALUE"""),"Keck et al")</f>
        <v>Keck et al</v>
      </c>
      <c r="E517" s="24" t="str">
        <f>IFERROR(__xludf.DUMMYFUNCTION("""COMPUTED_VALUE"""),"WOS:000432717100006")</f>
        <v>WOS:000432717100006</v>
      </c>
      <c r="F517" s="24" t="str">
        <f>IFERROR(__xludf.DUMMYFUNCTION("""COMPUTED_VALUE"""),"[""ELIGIBLE""]")</f>
        <v>["ELIGIBLE"]</v>
      </c>
    </row>
    <row r="518">
      <c r="A518" s="24" t="str">
        <f>IFERROR(__xludf.DUMMYFUNCTION("""COMPUTED_VALUE"""),"Meiofaunal assemblages associated with native and non-indigenous macroalgae")</f>
        <v>Meiofaunal assemblages associated with native and non-indigenous macroalgae</v>
      </c>
      <c r="B518" s="24" t="str">
        <f>IFERROR(__xludf.DUMMYFUNCTION("""COMPUTED_VALUE"""),"Meiofauna is a useful tool to detect effects of different disturbances; however, its relevance in the frame of biological invasions has been almost fully neglected. Meiofaunal assemblages associated with the invasive macroalga Sargassum muticum were studi"&amp;"ed and compared with those associated with two native macroalgae (Bifurcaria bifurcata and Chondrus crispus). We used a linear mixed model to determine the influence of habitat size (i.e. macroalgal biomass) in shaping meiofaunal assemblages. Results show"&amp;"ed that habitat size (i.e. macroalgal biomass) shaped meiofaunal assemblages influencing its abundance, richness and structure. However, the identity of macroalga (i.e. species) appears also to play a significant role, particularly the differences of comp"&amp;"lexity among the studied species may shape their meiofaunal assemblages. Finally, the invasive macroalga appears to influence positively species richness. Our results highlight the need of including different faunal components to achieve a comprehensive k"&amp;"nowledge on effects of invasive macroalgae and that meiofaunal assemblages may be a valuable tool to examine them. (C) 2016 Elsevier Ltd. All rights reserved.")</f>
        <v>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v>
      </c>
      <c r="C518" s="24" t="str">
        <f>IFERROR(__xludf.DUMMYFUNCTION("""COMPUTED_VALUE"""),"10.1016/j.csr.2016.04.007")</f>
        <v>10.1016/j.csr.2016.04.007</v>
      </c>
      <c r="D518" s="24" t="str">
        <f>IFERROR(__xludf.DUMMYFUNCTION("""COMPUTED_VALUE"""),"Keck et al")</f>
        <v>Keck et al</v>
      </c>
      <c r="E518" s="24" t="str">
        <f>IFERROR(__xludf.DUMMYFUNCTION("""COMPUTED_VALUE"""),"WOS:000378960500001")</f>
        <v>WOS:000378960500001</v>
      </c>
      <c r="F518" s="24" t="str">
        <f>IFERROR(__xludf.DUMMYFUNCTION("""COMPUTED_VALUE"""),"[""ELIGIBLE""]")</f>
        <v>["ELIGIBLE"]</v>
      </c>
    </row>
    <row r="519">
      <c r="A519" s="24" t="str">
        <f>IFERROR(__xludf.DUMMYFUNCTION("""COMPUTED_VALUE"""),"Mobile epifaunal assemblages associated with Cystoseira beds: comparison between areas invaded and not invaded by Lophocladia lallemandii")</f>
        <v>Mobile epifaunal assemblages associated with Cystoseira beds: comparison between areas invaded and not invaded by Lophocladia lallemandii</v>
      </c>
      <c r="B519" s="24" t="str">
        <f>IFERROR(__xludf.DUMMYFUNCTION("""COMPUTED_VALUE"""),"The study compared the structure of mobile epifaunal assemblages associated with Mediterranean Cystoseira beds between areas invaded and not invaded by Lophocladia lallemandii. A total of 150 taxa were identified: 42 Polychaeta, 78 Arthropoda, 26 Mollusca"&amp;" and 4 Echinodermata. Epifaunal assemblages differed between areas invaded and not invaded by Lophocladia lallemandii when the invasive species reached maximum values of cover and biomass, while differences between conditions were not significant in other"&amp;" periods of the year. The main differences were the greater abundance of amphipods, isopods and polychaetes in invaded areas and the greater abundance of molluscs and decapods in non-invaded areas, while richness and total abundance of organisms were not "&amp;"significantly different between conditions. The effects of Lophocladia lallemandii invasion on Cystoseira-associated assemblages seem to be limited to the period of vegetative growth of the alga and reversible during the period of its vegetative rest.")</f>
        <v>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v>
      </c>
      <c r="C519" s="24" t="str">
        <f>IFERROR(__xludf.DUMMYFUNCTION("""COMPUTED_VALUE"""),"10.3989/scimar.03995.28B")</f>
        <v>10.3989/scimar.03995.28B</v>
      </c>
      <c r="D519" s="24" t="str">
        <f>IFERROR(__xludf.DUMMYFUNCTION("""COMPUTED_VALUE"""),"Keck et al")</f>
        <v>Keck et al</v>
      </c>
      <c r="E519" s="24" t="str">
        <f>IFERROR(__xludf.DUMMYFUNCTION("""COMPUTED_VALUE"""),"WOS:000342742100012")</f>
        <v>WOS:000342742100012</v>
      </c>
      <c r="F519" s="24" t="str">
        <f>IFERROR(__xludf.DUMMYFUNCTION("""COMPUTED_VALUE"""),"[""ELIGIBLE""]")</f>
        <v>["ELIGIBLE"]</v>
      </c>
    </row>
    <row r="520">
      <c r="A520" s="24" t="str">
        <f>IFERROR(__xludf.DUMMYFUNCTION("""COMPUTED_VALUE"""),"The role of human disturbance in island biogeography of arthropods and plants: an information theoretic approach")</f>
        <v>The role of human disturbance in island biogeography of arthropods and plants: an information theoretic approach</v>
      </c>
      <c r="B520" s="24" t="str">
        <f>IFERROR(__xludf.DUMMYFUNCTION("""COMPUTED_VALUE"""),"AimRecent progress in island biogeography indicates that classical island biogeography alone cannot encapsulate the complex and dynamic nature of island biogeographical processes. Factors such as habitat complexity and connectivity, and in the face of the"&amp;" Anthropocene, human disturbance and invasive species, may influence insular communities. The relative importance of these factors, however, may differ among groups of biota. Here we employed an information theoretic approach to investigate factors likely"&amp;" to explain patterns in species richness and assemblage composition of five different groups of arthropods (ants, beetles, flies, spiders and cockroaches) and native and exotic plants within an insular community. LocationCapricornia Cays located at the so"&amp;"uthern end of Great Barrier Reef, eastern Australia. MethodsArthropods were sampled from 14 cays using pitfall and Malaise traps and hand collecting. Plants were comprehensively surveyed on each island. We used univariate and multivariate generalized line"&amp;"ar models with a model averaging technique, to calculate summed Akaike weights which quantified the relative importance of predictor variables in explaining variation in species richness and assemblage composition. ResultsWe found that infestation of the "&amp;"invasive ant Pheidole megacephala was negatively correlated with the species richness of ants, beetles and flies. Unlike species richness, only the assemblage composition of ants was related to P. megacephala infestation. Assemblage composition of other a"&amp;"rthropod groups and plants was related to various factors, including island size (native plants), native plant species richness (beetles, flies and spiders) and presence of human disturbances (exotic plants and cockroaches). Main conclusionsThe informatio"&amp;"n theoretic approach proved useful in determining the relative likelihood of factors influencing both univariate and multivariate data of insular fauna and flora. The results demonstrated that human disturbance and proliferation of invasive species can ov"&amp;"erride other biogeographical processes. The relative importance of these factors, however, varied depending on the taxonomic groups studied.")</f>
        <v>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v>
      </c>
      <c r="C520" s="24" t="str">
        <f>IFERROR(__xludf.DUMMYFUNCTION("""COMPUTED_VALUE"""),"10.1111/jbi.12520")</f>
        <v>10.1111/jbi.12520</v>
      </c>
      <c r="D520" s="24" t="str">
        <f>IFERROR(__xludf.DUMMYFUNCTION("""COMPUTED_VALUE"""),"Keck et al")</f>
        <v>Keck et al</v>
      </c>
      <c r="E520" s="24" t="str">
        <f>IFERROR(__xludf.DUMMYFUNCTION("""COMPUTED_VALUE"""),"WOS:000357899700005")</f>
        <v>WOS:000357899700005</v>
      </c>
      <c r="F520" s="24" t="str">
        <f>IFERROR(__xludf.DUMMYFUNCTION("""COMPUTED_VALUE"""),"[""ELIGIBLE""]")</f>
        <v>["ELIGIBLE"]</v>
      </c>
    </row>
    <row r="521">
      <c r="A521" s="24" t="str">
        <f>IFERROR(__xludf.DUMMYFUNCTION("""COMPUTED_VALUE"""),"MULTIVARIATE IMPACT ANALYSIS OF PARTHENIUM HYSTEROPHORUS INVASION ON ABOVE-GROUND PLANT DIVERSITY IN POTHWAR REGION OF PAKISTAN")</f>
        <v>MULTIVARIATE IMPACT ANALYSIS OF PARTHENIUM HYSTEROPHORUS INVASION ON ABOVE-GROUND PLANT DIVERSITY IN POTHWAR REGION OF PAKISTAN</v>
      </c>
      <c r="B521" s="24" t="str">
        <f>IFERROR(__xludf.DUMMYFUNCTION("""COMPUTED_VALUE"""),"Phytosociological studies help to understand extent of biological invasion. Multiple analyses of ecological parameters at different locations derive general explanations of impact on species diversity in plant communities. Current study assessed the impac"&amp;"t of Parthenium hysterophorus (an annual weed of great significance in Pakistan and worldwide) invasion on native vegetation in Pothwar region of Pakistan. The approach used for the study was random samplings with two categorical factors: invaded and non-"&amp;"invaded under same habitat conditions. Differences in number of species (S), abundance (N), species richness (R), evenness (J'), Shannon diversity index (H') and Simpson index of dominance (lambda) were compared between invaded and control plots by t-test"&amp;" series. Control plots harbored by average of 0.9 more species per 10 m(2). The control category was more diverse (H' = 1.73) than invaded category (H' = 1.53). The higher value of species richness in control plots shows the heterogeneous nature of commun"&amp;"ities and vice versa in invaded plots. The lower value of index of dominance in invaded plots shows less sample diversity than in the control ones. At multivariate scale, ordination (nMDS) and ANOSIM showed significant magnitude of differences between inv"&amp;"aded and control plots in all sites. The most effected site by Parthenium invasion was Jhelum followed by Attock, Rawalpindi, Chakwal and Islamabad. The decrease in diversity indices in invaded over control sites indicated less productive plant communitie"&amp;"s due to Parthenium invasion. This makes Parthenium a candidate of consideration for appropriate control measures.")</f>
        <v>Phytosociological studies help to understand extent of biological invasion. Multiple analyses of ecological parameters at different locations derive general explanations of impact on species diversity in plant communities. Current study assessed the impact of Parthenium hysterophorus (an annual weed of great significance in Pakistan and worldwide) invasion on native vegetation in Pothwar region of Pakistan. The approach used for the study was random samplings with two categorical factors: invaded and non-invaded under same habitat conditions. Differences in number of species (S), abundance (N), species richness (R), evenness (J'), Shannon diversity index (H') and Simpson index of dominance (lambda) were compared between invaded and control plots by t-test series. Control plots harbored by average of 0.9 more species per 10 m(2). The control category was more diverse (H' = 1.73) than invaded category (H' = 1.53). The higher value of species richness in control plots shows the heterogeneous nature of communities and vice versa in invaded plots. The lower value of index of dominance in invaded plots shows less sample diversity than in the control ones. At multivariate scale, ordination (nMDS) and ANOSIM showed significant magnitude of differences between invaded and control plots in all sites. The most effected site by Parthenium invasion was Jhelum followed by Attock, Rawalpindi, Chakwal and Islamabad. The decrease in diversity indices in invaded over control sites indicated less productive plant communities due to Parthenium invasion. This makes Parthenium a candidate of consideration for appropriate control measures.</v>
      </c>
      <c r="C521" s="24" t="str">
        <f>IFERROR(__xludf.DUMMYFUNCTION("""COMPUTED_VALUE"""),"10.15666/aeer/1605_57995813")</f>
        <v>10.15666/aeer/1605_57995813</v>
      </c>
      <c r="D521" s="24" t="str">
        <f>IFERROR(__xludf.DUMMYFUNCTION("""COMPUTED_VALUE"""),"Keck et al")</f>
        <v>Keck et al</v>
      </c>
      <c r="E521" s="24" t="str">
        <f>IFERROR(__xludf.DUMMYFUNCTION("""COMPUTED_VALUE"""),"WOS:000448772700031")</f>
        <v>WOS:000448772700031</v>
      </c>
      <c r="F521" s="24" t="str">
        <f>IFERROR(__xludf.DUMMYFUNCTION("""COMPUTED_VALUE"""),"[""ELIGIBLE""]")</f>
        <v>["ELIGIBLE"]</v>
      </c>
    </row>
    <row r="522">
      <c r="A522" s="24" t="str">
        <f>IFERROR(__xludf.DUMMYFUNCTION("""COMPUTED_VALUE"""),"Benthic community history in the Changjiang (Yangtze River) mega-delta: Damming, urbanization, and environmental control")</f>
        <v>Benthic community history in the Changjiang (Yangtze River) mega-delta: Damming, urbanization, and environmental control</v>
      </c>
      <c r="B522" s="24" t="str">
        <f>IFERROR(__xludf.DUMMYFUNCTION("""COMPUTED_VALUE"""),"The coastal environment of the Changjiang delta has been influenced by recent anthropogenic activities such as dam construction and increased sewage and fertilizer inputs. Previous work examined the compositional shift of marine plankton to assess ecologi"&amp;"cal impacts of these activities on marine ecosystems in the Changjiang discharge area. Here we used benthic marine ostracodes collected in the Changjiang estuary and the adjacent East China Sea in the 1980s and the 2010s, respectively, to investigate temp"&amp;"oral changes of the benthic community and controlling factors for the benthic fauna. Our results revealed more shoreward distribution of some well-known offshore ostracode species in the 2010s compared with the 1980s and a relatively more important role f"&amp;"or environmental processes (e.g., bottom-water temperature, bottom-water salinity, and eutrophic conditions of surface water) than spatial processes (e.g., the flow of ocean currents) in structuring ostracode compositions. The temporal changes in the ostr"&amp;"acode community are likely attributable to the combined effects of reduced fresh water and sediment discharge and eutrophic conditions of the Changjiang due to the many dams constructed along the Changjiang and population expansion in the Changjiang Basin"&amp;". Results of redundancy analysis and variation partitioning suggest that ocean currents facilitated environmental filtering of ostracode species such that they could disperse to preferred environmental conditions. These findings highlight the potential us"&amp;"es of marine microfossils to better understand ecological impacts on benthic ecosystems in vulnerable Asian mega-deltas and provide insights into the integration of metacommunity concepts in disentangling dynamics of marine benthic communities.")</f>
        <v>The coastal environment of the Changjiang delta has been influenced by recent anthropogenic activities such as dam construction and increased sewage and fertilizer inputs. Previous work examined the compositional shift of marine plankton to assess ecological impacts of these activities on marine ecosystems in the Changjiang discharge area. Here we used benthic marine ostracodes collected in the Changjiang estuary and the adjacent East China Sea in the 1980s and the 2010s, respectively, to investigate temporal changes of the benthic community and controlling factors for the benthic fauna. Our results revealed more shoreward distribution of some well-known offshore ostracode species in the 2010s compared with the 1980s and a relatively more important role for environmental processes (e.g., bottom-water temperature, bottom-water salinity, and eutrophic conditions of surface water) than spatial processes (e.g., the flow of ocean currents) in structuring ostracode compositions. The temporal changes in the ostracode community are likely attributable to the combined effects of reduced fresh water and sediment discharge and eutrophic conditions of the Changjiang due to the many dams constructed along the Changjiang and population expansion in the Changjiang Basin. Results of redundancy analysis and variation partitioning suggest that ocean currents facilitated environmental filtering of ostracode species such that they could disperse to preferred environmental conditions. These findings highlight the potential uses of marine microfossils to better understand ecological impacts on benthic ecosystems in vulnerable Asian mega-deltas and provide insights into the integration of metacommunity concepts in disentangling dynamics of marine benthic communities.</v>
      </c>
      <c r="C522" s="24" t="str">
        <f>IFERROR(__xludf.DUMMYFUNCTION("""COMPUTED_VALUE"""),"10.1017/pab.2019.21")</f>
        <v>10.1017/pab.2019.21</v>
      </c>
      <c r="D522" s="24" t="str">
        <f>IFERROR(__xludf.DUMMYFUNCTION("""COMPUTED_VALUE"""),"Keck et al")</f>
        <v>Keck et al</v>
      </c>
      <c r="E522" s="24" t="str">
        <f>IFERROR(__xludf.DUMMYFUNCTION("""COMPUTED_VALUE"""),"WOS:000482047300006")</f>
        <v>WOS:000482047300006</v>
      </c>
      <c r="F522" s="24" t="str">
        <f>IFERROR(__xludf.DUMMYFUNCTION("""COMPUTED_VALUE"""),"[""ELIGIBLE""]")</f>
        <v>["ELIGIBLE"]</v>
      </c>
    </row>
    <row r="523">
      <c r="A523" s="24" t="str">
        <f>IFERROR(__xludf.DUMMYFUNCTION("""COMPUTED_VALUE"""),"Diversity of anuran communities facing bullfrog invasion in Atlantic Forest ponds")</f>
        <v>Diversity of anuran communities facing bullfrog invasion in Atlantic Forest ponds</v>
      </c>
      <c r="B523" s="24" t="str">
        <f>IFERROR(__xludf.DUMMYFUNCTION("""COMPUTED_VALUE"""),"Invasive species may affect community diversity in several ways, causing species loss at local scales and promoting either biotic homogenization among sites within a region or increases in beta diversity among regions. If these losses or additions are res"&amp;"tricted to specific functional groups or clades, it could mean the loss or modification of an ecosystem process, and cause important changes in native community structures. In this study, we assessed whether a bullfrog invasion is related to diversity cha"&amp;"nges in Atlantic Forest anuran communities. We compared communities from invaded and non-invaded sites, and tested for differences in composition and in the variability of composition, at both taxonomic and phylogenetic levels. The potential influence of "&amp;"pond and habitat features in our results was also assessed. We also tested if bullfrog invasion is promoting nestedness. We found no differences among anuran compositions from 57 invaded and non-invaded sites, across the three regions studied, either for "&amp;"taxonomic or for phylogenetic data. Habitat descriptors partially explained taxonomic composition. The taxonomic and phylogenetic compositions were also similar regarding dispersion variability. In addition, invaded sites did not show nested compositions "&amp;"from non-invaded sites. In sum, our results do not support the hypothesis that bullfrog invasion caused changes in diversity patterns of anuran communities. Our results contrast with studies conducted in other regions of the world, where invasive populati"&amp;"ons of bullfrogs seem to affect local native communities. In those places, bullfrogs find congeneric or confamilial species, which may be more affected by the invasion. In the Atlantic Forest, bullfrogs find suitable climatic conditions, and may face low "&amp;"biotic resistance since they find no congeneric species. These conditions may allow bullfrogs to coexist with native species without changes in diversity.")</f>
        <v>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v>
      </c>
      <c r="C523" s="24" t="str">
        <f>IFERROR(__xludf.DUMMYFUNCTION("""COMPUTED_VALUE"""),"10.1007/s10530-014-0783-1")</f>
        <v>10.1007/s10530-014-0783-1</v>
      </c>
      <c r="D523" s="24" t="str">
        <f>IFERROR(__xludf.DUMMYFUNCTION("""COMPUTED_VALUE"""),"Keck et al")</f>
        <v>Keck et al</v>
      </c>
      <c r="E523" s="24" t="str">
        <f>IFERROR(__xludf.DUMMYFUNCTION("""COMPUTED_VALUE"""),"WOS:000351197300013")</f>
        <v>WOS:000351197300013</v>
      </c>
      <c r="F523" s="24" t="str">
        <f>IFERROR(__xludf.DUMMYFUNCTION("""COMPUTED_VALUE"""),"[""ELIGIBLE""]")</f>
        <v>["ELIGIBLE"]</v>
      </c>
    </row>
    <row r="524">
      <c r="A524" s="24" t="str">
        <f>IFERROR(__xludf.DUMMYFUNCTION("""COMPUTED_VALUE"""),"Vegetation moderates impacts of tourism usage on bird communities along roads and hiking trails")</f>
        <v>Vegetation moderates impacts of tourism usage on bird communities along roads and hiking trails</v>
      </c>
      <c r="B524" s="24" t="str">
        <f>IFERROR(__xludf.DUMMYFUNCTION("""COMPUTED_VALUE"""),"Bird communities inhabiting ecosystems adjacent to recreational tracks may be adversely affected by disturbance from passing tourism traffic, vehicle-related mortality, habitat alteration and modified biotic relationships such as the increase of strong co"&amp;"mpetitors. This study investigated the effects of tourist usage of roads vs. hiking trails on bird communities in gorges of the Flinders Ranges, a popular South Australian tourist destination in the arid-lands. High tourist usage along roads decreased the"&amp;" individual abundance and species richness of birds relative to low usage trails. The decrease in species richness, though less pronounced, also occurred at high-usage sites along trails. Changes in the species response to recreational disturbance/impacts"&amp;" varied depending on the ecology of the species. Bigger, more competitive birds with a generalist diet were overrepresented at high-usage sites along roads and trails. Species using microhabitats in lower vegetation layers were more sensitive. However, st"&amp;"ructural and floristic complexity of vegetation was a more important factor influencing bird abundance than tourist usage. Sites with a better developed shrub and tree layer sustained higher species abundance and richer communities. Importantly, vegetatio"&amp;"n qualities moderated the negative effect of high usage on the individual abundance of birds along roads, to the extent that such an effect was absent at sites with the best developed shrub and tree layer. To protect avifauna along recreational tracks in "&amp;"arid-lands gorges, we recommend the closure of some gorges or sections for vehicle or any access. Further, open space particularly for camping needs to be minimized as it creates areas of high tourist usage with modified habitat that provides birds with l"&amp;"ittle buffer from disturbance. (C) 2013 Elsevier Ltd. All rights reserved.")</f>
        <v>Bird communities inhabiting ecosystems adjacent to recreational tracks may be adversely affected by disturbance from passing tourism traffic, vehicle-related mortality, habitat alteration and modified biotic relationships such as the increase of strong competitors. This study investigated the effects of tourist usage of roads vs. hiking trails on bird communities in gorges of the Flinders Ranges, a popular South Australian tourist destination in the arid-lands. High tourist usage along roads decreased the individual abundance and species richness of birds relative to low usage trails. The decrease in species richness, though less pronounced, also occurred at high-usage sites along trails. Changes in the species response to recreational disturbance/impacts varied depending on the ecology of the species. Bigger, more competitive birds with a generalist diet were overrepresented at high-usage sites along roads and trails. Species using microhabitats in lower vegetation layers were more sensitive. However, structural and floristic complexity of vegetation was a more important factor influencing bird abundance than tourist usage. Sites with a better developed shrub and tree layer sustained higher species abundance and richer communities. Importantly, vegetation qualities moderated the negative effect of high usage on the individual abundance of birds along roads, to the extent that such an effect was absent at sites with the best developed shrub and tree layer. To protect avifauna along recreational tracks in arid-lands gorges, we recommend the closure of some gorges or sections for vehicle or any access. Further, open space particularly for camping needs to be minimized as it creates areas of high tourist usage with modified habitat that provides birds with little buffer from disturbance. (C) 2013 Elsevier Ltd. All rights reserved.</v>
      </c>
      <c r="C524" s="24" t="str">
        <f>IFERROR(__xludf.DUMMYFUNCTION("""COMPUTED_VALUE"""),"10.1016/j.jenvman.2013.07.017")</f>
        <v>10.1016/j.jenvman.2013.07.017</v>
      </c>
      <c r="D524" s="24" t="str">
        <f>IFERROR(__xludf.DUMMYFUNCTION("""COMPUTED_VALUE"""),"Keck et al")</f>
        <v>Keck et al</v>
      </c>
      <c r="E524" s="24" t="str">
        <f>IFERROR(__xludf.DUMMYFUNCTION("""COMPUTED_VALUE"""),"WOS:000327904400027")</f>
        <v>WOS:000327904400027</v>
      </c>
      <c r="F524" s="24" t="str">
        <f>IFERROR(__xludf.DUMMYFUNCTION("""COMPUTED_VALUE"""),"[""ELIGIBLE""]")</f>
        <v>["ELIGIBLE"]</v>
      </c>
    </row>
    <row r="525">
      <c r="A525" s="24" t="str">
        <f>IFERROR(__xludf.DUMMYFUNCTION("""COMPUTED_VALUE"""),"Modified otter trawl legs to reduce damage and mortality of benthic organisms in North East Atlantic fisheries (Bay of Biscay)")</f>
        <v>Modified otter trawl legs to reduce damage and mortality of benthic organisms in North East Atlantic fisheries (Bay of Biscay)</v>
      </c>
      <c r="B525" s="24" t="str">
        <f>IFERROR(__xludf.DUMMYFUNCTION("""COMPUTED_VALUE"""),"Despite a consensus about the significant damages to marine benthos and commercial fish stocks induced by mobile fishing gear, the extent and intensity of this practice have currently grown all over the world. The main problems of fisheries management are"&amp;" the capture and killing of juvenile and undersized fish and thus restrictions mainly concern mesh size in cod-end. However another recurrent problem and non-negligible is the by-catch of undersize commercial fish and of non-target species. Hence, regulat"&amp;"ions to reduce such by-catch have formed a part of fisheries management techniques since the early 20th century. As a consequence, successful developments and technical modification have been used to reduce capture of undersized fish and discards (i.e. me"&amp;"sh size, separator panels, and sorting grids) in the last decades. Technical modification concerning reduction of damage and mortality to benthic communities are less documented. Most of the tentative to replace tickler chain, panels or legs by other syst"&amp;"ems have failed, while results showed a decrease in non-target catch, and a decrease in commercial catch was observed. This paper presents fishing experiments with modified otter trawl aimed at reducing discard rates and direct mortality of benthic infaun"&amp;"a and epifauna without affecting the level of landings (i.e. a comparison of environmental effects caused by a conventional otter trawl compared to a modified otter trawl with enlighten experimental legs). Catch composition, by-catch and short-term effect"&amp;"s to macro- and megafauna communities of both fishing gear (conventional and modified) were investigated. Results show that no differences for commercial catch biomass or for benthic communities' structure were observed. Moreover, by-catch analysis showed"&amp;" no difference while significant higher damage and direct mortality were observed for target and non-target species caught by the normal otter trawl compared to those caught by the modified one. Consequently, although limited, the severity of the damage a"&amp;"ppears to be linked with the type of trawl-legs used. The modified otter trawl permits to decrease damage and mortality to captured and non-captured organism and thus to reduce impacts to exploited marine ecosystems. These results are of interest and appe"&amp;"ar attractive in the framework of marine ecosystems preservation and conservation, as well as of fisheries management. (C) 2007 Elsevier B.V. All rights reserved.")</f>
        <v>Despite a consensus about the significant damages to marine benthos and commercial fish stocks induced by mobile fishing gear, the extent and intensity of this practice have currently grown all over the world. The main problems of fisheries management are the capture and killing of juvenile and undersized fish and thus restrictions mainly concern mesh size in cod-end. However another recurrent problem and non-negligible is the by-catch of undersize commercial fish and of non-target species. Hence, regulations to reduce such by-catch have formed a part of fisheries management techniques since the early 20th century. As a consequence, successful developments and technical modification have been used to reduce capture of undersized fish and discards (i.e. mesh size, separator panels, and sorting grids) in the last decades. Technical modification concerning reduction of damage and mortality to benthic communities are less documented. Most of the tentative to replace tickler chain, panels or legs by other systems have failed, while results showed a decrease in non-target catch, and a decrease in commercial catch was observed. This paper presents fishing experiments with modified otter trawl aimed at reducing discard rates and direct mortality of benthic infauna and epifauna without affecting the level of landings (i.e. a comparison of environmental effects caused by a conventional otter trawl compared to a modified otter trawl with enlighten experimental legs). Catch composition, by-catch and short-term effects to macro- and megafauna communities of both fishing gear (conventional and modified) were investigated. Results show that no differences for commercial catch biomass or for benthic communities' structure were observed. Moreover, by-catch analysis showed no difference while significant higher damage and direct mortality were observed for target and non-target species caught by the normal otter trawl compared to those caught by the modified one. Consequently, although limited, the severity of the damage appears to be linked with the type of trawl-legs used. The modified otter trawl permits to decrease damage and mortality to captured and non-captured organism and thus to reduce impacts to exploited marine ecosystems. These results are of interest and appear attractive in the framework of marine ecosystems preservation and conservation, as well as of fisheries management. (C) 2007 Elsevier B.V. All rights reserved.</v>
      </c>
      <c r="C525" s="24" t="str">
        <f>IFERROR(__xludf.DUMMYFUNCTION("""COMPUTED_VALUE"""),"10.1016/j.jmarsys.2007.05.017")</f>
        <v>10.1016/j.jmarsys.2007.05.017</v>
      </c>
      <c r="D525" s="24" t="str">
        <f>IFERROR(__xludf.DUMMYFUNCTION("""COMPUTED_VALUE"""),"Keck et al")</f>
        <v>Keck et al</v>
      </c>
      <c r="E525" s="24" t="str">
        <f>IFERROR(__xludf.DUMMYFUNCTION("""COMPUTED_VALUE"""),"WOS:000256816400002")</f>
        <v>WOS:000256816400002</v>
      </c>
      <c r="F525" s="24" t="str">
        <f>IFERROR(__xludf.DUMMYFUNCTION("""COMPUTED_VALUE"""),"[""ELIGIBLE""]")</f>
        <v>["ELIGIBLE"]</v>
      </c>
    </row>
    <row r="526">
      <c r="A526" s="24" t="str">
        <f>IFERROR(__xludf.DUMMYFUNCTION("""COMPUTED_VALUE"""),"Interactions of exotic and native Pomacea with wetland vegetation structure in the Greater Everglades, Florida, USA")</f>
        <v>Interactions of exotic and native Pomacea with wetland vegetation structure in the Greater Everglades, Florida, USA</v>
      </c>
      <c r="B526" s="24" t="str">
        <f>IFERROR(__xludf.DUMMYFUNCTION("""COMPUTED_VALUE"""),"Invasions of exotic species are a global threat to native species, biological diversity, and ecological restoration projects. The snail Ponzacea maculata is an exotic herbivore with broad environmental tolerances and high fecundity that is spreading acros"&amp;"s the southeastern USA. This study examined snail-plant interactions and resource utilization by P maculata and a native congener, Pomacea paludosa, in littoral zone wetlands of Lake Okeechobee, Florida. Questions concerning the preferences of the two sna"&amp;"il species for wetland plant species, and potential risks to native snail populations and plant communities in an already stressed ecosystem were addressed. Vegetation communities associated with native, exotic, and mixed snail populations were significan"&amp;"tly different. The exotic plant Hydrilla verticillata was the greatest contributor to plant community similarities between sites supporting P maculata, whereas the native plant species Eleocharis cellulosa, Nymphaea odorata, and Schoenoplectus americanus "&amp;"influenced similarities among plant communities supporting P paludosa. Within mixed snail populations, native emergent Paspalidium geminatum, and submerged Vallisneria americana and Potamogeton illinoensis wetland plant species were the most important con"&amp;"tributors to site similarity. As generalist feeders, native and exotic Ponzacea may spread their resource use among native and exotic wetland plant communities, respectively, thus reducing both competitive and top-down pressures. However, limited evidence"&amp;" in mixed populations suggests that coupled top-down herbivory pressure may impact some important native restoration indicators in the Greater Everglades, such as V americana. Future research should examine the potential risks posed by relatively cryptic "&amp;"facilitative interactions of exotic P maculata with other exotic invaders such as H. verticillata.")</f>
        <v>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v>
      </c>
      <c r="C526" s="24" t="str">
        <f>IFERROR(__xludf.DUMMYFUNCTION("""COMPUTED_VALUE"""),"10.1127/fal/2017/0970")</f>
        <v>10.1127/fal/2017/0970</v>
      </c>
      <c r="D526" s="24" t="str">
        <f>IFERROR(__xludf.DUMMYFUNCTION("""COMPUTED_VALUE"""),"Keck et al")</f>
        <v>Keck et al</v>
      </c>
      <c r="E526" s="24" t="str">
        <f>IFERROR(__xludf.DUMMYFUNCTION("""COMPUTED_VALUE"""),"WOS:000400955400001")</f>
        <v>WOS:000400955400001</v>
      </c>
      <c r="F526" s="24" t="str">
        <f>IFERROR(__xludf.DUMMYFUNCTION("""COMPUTED_VALUE"""),"[""ELIGIBLE""]")</f>
        <v>["ELIGIBLE"]</v>
      </c>
    </row>
    <row r="527">
      <c r="A527" s="24" t="str">
        <f>IFERROR(__xludf.DUMMYFUNCTION("""COMPUTED_VALUE"""),"Habitat Complexity and Invasive Species: The Impacts of Gamba Grass (Andropogon gayanus) on Invertebrates in an Australian Tropical Savanna")</f>
        <v>Habitat Complexity and Invasive Species: The Impacts of Gamba Grass (Andropogon gayanus) on Invertebrates in an Australian Tropical Savanna</v>
      </c>
      <c r="B527" s="24" t="str">
        <f>IFERROR(__xludf.DUMMYFUNCTION("""COMPUTED_VALUE"""),"Habitat complexity is an important factor structuring local faunal assemblages. Many invasive plant species alter vegetation complexity because they are both functionally and structurally different from native flora. This study investigated the effects of"&amp;" an invasive grass (Andropogon gayanus Kunth.), which is invading undisturbed savannas in northern Australia. Although A. gayanus is a similar lifeform to that dominant in the native understory (i.e., a C4 grass), it is structurally different and signific"&amp;"antly alters habitat complexity. We, therefore, hypothesized that there would be a substantial effect of the invasive grass on ant, spider, and other invertebrate assemblages. Contrary to our hypothesis, there was no effect of A. gayanus on ant species ri"&amp;"chness, abundance, or composition, nor were spiders or other invertebrates affected. Instead the change in weather conditions with season was more important in structuring the local invertebrate assemblages. Change in habitat complexity was most pronounce"&amp;"d vertically, rather than horizontally at ground level, thus although there was a clear difference in the vertical structure between invaded and noninvaded habitats, the limited invertebrate response to different A. gayanus densities suggests some inverte"&amp;"brates are less sensitive to vertical changes in vegetation structure.")</f>
        <v>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v>
      </c>
      <c r="C527" s="24" t="str">
        <f>IFERROR(__xludf.DUMMYFUNCTION("""COMPUTED_VALUE"""),"10.1111/j.1744-7429.2010.00637.x")</f>
        <v>10.1111/j.1744-7429.2010.00637.x</v>
      </c>
      <c r="D527" s="24" t="str">
        <f>IFERROR(__xludf.DUMMYFUNCTION("""COMPUTED_VALUE"""),"Keck et al")</f>
        <v>Keck et al</v>
      </c>
      <c r="E527" s="24" t="str">
        <f>IFERROR(__xludf.DUMMYFUNCTION("""COMPUTED_VALUE"""),"WOS:000283949700009")</f>
        <v>WOS:000283949700009</v>
      </c>
      <c r="F527" s="24" t="str">
        <f>IFERROR(__xludf.DUMMYFUNCTION("""COMPUTED_VALUE"""),"[""ELIGIBLE""]")</f>
        <v>["ELIGIBLE"]</v>
      </c>
    </row>
    <row r="528">
      <c r="A528" s="24" t="str">
        <f>IFERROR(__xludf.DUMMYFUNCTION("""COMPUTED_VALUE"""),"Effects of anthropogenic wildfire in low-elevation Pacific island vegetation communities in French Polynesia")</f>
        <v>Effects of anthropogenic wildfire in low-elevation Pacific island vegetation communities in French Polynesia</v>
      </c>
      <c r="B528" s="24" t="str">
        <f>IFERROR(__xludf.DUMMYFUNCTION("""COMPUTED_VALUE"""),"Anthropogenic (or human-caused) wildfire is an increasingly important driver of ecological change on Pacific islands including southeastern Polynesia, but fire ecology studies are almost completely absent for this region. Where observations do exist, they"&amp;" mostly represent descriptions of fire effects on plant communities before the introduction of invasive species in the modern era. Understanding the effects of wildfire in southeastern Polynesian island vegetation communities can elucidate which species m"&amp;"ay become problematic invasives with continued wildfire activity. We investigate the effects of wildfire on vegetation in three low-elevation sites (45-379 m) on the island of Mo'orea in the Society Islands, French Polynesia, which are already heavily imp"&amp;"acted by past human land use and invasive exotic plants, but retain some native flora. In six study areas (three burned and three unburned comparisons), we placed 30 transects across sites and collected species and abundance information at 390 points. We "&amp;"analyzed each local community of plants in three categories: natives, those introduced by Polynesians before European contact (1767 C.E.), and those introduced since European contact. Burned areas had the same or lower mean species richness than paired co"&amp;"mparison sites. Although wildfire did not affect the proportions of native and introduced species, it may increase the abundance of introduced species on some sites. Non-metric multidimensional scaling indicates that (not recently modified) comparison pla"&amp;"nt communities are more distinct from one another than are those on burned sites. We discuss conservation concerns for particular native plants absent from burned sites, as well as invasive species (including Lantana camara and Paraserianthes falcataria )"&amp;" that may be promoted by fire in the Pacific.")</f>
        <v>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v>
      </c>
      <c r="C528" s="24" t="str">
        <f>IFERROR(__xludf.DUMMYFUNCTION("""COMPUTED_VALUE"""),"10.7717/peerj.5114")</f>
        <v>10.7717/peerj.5114</v>
      </c>
      <c r="D528" s="24" t="str">
        <f>IFERROR(__xludf.DUMMYFUNCTION("""COMPUTED_VALUE"""),"Keck et al")</f>
        <v>Keck et al</v>
      </c>
      <c r="E528" s="24" t="str">
        <f>IFERROR(__xludf.DUMMYFUNCTION("""COMPUTED_VALUE"""),"WOS:000435832400013")</f>
        <v>WOS:000435832400013</v>
      </c>
      <c r="F528" s="24" t="str">
        <f>IFERROR(__xludf.DUMMYFUNCTION("""COMPUTED_VALUE"""),"[""ELIGIBLE""]")</f>
        <v>["ELIGIBLE"]</v>
      </c>
    </row>
    <row r="529">
      <c r="A529" s="24" t="str">
        <f>IFERROR(__xludf.DUMMYFUNCTION("""COMPUTED_VALUE"""),"Persistence of biological invasion effects:: Recovery of macroalgal assemblages after removal of Caulerpa racemosa var. cylindracea")</f>
        <v>Persistence of biological invasion effects:: Recovery of macroalgal assemblages after removal of Caulerpa racemosa var. cylindracea</v>
      </c>
      <c r="B529" s="24" t="str">
        <f>IFERROR(__xludf.DUMMYFUNCTION("""COMPUTED_VALUE"""),"The present study evaluated the capability of recovery of Mediterranean macroalgal assemblages on rocky bottom invaded by Caulerpa racemosa. A manipulative experiment was pet-formed to compare the structure of native assemblages that: (a) were invaded by "&amp;"the alga, (b) were invaded, but where the invasive alga was removed, and (c) had never been invaded. Macroalgal assemblages differed significantly between areas invaded by C. racemosa and control areas. Moreover, one year after removal of the invader, the"&amp;" recovery of community was minimal. Overall, recovery consisted of a significant increase in species richness and cover of macroalgae, but cover of each vegetation layer (encrusting, turf and erect) did not vary significantly between cleared and Invaded p"&amp;"lots through time. Results showed that the effects of the colonization persist after the removal of the alga and the process of recovery of the assemblages appears to be quite slow. This finding might be an important contribution to evaluate invasion cost"&amp;"s and thus potentially useful for an effective addressing of control strategies. (c) 2006 Elsevier Ltd. All rights reserved.")</f>
        <v>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v>
      </c>
      <c r="C529" s="24" t="str">
        <f>IFERROR(__xludf.DUMMYFUNCTION("""COMPUTED_VALUE"""),"10.1016/j.ecss.2006.02.011")</f>
        <v>10.1016/j.ecss.2006.02.011</v>
      </c>
      <c r="D529" s="24" t="str">
        <f>IFERROR(__xludf.DUMMYFUNCTION("""COMPUTED_VALUE"""),"Keck et al")</f>
        <v>Keck et al</v>
      </c>
      <c r="E529" s="24" t="str">
        <f>IFERROR(__xludf.DUMMYFUNCTION("""COMPUTED_VALUE"""),"WOS:000238871700009")</f>
        <v>WOS:000238871700009</v>
      </c>
      <c r="F529" s="24" t="str">
        <f>IFERROR(__xludf.DUMMYFUNCTION("""COMPUTED_VALUE"""),"[""ELIGIBLE""]")</f>
        <v>["ELIGIBLE"]</v>
      </c>
    </row>
    <row r="530">
      <c r="A530" s="24" t="str">
        <f>IFERROR(__xludf.DUMMYFUNCTION("""COMPUTED_VALUE"""),"Ecological impacts of the austral-most population of Crassostrea gigas in South America: a matter of time?")</f>
        <v>Ecological impacts of the austral-most population of Crassostrea gigas in South America: a matter of time?</v>
      </c>
      <c r="B530" s="24" t="str">
        <f>IFERROR(__xludf.DUMMYFUNCTION("""COMPUTED_VALUE"""),"The Pacific oyster Crassostrea gigas is one of the most invasive species worldwide. This oyster has a preponderant ecological role in the invaded environments, for example structuring the benthic community through the provision of micro-habitats. Twenty-f"&amp;"ive years after its introduction in Argentina, the species is colonizing new areas along the coast, extending northwards and southwards its local distribution. In this study, we provide the first ecological characterization of the southern-most population"&amp;" of C. gigas; where the composition, density, richness and diversity of the macroinvertebrate assemblages associated with zones with oysters were compared with zones where it is absent at four different times of the year. Additionally, the main epibionts "&amp;"taxa settled on the oyster shells were studied. Our results showed differences in the assemblage composition between zones. However, these differences were not consistent throughout the year. Furthermore, density, richness and diversity were higher in the"&amp;" zones with oysters only in one of the surveys and the parameters did not differ between zones in the remaining months. Moreover, the majority of oysters were used as settlement substrate by the sessile common species present in the area. Thus, our work p"&amp;"rovides new information about the ecology of C. gigas in recently invaded areas that enhance our understanding of the role that facilitation plays in physically stressful ecosystems and the importance that density and time since the invasion may have in t"&amp;"he engineering effects of the species.")</f>
        <v>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v>
      </c>
      <c r="C530" s="24" t="str">
        <f>IFERROR(__xludf.DUMMYFUNCTION("""COMPUTED_VALUE"""),"10.1007/s11284-015-1298-7")</f>
        <v>10.1007/s11284-015-1298-7</v>
      </c>
      <c r="D530" s="24" t="str">
        <f>IFERROR(__xludf.DUMMYFUNCTION("""COMPUTED_VALUE"""),"Keck et al")</f>
        <v>Keck et al</v>
      </c>
      <c r="E530" s="24" t="str">
        <f>IFERROR(__xludf.DUMMYFUNCTION("""COMPUTED_VALUE"""),"WOS:000363959700002")</f>
        <v>WOS:000363959700002</v>
      </c>
      <c r="F530" s="24" t="str">
        <f>IFERROR(__xludf.DUMMYFUNCTION("""COMPUTED_VALUE"""),"[""ELIGIBLE""]")</f>
        <v>["ELIGIBLE"]</v>
      </c>
    </row>
    <row r="531">
      <c r="A531" s="24" t="str">
        <f>IFERROR(__xludf.DUMMYFUNCTION("""COMPUTED_VALUE"""),"Impacts of the invasive Argentine ant on native ants and other invertebrates in coastal scrub in south-eastern Australia")</f>
        <v>Impacts of the invasive Argentine ant on native ants and other invertebrates in coastal scrub in south-eastern Australia</v>
      </c>
      <c r="B531" s="24" t="str">
        <f>IFERROR(__xludf.DUMMYFUNCTION("""COMPUTED_VALUE"""),"Invasive ants threaten native biodiversity and ecosystem function worldwide. Although their principal direct impact is usually the displacement of native ants, they may also affect other invertebrates. The Argentine ant, Linepithema humile (Dolichoderinae"&amp;"), one of the most widespread invasive ant species, has invaded native habitat where it abuts peri-urban development in coastal Victoria in south-eastern Australia. Here we infer impacts of the Argentine ant on native ants and other litter and ground-dwel"&amp;"ling invertebrates by comparing their abundance and taxonomic composition in coastal scrub forest either invaded or uninvaded by the Argentine ant. Species composition of native ants at bait stations and extracted from litter differed significantly betwee"&amp;"n Argentine ant-invaded and uninvaded sites and this was consistent across years. Argentine ants had a strong effect on epigeic ants, which were either displaced or reduced in abundance. The native ant Rhytidoponera victoriae (Ponerinae), numerically domi"&amp;"nant at uninvaded sites, was completely absent from sites invaded by the Argentine ant. However, small hypogeic ants, including Solenopsis sp. (Myrmicinae) and Heteroponera imbellis (Heteroponerinae), were little affected. Linepithema humile had no detect"&amp;"able effect upon the abundance and richness of other litter invertebrates. However, invertebrate group composition differed significantly between invaded and uninvaded sites, owing to the varied response of several influential groups (e.g. Collembola and "&amp;"Acarina). Floristics, habitat structure and measured environmental factors did not differ significantly between sites either invaded or uninvaded by Argentine ants, supporting the contention that differences in native ant abundance and species composition"&amp;" are related to invasion. Changes in the native ant community wrought by Argentine ant invasion have important implications for invertebrate communities in southern Australia and may affect key processes, including seed dispersal.")</f>
        <v>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v>
      </c>
      <c r="C531" s="24" t="str">
        <f>IFERROR(__xludf.DUMMYFUNCTION("""COMPUTED_VALUE"""),"10.1111/j.1442-9993.2008.01922.x")</f>
        <v>10.1111/j.1442-9993.2008.01922.x</v>
      </c>
      <c r="D531" s="24" t="str">
        <f>IFERROR(__xludf.DUMMYFUNCTION("""COMPUTED_VALUE"""),"Keck et al")</f>
        <v>Keck et al</v>
      </c>
      <c r="E531" s="24" t="str">
        <f>IFERROR(__xludf.DUMMYFUNCTION("""COMPUTED_VALUE"""),"WOS:000265222000001")</f>
        <v>WOS:000265222000001</v>
      </c>
      <c r="F531" s="24" t="str">
        <f>IFERROR(__xludf.DUMMYFUNCTION("""COMPUTED_VALUE"""),"[""ELIGIBLE""]")</f>
        <v>["ELIGIBLE"]</v>
      </c>
    </row>
    <row r="532">
      <c r="A532" s="24" t="str">
        <f>IFERROR(__xludf.DUMMYFUNCTION("""COMPUTED_VALUE"""),"Impact of the invasive species Sargassum muticum (Phaeophyta) on tide pool macroalgal assemblages of northern Spain")</f>
        <v>Impact of the invasive species Sargassum muticum (Phaeophyta) on tide pool macroalgal assemblages of northern Spain</v>
      </c>
      <c r="B532" s="24" t="str">
        <f>IFERROR(__xludf.DUMMYFUNCTION("""COMPUTED_VALUE"""),"The impact of the invasive seaweed Sargassum muticum (Yendo) Fensholt (Phaeophyta, Sargassaceae) on tide pool macroalgal assemblages of northern Spain was investigated between 2001 and 2004. Invader removal experiments were simultaneously conducted at thr"&amp;"ee semi-exposed rocky-shores within a shoreline length of 200 km. Changes in the abundance of algal functional-form groups, species richness and diversity were compared between manipulated and control rock pools. Leathery macrophytes, especially Bifurcari"&amp;"a bifurcata, slightly increased following removal of S. muticum at 2 of the 3 studied localities. The remaining functional-form groups, diversity and species richness did not appear to be affected. Because of the heterogeneous distribution of S. muticum i"&amp;"n northern Spain, the overall effect of the species is likely to be minimal both among localities and among pools within a locality.")</f>
        <v>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v>
      </c>
      <c r="C532" s="24" t="str">
        <f>IFERROR(__xludf.DUMMYFUNCTION("""COMPUTED_VALUE"""),"10.1016/j.ecss.2018.06.003")</f>
        <v>10.1016/j.ecss.2018.06.003</v>
      </c>
      <c r="D532" s="24" t="str">
        <f>IFERROR(__xludf.DUMMYFUNCTION("""COMPUTED_VALUE"""),"Keck et al")</f>
        <v>Keck et al</v>
      </c>
      <c r="E532" s="24" t="str">
        <f>IFERROR(__xludf.DUMMYFUNCTION("""COMPUTED_VALUE"""),"WOS:000439740000006")</f>
        <v>WOS:000439740000006</v>
      </c>
      <c r="F532" s="24" t="str">
        <f>IFERROR(__xludf.DUMMYFUNCTION("""COMPUTED_VALUE"""),"[""ELIGIBLE""]")</f>
        <v>["ELIGIBLE"]</v>
      </c>
    </row>
    <row r="533">
      <c r="A533" s="24" t="str">
        <f>IFERROR(__xludf.DUMMYFUNCTION("""COMPUTED_VALUE"""),"Long-term changes in the structure of intertidal assemblages after invasion by Sargassum muticum (Phaeophyta)")</f>
        <v>Long-term changes in the structure of intertidal assemblages after invasion by Sargassum muticum (Phaeophyta)</v>
      </c>
      <c r="B533" s="24" t="str">
        <f>IFERROR(__xludf.DUMMYFUNCTION("""COMPUTED_VALUE"""),"The macroalgal assemblages at the low intertidal zone were studied at three localities on the north coast of Spain between 1977 and 2002. Two of these localities were invaded at the end of the 1980s by the brown seaweed Sargassum muticum (Yendo) Fensholt "&amp;"(Phaeophyta, Sargassaceae), whereas the third locality remained free of the invader. In 2002, distinct algal assemblages were noticed in invaded and noninvaded localities. No major changes were detected in the noninvaded locality. Apart from the obvious p"&amp;"resence of S. muticum, the changes observed in the invaded localities included a significant reduction in abundance of the previous dominant species (the red alga Gelidium spinosum (S. G. Gmelin) P. C. Silva) as well as an increased number of species and "&amp;"diversity, increased primary productivity, and variations in the seasonal abundance patterns of some species. We speculate that the arrival of S. muticum had a negative effect on the dominant native G. spinosum, probably related to competition for light. "&amp;"This resulted in indirect positive effects on other species of the assemblage (such as Bifurcaria bifurcata R. Ross). Other small epiphytic opportunistic species might also have been benefited from the presence of S. muticum, because the invader has a ric"&amp;"h associated epiphytic assemblage.")</f>
        <v>The macroalgal assemblages at the low intertidal zone were studied at three localities on the north coast of Spain between 1977 and 2002. Two of these localities were invaded at the end of the 1980s by the brown seaweed Sargassum muticum (Yendo) Fensholt (Phaeophyta, Sargassaceae), whereas the third locality remained free of the invader. In 2002, distinct algal assemblages were noticed in invaded and noninvaded localities. No major changes were detected in the noninvaded locality. Apart from the obvious presence of S. muticum, the changes observed in the invaded localities included a significant reduction in abundance of the previous dominant species (the red alga Gelidium spinosum (S. G. Gmelin) P. C. Silva) as well as an increased number of species and diversity, increased primary productivity, and variations in the seasonal abundance patterns of some species. We speculate that the arrival of S. muticum had a negative effect on the dominant native G. spinosum, probably related to competition for light. This resulted in indirect positive effects on other species of the assemblage (such as Bifurcaria bifurcata R. Ross). Other small epiphytic opportunistic species might also have been benefited from the presence of S. muticum, because the invader has a rich associated epiphytic assemblage.</v>
      </c>
      <c r="C533" s="24" t="str">
        <f>IFERROR(__xludf.DUMMYFUNCTION("""COMPUTED_VALUE"""),"10.1111/j.1529-8817.2005.00122.x")</f>
        <v>10.1111/j.1529-8817.2005.00122.x</v>
      </c>
      <c r="D533" s="24" t="str">
        <f>IFERROR(__xludf.DUMMYFUNCTION("""COMPUTED_VALUE"""),"Keck et al")</f>
        <v>Keck et al</v>
      </c>
      <c r="E533" s="24" t="str">
        <f>IFERROR(__xludf.DUMMYFUNCTION("""COMPUTED_VALUE"""),"WOS:000232050000004")</f>
        <v>WOS:000232050000004</v>
      </c>
      <c r="F533" s="24" t="str">
        <f>IFERROR(__xludf.DUMMYFUNCTION("""COMPUTED_VALUE"""),"[""ELIGIBLE""]")</f>
        <v>["ELIGIBLE"]</v>
      </c>
    </row>
    <row r="534">
      <c r="A534" s="24" t="str">
        <f>IFERROR(__xludf.DUMMYFUNCTION("""COMPUTED_VALUE"""),"Interspecific Aggression and Resource Monopolization of the Invasive Ant Anoplolepis gracilipes in Malaysian Borneo")</f>
        <v>Interspecific Aggression and Resource Monopolization of the Invasive Ant Anoplolepis gracilipes in Malaysian Borneo</v>
      </c>
      <c r="B534" s="24" t="str">
        <f>IFERROR(__xludf.DUMMYFUNCTION("""COMPUTED_VALUE"""),"Invasions by introduced ant species can be ecologically destructive and affect a wide range of taxa, particularly native ants. Invasive ant species often numerically dominate ant communities and outperform native ant species in effective resource acquisit"&amp;"ion. Here, we describe interactions between the invasive ant Anoplolepis gracilipes (Smith) and resident ant species in disturbed habitats in NE Borneo. We measured interference competition abilities of A. gracilipes by performing arena bioassays between "&amp;"two A. gracilipes colonies and seven local ant species, and measured its effective resource competition at baits within supercolonies and at supercolony boundaries. Furthermore, we compared ant species diversity and composition at baits among (A) core are"&amp;"as of A. gracilipes supercolonies, (B) supercolony boundaries and (C) outside supercolonies. Anoplolepis gracilipes was behaviorally dominant over most ant species except Oecophylla smaragdina. Within supercolonies, A. gracilipes discovered all food baits"&amp;" first, and monopolized the vast majority throughout the course of the experiment. At supercolony boundaries, A. gracilipes discovered baits later than resident ant species, but subsequently monopolized half of the baits. Furthermore, the activity and div"&amp;"ersity of the ant community within A. gracilipes supercolonies was lower than at its boundaries and outside supercolonies, and the ant communities differed significantly between infested and noninfested areas. Our study supports the hypothesis that succes"&amp;"sful establishment of A. gracilipes in anthropogenically disturbed habitats may negatively affect resident ant communities through high levels of direct interspecific aggression and almost complete monopolization of resources within high-density supercolo"&amp;"nies.")</f>
        <v>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v>
      </c>
      <c r="C534" s="24" t="str">
        <f>IFERROR(__xludf.DUMMYFUNCTION("""COMPUTED_VALUE"""),"10.1111/j.1744-7429.2010.00662.x")</f>
        <v>10.1111/j.1744-7429.2010.00662.x</v>
      </c>
      <c r="D534" s="24" t="str">
        <f>IFERROR(__xludf.DUMMYFUNCTION("""COMPUTED_VALUE"""),"Keck et al")</f>
        <v>Keck et al</v>
      </c>
      <c r="E534" s="24" t="str">
        <f>IFERROR(__xludf.DUMMYFUNCTION("""COMPUTED_VALUE"""),"WOS:000285832000015")</f>
        <v>WOS:000285832000015</v>
      </c>
      <c r="F534" s="24" t="str">
        <f>IFERROR(__xludf.DUMMYFUNCTION("""COMPUTED_VALUE"""),"[""ELIGIBLE""]")</f>
        <v>["ELIGIBLE"]</v>
      </c>
    </row>
    <row r="535">
      <c r="A535" s="24" t="str">
        <f>IFERROR(__xludf.DUMMYFUNCTION("""COMPUTED_VALUE"""),"Effects of macroalgal identity on epifaunal assemblages: native species versus the invasive species Sargassum muticum")</f>
        <v>Effects of macroalgal identity on epifaunal assemblages: native species versus the invasive species Sargassum muticum</v>
      </c>
      <c r="B535" s="24" t="str">
        <f>IFERROR(__xludf.DUMMYFUNCTION("""COMPUTED_VALUE"""),"Seaweeds are a refuge from stressful conditions associated with life on rocky intertidal shores, and there is evidence that different macrophytes support different assemblages of mobile epifauna. Introduction of non-indigenous macroalgae may have a great "&amp;"impact on associated epifaunal assemblages and ecosystem processes in coastal areas. Previous studies have reported conflicting evidences for the ability of epifauna to colonize non-indigenous species. Here, we analyzed epifaunal assemblages associated wi"&amp;"th three species of macroalgae that are very abundant on intertidal shores along the Galician coast: the two native species Bifurcaria bifurcata and Saccorhiza polyschides and the invasive species Sargassum muticum. We collected samples of each species fr"&amp;"om three different sites at three different times to test whether variability of epifaunal assemblages was consistent over space and time. Epifaunal assemblages differed between the three macroalgae. Results suggested that stability and morphology of habi"&amp;"tat played an important role in shaping the structure of epifaunal assemblages. This study also showed that the invasive S. muticum offered a suitable habitat for many invertebrates.")</f>
        <v>Seaweeds are a refuge from stressful conditions associated with life on rocky intertidal shores, and there is evidence that different macrophytes support different assemblages of mobile epifauna. Introduction of non-indigenous macroalgae may have a great impact on associated epifaunal assemblages and ecosystem processes in coastal areas. Previous studies have reported conflicting evidences for the ability of epifauna to colonize non-indigenous species. Here, we analyzed epifaunal assemblages associated with three species of macroalgae that are very abundant on intertidal shores along the Galician coast: the two native species Bifurcaria bifurcata and Saccorhiza polyschides and the invasive species Sargassum muticum. We collected samples of each species from three different sites at three different times to test whether variability of epifaunal assemblages was consistent over space and time. Epifaunal assemblages differed between the three macroalgae. Results suggested that stability and morphology of habitat played an important role in shaping the structure of epifaunal assemblages. This study also showed that the invasive S. muticum offered a suitable habitat for many invertebrates.</v>
      </c>
      <c r="C535" s="24" t="str">
        <f>IFERROR(__xludf.DUMMYFUNCTION("""COMPUTED_VALUE"""),"10.1007/s10152-011-0257-0")</f>
        <v>10.1007/s10152-011-0257-0</v>
      </c>
      <c r="D535" s="24" t="str">
        <f>IFERROR(__xludf.DUMMYFUNCTION("""COMPUTED_VALUE"""),"Keck et al")</f>
        <v>Keck et al</v>
      </c>
      <c r="E535" s="24" t="str">
        <f>IFERROR(__xludf.DUMMYFUNCTION("""COMPUTED_VALUE"""),"WOS:000304298100005")</f>
        <v>WOS:000304298100005</v>
      </c>
      <c r="F535" s="24" t="str">
        <f>IFERROR(__xludf.DUMMYFUNCTION("""COMPUTED_VALUE"""),"[""ELIGIBLE""]")</f>
        <v>["ELIGIBLE"]</v>
      </c>
    </row>
    <row r="536">
      <c r="A536" s="24" t="str">
        <f>IFERROR(__xludf.DUMMYFUNCTION("""COMPUTED_VALUE"""),"Changes in plant community of Seasonally Semideciduous Forest after invasion by Schizolobium parahyba at southeastern Brazil")</f>
        <v>Changes in plant community of Seasonally Semideciduous Forest after invasion by Schizolobium parahyba at southeastern Brazil</v>
      </c>
      <c r="B536" s="24" t="str">
        <f>IFERROR(__xludf.DUMMYFUNCTION("""COMPUTED_VALUE"""),"The recognition of a species as invasive is generally accepted when it comes from another continent or even from another country, but requires strong evidences of negative impacts to support control actions when the invasive species comes from another reg"&amp;"ion in the same country. Schyzolobium parahyba the 'guapuruvu', is a Brazilian tree native from the evergreen type of the Atlantic Forest, which has been recorded as invader in a number of remnants of the Seasonally Semideciduous Forest SSF. We hypothesiz"&amp;"ed that this giant and fast growing invasive tree changes the structure and composition of the understory, thus impairing the forest dynamics. We assessed the invasive population in the whole. fragment, and, within the portion invaded, we sampled the rege"&amp;"nerating plant community I) under the largest alien trees, 2) under a native species with similar ecology (Peltophorum dubium), and 3) randomly in the forest. Density, basal area and richness under S. parahyba were remarkably lower than under the equivale"&amp;"nt native species or in the understory as a whole. Floristic composition of the plant community was also distinct under S. parahyba, possibly due to increased competition for soil water. Even though the alien species has occupied, as yet, a small proporti"&amp;"on of the forest fragment, it dominates the overstory and threatens the regeneration processes under its canopy. In view of our findings, we recommend extirpation of the species from SSF, as well as avoiding cultivation of the species away from its native"&amp;" range. (C) 2013 Elsevier Masson SAS. All rights reserved.")</f>
        <v>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v>
      </c>
      <c r="C536" s="24" t="str">
        <f>IFERROR(__xludf.DUMMYFUNCTION("""COMPUTED_VALUE"""),"10.1016/j.actao.2013.03.013")</f>
        <v>10.1016/j.actao.2013.03.013</v>
      </c>
      <c r="D536" s="24" t="str">
        <f>IFERROR(__xludf.DUMMYFUNCTION("""COMPUTED_VALUE"""),"Keck et al")</f>
        <v>Keck et al</v>
      </c>
      <c r="E536" s="24" t="str">
        <f>IFERROR(__xludf.DUMMYFUNCTION("""COMPUTED_VALUE"""),"WOS:000331430000009")</f>
        <v>WOS:000331430000009</v>
      </c>
      <c r="F536" s="24" t="str">
        <f>IFERROR(__xludf.DUMMYFUNCTION("""COMPUTED_VALUE"""),"[""ELIGIBLE""]")</f>
        <v>["ELIGIBLE"]</v>
      </c>
    </row>
    <row r="537">
      <c r="A537" s="24" t="str">
        <f>IFERROR(__xludf.DUMMYFUNCTION("""COMPUTED_VALUE"""),"Secondary Invasions Hinder the Recovery of Native Communities after the Removal of Nonnative Pines Along a Precipitation Gradient in Patagonia")</f>
        <v>Secondary Invasions Hinder the Recovery of Native Communities after the Removal of Nonnative Pines Along a Precipitation Gradient in Patagonia</v>
      </c>
      <c r="B537" s="24" t="str">
        <f>IFERROR(__xludf.DUMMYFUNCTION("""COMPUTED_VALUE"""),"The removal of nonnative species can lead to re-invasion by nonnative species, especially in communities with multiple co-occurring invaders. Biotic and abiotic conditions shape community structure, reducing the predictability of nonnative management. We "&amp;"evaluated plant community recovery after the removal of nonnative pines with an emphasis on the effect of environmental conditions on the nonnative species response. We compared clearcuts (where pine plantations were removed), pine plantations, and native"&amp;" communities along a precipitation gradient in Patagonia. Nonnative richness and cover were higher in clearcuts compared to native communities along nearly the entire precipitation gradient, with the exception of the harshest sites. Compared to native com"&amp;"munities, invasion resistance was lower in clearcuts in the wetter sites. Native richness and cover were lower in clearcuts relative to native communities along the gradient. Species composition in clearcuts diverged in similarity from native communities "&amp;"towards the wetter sites. Plantations showed an extremely lower richness and cover compared to both clearcuts and native communities. Our study highlights that clearcutting is an ineffective strategy to manage nonnatives aimed at restoring native communit"&amp;"ies and elucidates the importance of environmental context in management approaches. Taken together, our findings reinforce the important consideration of both the biotic and abiotic context of nonnative management.")</f>
        <v>The removal of nonnative species can lead to re-invasion by nonnative species, especially in communities with multiple co-occurring invaders. Biotic and abiotic conditions shape community structure, reducing the predictability of nonnative management. We evaluated plant community recovery after the removal of nonnative pines with an emphasis on the effect of environmental conditions on the nonnative species response. We compared clearcuts (where pine plantations were removed), pine plantations, and native communities along a precipitation gradient in Patagonia. Nonnative richness and cover were higher in clearcuts compared to native communities along nearly the entire precipitation gradient, with the exception of the harshest sites. Compared to native communities, invasion resistance was lower in clearcuts in the wetter sites. Native richness and cover were lower in clearcuts relative to native communities along the gradient. Species composition in clearcuts diverged in similarity from native communities towards the wetter sites. Plantations showed an extremely lower richness and cover compared to both clearcuts and native communities. Our study highlights that clearcutting is an ineffective strategy to manage nonnatives aimed at restoring native communities and elucidates the importance of environmental context in management approaches. Taken together, our findings reinforce the important consideration of both the biotic and abiotic context of nonnative management.</v>
      </c>
      <c r="C537" s="24" t="str">
        <f>IFERROR(__xludf.DUMMYFUNCTION("""COMPUTED_VALUE"""),"10.3390/f9070394")</f>
        <v>10.3390/f9070394</v>
      </c>
      <c r="D537" s="24" t="str">
        <f>IFERROR(__xludf.DUMMYFUNCTION("""COMPUTED_VALUE"""),"Keck et al")</f>
        <v>Keck et al</v>
      </c>
      <c r="E537" s="24" t="str">
        <f>IFERROR(__xludf.DUMMYFUNCTION("""COMPUTED_VALUE"""),"WOS:000440018600025")</f>
        <v>WOS:000440018600025</v>
      </c>
      <c r="F537" s="24" t="str">
        <f>IFERROR(__xludf.DUMMYFUNCTION("""COMPUTED_VALUE"""),"[""ELIGIBLE""]")</f>
        <v>["ELIGIBLE"]</v>
      </c>
    </row>
    <row r="538">
      <c r="A538" s="24" t="str">
        <f>IFERROR(__xludf.DUMMYFUNCTION("""COMPUTED_VALUE"""),"Facilitations between the introduced nitrogen-fixing tree, Robinia pseudoacacia, and nonnative plant species in the glacial outwash upland ecosystem of cape cod, MA")</f>
        <v>Facilitations between the introduced nitrogen-fixing tree, Robinia pseudoacacia, and nonnative plant species in the glacial outwash upland ecosystem of cape cod, MA</v>
      </c>
      <c r="B538" s="24" t="str">
        <f>IFERROR(__xludf.DUMMYFUNCTION("""COMPUTED_VALUE"""),"Robinia pseudoacacia, a nitrogen-fixing, clonal tree species native to the central Appalachian and Ozark Mountains, is considered to be one of the top 100 worldwide woody plant invaders. We initiated this project to determine the impact of black locust (R"&amp;"obinia pseudoacacia) on an upland coastal ecosystem and to estimate the spread of this species within Cape Cod National Seashore (CCNS). We censused 20 x 20 m plots for vegetation cover and environmental characteristics in the center of twenty randomly-se"&amp;"lected Robinia pseudoacacia stands. Additionally, paired plots were surveyed under native overstory stands, comprised largely of pitch pine (Pinus rigida) and mixed pitch pine-oak (Quercus velutina and Quercus alba) communities. These native stands were l"&amp;"ocated 20 m from the edge of the sampled locust stand and had similar land use histories. To determine the historical distribution of black locust in CCNS, we digitized and georeferenced historical and current aerial photographs of randomly-selected stand"&amp;"s. Ordination analyses revealed striking community-level differences between locust and pine-oak stands in their immediate vicinity. Understory nonnative species richness and abundance values were significantly higher under Robinia stands than under the p"&amp;"aired native stands. Additionally, animal-dispersed plant species tended to occur in closer stands, suggesting their spread between locust stands. Robinia stand area significantly decreased from the 1970's to 2002, prompting us to recommend no management "&amp;"action of black locust and a monitoring program and possible removal of associated animal-dispersed species. The introduction of a novel functional type (nitrogen-fixing tree) into this xeric, nutrient-poor, upland forested ecosystem resulted in 'islands "&amp;"of invasion' within this resistant system.")</f>
        <v>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v>
      </c>
      <c r="C538" s="24" t="str">
        <f>IFERROR(__xludf.DUMMYFUNCTION("""COMPUTED_VALUE"""),"10.1007/s10531-004-6906-8")</f>
        <v>10.1007/s10531-004-6906-8</v>
      </c>
      <c r="D538" s="24" t="str">
        <f>IFERROR(__xludf.DUMMYFUNCTION("""COMPUTED_VALUE"""),"Keck et al")</f>
        <v>Keck et al</v>
      </c>
      <c r="E538" s="24" t="str">
        <f>IFERROR(__xludf.DUMMYFUNCTION("""COMPUTED_VALUE"""),"WOS:000238362200008")</f>
        <v>WOS:000238362200008</v>
      </c>
      <c r="F538" s="24" t="str">
        <f>IFERROR(__xludf.DUMMYFUNCTION("""COMPUTED_VALUE"""),"[""ELIGIBLE""]")</f>
        <v>["ELIGIBLE"]</v>
      </c>
    </row>
    <row r="539">
      <c r="A539" s="24" t="str">
        <f>IFERROR(__xludf.DUMMYFUNCTION("""COMPUTED_VALUE"""),"Impacts of a reduction in seawater pH mimicking ocean acidification on the structure and diversity of mycoplankton communities")</f>
        <v>Impacts of a reduction in seawater pH mimicking ocean acidification on the structure and diversity of mycoplankton communities</v>
      </c>
      <c r="B539" s="24" t="str">
        <f>IFERROR(__xludf.DUMMYFUNCTION("""COMPUTED_VALUE"""),"Increases in atmospheric carbon dioxide (CO2) change ocean chemistry, as dissolved CO2 leads to a reduction in the seawater pH. Many marine taxa have been shown to be affected by ocean acidification; however, information on marine fungi is lacking. We ana"&amp;"lyzed the effect of pH on mycoplankton communities. The pH of microcosms was adjusted to a value mimicking the predicted ocean acidification in the near future. Fungal communities were analyzed using a double-marker gene approach, allowing a more detailed"&amp;" analysis of their response using 454 pyrosequencing. Mycoplankton communities in microcosms with in situ and adjusted water pH values differed significantly in terms of structure and diversity. The differences were mainly abundance shifts among the domin"&amp;"ant taxa, rather than the exclusion of fungal groups. A sensitivity to lower pH values was reported for several groups across the fungal kingdom and was not phylogenetically conserved. Some of the fungal species that dominated the communities of microcosm"&amp;"s with a lower pH were known pathogenic fungi. With the increasing awareness of the significant role fungi play in marine systems, including performing a diverse range of symbiotic activities, our results highlight the importance of including fungi in fur"&amp;"ther research projects studying and modeling biotic responses to the predicted ocean acidification.")</f>
        <v>Increases in atmospheric carbon dioxide (CO2) change ocean chemistry, as dissolved CO2 leads to a reduction in the seawater pH. Many marine taxa have been shown to be affected by ocean acidification; however, information on marine fungi is lacking. We analyzed the effect of pH on mycoplankton communities. The pH of microcosms was adjusted to a value mimicking the predicted ocean acidification in the near future. Fungal communities were analyzed using a double-marker gene approach, allowing a more detailed analysis of their response using 454 pyrosequencing. Mycoplankton communities in microcosms with in situ and adjusted water pH values differed significantly in terms of structure and diversity. The differences were mainly abundance shifts among the dominant taxa, rather than the exclusion of fungal groups. A sensitivity to lower pH values was reported for several groups across the fungal kingdom and was not phylogenetically conserved. Some of the fungal species that dominated the communities of microcosms with a lower pH were known pathogenic fungi. With the increasing awareness of the significant role fungi play in marine systems, including performing a diverse range of symbiotic activities, our results highlight the importance of including fungi in further research projects studying and modeling biotic responses to the predicted ocean acidification.</v>
      </c>
      <c r="C539" s="24" t="str">
        <f>IFERROR(__xludf.DUMMYFUNCTION("""COMPUTED_VALUE"""),"10.3354/ame01831")</f>
        <v>10.3354/ame01831</v>
      </c>
      <c r="D539" s="24" t="str">
        <f>IFERROR(__xludf.DUMMYFUNCTION("""COMPUTED_VALUE"""),"Keck et al")</f>
        <v>Keck et al</v>
      </c>
      <c r="E539" s="24" t="str">
        <f>IFERROR(__xludf.DUMMYFUNCTION("""COMPUTED_VALUE"""),"WOS:000406130800004")</f>
        <v>WOS:000406130800004</v>
      </c>
      <c r="F539" s="24" t="str">
        <f>IFERROR(__xludf.DUMMYFUNCTION("""COMPUTED_VALUE"""),"[""ELIGIBLE""]")</f>
        <v>["ELIGIBLE"]</v>
      </c>
    </row>
    <row r="540">
      <c r="A540" s="24" t="str">
        <f>IFERROR(__xludf.DUMMYFUNCTION("""COMPUTED_VALUE"""),"Effects of urbanization on California's fish diversity: Differentiation, homogenization and the influence of spatial scale")</f>
        <v>Effects of urbanization on California's fish diversity: Differentiation, homogenization and the influence of spatial scale</v>
      </c>
      <c r="B540" s="24" t="str">
        <f>IFERROR(__xludf.DUMMYFUNCTION("""COMPUTED_VALUE"""),"Human development of freshwater ecosystems has lead to drastic changes in freshwater fish faunas, including the loss of many native species and the gain of non-natives. Typically conservation ecologists view these two opposing forces as contributing to bi"&amp;"ological homogenization, and consider homogenization as one of the principle negative consequences of urbanization. However, homogenization is only one outcome out of many that can result from the loss and gain of species. In particular, it is possible fo"&amp;"r invasions and extinctions to lead to differentiation; a process whereby two (or more) regions become less similar to one another through time. Using the freshwater fishes of California, we show that urbanization is highly positively correlated to both t"&amp;"he endangerment of native fish and the invasion of non-native fish within watersheds. Despite this, the fish faunas of California's watersheds have differentiated from one another through time. Furthermore, the degree of differentiation is positively corr"&amp;"elated with measures of urbanization, which is contrary to expectation. We suggest that this result reflects: (1) the haphazard manner in which non-native fishes have been introduced into California watersheds, (2) the difficulty that both native and non-"&amp;"native fishes have in expanding their geographical ranges, and (3) the continued presence of vestiges of formerly distinct regional faunas. This pattern of differentiation among watersheds is likely a matter of scale, as previous work on freshwater fishes"&amp;" has demonstrated homogenization at both larger and smaller spatial scales. In addition the observed pattern is probably a short-term (temporal) phenomena and will disappear with continued invasion and extinction. We suggest that similar patterns may occu"&amp;"r for other taxa that have limited natural dispersal abilities and that are idiosyncratically released as non-natives via human activities (e.g. herptiles). (c) 2005 Elsevier Ltd. All rights reserved.")</f>
        <v>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v>
      </c>
      <c r="C540" s="24" t="str">
        <f>IFERROR(__xludf.DUMMYFUNCTION("""COMPUTED_VALUE"""),"10.1016/j.biocon.2005.04.025")</f>
        <v>10.1016/j.biocon.2005.04.025</v>
      </c>
      <c r="D540" s="24" t="str">
        <f>IFERROR(__xludf.DUMMYFUNCTION("""COMPUTED_VALUE"""),"Keck et al")</f>
        <v>Keck et al</v>
      </c>
      <c r="E540" s="24" t="str">
        <f>IFERROR(__xludf.DUMMYFUNCTION("""COMPUTED_VALUE"""),"WOS:000234695800007")</f>
        <v>WOS:000234695800007</v>
      </c>
      <c r="F540" s="24" t="str">
        <f>IFERROR(__xludf.DUMMYFUNCTION("""COMPUTED_VALUE"""),"[""ELIGIBLE""]")</f>
        <v>["ELIGIBLE"]</v>
      </c>
    </row>
    <row r="541">
      <c r="A541" s="24" t="str">
        <f>IFERROR(__xludf.DUMMYFUNCTION("""COMPUTED_VALUE"""),"Benthic community response to sediment organic enrichment by Mediterranean fish farms: Case studies")</f>
        <v>Benthic community response to sediment organic enrichment by Mediterranean fish farms: Case studies</v>
      </c>
      <c r="B541" s="24" t="str">
        <f>IFERROR(__xludf.DUMMYFUNCTION("""COMPUTED_VALUE"""),"There is a great deal of scientific information about the biogeochemical processes in sediments near fish farms and how those processes may be driven under nutrient enrichment to environmental negative effects, as biodiversity decrease is observed in bent"&amp;"hic assemblages. Within an adaptive management framework, a good monitoring program can be used to adjust farm management to avert serious and persistent impacts to the sediment. Macrobenthic community represents a good indicator able to detect environmen"&amp;"tal effects resulting from organic enrichment and, based on this, was selected to monitor Italian marine fish farms. In order to assess the environmental sediment disturbance resulting from marine aquaculture along the Italian coasts three marine fish far"&amp;"ms were considered based on their different environmental features: two located in the Tyrrhenian Sea and one in the Adriatic Sea. The selected cage fish farms produce European sea bass Dicentrarchus labrax (L.), gilthead sea-bream Sparus aurata (L.) and "&amp;"meagre Argyrosomus regius (A.) The study ranges from 2001 to 2012, at different times in each fish farm, and was planned according to the fattening cycles. The samples for benthic community analyses were collected by means of a van Veen grab in selected s"&amp;"tations located from 0 to 1000 m from the sea cages, the farthest as control stations. In total 134 stations were sampled for more of 20,000 individuals belonging to more than 450 species. Data analyses were performed with statistical methods and biotic i"&amp;"ndices were calculated. The results showed changes in benthic communities at the stations located just beneath the cages and connected with high cultured biomass. The impacted sites showed loss of biodiversity and increase of opportunistic species such as"&amp;" Capitella Sp. I and Nebalia strausi. Changes in the benthic communities were more or less evident in relation to substrata composition, hydrodynamic conditions and cultured biomass. The observed impact was limited to a few tens of meters around the sea c"&amp;"ages of all the three studied fish farms. (C) 2015 Elsevier B.V. All rights reserved.")</f>
        <v>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v>
      </c>
      <c r="C541" s="24" t="str">
        <f>IFERROR(__xludf.DUMMYFUNCTION("""COMPUTED_VALUE"""),"10.1016/j.aquaculture.2015.07.019")</f>
        <v>10.1016/j.aquaculture.2015.07.019</v>
      </c>
      <c r="D541" s="24" t="str">
        <f>IFERROR(__xludf.DUMMYFUNCTION("""COMPUTED_VALUE"""),"Keck et al")</f>
        <v>Keck et al</v>
      </c>
      <c r="E541" s="24" t="str">
        <f>IFERROR(__xludf.DUMMYFUNCTION("""COMPUTED_VALUE"""),"WOS:000364854000036")</f>
        <v>WOS:000364854000036</v>
      </c>
      <c r="F541" s="24" t="str">
        <f>IFERROR(__xludf.DUMMYFUNCTION("""COMPUTED_VALUE"""),"[""ELIGIBLE""]")</f>
        <v>["ELIGIBLE"]</v>
      </c>
    </row>
    <row r="542">
      <c r="A542" s="24" t="str">
        <f>IFERROR(__xludf.DUMMYFUNCTION("""COMPUTED_VALUE"""),"Homogenization of Macroinvertebrate Assemblages and Asiatic Clam Corbicula fluminea Invasion in a River of the Arid Patagonian Plateau, Argentina")</f>
        <v>Homogenization of Macroinvertebrate Assemblages and Asiatic Clam Corbicula fluminea Invasion in a River of the Arid Patagonian Plateau, Argentina</v>
      </c>
      <c r="B542" s="24" t="str">
        <f>IFERROR(__xludf.DUMMYFUNCTION("""COMPUTED_VALUE"""),"The invasion of the Asiatic clam Corbicula fluminea in South America has already reached Patagonia. Despite the well-known direct and indirect impacts that this species exerts on fresh-water ecosystems, particularly on benthic communities, few studies hav"&amp;"e been undertaken on its effect on the composition and structure of aquatic macroinvertebrate assemblages. This study evaluated the effects of the invasion of the Asiatic clam C. fluminea on the aquatic macroinvertebrate assemblages of the Limay River, on"&amp;"e of the most important rivers of the arid plateau of Argentinian Patagonia. As this river is currently in the process of being invaded, it was possible to compare invaded and non-invaded sites. Invaded sites displayed a certain homogenization of their co"&amp;"nstituent species and functional composition. Non-metric multidimensional scaling, similarity analysis and similarity percentages showed negative or positive influence of the presence of this species on the abundance of some taxa, due to competition for r"&amp;"esources in this low-productivity Patagonian ecosystem. The deposition of the faeces and pseudo-faeces of C. fluminea enriches the organic content of the sediments. However, its pedal feeding can function as a competitive strategy: by consuming its own de"&amp;"posited organic matter when food is scarce, the amount available to other macroinvertebrates is reduced. This paper is the first contribution on the impact of this invasion on northern Patagonia's aquatic macroinvertebrate assemblages.")</f>
        <v>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v>
      </c>
      <c r="C542" s="24" t="str">
        <f>IFERROR(__xludf.DUMMYFUNCTION("""COMPUTED_VALUE"""),"10.3389/fenvs.2021.728620")</f>
        <v>10.3389/fenvs.2021.728620</v>
      </c>
      <c r="D542" s="24" t="str">
        <f>IFERROR(__xludf.DUMMYFUNCTION("""COMPUTED_VALUE"""),"Keck et al")</f>
        <v>Keck et al</v>
      </c>
      <c r="E542" s="24" t="str">
        <f>IFERROR(__xludf.DUMMYFUNCTION("""COMPUTED_VALUE"""),"WOS:000709084200001")</f>
        <v>WOS:000709084200001</v>
      </c>
      <c r="F542" s="24" t="str">
        <f>IFERROR(__xludf.DUMMYFUNCTION("""COMPUTED_VALUE"""),"[""ELIGIBLE""]")</f>
        <v>["ELIGIBLE"]</v>
      </c>
    </row>
    <row r="543">
      <c r="A543" s="24" t="str">
        <f>IFERROR(__xludf.DUMMYFUNCTION("""COMPUTED_VALUE"""),"Invasive mangroves alter macrofaunal community structure and facilitate opportunistic exotics")</f>
        <v>Invasive mangroves alter macrofaunal community structure and facilitate opportunistic exotics</v>
      </c>
      <c r="B543" s="24" t="str">
        <f>IFERROR(__xludf.DUMMYFUNCTION("""COMPUTED_VALUE"""),"Mangroves were introduced to the Hawaiian Islands in 1902, providing an unusual opportunity to examine the impacts of introduced vascular plants on coastal ecosystems. Despite &gt;100 yr residence in Hawaii, little is known regarding how mangroves alter coas"&amp;"tal ecosystem structure. We conducted a case study of 2 Rhizophora mangle habitats in Hawaii, comparing habitat parameters and macrofaunal community structure in introduced mangroves and nearby control sandflats at a similar tidal elevation. Mangrove sedi"&amp;"ments had finer sediments and higher organic carbon concentrations and porewater salinities than sandflats. Emergent mangrove roots were colonized by the introduced barnacles Chthamalus proteus, Balanus reticulatus, and B. amphitrite and the introduced sp"&amp;"onges Suberites zeteki, Sigmadocia caerulea, and Gelloides fibrosa. Higher densities of non-native macrofauna were found in mangrove transects than in sandflat controls, indicating that invasive mangroves facilitate the persistence of non-native fauna in "&amp;"Hawaii. Mangrove habitats also had higher macrofaunal species richness and diversity, as well as greater dominance by subsurface deposit feeders. Introduced mangroves substantially altered benthic community structure, in part by enhancing the structural c"&amp;"omplexity of the Hawaiian coastal environment. Because macrobenthos provide a variety of ecosystem services, e.g. serving as prey for fish and birds and promoting detrital decomposition, mangrove-induced changes in sediment community composition will like"&amp;"ly have far-reaching consequences in Hawaii. Similar consequences of mangrove invasion are likely in other regions, as mangrove habitats expand with climate warming and increased coastal sedimentation.")</f>
        <v>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v>
      </c>
      <c r="C543" s="24" t="str">
        <f>IFERROR(__xludf.DUMMYFUNCTION("""COMPUTED_VALUE"""),"10.3354/meps08483")</f>
        <v>10.3354/meps08483</v>
      </c>
      <c r="D543" s="24" t="str">
        <f>IFERROR(__xludf.DUMMYFUNCTION("""COMPUTED_VALUE"""),"Keck et al")</f>
        <v>Keck et al</v>
      </c>
      <c r="E543" s="24" t="str">
        <f>IFERROR(__xludf.DUMMYFUNCTION("""COMPUTED_VALUE"""),"WOS:000277230100005")</f>
        <v>WOS:000277230100005</v>
      </c>
      <c r="F543" s="24" t="str">
        <f>IFERROR(__xludf.DUMMYFUNCTION("""COMPUTED_VALUE"""),"[""ELIGIBLE""]")</f>
        <v>["ELIGIBLE"]</v>
      </c>
    </row>
    <row r="544">
      <c r="A544" s="24" t="str">
        <f>IFERROR(__xludf.DUMMYFUNCTION("""COMPUTED_VALUE"""),"The spatial scale of homogenisation and differentiation in Chihuahuan Desert fish assemblages")</f>
        <v>The spatial scale of homogenisation and differentiation in Chihuahuan Desert fish assemblages</v>
      </c>
      <c r="B544" s="24" t="str">
        <f>IFERROR(__xludf.DUMMYFUNCTION("""COMPUTED_VALUE"""),"We examined riverine desert fish assemblages in the Chihuahuan Desert, U.S.A. at multiple spatial scales of similarity to assess long-term changes to assemblage distinctiveness, identify individual species responsible for changes, and determine the import"&amp;"ance of geographic context and species resolution in interpreting patterns of change. We used a well-documented historical data set on fish distribution and abundance, and recent collections of fishes that provided a paired analytical design across 36 loc"&amp;"alities spanning nearly 3 decades. Patterns of faunal homogenisation and differentiation were assessed at basin-wide, sub-basin and river-reach scales with species occurrence and relative abundance data. Individual species responses were examined to ident"&amp;"ify the drivers of assemblage change across time. Patterns of assemblage similarity varied across spatial scales and produced seemingly incongruous trends across time. Assemblage distinctiveness depended on the spatial extent of the analyses, the geograph"&amp;"ical structuring of the fish assemblages, and whether occurrence or relative abundance data were used. These dependencies led to interesting and conflicting patterns of homogenisation and differentiation. The Rio Grande sub-basin showed strong homogenisat"&amp;"ion with convergence between upstream and downstream reaches that corresponded to declining water quality and quantity from the Rio Conchos in Mexico. In contrast, the Pecos River sub-basin showed strong differentiation between upstream and downstream rea"&amp;"ches that corresponded to the successful colonisation and spread of the non-native gulf killifish (Fundulus grandis) in the upper reach, where water quantity and quality have declined. Spatial variability in fish assemblages and their degree of change fro"&amp;"m historical conditions were largely congruent with anthropogenic modifications to the flow regime and variability in the success of invasive gulf killifish in the basin. The use of species occurrence as opposed to relative abundance data, and the spatial"&amp;" scale of analysis are crucial choices in studies of faunal homogenisation and differentiation, and we have demonstrated how these choices lead to variable results for our study system. Our multi-scale approach and examination of individual species respon"&amp;"ses identified the ultimate drivers of these differences and illustrated the importance of scale-dependent effects and geographical context on patterns of assemblage distinctiveness, especially with regard to species invasion, species loss and relative ab"&amp;"undance shifts.")</f>
        <v>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v>
      </c>
      <c r="C544" s="24" t="str">
        <f>IFERROR(__xludf.DUMMYFUNCTION("""COMPUTED_VALUE"""),"10.1111/fwb.13211")</f>
        <v>10.1111/fwb.13211</v>
      </c>
      <c r="D544" s="24" t="str">
        <f>IFERROR(__xludf.DUMMYFUNCTION("""COMPUTED_VALUE"""),"Keck et al")</f>
        <v>Keck et al</v>
      </c>
      <c r="E544" s="24" t="str">
        <f>IFERROR(__xludf.DUMMYFUNCTION("""COMPUTED_VALUE"""),"WOS:000453853500018")</f>
        <v>WOS:000453853500018</v>
      </c>
      <c r="F544" s="24" t="str">
        <f>IFERROR(__xludf.DUMMYFUNCTION("""COMPUTED_VALUE"""),"[""ELIGIBLE""]")</f>
        <v>["ELIGIBLE"]</v>
      </c>
    </row>
    <row r="545">
      <c r="A545" s="24" t="str">
        <f>IFERROR(__xludf.DUMMYFUNCTION("""COMPUTED_VALUE"""),"Comparison of beam trawl catch, by-catch and discard in fishing and non-fishing areas - a case study from the northern Adriatic Sea")</f>
        <v>Comparison of beam trawl catch, by-catch and discard in fishing and non-fishing areas - a case study from the northern Adriatic Sea</v>
      </c>
      <c r="B545" s="24" t="str">
        <f>IFERROR(__xludf.DUMMYFUNCTION("""COMPUTED_VALUE"""),"Beam trawl fishery is highly important in the Croatian part of the northern Adriatic wherein 116 vessels have a licence for this type of fishing gear. A sharp decrease in the beam trawl catch observed since 2015 has raised concern about not only socio-eco"&amp;"nomic issues but also ecological issues and the effect that beam trawl fisheries have had on exploited stocks. Besides the effect that beam trawl fisheries can have on targeted economically important species, intensive dredging can cause long-term changes"&amp;" in the benthic community. Therefore, this study aimed to detect the effect that this type of fishing gear has on target and by-catch species. Furthermore, survey data were compared with the official beam trawl fishery data gathered through Vessel Monitor"&amp;"ing System data together with fishermen's logbooks. Our research targeted two adjacent areas: an area where beam trawl fishing is allowed and an area where it is forbidden. The results demonstrate that the commercially important catch represented a minor "&amp;"share of the total beam trawl catch in both survey areas, while discard made up more than 93% of the total catch. The main beam trawl commercially important species in the Croatian part of the northern Adriatic Sea was Pecten jacobaeus, followed by Solea "&amp;"solea and Ostrea edulis. Our results suggest that beam trawl fisheries mostly affect target bivalve species and some non-commercial benthic species (e.g. sponges). The differences recorded between areas could suggest that beam trawl fisheries cause change"&amp;"s mostly in the P. jacobaeus population.")</f>
        <v>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v>
      </c>
      <c r="C545" s="24" t="str">
        <f>IFERROR(__xludf.DUMMYFUNCTION("""COMPUTED_VALUE"""),"10.12681/mms.24973")</f>
        <v>10.12681/mms.24973</v>
      </c>
      <c r="D545" s="24" t="str">
        <f>IFERROR(__xludf.DUMMYFUNCTION("""COMPUTED_VALUE"""),"Keck et al")</f>
        <v>Keck et al</v>
      </c>
      <c r="E545" s="24" t="str">
        <f>IFERROR(__xludf.DUMMYFUNCTION("""COMPUTED_VALUE"""),"WOS:000636429700007")</f>
        <v>WOS:000636429700007</v>
      </c>
      <c r="F545" s="24" t="str">
        <f>IFERROR(__xludf.DUMMYFUNCTION("""COMPUTED_VALUE"""),"[""ELIGIBLE""]")</f>
        <v>["ELIGIBLE"]</v>
      </c>
    </row>
    <row r="546">
      <c r="A546" s="24" t="str">
        <f>IFERROR(__xludf.DUMMYFUNCTION("""COMPUTED_VALUE"""),"Feral horse impacts on threatened plants and animals in sub-alpine and montane environments in Victoria, Australia")</f>
        <v>Feral horse impacts on threatened plants and animals in sub-alpine and montane environments in Victoria, Australia</v>
      </c>
      <c r="B546" s="24" t="str">
        <f>IFERROR(__xludf.DUMMYFUNCTION("""COMPUTED_VALUE"""),"Feral herbivores are a major driver of biodiversity loss globally and can alter the structure, composition and functioning of ecosystems. The direct impacts of feral herbivores on plant communities are well studied, but the direct and indirect effect they"&amp;" have on wildlife is not well understood. In Victoria (south-eastern Australia), a large feral Horse (Equus caballus) population coincides with highly sensitive and nationally endangered Alpine Sphagnum Bogs and Associated Fens communities, and several th"&amp;"reatened animal species. We assessed the impact of feral horses on this ecological community and the Alpine Water Skink (Eulamprus kosciuskoi) and the Broad-toothed Rat (Mastacomys fuscus) at 20 sites with varying levels of horse disturbance. We used scat"&amp;" counts to determine an index of feral horse abundance and quantified impacts associated with their presence in the landscape. Active searches were used for Alpine Water Skink and scat and runway surveys for Broad-toothed Rat. We also measured the vegetat"&amp;"ion structure and the abundance of different vegetation types (life forms). Our results suggest that feral horses are associated with vegetation types and characteristics that negatively influence the presence or abundance of Alpine Water Skink and Broad-"&amp;"toothed Rat. Sites with high horse activity had more low-growing forbs, and the abundance of Alpine Water Skink was negatively related to this vegetation type. Grasses, sedges, rushes and shrubs were also less dense and lower in height in high horse activ"&amp;"ity sites, and Broad-toothed Rat was less likely to be present in areas with these habitat attributes. We recommend that feral horses are controlled to protect these threatened vertebrate species and their Sphagnum bog habitat.")</f>
        <v>Feral herbivores are a major driver of biodiversity loss globally and can alter the structure, composition and functioning of ecosystems. The direct impacts of feral herbivores on plant communities are well studied, but the direct and indirect effect they have on wildlife is not well understood. In Victoria (south-eastern Australia), a large feral Horse (Equus caballus) population coincides with highly sensitive and nationally endangered Alpine Sphagnum Bogs and Associated Fens communities, and several threatened animal species. We assessed the impact of feral horses on this ecological community and the Alpine Water Skink (Eulamprus kosciuskoi) and the Broad-toothed Rat (Mastacomys fuscus) at 20 sites with varying levels of horse disturbance. We used scat counts to determine an index of feral horse abundance and quantified impacts associated with their presence in the landscape. Active searches were used for Alpine Water Skink and scat and runway surveys for Broad-toothed Rat. We also measured the vegetation structure and the abundance of different vegetation types (life forms). Our results suggest that feral horses are associated with vegetation types and characteristics that negatively influence the presence or abundance of Alpine Water Skink and Broad-toothed Rat. Sites with high horse activity had more low-growing forbs, and the abundance of Alpine Water Skink was negatively related to this vegetation type. Grasses, sedges, rushes and shrubs were also less dense and lower in height in high horse activity sites, and Broad-toothed Rat was less likely to be present in areas with these habitat attributes. We recommend that feral horses are controlled to protect these threatened vertebrate species and their Sphagnum bog habitat.</v>
      </c>
      <c r="C546" s="24" t="str">
        <f>IFERROR(__xludf.DUMMYFUNCTION("""COMPUTED_VALUE"""),"10.1111/emr.12352")</f>
        <v>10.1111/emr.12352</v>
      </c>
      <c r="D546" s="24" t="str">
        <f>IFERROR(__xludf.DUMMYFUNCTION("""COMPUTED_VALUE"""),"Keck et al")</f>
        <v>Keck et al</v>
      </c>
      <c r="E546" s="24" t="str">
        <f>IFERROR(__xludf.DUMMYFUNCTION("""COMPUTED_VALUE"""),"WOS:000457491300009")</f>
        <v>WOS:000457491300009</v>
      </c>
      <c r="F546" s="24" t="str">
        <f>IFERROR(__xludf.DUMMYFUNCTION("""COMPUTED_VALUE"""),"[""ELIGIBLE""]")</f>
        <v>["ELIGIBLE"]</v>
      </c>
    </row>
    <row r="547">
      <c r="A547" s="24" t="str">
        <f>IFERROR(__xludf.DUMMYFUNCTION("""COMPUTED_VALUE"""),"Using a no-take zone to assess the impacts of fishing: Sessile epifauna appear insensitive to environmental disturbances from commercial potting")</f>
        <v>Using a no-take zone to assess the impacts of fishing: Sessile epifauna appear insensitive to environmental disturbances from commercial potting</v>
      </c>
      <c r="B547" s="24" t="str">
        <f>IFERROR(__xludf.DUMMYFUNCTION("""COMPUTED_VALUE"""),"Aside from effects on target populations and/or by catch, there is widespread interest in the physical impacts of fishing activity on marine systems. Frequently, it is the effect of mobile gear such as dredges and trawls which are of principal concern. Th"&amp;"e ecological consequences of passive/static gear such as pots and traps on benthic communities are far less understood. The establishment of a Sanctuary Zone/No-Take Zone at Lundy Island in 2003 allowed us to test the idea that if potting for crustaceans "&amp;"has an impact on benthic assemblages, then on the cessation of potting, assemblages should become different from those where potting continues. A concurrent study using experimental potting within the No-Take Zone allowed a separate test of this idea, but"&amp;" with a controlled fishing effort. This is the first longer-term study into the effects of lobster potting on benthic assemblages in the northern Atlantic. Multivariate analyses on patterns of change in assemblages over the 4 years of the study indicated "&amp;"no differences in how assemblages changed over time between areas subject to potting and those not fished. From the results, we conclude that potting for lobsters and crabs in inshore waters seems to have no detectable effects over the timescale of the ex"&amp;"periment. In addition to being management goals/tools in their own right, strongly protected areas such as Sanctuary/No-Take Zones provide an opportunity to test experimental hypotheses about the effects of fishing. Our study shows there were no conservat"&amp;"ion benefits, in terms of the investigated species, arising from exclusion of potting in this Marine Protected Area (MPA). For some MPAs it may be possible to permit limited potting to allow small-scale artisanal fisheries to persist. (C) 2012 Elsevier B."&amp;"V. All rights reserved.")</f>
        <v>Aside from effects on target populations and/or by catch, there is widespread interest in the physical impacts of fishing activity on marine systems. Frequently, it is the effect of mobile gear such as dredges and trawls which are of principal concern. The ecological consequences of passive/static gear such as pots and traps on benthic communities are far less understood. The establishment of a Sanctuary Zone/No-Take Zone at Lundy Island in 2003 allowed us to test the idea that if potting for crustaceans has an impact on benthic assemblages, then on the cessation of potting, assemblages should become different from those where potting continues. A concurrent study using experimental potting within the No-Take Zone allowed a separate test of this idea, but with a controlled fishing effort. This is the first longer-term study into the effects of lobster potting on benthic assemblages in the northern Atlantic. Multivariate analyses on patterns of change in assemblages over the 4 years of the study indicated no differences in how assemblages changed over time between areas subject to potting and those not fished. From the results, we conclude that potting for lobsters and crabs in inshore waters seems to have no detectable effects over the timescale of the experiment. In addition to being management goals/tools in their own right, strongly protected areas such as Sanctuary/No-Take Zones provide an opportunity to test experimental hypotheses about the effects of fishing. Our study shows there were no conservation benefits, in terms of the investigated species, arising from exclusion of potting in this Marine Protected Area (MPA). For some MPAs it may be possible to permit limited potting to allow small-scale artisanal fisheries to persist. (C) 2012 Elsevier B.V. All rights reserved.</v>
      </c>
      <c r="C547" s="24" t="str">
        <f>IFERROR(__xludf.DUMMYFUNCTION("""COMPUTED_VALUE"""),"10.1016/j.jembe.2012.12.005")</f>
        <v>10.1016/j.jembe.2012.12.005</v>
      </c>
      <c r="D547" s="24" t="str">
        <f>IFERROR(__xludf.DUMMYFUNCTION("""COMPUTED_VALUE"""),"Keck et al")</f>
        <v>Keck et al</v>
      </c>
      <c r="E547" s="24" t="str">
        <f>IFERROR(__xludf.DUMMYFUNCTION("""COMPUTED_VALUE"""),"WOS:000316092500015")</f>
        <v>WOS:000316092500015</v>
      </c>
      <c r="F547" s="24" t="str">
        <f>IFERROR(__xludf.DUMMYFUNCTION("""COMPUTED_VALUE"""),"[""ELIGIBLE""]")</f>
        <v>["ELIGIBLE"]</v>
      </c>
    </row>
    <row r="548">
      <c r="A548" s="24" t="str">
        <f>IFERROR(__xludf.DUMMYFUNCTION("""COMPUTED_VALUE"""),"Ichthyological Differentiation and Homogenization in the Panuco Basin, Mexico")</f>
        <v>Ichthyological Differentiation and Homogenization in the Panuco Basin, Mexico</v>
      </c>
      <c r="B548" s="24" t="str">
        <f>IFERROR(__xludf.DUMMYFUNCTION("""COMPUTED_VALUE"""),"Species introductions and extirpations are key aspects of aquatic ecosystem change that need to be examined at large geographic and temporal scales. The Panuco Basin (Eastern Mexico) has high ichthyological diversity and ecological heterogeneity. However,"&amp;" freshwater fish (FWF) introductions and extirpations since the mid-1900s have modified species range and distribution. We examine changes in FWF species composition in and among four sub-basins of the Panuco by comparing fish collection records pre-1980 "&amp;"to 2018. Currently, the FWF of the Panuco includes 95 species. Fishes in the Poeciliidae, Cyprinidae, and Cichlidae, respectively, comprised most records over time. Significant differences in species composition were found between the first (pre-1980) and"&amp;" last (2011-2018) study periods, but not for periods in-between. Eight independent species groups were key for explaining changes in Panuco river ichthyofauna; one group was dominated by invasive species, and saw increases in the number of records across "&amp;"study periods (faunal homogenization). Another group was formed by species with conservation concern with a declining number of records over time. Thirteen (2 native and 11 non-native) species were responsible for temporal turnover. These results strongly"&amp;" suggest high rates of differentiation over time (via native species loss) following widespread non-native species introductions.")</f>
        <v>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v>
      </c>
      <c r="C548" s="24" t="str">
        <f>IFERROR(__xludf.DUMMYFUNCTION("""COMPUTED_VALUE"""),"10.3390/d12050187")</f>
        <v>10.3390/d12050187</v>
      </c>
      <c r="D548" s="24" t="str">
        <f>IFERROR(__xludf.DUMMYFUNCTION("""COMPUTED_VALUE"""),"Keck et al")</f>
        <v>Keck et al</v>
      </c>
      <c r="E548" s="24" t="str">
        <f>IFERROR(__xludf.DUMMYFUNCTION("""COMPUTED_VALUE"""),"WOS:000541083200012")</f>
        <v>WOS:000541083200012</v>
      </c>
      <c r="F548" s="24" t="str">
        <f>IFERROR(__xludf.DUMMYFUNCTION("""COMPUTED_VALUE"""),"[""ELIGIBLE""]")</f>
        <v>["ELIGIBLE"]</v>
      </c>
    </row>
    <row r="549">
      <c r="A549" s="24" t="str">
        <f>IFERROR(__xludf.DUMMYFUNCTION("""COMPUTED_VALUE"""),"Fungal communities do not recover after removing invasive Alliaria petiolata (garlic mustard)")</f>
        <v>Fungal communities do not recover after removing invasive Alliaria petiolata (garlic mustard)</v>
      </c>
      <c r="B549" s="24" t="str">
        <f>IFERROR(__xludf.DUMMYFUNCTION("""COMPUTED_VALUE"""),"The negative impacts of non-native invasive plants on native plants has prompted intensive eradication efforts, but whether eradication can restore soil microbial communities that are also sensitive to invasion is generally not considered. Some invasive p"&amp;"lants, like Alliaria petiolata (garlic mustard), specifically alter soils in ways that promote the invasion process. Garlic mustard disrupts mycorrhizas, increases fungal pathogen loads, and elevates soil nutrient availability and soil pH; thus, the funga"&amp;"l community and soil property responses to garlic mustard eradication may be key to restoring ecosystem function in invaded forests. We conducted a garlic mustard eradication experiment at eight temperate, deciduous forests. 1 and 3 years after initiating"&amp;" annual garlic mustard removal (hand pulling), we collected soil samples and characterized fungal community structure using DNA metabarcoding alongside a suite of edaphic properties. We found that fungal richness, the number of shared fungal species, fung"&amp;"al biomass, and the relative abundance of fungal guilds became less similar to invaded plots by year three of eradication and more similar to uninvaded reference plots. However, fungal community composition did not resemble uninvaded communities by the th"&amp;"ird year of eradication and remained comparable to invaded communities. Soil chemical and physical properties also remained similar to invaded conditions. Overall soil abiotic-biotic restoration was not observed after 3 years of garlic mustard removal. Ga"&amp;"rlic mustard eradications may therefore not achieve management goals until soil physical, chemical, and biological properties become more similar to uninvaded forested areas or at least more dissimilar to invaded conditions that can promote invasion.")</f>
        <v>The negative impacts of non-native invasive plants on native plants has prompted intensive eradication efforts, but whether eradication can restore soil microbial communities that are also sensitive to invasion is generally not considered. Some invasive plants, like Alliaria petiolata (garlic mustard), specifically alter soils in ways that promote the invasion process. Garlic mustard disrupts mycorrhizas, increases fungal pathogen loads, and elevates soil nutrient availability and soil pH; thus, the fungal community and soil property responses to garlic mustard eradication may be key to restoring ecosystem function in invaded forests. We conducted a garlic mustard eradication experiment at eight temperate, deciduous forests. 1 and 3 years after initiating annual garlic mustard removal (hand pulling), we collected soil samples and characterized fungal community structure using DNA metabarcoding alongside a suite of edaphic properties. We found that fungal richness, the number of shared fungal species, fungal biomass, and the relative abundance of fungal guilds became less similar to invaded plots by year three of eradication and more similar to uninvaded reference plots. However, fungal community composition did not resemble uninvaded communities by the third year of eradication and remained comparable to invaded communities. Soil chemical and physical properties also remained similar to invaded conditions. Overall soil abiotic-biotic restoration was not observed after 3 years of garlic mustard removal. Garlic mustard eradications may therefore not achieve management goals until soil physical, chemical, and biological properties become more similar to uninvaded forested areas or at least more dissimilar to invaded conditions that can promote invasion.</v>
      </c>
      <c r="C549" s="24" t="str">
        <f>IFERROR(__xludf.DUMMYFUNCTION("""COMPUTED_VALUE"""),"10.1007/s10530-019-02031-8")</f>
        <v>10.1007/s10530-019-02031-8</v>
      </c>
      <c r="D549" s="24" t="str">
        <f>IFERROR(__xludf.DUMMYFUNCTION("""COMPUTED_VALUE"""),"Keck et al")</f>
        <v>Keck et al</v>
      </c>
      <c r="E549" s="24" t="str">
        <f>IFERROR(__xludf.DUMMYFUNCTION("""COMPUTED_VALUE"""),"WOS:000483692300007")</f>
        <v>WOS:000483692300007</v>
      </c>
      <c r="F549" s="24" t="str">
        <f>IFERROR(__xludf.DUMMYFUNCTION("""COMPUTED_VALUE"""),"[""ELIGIBLE""]")</f>
        <v>["ELIGIBLE"]</v>
      </c>
    </row>
    <row r="550">
      <c r="A550" s="24" t="str">
        <f>IFERROR(__xludf.DUMMYFUNCTION("""COMPUTED_VALUE"""),"The effects of land use on environmental features and functional organization of macroinvertebrate communities in Patagonian low order streams")</f>
        <v>The effects of land use on environmental features and functional organization of macroinvertebrate communities in Patagonian low order streams</v>
      </c>
      <c r="B550" s="24" t="str">
        <f>IFERROR(__xludf.DUMMYFUNCTION("""COMPUTED_VALUE"""),"Benthic invertebrates, water quality variables, chlorophyll a and particulate organic matter (POM) were studied in 18 sites of mountain streams in Patagonia (Argentina) subjected to six different land uses: native forest, pine plantation, pasture, harvest"&amp;" forest, urban and reference urban. Three streams of each land use were studied in March 2006. Macroinvertebrates were sampled in three riffles and three pools (n = 108) and biomass of detrital fractions of POM were quantified. Overall benthic POM biomass"&amp;" was higher at native and harvest forest than pastures, whereas fine fraction (FPOM) was higher in harvest forest than in pastures. Regarding to autotrophic Subsidies bryophytes were the only that changed consistently among uses. These differences in ener"&amp;"gy resources were correlated with changes in community attributes. Shredder richness was clearly higher at native and harvest forest than exotic pine plantations, collector gatherers density was consistently high at harvest sites, and total density was si"&amp;"gnificantly higher at urban and harvest forest. Multidimensional scaling ordination based on macroinvertebrate density data showed a clear separation of forested (either native or exotic species) from riparian modified areas (pasture, urban and harvest si"&amp;"tes). Environmental variables having explanation power on macroinvertebrate assemblages were mostly related with: detritus availability (wood and leaves biomass) and impairment (total phosphorous and % sand). These results confirm that macroinvertebrate a"&amp;"ssemblage structure in Patagonian low order streams can be altered by land use practices. Among guild structure measures, those indicators based on benthic community functional attributes. shredders richness and collectors density, resulted good candidate"&amp;"s to assess land use impacts. On account of riparian corridor management may be critical to the distribution of benthic taxa, the maintenance of good conditions of vegetation adjacent to rivers will enhance water quality and the environment for highly end"&amp;"emic headwater communities of Patagonian streams. (C) 2009 Elsevier Ltd. All rights reserved.")</f>
        <v>Benthic invertebrates, water quality variables, chlorophyll a and particulate organic matter (POM) were studied in 18 sites of mountain streams in Patagonia (Argentina) subjected to six different land uses: native forest, pine plantation, pasture, harvest forest, urban and reference urban. Three streams of each land use were studied in March 2006. Macroinvertebrates were sampled in three riffles and three pools (n = 108) and biomass of detrital fractions of POM were quantified. Overall benthic POM biomass was higher at native and harvest forest than pastures, whereas fine fraction (FPOM) was higher in harvest forest than in pastures. Regarding to autotrophic Subsidies bryophytes were the only that changed consistently among uses. These differences in energy resources were correlated with changes in community attributes. Shredder richness was clearly higher at native and harvest forest than exotic pine plantations, collector gatherers density was consistently high at harvest sites, and total density was significantly higher at urban and harvest forest. Multidimensional scaling ordination based on macroinvertebrate density data showed a clear separation of forested (either native or exotic species) from riparian modified areas (pasture, urban and harvest sites). Environmental variables having explanation power on macroinvertebrate assemblages were mostly related with: detritus availability (wood and leaves biomass) and impairment (total phosphorous and % sand). These results confirm that macroinvertebrate assemblage structure in Patagonian low order streams can be altered by land use practices. Among guild structure measures, those indicators based on benthic community functional attributes. shredders richness and collectors density, resulted good candidates to assess land use impacts. On account of riparian corridor management may be critical to the distribution of benthic taxa, the maintenance of good conditions of vegetation adjacent to rivers will enhance water quality and the environment for highly endemic headwater communities of Patagonian streams. (C) 2009 Elsevier Ltd. All rights reserved.</v>
      </c>
      <c r="C550" s="24" t="str">
        <f>IFERROR(__xludf.DUMMYFUNCTION("""COMPUTED_VALUE"""),"10.1016/j.ecolind.2009.06.008")</f>
        <v>10.1016/j.ecolind.2009.06.008</v>
      </c>
      <c r="D550" s="24" t="str">
        <f>IFERROR(__xludf.DUMMYFUNCTION("""COMPUTED_VALUE"""),"Keck et al")</f>
        <v>Keck et al</v>
      </c>
      <c r="E550" s="24" t="str">
        <f>IFERROR(__xludf.DUMMYFUNCTION("""COMPUTED_VALUE"""),"WOS:000272431700026")</f>
        <v>WOS:000272431700026</v>
      </c>
      <c r="F550" s="24" t="str">
        <f>IFERROR(__xludf.DUMMYFUNCTION("""COMPUTED_VALUE"""),"[""ELIGIBLE""]")</f>
        <v>["ELIGIBLE"]</v>
      </c>
    </row>
    <row r="551">
      <c r="A551" s="24" t="str">
        <f>IFERROR(__xludf.DUMMYFUNCTION("""COMPUTED_VALUE"""),"A global assessment of freshwater fish introductions in mediterranean-climate regions")</f>
        <v>A global assessment of freshwater fish introductions in mediterranean-climate regions</v>
      </c>
      <c r="B551" s="24" t="str">
        <f>IFERROR(__xludf.DUMMYFUNCTION("""COMPUTED_VALUE"""),"Mediterranean-climate regions (med-regions) are global hotspots of endemism facing mounting environmental threats associated with human-related activities, including the ecological impacts associated with non-native species introductions. We review freshw"&amp;"ater fish introductions across med-regions to evaluate the influences of non-native fishes on the biogeography of taxonomic and functional diversity. Our synthesis revealed that 136 freshwater fish species (26 families, 13 orders) have been introduced int"&amp;"o med-regions globally. These introductions, and local extirpations, have increased taxonomic and functional faunal similarity among regions by an average of 7.5% (4.6-11.4%; Jaccard) and 7.2% (1.4-14.0%; Bray-Curtis), respectively. Faunal homogenisation "&amp;"was highest in Chile and the western Med Basin, whereas sw Cape and the Aegean Sea drainages showed slight differentiation (decrease in faunal similarity) over time. At present, fish faunas of different med-regions have widespread species in common (e.g. "&amp;"Gambusia holbrooki, Cyprinus carpio, Oncorhynchus mykiss, Carassius auratus, and Micropterus salmoides) which are typically large-bodied, non-migratory, have higher physiological tolerance, and display fast population growth rates. Our findings suggest th"&amp;"at intentional and accidental introductions of freshwater fish have dissolved dispersal barriers and significantly changed the present-day biogeography of med-regions across the globe. Conservation challenges in med-regions include understanding the ecosy"&amp;"stem consequences of non-native species introductions at macro-ecological scales.")</f>
        <v>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v>
      </c>
      <c r="C551" s="24" t="str">
        <f>IFERROR(__xludf.DUMMYFUNCTION("""COMPUTED_VALUE"""),"10.1007/s10750-013-1486-9")</f>
        <v>10.1007/s10750-013-1486-9</v>
      </c>
      <c r="D551" s="24" t="str">
        <f>IFERROR(__xludf.DUMMYFUNCTION("""COMPUTED_VALUE"""),"Keck et al")</f>
        <v>Keck et al</v>
      </c>
      <c r="E551" s="24" t="str">
        <f>IFERROR(__xludf.DUMMYFUNCTION("""COMPUTED_VALUE"""),"WOS:000325182400014")</f>
        <v>WOS:000325182400014</v>
      </c>
      <c r="F551" s="24" t="str">
        <f>IFERROR(__xludf.DUMMYFUNCTION("""COMPUTED_VALUE"""),"[""ELIGIBLE""]")</f>
        <v>["ELIGIBLE"]</v>
      </c>
    </row>
    <row r="552">
      <c r="A552" s="24" t="str">
        <f>IFERROR(__xludf.DUMMYFUNCTION("""COMPUTED_VALUE"""),"Predicted levels of future ocean acidification and temperature rise could alter community structure and biodiversity in marine benthic communities")</f>
        <v>Predicted levels of future ocean acidification and temperature rise could alter community structure and biodiversity in marine benthic communities</v>
      </c>
      <c r="B552" s="24" t="str">
        <f>IFERROR(__xludf.DUMMYFUNCTION("""COMPUTED_VALUE"""),"A mesocosm experiment was conducted to quantify the effects of reduced pH and elevated temperature on an intact marine invertebrate community. Standardised faunal communities, collected from the extreme low intertidal zone using artificial substrate units"&amp;", were exposed to one of eight nominal treatments (four pH levels: 8.0, 7.7, 7.3 and 6.7, crossed with two temperature levels: 12 and 16 degrees C). After 60 days exposure communities showed significant changes in structure and lower diversity in response"&amp;" to reduced pH. The response to temperature was more complex. At higher pH levels (8.0 and 7.7) elevated temperature treatments contained higher species abundances and diversity than the lower temperature treatments. In contrast, at lower pH levels (7.3 a"&amp;"nd 6.7), elevated temperature treatments had lower species abundances and diversity than lower temperature treatments. The species losses responsible for these changes in community structure and diversity were not randomly distributed across the different"&amp;" phyla examined. Molluscs showed the greatest reduction in abundance and diversity in response to low pH and elevated temperature, whilst annelid abundance and diversity was mostly unaffected by low pH and was higher at the elevated temperature. The arthr"&amp;"opod response was between these two extremes with moderately reduced abundance and diversity at low pH and elevated temperature. Nematode abundance increased in response to low pH and elevated temperature, probably due to the reduction of ecological const"&amp;"raints, such as predation and competition, caused by a decrease in macrofaunal abundance. This community-based mesocosm study supports previous suggestions, based on observations of direct physiological impacts, that ocean acidification induced changes in"&amp;" marine biodiversity will be driven by differential vulnerability within and between different taxonomical groups. This study also illustrates the importance of considering indirect effects that occur within multispecies assemblages when attempting to pre"&amp;"dict the consequences of ocean acidification and global warming on marine communities.")</f>
        <v>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v>
      </c>
      <c r="C552" s="24" t="str">
        <f>IFERROR(__xludf.DUMMYFUNCTION("""COMPUTED_VALUE"""),"10.1111/j.1600-0706.2010.19469.x")</f>
        <v>10.1111/j.1600-0706.2010.19469.x</v>
      </c>
      <c r="D552" s="24" t="str">
        <f>IFERROR(__xludf.DUMMYFUNCTION("""COMPUTED_VALUE"""),"Keck et al")</f>
        <v>Keck et al</v>
      </c>
      <c r="E552" s="24" t="str">
        <f>IFERROR(__xludf.DUMMYFUNCTION("""COMPUTED_VALUE"""),"WOS:000289740200003")</f>
        <v>WOS:000289740200003</v>
      </c>
      <c r="F552" s="24" t="str">
        <f>IFERROR(__xludf.DUMMYFUNCTION("""COMPUTED_VALUE"""),"[""ELIGIBLE""]")</f>
        <v>["ELIGIBLE"]</v>
      </c>
    </row>
    <row r="553">
      <c r="A553" s="24" t="str">
        <f>IFERROR(__xludf.DUMMYFUNCTION("""COMPUTED_VALUE"""),"Multi-trophic impacts of an invasive aquatic plant")</f>
        <v>Multi-trophic impacts of an invasive aquatic plant</v>
      </c>
      <c r="B553" s="24" t="str">
        <f>IFERROR(__xludf.DUMMYFUNCTION("""COMPUTED_VALUE"""),"Natural resource agencies are increasingly required to prioritise management of multiple non-native aquatic plants (macrophytes) in freshwater ecosystems. Characterising the consequences of invasions for ecological processes and corresponding ecosystem se"&amp;"rvices is fundamental to this decision-making process, but requires an understanding of impacts across physical, chemical, and biological responses. Accordingly, we evaluated the multi-trophic impacts of the invasive macrophyte Myriophyllum aquaticum (Hal"&amp;"oragaceae; parrotfeather) along the mainstem Chehalis River, Washington, U.S.A. Weexamined invertebrate, plant and fish community responses to varying degrees of parrotfeather abundance and simultaneously characterised variation in physical structure and "&amp;"dissolved oxygen (DO) across the dominant native and non-native plant species. DO concentrations were significantly reduced and approached hypoxic levels in areas dominated by parrotfeather compared with native vegetation. Increased structural complexity,"&amp;" volume and biomass of parrotfeather was associated with increased diversity of epiphytic invertebrates. However, these more diverse invertebrate assemblages were dominated by amphipods, whereas native macrophytes were characterised by cladocerans, chiron"&amp;"omids and gastropods. Non-native fishes (primarily centrarchid species) were more strongly associated with sites where parrotfeather was present and diversity of non-native fishes was positively correlated along a gradient of parrotfeather abundance. Nati"&amp;"ve fish associated with parrotfeather areas were those that tend to be tolerant of degraded or lower quality habitats. We saw little evidence of exclusion of other macrophytes; native and non-native plant diversity and abundance were positively correlated"&amp;" with the parrotfeather gradient. This may reflect that analysis was done at a site level, and competitive dominance might be apparent by changes in species richness at smaller (plot) scales or over longer periods. Alternatively, parrotfeather may demonst"&amp;"rate minimal effects on native plant composition. Given the effects observed across multiple habitat characteristics and biota, parrotfeather appears to be a highly impactful invader where it establishes. Many of the changes we observed appear to derive f"&amp;"rom the emergent leaves and dense mat formation of parrotfeather compared with a submersed structure more typical of the native community. Our results suggest that managers should specifically consider contrasting characteristics between non-native and na"&amp;"tive physical structure when assessing and prioritising threats of invasive macrophytes.")</f>
        <v>Natural resource agencies are increasingly required to prioritise management of multiple non-native aquatic plants (macrophytes) in freshwater ecosystems. Characterising the consequences of invasions for ecological processes and corresponding ecosystem services is fundamental to this decision-making process, but requires an understanding of impacts across physical, chemical, and biological responses. Accordingly, we evaluated the multi-trophic impacts of the invasive macrophyte Myriophyllum aquaticum (Haloragaceae; parrotfeather) along the mainstem Chehalis River, Washington, U.S.A. Weexamined invertebrate, plant and fish community responses to varying degrees of parrotfeather abundance and simultaneously characterised variation in physical structure and dissolved oxygen (DO) across the dominant native and non-native plant species. DO concentrations were significantly reduced and approached hypoxic levels in areas dominated by parrotfeather compared with native vegetation. Increased structural complexity, volume and biomass of parrotfeather was associated with increased diversity of epiphytic invertebrates. However, these more diverse invertebrate assemblages were dominated by amphipods, whereas native macrophytes were characterised by cladocerans, chironomids and gastropods. Non-native fishes (primarily centrarchid species) were more strongly associated with sites where parrotfeather was present and diversity of non-native fishes was positively correlated along a gradient of parrotfeather abundance. Native fish associated with parrotfeather areas were those that tend to be tolerant of degraded or lower quality habitats. We saw little evidence of exclusion of other macrophytes; native and non-native plant diversity and abundance were positively correlated with the parrotfeather gradient. This may reflect that analysis was done at a site level, and competitive dominance might be apparent by changes in species richness at smaller (plot) scales or over longer periods. Alternatively, parrotfeather may demonstrate minimal effects on native plant composition. Given the effects observed across multiple habitat characteristics and biota, parrotfeather appears to be a highly impactful invader where it establishes. Many of the changes we observed appear to derive from the emergent leaves and dense mat formation of parrotfeather compared with a submersed structure more typical of the native community. Our results suggest that managers should specifically consider contrasting characteristics between non-native and native physical structure when assessing and prioritising threats of invasive macrophytes.</v>
      </c>
      <c r="C553" s="24" t="str">
        <f>IFERROR(__xludf.DUMMYFUNCTION("""COMPUTED_VALUE"""),"10.1111/fwb.12820")</f>
        <v>10.1111/fwb.12820</v>
      </c>
      <c r="D553" s="24" t="str">
        <f>IFERROR(__xludf.DUMMYFUNCTION("""COMPUTED_VALUE"""),"Keck et al")</f>
        <v>Keck et al</v>
      </c>
      <c r="E553" s="24" t="str">
        <f>IFERROR(__xludf.DUMMYFUNCTION("""COMPUTED_VALUE"""),"WOS:000386022200004")</f>
        <v>WOS:000386022200004</v>
      </c>
      <c r="F553" s="24" t="str">
        <f>IFERROR(__xludf.DUMMYFUNCTION("""COMPUTED_VALUE"""),"[""ELIGIBLE""]")</f>
        <v>["ELIGIBLE"]</v>
      </c>
    </row>
    <row r="554">
      <c r="A554" s="24" t="str">
        <f>IFERROR(__xludf.DUMMYFUNCTION("""COMPUTED_VALUE"""),"Influence of wildfire severity on riparian plant community heterogeneity in an Idaho, USA wilderness")</f>
        <v>Influence of wildfire severity on riparian plant community heterogeneity in an Idaho, USA wilderness</v>
      </c>
      <c r="B554" s="24" t="str">
        <f>IFERROR(__xludf.DUMMYFUNCTION("""COMPUTED_VALUE"""),"Despite the increasing recognition of riparian zones as important ecotones that link terrestrial and aquatic ecosystems and of fire as a critical natural disturbance, much remains unknown regarding the influence of fire on stream-riparian ecosystems. To f"&amp;"urther this understanding, we evaluated the effects of mixed severity wildfire on riparian plant community structure and composition in headwater streams of the Big Creek Watershed of the Frank Church 'River of No Return' Wilderness of central Idaho. Five"&amp;" years after a large stand-replacing fire, we conducted riparian vegetation surveys at sixteen reaches across a range of burn types. Non-metric Multidimensional Scaling (NMS) and Multi-Response Permutation Procedure (MRPP) analyses showed an overall shift"&amp;" in community composition and structure between vegetation at unburned and severely burned reaches. Although total plant cover was significantly less at severely burned areas, recovery of the deciduous understory was apparent. Severely burned reaches were"&amp;" characterized by a marked increase in cheatgrass (Bromus tectorum). Reaches that were exposed to low-severity fire were indistinguishable from unburned reaches relative to vegetation community composition and structure, pointing to a possible disturbance"&amp;" threshold that may need to be crossed in order to alter riparian plant communities. (C) 2009 Elsevier B.V. All rights reserved.")</f>
        <v>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v>
      </c>
      <c r="C554" s="24" t="str">
        <f>IFERROR(__xludf.DUMMYFUNCTION("""COMPUTED_VALUE"""),"10.1016/j.foreco.2009.09.036")</f>
        <v>10.1016/j.foreco.2009.09.036</v>
      </c>
      <c r="D554" s="24" t="str">
        <f>IFERROR(__xludf.DUMMYFUNCTION("""COMPUTED_VALUE"""),"Keck et al")</f>
        <v>Keck et al</v>
      </c>
      <c r="E554" s="24" t="str">
        <f>IFERROR(__xludf.DUMMYFUNCTION("""COMPUTED_VALUE"""),"WOS:000272582800004")</f>
        <v>WOS:000272582800004</v>
      </c>
      <c r="F554" s="24" t="str">
        <f>IFERROR(__xludf.DUMMYFUNCTION("""COMPUTED_VALUE"""),"[""ELIGIBLE""]")</f>
        <v>["ELIGIBLE"]</v>
      </c>
    </row>
    <row r="555">
      <c r="A555" s="24" t="str">
        <f>IFERROR(__xludf.DUMMYFUNCTION("""COMPUTED_VALUE"""),"Relative sensitivity of soft-bottom intertidal macrofauna to increased CO2 and experimental stress")</f>
        <v>Relative sensitivity of soft-bottom intertidal macrofauna to increased CO2 and experimental stress</v>
      </c>
      <c r="B555" s="24" t="str">
        <f>IFERROR(__xludf.DUMMYFUNCTION("""COMPUTED_VALUE"""),"We used a controlled CO2 perturbation experiment to test hypotheses about changes in diversity, composition and structure of soft-bottom intertidal macrobenthic assemblages, under realistic and locally relevant scenarios of seawater acidification. Patches"&amp;" of undisturbed sediment were collected from 2 types of intertidal sedimentary habitat in the Ria Formosa coastal lagoon (South Portugal) and exposed to 2 levels of seawater acidification (pH reduced by 0.3 and 0.6 units) and 1 unmanipulated (control) lev"&amp;"el. After 75 d the assemblages differed significantly between the 2 types of sediment and between field controls and the ex situ treatments, but not among the 3 pH levels tested. The naturally high values of total alkalinity buffered seawater from the cha"&amp;"nges imposed on carbonate chemistry and may have contributed to offsetting acidification at the local scale. Observed differences on biota were strongly related to the organic matter content and grain-size of the sediments, particularly to the fractions o"&amp;"f medium and coarse sand. Soft-bottom intertidal macrofauna was significantly affected by the stress of being held in an artificial environment, but not by CO2-induced seawater acidification. Given the previously observed variations in the sensitivities o"&amp;"f marine organisms to seawater acidification, direct extrapolations of the present findings to different regions or other types of assemblages do not seem advisable. However, the contribution of ex situ studies to the assessment of ecosystem-level respons"&amp;"es to environmental disturbances could generally be improved by incorporating adequate field controls in the experimental design.")</f>
        <v>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v>
      </c>
      <c r="C555" s="24" t="str">
        <f>IFERROR(__xludf.DUMMYFUNCTION("""COMPUTED_VALUE"""),"10.3354/meps10861")</f>
        <v>10.3354/meps10861</v>
      </c>
      <c r="D555" s="24" t="str">
        <f>IFERROR(__xludf.DUMMYFUNCTION("""COMPUTED_VALUE"""),"Keck et al")</f>
        <v>Keck et al</v>
      </c>
      <c r="E555" s="24" t="str">
        <f>IFERROR(__xludf.DUMMYFUNCTION("""COMPUTED_VALUE"""),"WOS:000341570100012")</f>
        <v>WOS:000341570100012</v>
      </c>
      <c r="F555" s="24" t="str">
        <f>IFERROR(__xludf.DUMMYFUNCTION("""COMPUTED_VALUE"""),"[""ELIGIBLE""]")</f>
        <v>["ELIGIBLE"]</v>
      </c>
    </row>
    <row r="556">
      <c r="A556" s="24" t="str">
        <f>IFERROR(__xludf.DUMMYFUNCTION("""COMPUTED_VALUE"""),"A Preliminary inventory of alien and cryptogenic species in Monastir Bay, Tunisia: spatial distribution, introduction trends and pathways")</f>
        <v>A Preliminary inventory of alien and cryptogenic species in Monastir Bay, Tunisia: spatial distribution, introduction trends and pathways</v>
      </c>
      <c r="B556" s="24" t="str">
        <f>IFERROR(__xludf.DUMMYFUNCTION("""COMPUTED_VALUE"""),"The Mediterranean Sea is a marine biodiversity hotspot under threat, with the invasiveness of non-indigenous species (NIS) presenting one of the major impacts on its biological resources and services, However, NIS monitoring programs in the south basin of"&amp;" the Mediterranean Sea are still in an early implementation stage. This study aims to describe NIS and cryptogenic species distribution in Monastir Bay (Tunisia) and to identify risk areas for the introduction and spread of invasive species, providing a b"&amp;"aseline for future monitoring programs. To this end, a series of Rapid Assessment Surveys were carried out to identify NIS and cryptogenic species in one marina, five fishing ports, two aquaculture farms, and the Special Conservation Area of the Kuriat is"&amp;"lands. 24 species were found, 11 of which constitute new records for Monastir Bay, representing 33.3% of the total NIS reported in this Bay. Assemblages differed between substrata types, with NIS being more abundant in artificial than in natural substrata"&amp;". Regarding locations, Cap Monastir Marina was the most invaded site, the most transited by vessels, and the only one visited by international sailing. Hence, this marina constitutes the main risk area to be monitored, although the fishing ports and fishi"&amp;"ng farms in the semi-enclosed coastal lagoon of Monastir Bay can also be considered at risk areas. Nevertheless, more research effort is needed in Monastir Bay in order to update the records of NIS and cryptogenic species and increase insight into the eco"&amp;"logical evolution of these species and their related impacts on natural communities and marine resources.")</f>
        <v>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v>
      </c>
      <c r="C556" s="24" t="str">
        <f>IFERROR(__xludf.DUMMYFUNCTION("""COMPUTED_VALUE"""),"10.12681/mms.20229")</f>
        <v>10.12681/mms.20229</v>
      </c>
      <c r="D556" s="24" t="str">
        <f>IFERROR(__xludf.DUMMYFUNCTION("""COMPUTED_VALUE"""),"Keck et al")</f>
        <v>Keck et al</v>
      </c>
      <c r="E556" s="24" t="str">
        <f>IFERROR(__xludf.DUMMYFUNCTION("""COMPUTED_VALUE"""),"WOS:000504749700015")</f>
        <v>WOS:000504749700015</v>
      </c>
      <c r="F556" s="24" t="str">
        <f>IFERROR(__xludf.DUMMYFUNCTION("""COMPUTED_VALUE"""),"[""ELIGIBLE""]")</f>
        <v>["ELIGIBLE"]</v>
      </c>
    </row>
    <row r="557">
      <c r="A557" s="24" t="str">
        <f>IFERROR(__xludf.DUMMYFUNCTION("""COMPUTED_VALUE"""),"Interannual climate variability mediates changes in carbon and nitrogen pools caused by annual grass invasion in a semiarid shrubland")</f>
        <v>Interannual climate variability mediates changes in carbon and nitrogen pools caused by annual grass invasion in a semiarid shrubland</v>
      </c>
      <c r="B557" s="24" t="str">
        <f>IFERROR(__xludf.DUMMYFUNCTION("""COMPUTED_VALUE"""),"Exotic plant invasions alter ecosystem properties and threaten ecosystem functions globally. Interannual climate variability (ICV) influences both plant community composition (PCC) and soil properties, and interactions between ICV and PCC may influence ni"&amp;"trogen (N) and carbon (C) pools. We asked how ICV and non-native annual grass invasion covary to influence soil and plant N and C in a semiarid shrubland undergoing widespread ecosystem transformation due to invasions and altered fire regimes. We sampled "&amp;"four progressive stages of annual grass invasion at 20 sites across a large (25,000 km(2)) landscape for plant community composition, plant tissue N and C, and soil total N and C in 2013 and 2016, which followed 2 years of dry and wet conditions, respecti"&amp;"vely. Multivariate analyses and ANOVAs showed that in invasion stages where native shrub and perennial grass and forb communities were replaced by annual grass-dominated communities, the ecosystem lost more soil N and C in wet years. Path analysis showed "&amp;"that high water availability led to higher herbaceous cover in all invasion stages. In stages with native shrubs and perennial grasses, higher perennial grass cover was associated with increased soil C and N, while in annual-dominated stages, higher annua"&amp;"l grass cover was associated with losses of soil C and N. Also, soil total C and C:N ratios were more homogeneous in annual-dominated invasion stages as indicated by within-site standard deviations. Loss of native shrubs and perennial grasses and forbs co"&amp;"upled with annual grass invasion may lead to long-term declines in soil N and C and hamper restoration efforts. Restoration strategies that use innovative techniques and novel species to address increasing temperatures and ICV and emphasize maintaining pl"&amp;"ant community structure-shrubs, grasses, and forbs-will allow sagebrush ecosystems to maintain C sequestration, soil fertility, and soil heterogeneity.")</f>
        <v>Exotic plant invasions alter ecosystem properties and threaten ecosystem functions globally. Interannual climate variability (ICV) influences both plant community composition (PCC) and soil properties, and interactions between ICV and PCC may influence nitrogen (N) and carbon (C) pools. We asked how ICV and non-native annual grass invasion covary to influence soil and plant N and C in a semiarid shrubland undergoing widespread ecosystem transformation due to invasions and altered fire regimes. We sampled four progressive stages of annual grass invasion at 20 sites across a large (25,000 km(2)) landscape for plant community composition, plant tissue N and C, and soil total N and C in 2013 and 2016, which followed 2 years of dry and wet conditions, respectively. Multivariate analyses and ANOVAs showed that in invasion stages where native shrub and perennial grass and forb communities were replaced by annual grass-dominated communities, the ecosystem lost more soil N and C in wet years. Path analysis showed that high water availability led to higher herbaceous cover in all invasion stages. In stages with native shrubs and perennial grasses, higher perennial grass cover was associated with increased soil C and N, while in annual-dominated stages, higher annual grass cover was associated with losses of soil C and N. Also, soil total C and C:N ratios were more homogeneous in annual-dominated invasion stages as indicated by within-site standard deviations. Loss of native shrubs and perennial grasses and forbs coupled with annual grass invasion may lead to long-term declines in soil N and C and hamper restoration efforts. Restoration strategies that use innovative techniques and novel species to address increasing temperatures and ICV and emphasize maintaining plant community structure-shrubs, grasses, and forbs-will allow sagebrush ecosystems to maintain C sequestration, soil fertility, and soil heterogeneity.</v>
      </c>
      <c r="C557" s="24" t="str">
        <f>IFERROR(__xludf.DUMMYFUNCTION("""COMPUTED_VALUE"""),"10.1111/gcb.15921")</f>
        <v>10.1111/gcb.15921</v>
      </c>
      <c r="D557" s="24" t="str">
        <f>IFERROR(__xludf.DUMMYFUNCTION("""COMPUTED_VALUE"""),"Keck et al")</f>
        <v>Keck et al</v>
      </c>
      <c r="E557" s="24" t="str">
        <f>IFERROR(__xludf.DUMMYFUNCTION("""COMPUTED_VALUE"""),"WOS:000707443000001")</f>
        <v>WOS:000707443000001</v>
      </c>
      <c r="F557" s="24" t="str">
        <f>IFERROR(__xludf.DUMMYFUNCTION("""COMPUTED_VALUE"""),"[""ELIGIBLE""]")</f>
        <v>["ELIGIBLE"]</v>
      </c>
    </row>
    <row r="558">
      <c r="A558" s="24" t="str">
        <f>IFERROR(__xludf.DUMMYFUNCTION("""COMPUTED_VALUE"""),"Effects of elevated CO2 and temperature on an intertidal meiobenthic community")</f>
        <v>Effects of elevated CO2 and temperature on an intertidal meiobenthic community</v>
      </c>
      <c r="B558" s="24" t="str">
        <f>IFERROR(__xludf.DUMMYFUNCTION("""COMPUTED_VALUE"""),"In the near future, the marine environment is likely to be subjected to simultaneous increases in temperature and decreased pH. The potential effects of these changes on intertidal, meiofaunal assemblages were investigated using a mesocosm experiment. Art"&amp;"ificial Substrate Units containing meiofauna from the extreme low intertidal zone were exposed for 60 days to eight experimental treatments (four replicates for each treatment) comprising four pH levels: 8.0 (ambient control), 7.7 &amp; 7.3 (predicted changes"&amp;" associated with ocean acidification), and 6.7 (CO2 point-source leakage from geological storage), crossed with two temperatures: 12 degrees C (ambient control) and 16 degrees C (predicted). Community structure, measured using major meiofauna taxa was sig"&amp;"nificantly affected by pH and temperature. Copepods and copepodites showed the greatest decline in abundance in response to low pH and elevated temperature. Nematodes increased in abundance in response to low pH and temperature rise, possibly caused by de"&amp;"creased predation and competition for food owing to the declining macrofauna density. Nematode species composition changed significantly between the different treatments, and was affected by both seawater acidification and warming. Estimated nematode spec"&amp;"ies diversity, species evenness, and the maturity index, were substantially lower at 16 degrees C, whereas trophic diversity was slightly higher at 16 degrees C except at pH 6.7. This study has demonstrated that the combination of elevated levels of CO2 a"&amp;"nd ocean warming may have substantial effects on structural and functional characteristics of meiofaunal and nematode communities, and that single stressor experiments are unlikely to encompass the complexity of abiotic and biotic interactions. At the sam"&amp;"e time, ecological interactions may lead to complex community responses to pH and temperature changes in the interstitial environment. (C) 2015 Elsevier B.V. All rights reserved.")</f>
        <v>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v>
      </c>
      <c r="C558" s="24" t="str">
        <f>IFERROR(__xludf.DUMMYFUNCTION("""COMPUTED_VALUE"""),"10.1016/j.jembe.2015.04.001")</f>
        <v>10.1016/j.jembe.2015.04.001</v>
      </c>
      <c r="D558" s="24" t="str">
        <f>IFERROR(__xludf.DUMMYFUNCTION("""COMPUTED_VALUE"""),"Keck et al")</f>
        <v>Keck et al</v>
      </c>
      <c r="E558" s="24" t="str">
        <f>IFERROR(__xludf.DUMMYFUNCTION("""COMPUTED_VALUE"""),"WOS:000356545200006")</f>
        <v>WOS:000356545200006</v>
      </c>
      <c r="F558" s="24" t="str">
        <f>IFERROR(__xludf.DUMMYFUNCTION("""COMPUTED_VALUE"""),"[""ELIGIBLE""]")</f>
        <v>["ELIGIBLE"]</v>
      </c>
    </row>
    <row r="559">
      <c r="A559" s="24" t="str">
        <f>IFERROR(__xludf.DUMMYFUNCTION("""COMPUTED_VALUE"""),"A few is enough: a low cover of a non-native seaweed reduces the resilience of Mediterranean macroalgal stands to disturbances of varying extent")</f>
        <v>A few is enough: a low cover of a non-native seaweed reduces the resilience of Mediterranean macroalgal stands to disturbances of varying extent</v>
      </c>
      <c r="B559" s="24" t="str">
        <f>IFERROR(__xludf.DUMMYFUNCTION("""COMPUTED_VALUE"""),"There is increasing evidence that the severity of the ecological impact of non-native species does not necessarily scale linearly with their abundance in the introduced range. Nonetheless, the potential of low abundance invaders to alter the resilience of"&amp;" native communities to disturbance has been poorly explored. On Mediterranean rocky reefs, we tested the hypothesis that (1) a pulse disturbance opening gaps within canopy stands formed by the fucoid seaweed Cystoseira brachycarpa facilitates the establis"&amp;"hment of the non-native seaweed Caulerpa cylindracea and that (2), once established, the seaweed can reduce the recovery of macroalgal canopies. In July 2011, C. cylindracea was experimentally transplanted in small and large plots that were either cleared"&amp;" of the canopy or left untouched. After 45 months, the cover of C. cylindracea was greatest in small canopy-removal plots, without, however, achieving values exceeding similar to 10%. Nonetheless, such a low abundance of C. cylindracea caused a threefold "&amp;"reduction in canopy recovery. The establishment of C. cylindracea in canopy-removal plots did not alter the structure of the understory assemblages or the cover of turf-forming, erect and encrusting algae and sessile invertebrates. Our results suggest tha"&amp;"t some non-native species may be stronger competitors than natives, despite their low abundance. This property has important implications for control programs since not achieving the total eradication of the targeted invader would make little progress tow"&amp;"ards the mitigation of its impacts. Finally, our results show that non-native species acting as passengers of change can ultimately promote the persistence of alternative degraded states.")</f>
        <v>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v>
      </c>
      <c r="C559" s="24" t="str">
        <f>IFERROR(__xludf.DUMMYFUNCTION("""COMPUTED_VALUE"""),"10.1007/s10530-017-1442-0")</f>
        <v>10.1007/s10530-017-1442-0</v>
      </c>
      <c r="D559" s="24" t="str">
        <f>IFERROR(__xludf.DUMMYFUNCTION("""COMPUTED_VALUE"""),"Keck et al")</f>
        <v>Keck et al</v>
      </c>
      <c r="E559" s="24" t="str">
        <f>IFERROR(__xludf.DUMMYFUNCTION("""COMPUTED_VALUE"""),"WOS:000406405700007")</f>
        <v>WOS:000406405700007</v>
      </c>
      <c r="F559" s="24" t="str">
        <f>IFERROR(__xludf.DUMMYFUNCTION("""COMPUTED_VALUE"""),"[""ELIGIBLE""]")</f>
        <v>["ELIGIBLE"]</v>
      </c>
    </row>
    <row r="560">
      <c r="A560" s="24" t="str">
        <f>IFERROR(__xludf.DUMMYFUNCTION("""COMPUTED_VALUE"""),"Constraints on coastal dune invasion for a notorious plant invader")</f>
        <v>Constraints on coastal dune invasion for a notorious plant invader</v>
      </c>
      <c r="B560" s="24" t="str">
        <f>IFERROR(__xludf.DUMMYFUNCTION("""COMPUTED_VALUE"""),"Although most biological invasions are not successful, relatively few studies have examined otherwise notorious invaders in systems where they are not highly problematic. The annual grass Bromus tectorum is a dominant invader in western North America, but"&amp;" is usually confined to human-dominated and disturbed systems (e.g. roadsides and parking lots) in the East where it remains virtually unstudied. This study aims to address fundamental ecological questions regarding B. tectorum in a Cape Cod dune ecosyste"&amp;"m. (i) What is the range of variation in population dynamics and the potential for population growth? (ii) Which factors influence its local abundance and distribution? We observed substantial variation in population dynamics over 3 years, with the number"&amp;" of adult B. tectorum individuals increasing substantially between the first 2 years (lambda = 9.24) and then decreasing (lambda = 0.43). Population growth in terms of total seeds was similarly variable, but to a lesser extent (lambda = 2.32 followed by l"&amp;"ambda = 0.32). Experimental soil disturbance led to a more than 10-fold increase in mean seedling emergence, and high sensitivity to differences in emergence carried this effect through the life cycle. In contrast, barriers to seed dispersal had no effect"&amp;" on population dynamics, suggesting limited dispersal in this system. Across the landscape, the presence of B. tectorum was associated with areas of higher plant diversity as opposed to those with a strong dominant (e.g. the foredune, dominated by Ammophi"&amp;"la breviligulata, or low heathlands, characterized by Hudsonia tomentosa and Arctostaphylos uva-ursi). Overall, we find that B. tectorum is capable of both substantial population growth and decline in a dune ecosystem, but is likely limited without distur"&amp;"bance and dispersal agents. Thus, management actions that restrict dune access (e.g. for nesting habitat) likely have the co-benefit of limiting the invasive potential of B. tectorum.")</f>
        <v>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v>
      </c>
      <c r="C560" s="24" t="str">
        <f>IFERROR(__xludf.DUMMYFUNCTION("""COMPUTED_VALUE"""),"10.1093/aobpla/plv126")</f>
        <v>10.1093/aobpla/plv126</v>
      </c>
      <c r="D560" s="24" t="str">
        <f>IFERROR(__xludf.DUMMYFUNCTION("""COMPUTED_VALUE"""),"Keck et al")</f>
        <v>Keck et al</v>
      </c>
      <c r="E560" s="24" t="str">
        <f>IFERROR(__xludf.DUMMYFUNCTION("""COMPUTED_VALUE"""),"WOS:000369028300006")</f>
        <v>WOS:000369028300006</v>
      </c>
      <c r="F560" s="24" t="str">
        <f>IFERROR(__xludf.DUMMYFUNCTION("""COMPUTED_VALUE"""),"[""ELIGIBLE""]")</f>
        <v>["ELIGIBLE"]</v>
      </c>
    </row>
    <row r="561">
      <c r="A561" s="24" t="str">
        <f>IFERROR(__xludf.DUMMYFUNCTION("""COMPUTED_VALUE"""),"Responses of non-native earthworms to experimental eradication of garlic mustard and implications for native vegetation")</f>
        <v>Responses of non-native earthworms to experimental eradication of garlic mustard and implications for native vegetation</v>
      </c>
      <c r="B561" s="24" t="str">
        <f>IFERROR(__xludf.DUMMYFUNCTION("""COMPUTED_VALUE"""),"Recent studies in invasion biology suggest that positive feedback among two or more introduced organisms facilitate establishment within a new range and drive changes in native plant communities. Here, we experimentally tested for relationships between na"&amp;"tive plants and two non-native organisms invading forest habitats in North America: garlic mustard (Alliaria petiolata, Brassicaceae) and earthworms. In two forested sites, we compared understory vegetation and earthworm biomass in plots where garlic must"&amp;"ard was removed for three years, plots without garlic mustard invasion, and plots invaded by garlic mustard that was not removed. Earthworm biomass was highest in the plots with garlic mustard, and long-term eradication of garlic mustard reduced earthworm"&amp;" biomass to levels similar to those observed in the uninvaded control plots. Invasion treatment, and the interactions between earthworm biomass and treatment, explained most of the variation in plant community composition and diversity-suggesting that ear"&amp;"thworms alone do not necessarily drive forest understory floristic patterns. In contrast to broader geographic patterns indicating earthworms as the main driver of vegetation change in the presence of non-native plants, we show that garlic mustard solely,"&amp;" or in conjunction with earthworm biomass, drives changes in native plant composition and diversity at the scale of individual forests. From a local management perspective, our data suggest that garlic mustard eradication can directly assist in the conser"&amp;"vation of native plant communities and simultaneously reduce earthworm biomass.")</f>
        <v>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v>
      </c>
      <c r="C561" s="24" t="str">
        <f>IFERROR(__xludf.DUMMYFUNCTION("""COMPUTED_VALUE"""),"10.1002/ecs2.2353")</f>
        <v>10.1002/ecs2.2353</v>
      </c>
      <c r="D561" s="24" t="str">
        <f>IFERROR(__xludf.DUMMYFUNCTION("""COMPUTED_VALUE"""),"Keck et al")</f>
        <v>Keck et al</v>
      </c>
      <c r="E561" s="24" t="str">
        <f>IFERROR(__xludf.DUMMYFUNCTION("""COMPUTED_VALUE"""),"WOS:000441526900036")</f>
        <v>WOS:000441526900036</v>
      </c>
      <c r="F561" s="24" t="str">
        <f>IFERROR(__xludf.DUMMYFUNCTION("""COMPUTED_VALUE"""),"[""ELIGIBLE""]")</f>
        <v>["ELIGIBLE"]</v>
      </c>
    </row>
    <row r="562">
      <c r="A562" s="24" t="str">
        <f>IFERROR(__xludf.DUMMYFUNCTION("""COMPUTED_VALUE"""),"PATTERNS OF ENVIRONMENTAL CHANGE ASSOCIATED WITH TYPHA X GLAUCA INVASION IN A GREAT LAKES COASTAL WETLAND")</f>
        <v>PATTERNS OF ENVIRONMENTAL CHANGE ASSOCIATED WITH TYPHA X GLAUCA INVASION IN A GREAT LAKES COASTAL WETLAND</v>
      </c>
      <c r="B562" s="24" t="str">
        <f>IFERROR(__xludf.DUMMYFUNCTION("""COMPUTED_VALUE"""),"Typha x glauca (hybrid cattail) is an aggressive invader of wetlands in the upper Midwest, USA. There is widespread concern about declines in plant diversity following Typha invasion. However, relatively little is known about how Typha alters habitat char"&amp;"acteristics, i.e., its potential to act as an ecosystem engineer''. Over five years, we measured physical, chemical, and plant community changes associated with Typha invasion in a Lake Huron wetland in northern lower Michigan. We compared uninvaded areas"&amp;" with patches varying in invasion intensity. Our study was observational, but we used statistical inference to try to separate effects of Typha and confounding variables, particularly water depth. We used space-for-time substitution to investigate whether"&amp;" Typha-associated changes increased over time, as predicted if Typha invasion was in part a cause (not only a consequence) of abiotic changes. Relative to uninvaded areas, Typha-invaded areas differed in plant-community composition and had lower species r"&amp;"ichness, higher litter mass, and higher soil organic matter and nutrient concentrations (all P &lt; 0.001). Overall, Typha invasion appeared to displace native species and enrich wetland soils. These changes could benefit Typha at the expense of native speci"&amp;"es, potentially generating plant-soil feedbacks that pose special challenges for wetland management and restoration.")</f>
        <v>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v>
      </c>
      <c r="C562" s="24" t="str">
        <f>IFERROR(__xludf.DUMMYFUNCTION("""COMPUTED_VALUE"""),"10.1672/08-71.1")</f>
        <v>10.1672/08-71.1</v>
      </c>
      <c r="D562" s="24" t="str">
        <f>IFERROR(__xludf.DUMMYFUNCTION("""COMPUTED_VALUE"""),"Keck et al")</f>
        <v>Keck et al</v>
      </c>
      <c r="E562" s="24" t="str">
        <f>IFERROR(__xludf.DUMMYFUNCTION("""COMPUTED_VALUE"""),"WOS:000272944400018")</f>
        <v>WOS:000272944400018</v>
      </c>
      <c r="F562" s="24" t="str">
        <f>IFERROR(__xludf.DUMMYFUNCTION("""COMPUTED_VALUE"""),"[""ELIGIBLE""]")</f>
        <v>["ELIGIBLE"]</v>
      </c>
    </row>
    <row r="563">
      <c r="A563" s="24" t="str">
        <f>IFERROR(__xludf.DUMMYFUNCTION("""COMPUTED_VALUE"""),"Assessing local scale impacts of Opuntia stricta (Cactaceae) invasion on beetle and spider diversity in Kruger National Park, South Africa")</f>
        <v>Assessing local scale impacts of Opuntia stricta (Cactaceae) invasion on beetle and spider diversity in Kruger National Park, South Africa</v>
      </c>
      <c r="B563" s="24" t="str">
        <f>IFERROR(__xludf.DUMMYFUNCTION("""COMPUTED_VALUE"""),"There is a paucity of studies examining direct impacts of introduced alien species on biodiversity, a key need for motivating for alien species control in conservation areas. The introduced prickly pear (Opuntia stricta) has invaded some 35 000 ha of Krug"&amp;"er National Park. We investigated the effect of O. stricta on beetle and spider species assemblages in the Skukuza region of Kruger National Park. We used unbaited pitfall traps over a 12-month period in four treatments of varying O. stricta density. Spec"&amp;"ies richness, species density and abundance of beetles and spiders were compared. A total of 72 beetle and 128 spider species were collected. Species richness and species density for beetles and spiders did not differ significantly across the four treatme"&amp;"nts. Assemblages for spiders did not differ across treatments but beetle assemblages were significantly different from uninvaded control sites. This study suggests that the current density of O. stricta does not significantly affect spider species richnes"&amp;"s, density or assemblages but that beetle assemblages are significantly affected.")</f>
        <v>There is a paucity of studies examining direct impacts of introduced alien species on biodiversity, a key need for motivating for alien species control in conservation areas. The introduced prickly pear (Opuntia stricta) has invaded some 35 000 ha of Kruger National Park. We investigated the effect of O. stricta on beetle and spider species assemblages in the Skukuza region of Kruger National Park. We used unbaited pitfall traps over a 12-month period in four treatments of varying O. stricta density. Species richness, species density and abundance of beetles and spiders were compared. A total of 72 beetle and 128 spider species were collected. Species richness and species density for beetles and spiders did not differ significantly across the four treatments. Assemblages for spiders did not differ across treatments but beetle assemblages were significantly different from uninvaded control sites. This study suggests that the current density of O. stricta does not significantly affect spider species richness, density or assemblages but that beetle assemblages are significantly affected.</v>
      </c>
      <c r="C563" s="24" t="str">
        <f>IFERROR(__xludf.DUMMYFUNCTION("""COMPUTED_VALUE"""),"10.3377/004.046.0202")</f>
        <v>10.3377/004.046.0202</v>
      </c>
      <c r="D563" s="24" t="str">
        <f>IFERROR(__xludf.DUMMYFUNCTION("""COMPUTED_VALUE"""),"Keck et al")</f>
        <v>Keck et al</v>
      </c>
      <c r="E563" s="24" t="str">
        <f>IFERROR(__xludf.DUMMYFUNCTION("""COMPUTED_VALUE"""),"WOS:000301469800002")</f>
        <v>WOS:000301469800002</v>
      </c>
      <c r="F563" s="24" t="str">
        <f>IFERROR(__xludf.DUMMYFUNCTION("""COMPUTED_VALUE"""),"[""ELIGIBLE""]")</f>
        <v>["ELIGIBLE"]</v>
      </c>
    </row>
    <row r="564">
      <c r="A564" s="24" t="str">
        <f>IFERROR(__xludf.DUMMYFUNCTION("""COMPUTED_VALUE"""),"Effects of woody species encroachment and fire on vegetation and the soil seed bank in dry grasslands of Transylvania")</f>
        <v>Effects of woody species encroachment and fire on vegetation and the soil seed bank in dry grasslands of Transylvania</v>
      </c>
      <c r="B564" s="24" t="str">
        <f>IFERROR(__xludf.DUMMYFUNCTION("""COMPUTED_VALUE"""),"Questions (a) In which ways do woody species encroachment and fire affect vegetation and seed bank composition, structure and diversity in Transylvanian dry grassland; (b) do native and non-native woody species differ with respect to their impact on grass"&amp;"land community composition and structure; (c) is burning useful to control woody species encroachment; and (d) can soil seed banks contribute to the restoration of grasslands in Transylvania? Location Transylvania, Romania. Methods We collected data on ve"&amp;"getation and seed bank composition in 4 m(2) plots in 16 shrub-encroached grasslands and adjacent open grassland. Data were analyzed with regard to the impact of woody species encroachment (native vs non-native) and fire on grassland vegetation and the se"&amp;"ed bank using NMDS and LME models combined with ANOVA and Tukey contrast tests. Results Encroachment was accompanied by a decrease in plant species diversity and altered microclimatic conditions. There was a lack of sufficient evidence for a difference in"&amp;" effect size between native and non-native woody species on tested vegetation or seed bank parameters. While the effects of fire on vegetation were weak compared to encroachment, burning failed to reduce the cover of woody species sustainably. Grassland v"&amp;"egetation and the seed bank differed significantly in species composition and diversity, indicating a limited potential for restoration from the seed bank alone. Conclusions To halt secondary succession in Transylvanian grassland sustainably, we suggest t"&amp;"he establishment of a post-fire management regime including the cutting of woody species and/or re-introduction of grazing and mowing. Grassland restoration from the seed bank may be supported by the introduction of species from surrounding intact grassla"&amp;"nd.")</f>
        <v>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v>
      </c>
      <c r="C564" s="24" t="str">
        <f>IFERROR(__xludf.DUMMYFUNCTION("""COMPUTED_VALUE"""),"10.1111/avsc.12435")</f>
        <v>10.1111/avsc.12435</v>
      </c>
      <c r="D564" s="24" t="str">
        <f>IFERROR(__xludf.DUMMYFUNCTION("""COMPUTED_VALUE"""),"Keck et al")</f>
        <v>Keck et al</v>
      </c>
      <c r="E564" s="24" t="str">
        <f>IFERROR(__xludf.DUMMYFUNCTION("""COMPUTED_VALUE"""),"WOS:000473236900005")</f>
        <v>WOS:000473236900005</v>
      </c>
      <c r="F564" s="24" t="str">
        <f>IFERROR(__xludf.DUMMYFUNCTION("""COMPUTED_VALUE"""),"[""ELIGIBLE""]")</f>
        <v>["ELIGIBLE"]</v>
      </c>
    </row>
    <row r="565">
      <c r="A565" s="24" t="str">
        <f>IFERROR(__xludf.DUMMYFUNCTION("""COMPUTED_VALUE"""),"Consumers and establishment limitations contribute more than competitive interactions in sustaining dominance of the exotic herb garlic mustard in a Wisconsin, USA forest")</f>
        <v>Consumers and establishment limitations contribute more than competitive interactions in sustaining dominance of the exotic herb garlic mustard in a Wisconsin, USA forest</v>
      </c>
      <c r="B565" s="24" t="str">
        <f>IFERROR(__xludf.DUMMYFUNCTION("""COMPUTED_VALUE"""),"The understory is a diverse component of temperate forest ecosystems, contributing significantly to forest ecosystem services. Despite their importance, many native understories face stresses from current and past land use, habitat fragmentation, invasive"&amp;" species, and overabundant herbivores. We established a four block, three factor experiment to evaluate the relative contribution of native plant establishment, competitive effects from the invasive herb garlic mustard (Alliaria petiolata), and herbivory "&amp;"from white-tailed deer (Odocoileus virginianus) to better understand the mechanisms promoting low native plant richness and cover and understory dominance by the biennial exotic herb garlic mustard in a NE Wisconsin, USA forest. Four years of garlic musta"&amp;"rd removal failed to increase native plant richness or cover in non-restored plots. However, deer access and the introduction of native plants (restoration treatment) both significantly enhanced native plant cover and richness, with restored species cover"&amp;" in fenced plots approximately 216 % that of open-access plots, and the majority of these species flowered at significantly higher proportions inside of fenced areas. In contrast, deer access did not significantly alter the cover, or seed production of ga"&amp;"rlic mustard. We also found no significant effect of garlic mustard presence on the cover or flowering of restored native species. We conclude that multiple factors, including limited natural establishment by native species and selective herbivory drove l"&amp;"ow native, high exotic dominance at our site, suggesting that a shift in focus from invasive plant removal to combined native plant restoration and herbivore control is needed to maximize the recovery of this degraded forest understory.")</f>
        <v>The understory is a diverse component of temperate forest ecosystems, contributing significantly to forest ecosystem services. Despite their importance, many native understories face stresses from current and past land use, habitat fragmentation, invasive species, and overabundant herbivores. We established a four block, three factor experiment to evaluate the relative contribution of native plant establishment, competitive effects from the invasive herb garlic mustard (Alliaria petiolata), and herbivory from white-tailed deer (Odocoileus virginianus) to better understand the mechanisms promoting low native plant richness and cover and understory dominance by the biennial exotic herb garlic mustard in a NE Wisconsin, USA forest. Four years of garlic mustard removal failed to increase native plant richness or cover in non-restored plots. However, deer access and the introduction of native plants (restoration treatment) both significantly enhanced native plant cover and richness, with restored species cover in fenced plots approximately 216 % that of open-access plots, and the majority of these species flowered at significantly higher proportions inside of fenced areas. In contrast, deer access did not significantly alter the cover, or seed production of garlic mustard. We also found no significant effect of garlic mustard presence on the cover or flowering of restored native species. We conclude that multiple factors, including limited natural establishment by native species and selective herbivory drove low native, high exotic dominance at our site, suggesting that a shift in focus from invasive plant removal to combined native plant restoration and herbivore control is needed to maximize the recovery of this degraded forest understory.</v>
      </c>
      <c r="C565" s="24" t="str">
        <f>IFERROR(__xludf.DUMMYFUNCTION("""COMPUTED_VALUE"""),"10.1007/s10530-013-0484-1")</f>
        <v>10.1007/s10530-013-0484-1</v>
      </c>
      <c r="D565" s="24" t="str">
        <f>IFERROR(__xludf.DUMMYFUNCTION("""COMPUTED_VALUE"""),"Keck et al")</f>
        <v>Keck et al</v>
      </c>
      <c r="E565" s="24" t="str">
        <f>IFERROR(__xludf.DUMMYFUNCTION("""COMPUTED_VALUE"""),"WOS:000327239500009")</f>
        <v>WOS:000327239500009</v>
      </c>
      <c r="F565" s="24" t="str">
        <f>IFERROR(__xludf.DUMMYFUNCTION("""COMPUTED_VALUE"""),"[""ELIGIBLE""]")</f>
        <v>["ELIGIBLE"]</v>
      </c>
    </row>
    <row r="566">
      <c r="A566" s="24" t="str">
        <f>IFERROR(__xludf.DUMMYFUNCTION("""COMPUTED_VALUE"""),"Native recolonization following control of invasive Ruellia simplex in a cypress floodplain forest")</f>
        <v>Native recolonization following control of invasive Ruellia simplex in a cypress floodplain forest</v>
      </c>
      <c r="B566" s="24" t="str">
        <f>IFERROR(__xludf.DUMMYFUNCTION("""COMPUTED_VALUE"""),"QuestionWhat factors constrain establishment of native plant species after removal of a dominant invasive plant species? Specifically, we tested whether missing soil seed banks, elevated soil nutrients and invasion by other non-native species explained th"&amp;"e lack of recovery of native species. LocationBald-cypress-dominated (Taxodium distichum) floodplain forest. Paynes Prairie Preserve State Park, Alachua County, FL, US. MethodsWe assayed the plant composition of the soil seed bank to a depth of 5cm and an"&amp;"alysed soil nutrient levels in a floodplain forest invaded by Ruellia simplex. We measured percentage cover of vegetation 1yr after herbicide application to control R.simplex. ResultsMany native species (largely perennials) and very few R.simplex emerged "&amp;"from the seed bank assay. Herbicide application reduced cover of R.simplex, but 1yr post-herbicide vegetation cover lacked native perennials, and instead was largely comprised of novel invaders and early successional (annual) natives. Across locations, le"&amp;"vels of some soil nutrients (P, Mg) and pH were higher in R.simplex-invaded plots than in uninvaded plots. Similarly, R.simplex-invaded plots were significantly correlated with soil K and Ca levels at some locations but not others. ConclusionIt seems most"&amp;" probable that watershed-level factors, including soil nutrients and pH, as well as changes in hydrology are interacting with site-level factors, such as remnant invasive non- Ruellia simplex plant propagules and vegetative propagules of R.simplex to cons"&amp;"train long-term native plant community establishment. Propagule limitation from the soil seed bank is not likely a barrier to native plant recolonization in floodplain forests after removal of invasive R.simplex, as diversity and density of native species"&amp;" emerged from the soil seed bank was high and density of R.simplex in the soil seed bank was extremely low. It does seem likely that soil properties are influencing the plant community. A critical next step will be identification of native species toleran"&amp;"t of altered soil and water conditions if restoration efforts are to succeed. However, further research on all spatial levels is needed to effectively restore degraded floodplain forests, especially at the broader watershed level.")</f>
        <v>QuestionWhat factors constrain establishment of native plant species after removal of a dominant invasive plant species? Specifically, we tested whether missing soil seed banks, elevated soil nutrients and invasion by other non-native species explained the lack of recovery of native species. LocationBald-cypress-dominated (Taxodium distichum) floodplain forest. Paynes Prairie Preserve State Park, Alachua County, FL, US. MethodsWe assayed the plant composition of the soil seed bank to a depth of 5cm and analysed soil nutrient levels in a floodplain forest invaded by Ruellia simplex. We measured percentage cover of vegetation 1yr after herbicide application to control R.simplex. ResultsMany native species (largely perennials) and very few R.simplex emerged from the seed bank assay. Herbicide application reduced cover of R.simplex, but 1yr post-herbicide vegetation cover lacked native perennials, and instead was largely comprised of novel invaders and early successional (annual) natives. Across locations, levels of some soil nutrients (P, Mg) and pH were higher in R.simplex-invaded plots than in uninvaded plots. Similarly, R.simplex-invaded plots were significantly correlated with soil K and Ca levels at some locations but not others. ConclusionIt seems most probable that watershed-level factors, including soil nutrients and pH, as well as changes in hydrology are interacting with site-level factors, such as remnant invasive non- Ruellia simplex plant propagules and vegetative propagules of R.simplex to constrain long-term native plant community establishment. Propagule limitation from the soil seed bank is not likely a barrier to native plant recolonization in floodplain forests after removal of invasive R.simplex, as diversity and density of native species emerged from the soil seed bank was high and density of R.simplex in the soil seed bank was extremely low. It does seem likely that soil properties are influencing the plant community. A critical next step will be identification of native species tolerant of altered soil and water conditions if restoration efforts are to succeed. However, further research on all spatial levels is needed to effectively restore degraded floodplain forests, especially at the broader watershed level.</v>
      </c>
      <c r="C566" s="24" t="str">
        <f>IFERROR(__xludf.DUMMYFUNCTION("""COMPUTED_VALUE"""),"10.1111/avsc.12187")</f>
        <v>10.1111/avsc.12187</v>
      </c>
      <c r="D566" s="24" t="str">
        <f>IFERROR(__xludf.DUMMYFUNCTION("""COMPUTED_VALUE"""),"Keck et al")</f>
        <v>Keck et al</v>
      </c>
      <c r="E566" s="24" t="str">
        <f>IFERROR(__xludf.DUMMYFUNCTION("""COMPUTED_VALUE"""),"WOS:000361181500015")</f>
        <v>WOS:000361181500015</v>
      </c>
      <c r="F566" s="24" t="str">
        <f>IFERROR(__xludf.DUMMYFUNCTION("""COMPUTED_VALUE"""),"[""ELIGIBLE""]")</f>
        <v>["ELIGIBLE"]</v>
      </c>
    </row>
    <row r="567">
      <c r="A567" s="24" t="str">
        <f>IFERROR(__xludf.DUMMYFUNCTION("""COMPUTED_VALUE"""),"How Does Landscape Modification Induce Biological Homogenization in Tropical Stream Metacommunities?")</f>
        <v>How Does Landscape Modification Induce Biological Homogenization in Tropical Stream Metacommunities?</v>
      </c>
      <c r="B567" s="24" t="str">
        <f>IFERROR(__xludf.DUMMYFUNCTION("""COMPUTED_VALUE"""),"Habitat modification can homogenize biological communities. Beta diversity analyses provide key information for understanding biotic homogenization, especially given recent conceptual and methodological advances. Here, we investigated if landscape modific"&amp;"ation was associated with taxonomic homogenization in 32 stream insect communities from the Brazilian Atlantic Forest. We investigated: (1) if the way we defined landscape affected our estimates of beta diversity; (2) to what extent changes in species com"&amp;"position versus relative abundance caused the observed homogenization; and (3) if environmental heterogeneity among modified habitats influenced homogenization. We detected taxonomic homogenization caused by landscape modification only when we used refine"&amp;"d landscape categorizations and abundance-based diversity measures. For forested streams, changes in relative abundance rather than absolute taxonomic composition increased the biological variation. Forested streams were generally more heterogeneous, with"&amp;" a variable set of abundant genera; by contrast, non-forested streams were more homogeneous, with the same set of genera being more or less abundant. We suggest that landscape modification by agriculture, pasture, and silviculture reduces beta diversity b"&amp;"y limiting the colonization of potential species, and, ultimately, causing taxonomic homogenization. Studies investigating biotic homogenization should include multiple dissimilarity measures representing changes in relative species abundance and communit"&amp;"y composition. Resumo A modificacAo de habitats pode causar homogeneizacAo das comunidades biologicas. A analise da diversidade beta fornece informacoes fundamentais para a compreensAo da homogeneizacAo biotica, especialmente tendo em conta os avancos con"&amp;"ceituais e metodologicos recentes. Nos investigamos se a modificacAo da paisagem esta associada a homogeneizacAo taxonomica em 32 comunidades de insetos aquaticos da Mata Atlantica brasileira. Nos investigamos: (1) se a forma como definimos paisagens afet"&amp;"ou nossas estimativas de beta diversidade, (2) em que medida as mudancas na composicAo de especies versus abundancia relativa causou a homogeneizacAo observada, e (3) se a heterogeneidade ambiental entre os habitats alterados afetou a homogeneizacAo. Dete"&amp;"ctamos homogeneizacAo taxonomica causada por modificacoes na paisagem somente quando usamos uma categorizacAo refinada de paisagens e medidas de diversidade beta baseadas em abundancia. Entre os riachos florestados, mudancas na abundancia relativa, e nAo "&amp;"na composicAo taxonomica absoluta, aumentaram a variacAo biologica. Riachos florestados foram, de modo geral, mais heterogeneos biologicamente, com um conjunto variavel de generos dominantes; por outro lado, riachos nAo florestados foram mais homogeneos, "&amp;"com o mesmo conjunto de generos sendo mais ou menos abundantes. Nos sugerimos que a modificacAo da paisagem pela agricultura, pastagem e silvicultura reduz diversidade beta, limitando a colonizacAo de especies potenciais, consequentemente, causando homoge"&amp;"neizacAo taxonomica. Estudos investigando homogeneizacAo biotica devem incluir diferentes medidas de dissimilaridade que representam mudancas na abundancia relativa das especies e na composicAo taxonomica da comunidade.")</f>
        <v>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v>
      </c>
      <c r="C567" s="24" t="str">
        <f>IFERROR(__xludf.DUMMYFUNCTION("""COMPUTED_VALUE"""),"10.1111/btp.12224")</f>
        <v>10.1111/btp.12224</v>
      </c>
      <c r="D567" s="24" t="str">
        <f>IFERROR(__xludf.DUMMYFUNCTION("""COMPUTED_VALUE"""),"Keck et al")</f>
        <v>Keck et al</v>
      </c>
      <c r="E567" s="24" t="str">
        <f>IFERROR(__xludf.DUMMYFUNCTION("""COMPUTED_VALUE"""),"WOS:000357970700015")</f>
        <v>WOS:000357970700015</v>
      </c>
      <c r="F567" s="24" t="str">
        <f>IFERROR(__xludf.DUMMYFUNCTION("""COMPUTED_VALUE"""),"[""ELIGIBLE""]")</f>
        <v>["ELIGIBLE"]</v>
      </c>
    </row>
    <row r="568">
      <c r="A568" s="24" t="str">
        <f>IFERROR(__xludf.DUMMYFUNCTION("""COMPUTED_VALUE"""),"Ocean acidification causes ecosystem shifts via altered competitive interactions")</f>
        <v>Ocean acidification causes ecosystem shifts via altered competitive interactions</v>
      </c>
      <c r="B568" s="24" t="str">
        <f>IFERROR(__xludf.DUMMYFUNCTION("""COMPUTED_VALUE"""),"Ocean acidification represents a pervasive environmental change that is predicted to affect a wide range of species(1,2), yet our understanding of the emergent ecosystem impacts is very limited. Many studies report detrimental effects of acidification on "&amp;"single species in lab studies, especially those with calcareous shells or skeletons(3-5). Observational studies using naturally acidified ecosystems have shown profound shifts away from such calcareous species(6-8), and there has been an assumption that d"&amp;"irect impacts of acidification on sensitive species drive most ecosystem responses. We tested an alternative hypothesis that species interactions attenuate or amplify the direct effects of acidification on individual species(9-12). Here, we show that alte"&amp;"red competitive dynamics between calcareous species and fleshy seaweeds drive significant ecosystem shifts in acidified conditions. Although calcareous species recruited and grew at similar rates in ambient and low pH conditions during early successional "&amp;"stages, they were rapidly overgrown by fleshy seaweeds later in succession in low pH conditions. The altered competitive dynamics between calcareous species and fleshy seaweeds is probably the combined result of decreased growth rates of calcareous specie"&amp;"s, increased growth rates of fleshy seaweeds, and/or altered grazing rates(13). Phase shifts towards ecosystems dominated by fleshy seaweed are common in many marine ecosystems(14-16), and our results suggest that changes in the competitive balance betwee"&amp;"n these groups represent a key leverage point through which the physiological responses of individual species to acidification could indirectly lead to profound ecosystem changes in an acidified ocean.")</f>
        <v>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v>
      </c>
      <c r="C568" s="24" t="str">
        <f>IFERROR(__xludf.DUMMYFUNCTION("""COMPUTED_VALUE"""),"10.1038/NCLIMATE1680")</f>
        <v>10.1038/NCLIMATE1680</v>
      </c>
      <c r="D568" s="24" t="str">
        <f>IFERROR(__xludf.DUMMYFUNCTION("""COMPUTED_VALUE"""),"Keck et al")</f>
        <v>Keck et al</v>
      </c>
      <c r="E568" s="24" t="str">
        <f>IFERROR(__xludf.DUMMYFUNCTION("""COMPUTED_VALUE"""),"WOS:000319397500019")</f>
        <v>WOS:000319397500019</v>
      </c>
      <c r="F568" s="24" t="str">
        <f>IFERROR(__xludf.DUMMYFUNCTION("""COMPUTED_VALUE"""),"[""ELIGIBLE""]")</f>
        <v>["ELIGIBLE"]</v>
      </c>
    </row>
    <row r="569">
      <c r="A569" s="24" t="str">
        <f>IFERROR(__xludf.DUMMYFUNCTION("""COMPUTED_VALUE"""),"An introduced tree species alters the assemblage structure and functional composition of wood-decaying fungi in microcosms")</f>
        <v>An introduced tree species alters the assemblage structure and functional composition of wood-decaying fungi in microcosms</v>
      </c>
      <c r="B569" s="24" t="str">
        <f>IFERROR(__xludf.DUMMYFUNCTION("""COMPUTED_VALUE"""),"Although it is widely recognized that introduced plant species produce organic matter of different quality surprisingly little is known about how this influence the community structure of decomposers. Here, we investigated the effects of a commercial non-"&amp;"native tree species, lodgepole pine, on the community structure of wood-decaying basidiomycetes and the decomposition of deadwood in northern Sweden. We allowed an assemblage of wood-decaying fungi that occur naturally on pine to interact on fresh wooddis"&amp;"cs of lodgepole pine and Scots pine, using microcosms. At the end of the experiment we measured the wood mass loss and calculated the area of the different species' domains as indicated by interaction zone lines between competing species. Fungal assemblag"&amp;"e structure developed in a markedly different way on lodgepole pine compared to Scots pine. In addition to there being fewer species in the final fungal assemblage on lodgepole pine, fungal functional composition was different. White-rot fungi were more c"&amp;"ompetitive and dominated on lodgepole pine, while brown-rot fungi dominated on Scots pine. We also found that the decay rate of lodgepole pine wood was slightly lower, although the underlying reason remains unclear. However, there was a significant positi"&amp;"ve relationship between the abundance of white-rot fungi and the wood mass loss of lodgepole pine, while no relationship was found between fungal functional group and the decay rate of Scots pine. We also found no relationship between species richness and"&amp;" wood decay rates. Our study reveals that a non-native tree species used in commercial forestry can alter the structure and functional composition of a saprotrophic wood-decaying fungal assemblage. Future studies are required to clarify the mechanisms beh"&amp;"ind the observed patterns and whether they apply to natural systems. (C) 2013 Elsevier B.V. All rights reserved.")</f>
        <v>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v>
      </c>
      <c r="C569" s="24" t="str">
        <f>IFERROR(__xludf.DUMMYFUNCTION("""COMPUTED_VALUE"""),"10.1016/j.foreco.2013.06.023")</f>
        <v>10.1016/j.foreco.2013.06.023</v>
      </c>
      <c r="D569" s="24" t="str">
        <f>IFERROR(__xludf.DUMMYFUNCTION("""COMPUTED_VALUE"""),"Keck et al")</f>
        <v>Keck et al</v>
      </c>
      <c r="E569" s="24" t="str">
        <f>IFERROR(__xludf.DUMMYFUNCTION("""COMPUTED_VALUE"""),"WOS:000325190500002")</f>
        <v>WOS:000325190500002</v>
      </c>
      <c r="F569" s="24" t="str">
        <f>IFERROR(__xludf.DUMMYFUNCTION("""COMPUTED_VALUE"""),"[""ELIGIBLE""]")</f>
        <v>["ELIGIBLE"]</v>
      </c>
    </row>
    <row r="570">
      <c r="A570" s="24" t="str">
        <f>IFERROR(__xludf.DUMMYFUNCTION("""COMPUTED_VALUE"""),"Changes in fish assemblage structure after implementation of Marine Protected Areas in the south western coast of Portugal")</f>
        <v>Changes in fish assemblage structure after implementation of Marine Protected Areas in the south western coast of Portugal</v>
      </c>
      <c r="B570" s="24" t="str">
        <f>IFERROR(__xludf.DUMMYFUNCTION("""COMPUTED_VALUE"""),"Marine Protected Areas (MPAs) are increasingly being recommended as management tools for biodiversity conservation and fisheries. With the purpose of protecting the region's biodiversity and prevent the over exploitation of marine resources, in February 2"&amp;"011 the no-take MPAs of Ilha do Pessegueiro and Cabo Sardao were implemented within the Parque Natural do Sudoeste Alentejano e Costa Vicentina (PNSACV) Marine Park, south. western coast of Portugal. As such, commercial and recreational fishing became pro"&amp;"hibited in these areas. In order to evaluate the effects of these no-take MPAs, the structure of their fish assemblages and of adjacent control areas without fishing restrictions were studied between 2011 (immediately after implementation) and 2013 (two y"&amp;"ears after implementation). A total of 4 sampling campaigns were conducted (summer 2011, winter 2012, summer 2013 and winter 2013) using trammel nets and bottom trawl. Ichthyofaunal assemblages from the no-take MPAs (treatment) were compared with adjacent"&amp;" areas (controls) and changes evaluated as a function of time since protection. Results revealed significant increase in fish abundance after the implementation of the no-take MPAs. Furthermore, significant differences in the structure of fish assemblages"&amp;" (abundance and fish size) between protected and neighbouring areas were rapidly observed upon the implementation of the no-take MPAs. In addition, specimens of larger size occurred more frequently within Ilha do Pessegueiro no-take MPA in the last year o"&amp;"f the study. Overall, despite the young age of these no-take MPAs, changes on the structure of their fish assemblages were already evident after only two years of protection, indicating that management measures such as MPA designation may play an importan"&amp;"t role to promote fisheries sustainable exploitation as well as to protect species with conservation interest. (C) 2016 Elsevier Ltd. All rights reserved.")</f>
        <v>Marine Protected Areas (MPAs) are increasingly being recommended as management tools for biodiversity conservation and fisheries. With the purpose of protecting the region's biodiversity and prevent the over exploitation of marine resources, in February 2011 the no-take MPAs of Ilha do Pessegueiro and Cabo Sardao were implemented within the Parque Natural do Sudoeste Alentejano e Costa Vicentina (PNSACV) Marine Park, south. western coast of Portugal. As such, commercial and recreational fishing became prohibited in these areas. In order to evaluate the effects of these no-take MPAs, the structure of their fish assemblages and of adjacent control areas without fishing restrictions were studied between 2011 (immediately after implementation) and 2013 (two years after implementation). A total of 4 sampling campaigns were conducted (summer 2011, winter 2012, summer 2013 and winter 2013) using trammel nets and bottom trawl. Ichthyofaunal assemblages from the no-take MPAs (treatment) were compared with adjacent areas (controls) and changes evaluated as a function of time since protection. Results revealed significant increase in fish abundance after the implementation of the no-take MPAs. Furthermore, significant differences in the structure of fish assemblages (abundance and fish size) between protected and neighbouring areas were rapidly observed upon the implementation of the no-take MPAs. In addition, specimens of larger size occurred more frequently within Ilha do Pessegueiro no-take MPA in the last year of the study. Overall, despite the young age of these no-take MPAs, changes on the structure of their fish assemblages were already evident after only two years of protection, indicating that management measures such as MPA designation may play an important role to promote fisheries sustainable exploitation as well as to protect species with conservation interest. (C) 2016 Elsevier Ltd. All rights reserved.</v>
      </c>
      <c r="C570" s="24" t="str">
        <f>IFERROR(__xludf.DUMMYFUNCTION("""COMPUTED_VALUE"""),"10.1016/j.ocecoaman.2016.11.017")</f>
        <v>10.1016/j.ocecoaman.2016.11.017</v>
      </c>
      <c r="D570" s="24" t="str">
        <f>IFERROR(__xludf.DUMMYFUNCTION("""COMPUTED_VALUE"""),"Keck et al")</f>
        <v>Keck et al</v>
      </c>
      <c r="E570" s="24" t="str">
        <f>IFERROR(__xludf.DUMMYFUNCTION("""COMPUTED_VALUE"""),"WOS:000390739300010")</f>
        <v>WOS:000390739300010</v>
      </c>
      <c r="F570" s="24" t="str">
        <f>IFERROR(__xludf.DUMMYFUNCTION("""COMPUTED_VALUE"""),"[""ELIGIBLE""]")</f>
        <v>["ELIGIBLE"]</v>
      </c>
    </row>
    <row r="571">
      <c r="A571" s="24" t="str">
        <f>IFERROR(__xludf.DUMMYFUNCTION("""COMPUTED_VALUE"""),"How does conversion from forest to pasture affect the taxonomic and functional structure of the fish assemblages in Amazonian streams?")</f>
        <v>How does conversion from forest to pasture affect the taxonomic and functional structure of the fish assemblages in Amazonian streams?</v>
      </c>
      <c r="B571" s="24" t="str">
        <f>IFERROR(__xludf.DUMMYFUNCTION("""COMPUTED_VALUE"""),"Clearing land for the establishment of pasture is the principal cause of deforestation in the Amazon basin. We investigated how stream habitats and the taxonomic and functional structure of the fish fauna respond to the effects of the conversion of forest"&amp;" to pasture in the eastern Brazilian Amazon. We sampled 13 streams located in areas of forest and 13 streams within a pasture matrix. The structure of the stream habitats, and the taxonomic and functional structure of the fish assemblages were compared be"&amp;"tween forest and pasture, using univariate and multivariate analyses. Species richness did not vary between environments, although abundance was greater in forest streams. Functional divergence was lower in the pasture streams, indicating a reduced degree"&amp;" of niche differentiation. The pasture streams presented a higher percentage of artificial shelters, such as pipes and plastic containers, and riffles, while the forest streams had greater canopy cover formed by large trees, and a denser substrate formed "&amp;"by leaf litter. Environmental variables influenced the distribution of species based on their functional traits. The greater canopy cover in forest streams benefitted benthic species. The ongoing increase in the area of pasture in the Amazon region is cau"&amp;"sing changes in stream habitats, and in the taxonomic and functional structure of the local fish assemblages. The impacted streams did not favour the occurrence of species with parental care or piscivorous, invertivorous, and benthic habits. Overall, prot"&amp;"ecting forests and the stream margins will promote adequate conditions to maintain the equilibrium of Amazonian stream ecosystems.")</f>
        <v>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v>
      </c>
      <c r="C571" s="24" t="str">
        <f>IFERROR(__xludf.DUMMYFUNCTION("""COMPUTED_VALUE"""),"10.1111/eff.12589")</f>
        <v>10.1111/eff.12589</v>
      </c>
      <c r="D571" s="24" t="str">
        <f>IFERROR(__xludf.DUMMYFUNCTION("""COMPUTED_VALUE"""),"Keck et al")</f>
        <v>Keck et al</v>
      </c>
      <c r="E571" s="24" t="str">
        <f>IFERROR(__xludf.DUMMYFUNCTION("""COMPUTED_VALUE"""),"WOS:000591709800001")</f>
        <v>WOS:000591709800001</v>
      </c>
      <c r="F571" s="24" t="str">
        <f>IFERROR(__xludf.DUMMYFUNCTION("""COMPUTED_VALUE"""),"[""ELIGIBLE""]")</f>
        <v>["ELIGIBLE"]</v>
      </c>
    </row>
    <row r="572">
      <c r="A572" s="24" t="str">
        <f>IFERROR(__xludf.DUMMYFUNCTION("""COMPUTED_VALUE"""),"InvasiveNicotiana glaucashifts the soil microbial community composition and functioning of harsh and disturbed semiarid Mediterranean environments")</f>
        <v>InvasiveNicotiana glaucashifts the soil microbial community composition and functioning of harsh and disturbed semiarid Mediterranean environments</v>
      </c>
      <c r="B572" s="24" t="str">
        <f>IFERROR(__xludf.DUMMYFUNCTION("""COMPUTED_VALUE"""),"Exotic invasive plants have been reported to alter the soil microbial community composition and function in order to facilitate their further invasion. These changes in the soil microbiome could be influenced also by the characteristics of the soil and si"&amp;"tes. We hypothesised that (i) the invasion of Mediterranean semiarid ecosystems by the woody shrubNicotiana glauca(tree tobacco) would promote a specific rhizosphere microbial community with particular functions and (ii) the rhizosphere microbial communit"&amp;"y associated with the invasive plant would be independent of the edaphic characteristics of the invaded site. We tested these hypotheses by comparing the rhizosphere microbial community ofN. glaucawith that of the native plant community at four sites cove"&amp;"ring a broad range of distinctive edaphic characteristics, including two human-disturbed environments and two naturally harsh Mediterranean environments (one saline and one gypsum soil). The soil microbial community composition was analysed using Illumina"&amp;" MiSeq sequencing and the rhizosphere microbial function was predicted by PICRUSt and FUNGuild. Our results suggest that the composition of the rhizosphere bacterial and fungal communities differed betweenN. glaucaand the dominant native plant species and"&amp;" according to the soil characteristics. The metabolic functions of indicator taxa also differed between the invader and the dominant native plant species. In particular, the functions involved in the metabolism of carbon (C) and sulphur (S) compounds were"&amp;" overrepresented in the rhizosphere community of the invader. In conclusion, invasiveN. glaucashifts the soil microbial community composition and its function related to C and S cycling in semiarid Mediterranean environments, including soils affected by s"&amp;"alinity and gypsum.")</f>
        <v>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v>
      </c>
      <c r="C572" s="24" t="str">
        <f>IFERROR(__xludf.DUMMYFUNCTION("""COMPUTED_VALUE"""),"10.1007/s10530-020-02299-1")</f>
        <v>10.1007/s10530-020-02299-1</v>
      </c>
      <c r="D572" s="24" t="str">
        <f>IFERROR(__xludf.DUMMYFUNCTION("""COMPUTED_VALUE"""),"Keck et al")</f>
        <v>Keck et al</v>
      </c>
      <c r="E572" s="24" t="str">
        <f>IFERROR(__xludf.DUMMYFUNCTION("""COMPUTED_VALUE"""),"WOS:000543692500002")</f>
        <v>WOS:000543692500002</v>
      </c>
      <c r="F572" s="24" t="str">
        <f>IFERROR(__xludf.DUMMYFUNCTION("""COMPUTED_VALUE"""),"[""ELIGIBLE""]")</f>
        <v>["ELIGIBLE"]</v>
      </c>
    </row>
    <row r="573">
      <c r="A573" s="24" t="str">
        <f>IFERROR(__xludf.DUMMYFUNCTION("""COMPUTED_VALUE"""),"Non-native liana, Euonymus fortunei, associated with increased soil nutrients, unique bacterial communities, and faster decomposition rate")</f>
        <v>Non-native liana, Euonymus fortunei, associated with increased soil nutrients, unique bacterial communities, and faster decomposition rate</v>
      </c>
      <c r="B573" s="24" t="str">
        <f>IFERROR(__xludf.DUMMYFUNCTION("""COMPUTED_VALUE"""),"Invasive plants have wide-ranging impacts on native systems including reducing native plant richness and altering soil chemistry, microbes, and nutrient cycling. Increasingly, these effects are found to linger long after removal of the invader. We examine"&amp;"d how soil chemistry, bacterial communities, and litter decomposition varied with cover of Euonymus fortunei, an invasive evergreen liana, in two central Kentucky deciduous forests. In one forest, E. fortunei invaded in the late 1990s but invasion remaine"&amp;"d patchy and we paired invaded and uninvaded plots to examine the associations between E. fortunei cover and our response variables. In the second forest, E. fortunei had completely invaded the forest by 2005; areas where it had been selectively removed b"&amp;"y 2010 were paired with an adjacent invaded plot. Where E. fortunei had patchily invaded, E. fortunei patches had up to 3.5x nitrogen, 2.7x carbon, and 1.9x more labile glomalin in soils than uninvaded plots, whereas there were no differences in soil char"&amp;"acteristics between invaded and removal plots. In the patchily invaded forest, bacterial community composition varied among invaded and non-invaded plots, whereas bacterial communities did not vary among invaded and removal plots. Finally, E. fortunei lea"&amp;"f litter decomposed faster (k = 4.91 year(-1)) than the native liana (k = 3.77 year(-1)), Vitis vulpina; decomposition of both E. fortunei and V. vulpina was faster in invaded (k = 7.10 year(-1)) than removal plots (k = 4.77 year(-1)). Our findings sugges"&amp;"t that E. fortunei invasion increases the rate of leaf litter decomposition via high-quality litter, alters the decomposition environment, and shifts in the soil biotic communities associated with a dense mat of wintercreeper. Land managers with limited r"&amp;"esources should target the densest mats for the greatest restoration potential and remove wintercreeper patches before they establish dense mats.")</f>
        <v>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v>
      </c>
      <c r="C573" s="24" t="str">
        <f>IFERROR(__xludf.DUMMYFUNCTION("""COMPUTED_VALUE"""),"10.1007/s11258-016-0689-3")</f>
        <v>10.1007/s11258-016-0689-3</v>
      </c>
      <c r="D573" s="24" t="str">
        <f>IFERROR(__xludf.DUMMYFUNCTION("""COMPUTED_VALUE"""),"Keck et al")</f>
        <v>Keck et al</v>
      </c>
      <c r="E573" s="24" t="str">
        <f>IFERROR(__xludf.DUMMYFUNCTION("""COMPUTED_VALUE"""),"WOS:000394973600008")</f>
        <v>WOS:000394973600008</v>
      </c>
      <c r="F573" s="24" t="str">
        <f>IFERROR(__xludf.DUMMYFUNCTION("""COMPUTED_VALUE"""),"[""ELIGIBLE""]")</f>
        <v>["ELIGIBLE"]</v>
      </c>
    </row>
    <row r="574">
      <c r="A574" s="24" t="str">
        <f>IFERROR(__xludf.DUMMYFUNCTION("""COMPUTED_VALUE"""),"Effect of Anthropogenic Disturbance on Floristic Homogenization in the Floodplain Landscape: Insights from the Taxonomic and Functional Perspectives")</f>
        <v>Effect of Anthropogenic Disturbance on Floristic Homogenization in the Floodplain Landscape: Insights from the Taxonomic and Functional Perspectives</v>
      </c>
      <c r="B574" s="24" t="str">
        <f>IFERROR(__xludf.DUMMYFUNCTION("""COMPUTED_VALUE"""),"Anthropogenic disturbances pose significant threats to biodiversity. However, limited information has been acquired regarding the degree of impact human disturbance has on the beta-diversity of plant assemblages, especially in threatened ecosystems (e.g.,"&amp;" floodplains). In the present study, the effects of anthropogenic disturbance on plant communities of floodplain areas (the Miya River, Mie Prefecture, Japan) were analyzed. The taxonomic and functional beta-diversity among different degradation levels we"&amp;"re compared, and the differences were assessed by tests for homogeneity in multivariate dispersions. In addition, the effects of non-native species and environmental factors on beta-diversity were analyzed. As revealed from the results, anthropogenic dist"&amp;"urbance led to taxonomic homogenization at a regional scale. The increase in non-native invasions tended to improve homogenization, whereas at a low degradation level, the occurrence of non-natives species was usually related to taxonomic differentiation."&amp;" Furthermore, though the increase in non-natives and environmental parameters significantly affected the beta-diversity of the floodplain area, environmental factors may be of more crucial importance than biotic interactions in shaping species assemblages"&amp;" in this study. The previously mentioned result is likely to be dependent on the research scale and the extent to which floodplains are disturbed. Given the significant importance of floodplains, the significance of looking at floodplains in the different"&amp;" levels of degradation was highlighted, and both invasion of non-native species and environmental factors should be considered to gain insights into the response of ecosystems to anthropogenic disturbance. The findings of this study suggested that conserv"&amp;"ation programs in floodplain areas should place more emphasis on the preservation of natural processes and forest resources.")</f>
        <v>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v>
      </c>
      <c r="C574" s="24" t="str">
        <f>IFERROR(__xludf.DUMMYFUNCTION("""COMPUTED_VALUE"""),"10.3390/f11101036")</f>
        <v>10.3390/f11101036</v>
      </c>
      <c r="D574" s="24" t="str">
        <f>IFERROR(__xludf.DUMMYFUNCTION("""COMPUTED_VALUE"""),"Keck et al")</f>
        <v>Keck et al</v>
      </c>
      <c r="E574" s="24" t="str">
        <f>IFERROR(__xludf.DUMMYFUNCTION("""COMPUTED_VALUE"""),"WOS:000586156300001")</f>
        <v>WOS:000586156300001</v>
      </c>
      <c r="F574" s="24" t="str">
        <f>IFERROR(__xludf.DUMMYFUNCTION("""COMPUTED_VALUE"""),"[""ELIGIBLE""]")</f>
        <v>["ELIGIBLE"]</v>
      </c>
    </row>
    <row r="575">
      <c r="A575" s="24" t="str">
        <f>IFERROR(__xludf.DUMMYFUNCTION("""COMPUTED_VALUE"""),"Multiple benthic indicators suggest low sewage impact from an ocean outfall in a high-energy sandy shore (South Brazil)")</f>
        <v>Multiple benthic indicators suggest low sewage impact from an ocean outfall in a high-energy sandy shore (South Brazil)</v>
      </c>
      <c r="B575" s="24" t="str">
        <f>IFERROR(__xludf.DUMMYFUNCTION("""COMPUTED_VALUE"""),"Increasing urbanization in coastal areas has not paralleled with adequate sewage treatment, and the overload of organic matter compromise important economic, ecological and social values supported by these ecosystems. Ocean outfalls may be an effective al"&amp;"ternative to the destination of wastewater in coastal regions, provided they are properly installed and monitored. In this study, we investigated the effects of a small outfall on a high-energy sandy shore, southern Brazil, using sedimentary steroids, bio"&amp;"chemical composition and nutritional quality of organic matter and free-living nematode biodiversity as indicators. The results showed that physical disturbances prevail near the outfall, affecting the densities of the fauna and phytopigments. The higher "&amp;"concentrations of sedimentary sterols detected at 1000 m NE from the outfall indicated the influence of the local hydrodynamic conditions in the transport and dispersion process of the sewage. In this area, the sewage contamination changed the benthic tro"&amp;"phic state from oligotrophic to eutrophic, and lead to a strong decrease in the trophic diversity and increase of opportunistic nematode genera. Overall the results showed a relatively low and limited spatial impact from the outfall. The integrated use of"&amp;" fecal sterols, benthic trophic state and nematodes biodiversity were highly effective in detecting sewage contamination of low input of wastewater in a highenergy sandy shore.")</f>
        <v>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v>
      </c>
      <c r="C575" s="24" t="str">
        <f>IFERROR(__xludf.DUMMYFUNCTION("""COMPUTED_VALUE"""),"10.1016/j.ecolind.2020.106207")</f>
        <v>10.1016/j.ecolind.2020.106207</v>
      </c>
      <c r="D575" s="24" t="str">
        <f>IFERROR(__xludf.DUMMYFUNCTION("""COMPUTED_VALUE"""),"Keck et al")</f>
        <v>Keck et al</v>
      </c>
      <c r="E575" s="24" t="str">
        <f>IFERROR(__xludf.DUMMYFUNCTION("""COMPUTED_VALUE"""),"WOS:000523335900067")</f>
        <v>WOS:000523335900067</v>
      </c>
      <c r="F575" s="24" t="str">
        <f>IFERROR(__xludf.DUMMYFUNCTION("""COMPUTED_VALUE"""),"[""ELIGIBLE""]")</f>
        <v>["ELIGIBLE"]</v>
      </c>
    </row>
    <row r="576">
      <c r="A576" s="24" t="str">
        <f>IFERROR(__xludf.DUMMYFUNCTION("""COMPUTED_VALUE"""),"Effects of shoreline development on the nearshore environment in large deep oligotrophic lakes")</f>
        <v>Effects of shoreline development on the nearshore environment in large deep oligotrophic lakes</v>
      </c>
      <c r="B576" s="24" t="str">
        <f>IFERROR(__xludf.DUMMYFUNCTION("""COMPUTED_VALUE"""),"1. In large deep oligotrophic lakes, the shallow nearshore waters may provide the most important habitat for animals to feed and breed, and it is this area of the lake where humans are most likely to have initial impacts as the shoreline is developed. Nut"&amp;"rients in fertilizers, sediments and sewage effluents are likely to be rapidly intercepted by nearshore algae at the lake edge, having heterogeneous effects nearshore before offshore effects are noted. 2. Here we examined the spatially explicit effects of"&amp;" residential development on nearshore periphyton communities in three large deep oligotrophic lakes that have all experienced modest residential development in the Pacific Northwest of the United States. We demonstrate that substantial nearshore changes i"&amp;"n the basal food web are detectable even with low levels of shoreline development. These changes can potentially affect whole-lake food web dynamics. 3. For our primary study site (Lake Crescent, Washington, USA), we found that algal biomass and accumulat"&amp;"ion of detritus were higher at developed sites. In addition, both macroinvertebrate and periphyton communities exhibited a shift in composition with more detritivores and filamentous green algae at developed sites. These differences were more pronounced d"&amp;"uring the spring than at other times of year. 4. A complementary investigation of field patterns in Priest Lake and Lake Pend Oreille (Idaho, USA) suggested that, although spatial and temporal patterns were idiosyncratic, indicators of productivity and th"&amp;"e presence of filamentous green algae were generally higher at developed sites across lakes. 5. Stable isotope signatures and water column nutrients were not useful in distinguishing developed and undeveloped sites, increasing the potential usefulness of "&amp;"periphyton monitoring during early stages of lake development. 6. A laboratory investigation suggested that common macroinvertebrate grazers assimilated a much greater proportion of diatoms than the filamentous green algae that are associated with fertili"&amp;"zation at developed sites. 7. These findings have at least two clear implications: (i) periphyton may be used to detect human impacts before disturbance is evident in offshore monitoring programmes and (ii) nearshore impacts in response to modest resident"&amp;"ial development have the potential to disrupt lake food web dynamics.")</f>
        <v>1. In large deep oligotrophic lakes, the shallow nearshore waters may provide the most important habitat for animals to feed and breed, and it is this area of the lake where humans are most likely to have initial impacts as the shoreline is developed. Nutrients in fertilizers, sediments and sewage effluents are likely to be rapidly intercepted by nearshore algae at the lake edge, having heterogeneous effects nearshore before offshore effects are noted. 2. Here we examined the spatially explicit effects of residential development on nearshore periphyton communities in three large deep oligotrophic lakes that have all experienced modest residential development in the Pacific Northwest of the United States. We demonstrate that substantial nearshore changes in the basal food web are detectable even with low levels of shoreline development. These changes can potentially affect whole-lake food web dynamics. 3. For our primary study site (Lake Crescent, Washington, USA), we found that algal biomass and accumulation of detritus were higher at developed sites. In addition, both macroinvertebrate and periphyton communities exhibited a shift in composition with more detritivores and filamentous green algae at developed sites. These differences were more pronounced during the spring than at other times of year. 4. A complementary investigation of field patterns in Priest Lake and Lake Pend Oreille (Idaho, USA) suggested that, although spatial and temporal patterns were idiosyncratic, indicators of productivity and the presence of filamentous green algae were generally higher at developed sites across lakes. 5. Stable isotope signatures and water column nutrients were not useful in distinguishing developed and undeveloped sites, increasing the potential usefulness of periphyton monitoring during early stages of lake development. 6. A laboratory investigation suggested that common macroinvertebrate grazers assimilated a much greater proportion of diatoms than the filamentous green algae that are associated with fertilization at developed sites. 7. These findings have at least two clear implications: (i) periphyton may be used to detect human impacts before disturbance is evident in offshore monitoring programmes and (ii) nearshore impacts in response to modest residential development have the potential to disrupt lake food web dynamics.</v>
      </c>
      <c r="C576" s="24" t="str">
        <f>IFERROR(__xludf.DUMMYFUNCTION("""COMPUTED_VALUE"""),"10.1111/j.1365-2427.2008.01990.x")</f>
        <v>10.1111/j.1365-2427.2008.01990.x</v>
      </c>
      <c r="D576" s="24" t="str">
        <f>IFERROR(__xludf.DUMMYFUNCTION("""COMPUTED_VALUE"""),"Keck et al")</f>
        <v>Keck et al</v>
      </c>
      <c r="E576" s="24" t="str">
        <f>IFERROR(__xludf.DUMMYFUNCTION("""COMPUTED_VALUE"""),"WOS:000257712600016")</f>
        <v>WOS:000257712600016</v>
      </c>
      <c r="F576" s="24" t="str">
        <f>IFERROR(__xludf.DUMMYFUNCTION("""COMPUTED_VALUE"""),"[""ELIGIBLE""]")</f>
        <v>["ELIGIBLE"]</v>
      </c>
    </row>
    <row r="577">
      <c r="A577" s="24" t="str">
        <f>IFERROR(__xludf.DUMMYFUNCTION("""COMPUTED_VALUE"""),"Salt Marsh-Upland Ecotones in Central California: Vulnerability to Invasions and Anthropogenic Stressors")</f>
        <v>Salt Marsh-Upland Ecotones in Central California: Vulnerability to Invasions and Anthropogenic Stressors</v>
      </c>
      <c r="B577" s="24" t="str">
        <f>IFERROR(__xludf.DUMMYFUNCTION("""COMPUTED_VALUE"""),"Ecotones, zones of abrupt biological transition typically reflecting strong physical gradients, may be particularly sensitive to changes in environmental conditions. Our characterization of the ecotone between salt marshes and uplands in the Elkhorn Sloug"&amp;"h watershed in central California revealed that extent of appropriate habitat for native high marsh species endemic to this zone is extremely limited. The ecotone is highly invaded, with non-native upland weeds accounting for a significant proportion of c"&amp;"over. We investigated responses to two anthropogenic landscape management strategies, restriction of tidal exchange through water control structures and cattle grazing. Moderate tidal restriction resulting in muted tidal exchange dramatically decreased ec"&amp;"otone width, native marsh plant richness, and cover by native ecotone specialists. Even stronger tidal restriction resulting in very low tidal exchange led to a seaward shift of the ecotone into the area formerly occupied by mid-marsh vegetation; upland p"&amp;"lants now occupy the former ecotone zone so net loss of wetland habitat has occurred. Cattle grazing led to a very substantial increase in bare ground, a significant decrease in native marsh plant richness and a significant increase in non-native plant co"&amp;"ver. Thus, both of these management regimes can have significant negative impacts on rare salt marsh ecotone extent and biodiversity.")</f>
        <v>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v>
      </c>
      <c r="C577" s="24" t="str">
        <f>IFERROR(__xludf.DUMMYFUNCTION("""COMPUTED_VALUE"""),"10.1007/s13157-011-0153-z")</f>
        <v>10.1007/s13157-011-0153-z</v>
      </c>
      <c r="D577" s="24" t="str">
        <f>IFERROR(__xludf.DUMMYFUNCTION("""COMPUTED_VALUE"""),"Keck et al")</f>
        <v>Keck et al</v>
      </c>
      <c r="E577" s="24" t="str">
        <f>IFERROR(__xludf.DUMMYFUNCTION("""COMPUTED_VALUE"""),"WOS:000289288700018")</f>
        <v>WOS:000289288700018</v>
      </c>
      <c r="F577" s="24" t="str">
        <f>IFERROR(__xludf.DUMMYFUNCTION("""COMPUTED_VALUE"""),"[""ELIGIBLE""]")</f>
        <v>["ELIGIBLE"]</v>
      </c>
    </row>
    <row r="578">
      <c r="A578" s="24" t="str">
        <f>IFERROR(__xludf.DUMMYFUNCTION("""COMPUTED_VALUE"""),"Deepwater ocean outfalls: A sustainable solution for sewage discharge for mega-coastal cities (Sydney, Australia): Influence of deepwater ocean outfalls on shelf benthic infauna")</f>
        <v>Deepwater ocean outfalls: A sustainable solution for sewage discharge for mega-coastal cities (Sydney, Australia): Influence of deepwater ocean outfalls on shelf benthic infauna</v>
      </c>
      <c r="B578" s="24" t="str">
        <f>IFERROR(__xludf.DUMMYFUNCTION("""COMPUTED_VALUE"""),"In the early 1990s, a cliff-face disposal-system discharging approximately 940 ML/day, or 80% of sewage generated by the City of Sydney (Australia) (population 3.3 million) was replaced by three deepwater ocean outfalls. An 18-year benthic infauna monitor"&amp;"ing study was undertaken to address earlier concerns of long-term accumulation from sewage discharges and potential adverse effects on the marine environment. Assessment of outfall community structure indicated organic input from discharges has not result"&amp;"ed in sediment anoxia. The current post-commissioning investigation detected a gradual change in community structure from north to south in the study area, which was also displayed in taxonomic turnover south of the Malabar outfall. Temporal fluctuation i"&amp;"n community structure detected at the three outfall and three reference locations in the current study was also noted in the pre-commissioning study at these locations. Evidence provided by this study indicated the Sydney deepwater ocean outfalls do not c"&amp;"ause significant ecological impact.")</f>
        <v>In the early 1990s, a cliff-face disposal-system discharging approximately 940 ML/day, or 80% of sewage generated by the City of Sydney (Australia) (population 3.3 million) was replaced by three deepwater ocean outfalls. An 18-year benthic infauna monitoring study was undertaken to address earlier concerns of long-term accumulation from sewage discharges and potential adverse effects on the marine environment. Assessment of outfall community structure indicated organic input from discharges has not resulted in sediment anoxia. The current post-commissioning investigation detected a gradual change in community structure from north to south in the study area, which was also displayed in taxonomic turnover south of the Malabar outfall. Temporal fluctuation in community structure detected at the three outfall and three reference locations in the current study was also noted in the pre-commissioning study at these locations. Evidence provided by this study indicated the Sydney deepwater ocean outfalls do not cause significant ecological impact.</v>
      </c>
      <c r="C578" s="24" t="str">
        <f>IFERROR(__xludf.DUMMYFUNCTION("""COMPUTED_VALUE"""),"10.1016/j.marpolbul.2019.06.016")</f>
        <v>10.1016/j.marpolbul.2019.06.016</v>
      </c>
      <c r="D578" s="24" t="str">
        <f>IFERROR(__xludf.DUMMYFUNCTION("""COMPUTED_VALUE"""),"Keck et al")</f>
        <v>Keck et al</v>
      </c>
      <c r="E578" s="24" t="str">
        <f>IFERROR(__xludf.DUMMYFUNCTION("""COMPUTED_VALUE"""),"WOS:000482493000081")</f>
        <v>WOS:000482493000081</v>
      </c>
      <c r="F578" s="24" t="str">
        <f>IFERROR(__xludf.DUMMYFUNCTION("""COMPUTED_VALUE"""),"[""ELIGIBLE""]")</f>
        <v>["ELIGIBLE"]</v>
      </c>
    </row>
    <row r="579">
      <c r="A579" s="24" t="str">
        <f>IFERROR(__xludf.DUMMYFUNCTION("""COMPUTED_VALUE"""),"Exploring changes in bacterial communities to assess the influence of fish farming on marine sediments")</f>
        <v>Exploring changes in bacterial communities to assess the influence of fish farming on marine sediments</v>
      </c>
      <c r="B579" s="24" t="str">
        <f>IFERROR(__xludf.DUMMYFUNCTION("""COMPUTED_VALUE"""),"Changes in bacterial assemblages along an environmental gradient determined by the distance to aquaculture installations were analysed, using denaturing gradient gel electrophoresis to assess the influence of fish farming on marine sediments. Our findings"&amp;" show that changes in the structure of the bacterial community are a useful indicator for determining the environmental impact of aquaculture farms, due to the rapid response to changes in nutrient load, and could be an alternative strategy for monitoring"&amp;" programmes. Delta and Epsilonproteobacteria linked to the sulphur cycle were detected in the sediments beneath the cages. Since these groups were not found in the sediments at control stations, they serve as indicators for assessing the impact of the org"&amp;"anic load from fish farming on marine sediments.")</f>
        <v>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v>
      </c>
      <c r="C579" s="24" t="str">
        <f>IFERROR(__xludf.DUMMYFUNCTION("""COMPUTED_VALUE"""),"10.1016/j.aquaculture.2019.03.051")</f>
        <v>10.1016/j.aquaculture.2019.03.051</v>
      </c>
      <c r="D579" s="24" t="str">
        <f>IFERROR(__xludf.DUMMYFUNCTION("""COMPUTED_VALUE"""),"Keck et al")</f>
        <v>Keck et al</v>
      </c>
      <c r="E579" s="24" t="str">
        <f>IFERROR(__xludf.DUMMYFUNCTION("""COMPUTED_VALUE"""),"WOS:000471111300055")</f>
        <v>WOS:000471111300055</v>
      </c>
      <c r="F579" s="24" t="str">
        <f>IFERROR(__xludf.DUMMYFUNCTION("""COMPUTED_VALUE"""),"[""ELIGIBLE""]")</f>
        <v>["ELIGIBLE"]</v>
      </c>
    </row>
    <row r="580">
      <c r="A580" s="24" t="str">
        <f>IFERROR(__xludf.DUMMYFUNCTION("""COMPUTED_VALUE"""),"Macrobenthic assemblage characteristics under stressed waters and ecological health assessment using AMBI and M-AMBI: a case study at the Xin'an River Estuary, Yantai, China")</f>
        <v>Macrobenthic assemblage characteristics under stressed waters and ecological health assessment using AMBI and M-AMBI: a case study at the Xin'an River Estuary, Yantai, China</v>
      </c>
      <c r="B580" s="24" t="str">
        <f>IFERROR(__xludf.DUMMYFUNCTION("""COMPUTED_VALUE"""),"To understand the ecological status and macrobenthic assemblages of the Xin'an River Estuary and its adjacent waters, a survey was conducted for environmental variables and macrobenthic assemblage structure in September 2012 (Yantai, China). Several metho"&amp;"ds are adopted in the data analysis process: dominance index, diversity indices, cluster analysis, non-metric multi-dimentional scaling ordination, AMBI and M-AMBI. The dissolved inorganic nitrogen and soluble reactive phosphorus of six out of eight sampl"&amp;"ing stations were in a good condition with low concentration. The average value of DO ((2.89 +/- 0.60) mg/L) and pH (4.28 +/- 0.43) indicated that the research area faced with the risk of ocean acidification and underlying hypoxia. A total of 62 species w"&amp;"ere identified, of which the dominant species group was polychaetes. The average abundance and biomass was 577.50 ind./m(2) and 6.01 g/m(2), respectively. Compared with historical data, the macrobenthic assemblage structure at waters around the Xin'an Riv"&amp;"er Estuary was in a relatively stable status from 2009 to 2012. Contaminant indicator species Capitella capitata appeared at Sta. Y1, indicating the animals here suffered from hypoxia and acidification. AMBI and M-AMBI results showed that most sampling st"&amp;"ations were slightly disturbed, which were coincided with the abiotic measurement on evaluating the health conditions. Macrobenthic communities suffered pressures from ocean acidification and hypoxia at the research waters, particularly those at Stas Y1, "&amp;"Y2 and Y5, which displays negative results in benthic health evaluation.")</f>
        <v>To understand the ecological status and macrobenthic assemblages of the Xin'an River Estuary and its adjacent waters, a survey was conducted for environmental variables and macrobenthic assemblage structure in September 2012 (Yantai, China). Several methods are adopted in the data analysis process: dominance index, diversity indices, cluster analysis, non-metric multi-dimentional scaling ordination, AMBI and M-AMBI. The dissolved inorganic nitrogen and soluble reactive phosphorus of six out of eight sampling stations were in a good condition with low concentration. The average value of DO ((2.89 +/- 0.60) mg/L) and pH (4.28 +/- 0.43) indicated that the research area faced with the risk of ocean acidification and underlying hypoxia. A total of 62 species were identified, of which the dominant species group was polychaetes. The average abundance and biomass was 577.50 ind./m(2) and 6.01 g/m(2), respectively. Compared with historical data, the macrobenthic assemblage structure at waters around the Xin'an River Estuary was in a relatively stable status from 2009 to 2012. Contaminant indicator species Capitella capitata appeared at Sta. Y1, indicating the animals here suffered from hypoxia and acidification. AMBI and M-AMBI results showed that most sampling stations were slightly disturbed, which were coincided with the abiotic measurement on evaluating the health conditions. Macrobenthic communities suffered pressures from ocean acidification and hypoxia at the research waters, particularly those at Stas Y1, Y2 and Y5, which displays negative results in benthic health evaluation.</v>
      </c>
      <c r="C580" s="24" t="str">
        <f>IFERROR(__xludf.DUMMYFUNCTION("""COMPUTED_VALUE"""),"10.1007/s13131-018-1180-x")</f>
        <v>10.1007/s13131-018-1180-x</v>
      </c>
      <c r="D580" s="24" t="str">
        <f>IFERROR(__xludf.DUMMYFUNCTION("""COMPUTED_VALUE"""),"Keck et al")</f>
        <v>Keck et al</v>
      </c>
      <c r="E580" s="24" t="str">
        <f>IFERROR(__xludf.DUMMYFUNCTION("""COMPUTED_VALUE"""),"WOS:000431898900010")</f>
        <v>WOS:000431898900010</v>
      </c>
      <c r="F580" s="24" t="str">
        <f>IFERROR(__xludf.DUMMYFUNCTION("""COMPUTED_VALUE"""),"[""ELIGIBLE""]")</f>
        <v>["ELIGIBLE"]</v>
      </c>
    </row>
    <row r="581">
      <c r="A581" s="24" t="str">
        <f>IFERROR(__xludf.DUMMYFUNCTION("""COMPUTED_VALUE"""),"Flora and lepidoptera fauna adversely affected by invasive Lupinus polyphyllus along road verges")</f>
        <v>Flora and lepidoptera fauna adversely affected by invasive Lupinus polyphyllus along road verges</v>
      </c>
      <c r="B581" s="24" t="str">
        <f>IFERROR(__xludf.DUMMYFUNCTION("""COMPUTED_VALUE"""),"An increasing number of invasive species are changing ecosystems around the world. Road verges have commonly become the first footholds of non-native species in the new environments. Regularly mown road verges also offer habitats for meadow flora and faun"&amp;"a, which in Europe have suffered from the radical decline of semi-natural biotopes due to the agricultural modernization. We studied impacts of an invasive plant Lupinus polyphyllus on the plant and Lepidoptera species composition along road verges. The p"&amp;"lant species composition was studied on 15 sites (with 1 m(2) quadrats) and butterflies and diurnal moths along 15 transects (with weekly censuses) in SE Finland, each site and transect representing equally lupine invaded verge and an adjacent non-lupine "&amp;"verge. The species richness and diversity of flora and the cover and species richness of low growing (&lt; 20 cm) species, in particular, was lower in lupine verges compared to non-lupine verges. Also, the abundance of butterflies was lower in lupine verges."&amp;" As the lupine cover approached 100%, fewer butterflies were observed in lupine transects compared to the adjacent non-lupine transects and a higher proportion of individuals were flying. our results suggest that the changes in plant species assemblages a"&amp;"nd lower plant species richness in lupine invaded areas had bottom-up effects on higher trophic levels. Further studies on the control of lupine are urgently needed, but meanwhile we suggest regular mowing before the lupines have shed their seeds, togethe"&amp;"r with the removal of the cuttings, to be the best management option. (c) 2006 Elsevier Ltd. All rights reserved.")</f>
        <v>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v>
      </c>
      <c r="C581" s="24" t="str">
        <f>IFERROR(__xludf.DUMMYFUNCTION("""COMPUTED_VALUE"""),"10.1016/j.biocon.2006.06.015")</f>
        <v>10.1016/j.biocon.2006.06.015</v>
      </c>
      <c r="D581" s="24" t="str">
        <f>IFERROR(__xludf.DUMMYFUNCTION("""COMPUTED_VALUE"""),"Keck et al")</f>
        <v>Keck et al</v>
      </c>
      <c r="E581" s="24" t="str">
        <f>IFERROR(__xludf.DUMMYFUNCTION("""COMPUTED_VALUE"""),"WOS:000242797500011")</f>
        <v>WOS:000242797500011</v>
      </c>
      <c r="F581" s="24" t="str">
        <f>IFERROR(__xludf.DUMMYFUNCTION("""COMPUTED_VALUE"""),"[""ELIGIBLE""]")</f>
        <v>["ELIGIBLE"]</v>
      </c>
    </row>
    <row r="582">
      <c r="A582" s="24" t="str">
        <f>IFERROR(__xludf.DUMMYFUNCTION("""COMPUTED_VALUE"""),"Importance of soil legacy effects and successful mutualistic interactions during Australian acacia invasions in nutrient-poor environments")</f>
        <v>Importance of soil legacy effects and successful mutualistic interactions during Australian acacia invasions in nutrient-poor environments</v>
      </c>
      <c r="B582" s="24" t="str">
        <f>IFERROR(__xludf.DUMMYFUNCTION("""COMPUTED_VALUE"""),"1. Non-native plants often alter environments they invade, favouring their own performance through positive feedbacks. Plant-soil interactions represent one such mechanism, but their complexity (e.g. invader-induced changes in soil nutrients, microbial co"&amp;"mmunities, etc.) makes inferences of the precise mechanisms that benefit invaders difficult. Here we aimed to determine: (1) whether invasion by Australian acacias (genus Acacia Mill.) changes nitrogen-fixing soil rhizobial community diversity and structu"&amp;"re, and (2) the importance of available rhizobia and overall invader-induced soil changes as significant facilitators of acacia performance. 2. We sampled soils from various invaded and nearby uninvaded areas in South Africa's Core Cape Subregion and, usi"&amp;"ng next generation sequencing, compared rhizobial communities between invaded and univaded soils. We then determined the relative importance of soil status (invaded vs. uninvaded), in conjunction with rhizobial addition, to the performance of invasive aca"&amp;"cias under common garden conditions. 3. Next generation sequencing data revealed that invaded soils generally harboured lower rhizobial diversity and were compositionally more homogenous compared to uninvaded soils. Bradyrhizobium strains, the most common"&amp;" known rhizobia associated with acacias, were more abundant in invaded than uninvaded sites. Our greenhouse experiment found significantly reduced growth performances of acacias in uninvaded relative to invaded soils for most species by site comparisons, "&amp;"and almost no influence of additional rhizobial inoculum. However, the overall relationship between nodulation and growth kinetics was much steeper for plants grown in uninvaded compared to invaded soils. 4. Despite invasive acacias homogenizing nitrogen-"&amp;"fixing rhizobial community composition and reducing diversity, it appears that mutualist availability poses no significant barrier to acacia establishment. Although acacia-induced changes to soil conditions enhance plant performance, successful nodulation"&amp;" seems important to early growth performance when encountering novel soil conditions. 5. Synthesis. We provide evidence that invasions by Australian acacias affect the diversity and structure of soil rhizobial communities. Although overall soil changes be"&amp;"nefit their performance independent of rhizobia addition, forming successful mutualistic interactions is critical during the establishment phase under novel environmental conditions. Taken together, our results indicate that interactions between soil abio"&amp;"tic and biotic conditions work in concert to enhance invader performance through positive feedbacks.")</f>
        <v>1. Non-native plants often alter environments they invade, favouring their own performance through positive feedbacks. Plant-soil interactions represent one such mechanism, but their complexity (e.g. invader-induced changes in soil nutrients, microbial communities, etc.) makes inferences of the precise mechanisms that benefit invaders difficult. Here we aimed to determine: (1) whether invasion by Australian acacias (genus Acacia Mill.) changes nitrogen-fixing soil rhizobial community diversity and structure, and (2) the importance of available rhizobia and overall invader-induced soil changes as significant facilitators of acacia performance. 2. We sampled soils from various invaded and nearby uninvaded areas in South Africa's Core Cape Subregion and, using next generation sequencing, compared rhizobial communities between invaded and univaded soils. We then determined the relative importance of soil status (invaded vs. uninvaded), in conjunction with rhizobial addition, to the performance of invasive acacias under common garden conditions. 3. Next generation sequencing data revealed that invaded soils generally harboured lower rhizobial diversity and were compositionally more homogenous compared to uninvaded soils. Bradyrhizobium strains, the most common known rhizobia associated with acacias, were more abundant in invaded than uninvaded sites. Our greenhouse experiment found significantly reduced growth performances of acacias in uninvaded relative to invaded soils for most species by site comparisons, and almost no influence of additional rhizobial inoculum. However, the overall relationship between nodulation and growth kinetics was much steeper for plants grown in uninvaded compared to invaded soils. 4. Despite invasive acacias homogenizing nitrogen-fixing rhizobial community composition and reducing diversity, it appears that mutualist availability poses no significant barrier to acacia establishment. Although acacia-induced changes to soil conditions enhance plant performance, successful nodulation seems important to early growth performance when encountering novel soil conditions. 5. Synthesis. We provide evidence that invasions by Australian acacias affect the diversity and structure of soil rhizobial communities. Although overall soil changes benefit their performance independent of rhizobia addition, forming successful mutualistic interactions is critical during the establishment phase under novel environmental conditions. Taken together, our results indicate that interactions between soil abiotic and biotic conditions work in concert to enhance invader performance through positive feedbacks.</v>
      </c>
      <c r="C582" s="24" t="str">
        <f>IFERROR(__xludf.DUMMYFUNCTION("""COMPUTED_VALUE"""),"10.1111/1365-2745.12965")</f>
        <v>10.1111/1365-2745.12965</v>
      </c>
      <c r="D582" s="24" t="str">
        <f>IFERROR(__xludf.DUMMYFUNCTION("""COMPUTED_VALUE"""),"Keck et al")</f>
        <v>Keck et al</v>
      </c>
      <c r="E582" s="24" t="str">
        <f>IFERROR(__xludf.DUMMYFUNCTION("""COMPUTED_VALUE"""),"WOS:000452178600024")</f>
        <v>WOS:000452178600024</v>
      </c>
      <c r="F582" s="24" t="str">
        <f>IFERROR(__xludf.DUMMYFUNCTION("""COMPUTED_VALUE"""),"[""ELIGIBLE""]")</f>
        <v>["ELIGIBLE"]</v>
      </c>
    </row>
    <row r="583">
      <c r="A583" s="24" t="str">
        <f>IFERROR(__xludf.DUMMYFUNCTION("""COMPUTED_VALUE"""),"Longitudinal patterns of microplastic concentration and bacterial assemblages in surface and benthic habitats of an urban river")</f>
        <v>Longitudinal patterns of microplastic concentration and bacterial assemblages in surface and benthic habitats of an urban river</v>
      </c>
      <c r="B583" s="24" t="str">
        <f>IFERROR(__xludf.DUMMYFUNCTION("""COMPUTED_VALUE"""),"Rivers are a major source of microplastic particles (&lt;5 mm) to oceans, but empirical measurements of microplastic movement in freshwater ecosystems are rare. The hard, buoyant surface of microplastic is a novel habitat that selects for unique microbial as"&amp;"semblages in rivers, especially downstream of wastewater treatment plant (WWTP) point sources. We measured microplastic in surface water and benthic habitats 50 m upstream and 50, 305, 1115, and 1900 m downstream of the effluent outfall from a large WWTP "&amp;"in an urban river. We used high-throughput sequencing to measure bacterial assemblages on microplastic from surface and benthic habitats and compared them to bacterial assemblages from seston, water, and sediment. Concentrations of total microplastic and "&amp;"microplastic types (fragment, pellet) in surface water did not change with distance downstream of the WWTP. Thus, microplastic transport showed no net deposition or resuspension. Microplastic concentrations were much higher in the benthic zone than surfac"&amp;"e water. Benthic deposition appears to be a plastic sink over longer time scales, but subsequent studies are needed to resolve microplastic transport dynamics by particle type, size, and habitat. Composition of microplastic-attached bacterial assemblages "&amp;"differed from that of assemblages in water, seston, and sediment and supports domestic wastewater as a point source of microplastic (e.g., gastrointestinal taxa). Shifts in microplastic assemblages with distance from the WWTP suggest succession toward a s"&amp;"tream-like' bacterial assemblage. Future studies are required to quantify the metabolic capacity of microplastic-associated bacteria. Estimates of transport distance, microplastic storage, and microbial interactions are critical to include lotic ecosystem"&amp;"s in accountings of global plastic budgets.")</f>
        <v>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v>
      </c>
      <c r="C583" s="24" t="str">
        <f>IFERROR(__xludf.DUMMYFUNCTION("""COMPUTED_VALUE"""),"10.1086/693012")</f>
        <v>10.1086/693012</v>
      </c>
      <c r="D583" s="24" t="str">
        <f>IFERROR(__xludf.DUMMYFUNCTION("""COMPUTED_VALUE"""),"Keck et al")</f>
        <v>Keck et al</v>
      </c>
      <c r="E583" s="24" t="str">
        <f>IFERROR(__xludf.DUMMYFUNCTION("""COMPUTED_VALUE"""),"WOS:000407373600004")</f>
        <v>WOS:000407373600004</v>
      </c>
      <c r="F583" s="24" t="str">
        <f>IFERROR(__xludf.DUMMYFUNCTION("""COMPUTED_VALUE"""),"[""ELIGIBLE""]")</f>
        <v>["ELIGIBLE"]</v>
      </c>
    </row>
    <row r="584">
      <c r="A584" s="24" t="str">
        <f>IFERROR(__xludf.DUMMYFUNCTION("""COMPUTED_VALUE"""),"New invasive predator reduces the abundance of native prey in a cold-temperate marine fouling community")</f>
        <v>New invasive predator reduces the abundance of native prey in a cold-temperate marine fouling community</v>
      </c>
      <c r="B584" s="24" t="str">
        <f>IFERROR(__xludf.DUMMYFUNCTION("""COMPUTED_VALUE"""),"Invasive species threaten the conservation of marine environments, and urgent management strategies are needed to prevent their introduction, establishment and spread. Specifically, marine invasive predators destabilize ecological interactions and alter c"&amp;"ommunity structure and function. However, most of the evidence showing the effect of these predators is restricted to a few species and regions, while for others the information remains scarce. This study experimentally evaluated the ecological effects of"&amp;" the sea slug Pleurobranchaea maculata, a recently introduced invasive predator, on the fouling communities of a cold-temperate port in the South-western Atlantic. The results show that increasing predation pressure reduces significantly the abundance of "&amp;"sea anemones, which are among the preferred prey items. This study reveals new evidence to help better understand the effects of P. maculata on the biological communities of a recently invaded region. Furthermore, it provides the first experimental eviden"&amp;"ce supporting the hypothesis that marine invasive predators can induce a significant decrease in the abundance of native species in benthic communities of cold-temperate marine environments in the South-western Atlantic.")</f>
        <v>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v>
      </c>
      <c r="C584" s="24" t="str">
        <f>IFERROR(__xludf.DUMMYFUNCTION("""COMPUTED_VALUE"""),"10.1002/aqc.3681")</f>
        <v>10.1002/aqc.3681</v>
      </c>
      <c r="D584" s="24" t="str">
        <f>IFERROR(__xludf.DUMMYFUNCTION("""COMPUTED_VALUE"""),"Keck et al")</f>
        <v>Keck et al</v>
      </c>
      <c r="E584" s="24" t="str">
        <f>IFERROR(__xludf.DUMMYFUNCTION("""COMPUTED_VALUE"""),"WOS:000686447700001")</f>
        <v>WOS:000686447700001</v>
      </c>
      <c r="F584" s="24" t="str">
        <f>IFERROR(__xludf.DUMMYFUNCTION("""COMPUTED_VALUE"""),"[""ELIGIBLE""]")</f>
        <v>["ELIGIBLE"]</v>
      </c>
    </row>
    <row r="585">
      <c r="A585" s="24" t="str">
        <f>IFERROR(__xludf.DUMMYFUNCTION("""COMPUTED_VALUE"""),"Spread of the non-native redclaw crayfish Cherax quadricarinatus (von Martens, 1868) into natural waters of the Pilbara region of Western Australia, with observations on potential adverse ecological effects")</f>
        <v>Spread of the non-native redclaw crayfish Cherax quadricarinatus (von Martens, 1868) into natural waters of the Pilbara region of Western Australia, with observations on potential adverse ecological effects</v>
      </c>
      <c r="B585" s="24" t="str">
        <f>IFERROR(__xludf.DUMMYFUNCTION("""COMPUTED_VALUE"""),"The redclaw crayfish, Cherax quadricarinatus (von Martens, 1868), inhabits freshwater creeks and water bodies, and is native to the tropics of Queensland and the Northern Territory in Australia, as well as south-eastern Papua New Guinea. It has been trans"&amp;"located to other parts of Australia and around the world, often becoming established in the wild and potentially having negative impacts in invaded ecosystems. In north-western Australia, which lacks native crayfish, this species is known from the Ord Riv"&amp;"er system in the Kimberley Region and from a water supply reservoir, Harding Dam, in the Pilbara region. Following a report of their presence in another area of the Pilbara region, Karijini National Park, a rapid assessment of crayfish occurrence was unde"&amp;"rtaken in and around Karijini and Millstream-Chichester National Parks. Redclaw crayfish were found at the known site within Karijini National Park and at a river pool west of the park. They were also detected in George River within Millstream-Chichester "&amp;"National Park. A separate baseline aquatic fauna survey, undertaken later as part of a mining environmental impact assessment, also recorded populations of the species in a tributary of the Fortescue River, located between these parks. The survey suggests"&amp;" that redclaw presence is associated with significant reorganisation of faunal and floral assemblages of river pools. With the new records presented here, the redclaw crayfish is now known from four catchments in the Pilbara Region, spread across three of"&amp;" the region's five drainage basins. Management options for this alien species are limited in this remote area, but would require further surveys to better understand their current distribution and dispersion capability, setting up public education campaig"&amp;"ns and targeted control measures to minimise their spread to new catchments and their impact on high conservation value aquatic ecosystems.")</f>
        <v>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v>
      </c>
      <c r="C585" s="24" t="str">
        <f>IFERROR(__xludf.DUMMYFUNCTION("""COMPUTED_VALUE"""),"10.3391/bir.2019.8.4.17")</f>
        <v>10.3391/bir.2019.8.4.17</v>
      </c>
      <c r="D585" s="24" t="str">
        <f>IFERROR(__xludf.DUMMYFUNCTION("""COMPUTED_VALUE"""),"Keck et al")</f>
        <v>Keck et al</v>
      </c>
      <c r="E585" s="24" t="str">
        <f>IFERROR(__xludf.DUMMYFUNCTION("""COMPUTED_VALUE"""),"WOS:000498658800017")</f>
        <v>WOS:000498658800017</v>
      </c>
      <c r="F585" s="24" t="str">
        <f>IFERROR(__xludf.DUMMYFUNCTION("""COMPUTED_VALUE"""),"[""ELIGIBLE""]")</f>
        <v>["ELIGIBLE"]</v>
      </c>
    </row>
    <row r="586">
      <c r="A586" s="24" t="str">
        <f>IFERROR(__xludf.DUMMYFUNCTION("""COMPUTED_VALUE"""),"Effects of Spartina alterniflora invasion on benthic nematode communities in the Yangtze Estuary")</f>
        <v>Effects of Spartina alterniflora invasion on benthic nematode communities in the Yangtze Estuary</v>
      </c>
      <c r="B586" s="24" t="str">
        <f>IFERROR(__xludf.DUMMYFUNCTION("""COMPUTED_VALUE"""),"Invasions of exotic plant species in estuaries have occurred worldwide, and may profoundly affect native biodiversity and estuarine ecosystem functioning. To assess the effect of plant invasions on benthic meiofauna, we compared the nematode communities i"&amp;"n marshes dominated, respectively, by invasive Spartina alterniflora and native Scirpus mariqueter and Phragmites australis at 3 local sites over 2 seasons in the Yangtze River estuary, PR China. S. alterniflora stands had generally lower nematode trophic"&amp;" diversity than the stands of the 2 native plants, suggesting that the exotic plant led to a simplified benthic food web. The relative abundance of bacterial-feeding nematodes tended to increase in S. alterniflora marshes compared to P. australis marshes."&amp;" The increased bacterial-feeding nematodes in S. alterniflora stands are likely to reflect the altered decomposition processes, rates and pathways, which may, in turn, modify belowground nutrient cycling of the estuarine ecosystems. The dissimilarity in n"&amp;"ematode community structure between S. alterniflora and S. mariqueter marshes was smaller than that between S. alterniflora and P. australis marshes, and the dissimilarity between Spartina-invaded and native marshes was even smaller than between the 2 nat"&amp;"ive plant marshes. It is suggested that the detection of the ecological consequences of plant invasions depends on which native plant species is considered. Site effects were generally detected in the comparison of sediment properties and nematodes among "&amp;"3 plant marshes. Sediment water content, electrical conductivity, bacterial biomass and litter biomass were identified as the most important factors in the shaping of the nematode communities.")</f>
        <v>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v>
      </c>
      <c r="C586" s="24" t="str">
        <f>IFERROR(__xludf.DUMMYFUNCTION("""COMPUTED_VALUE"""),"10.3354/meps336099")</f>
        <v>10.3354/meps336099</v>
      </c>
      <c r="D586" s="24" t="str">
        <f>IFERROR(__xludf.DUMMYFUNCTION("""COMPUTED_VALUE"""),"Keck et al")</f>
        <v>Keck et al</v>
      </c>
      <c r="E586" s="24" t="str">
        <f>IFERROR(__xludf.DUMMYFUNCTION("""COMPUTED_VALUE"""),"WOS:000246980400008")</f>
        <v>WOS:000246980400008</v>
      </c>
      <c r="F586" s="24" t="str">
        <f>IFERROR(__xludf.DUMMYFUNCTION("""COMPUTED_VALUE"""),"[""ELIGIBLE""]")</f>
        <v>["ELIGIBLE"]</v>
      </c>
    </row>
    <row r="587">
      <c r="A587" s="24" t="str">
        <f>IFERROR(__xludf.DUMMYFUNCTION("""COMPUTED_VALUE"""),"Afforestation effects on vegetation structure and diversity of grasslands in southern Brazil: The first years")</f>
        <v>Afforestation effects on vegetation structure and diversity of grasslands in southern Brazil: The first years</v>
      </c>
      <c r="B587" s="24" t="str">
        <f>IFERROR(__xludf.DUMMYFUNCTION("""COMPUTED_VALUE"""),"We evaluated the effects of afforestation on the composition and structure of southern Brazilian subtropical grasslands directly beneath tree plantations, in pastures, and in permanent protection areas near watercourses. Cover of plants was registered in "&amp;"120 plots of 1 m(2) in grasslands located at two distances from small watercourses in pasture and eucalypt plantation areas within a livestock ranching landscape. Livestock density is reduced in plantation areas. Species composition beneath tree plantatio"&amp;"ns was significantly different from both pasture and nearby permanent protection areas. Permanent protection areas near plantations were also compositionally different from pastures. Eucalypt plantation was the environment type where ruderals were most ab"&amp;"undant. Growth form cover distribution in pasture areas showed a consistent pattern, with graminous herbs being the most common growth form followed by prostrate herbs, prostrate subshrubs, and standing subshrubs. In plantation areas, the dominance of the"&amp;" graminoid herb growth form increased markedly, as well as standing herbs. These increases occurred mainly at the expense of prostrate herbs and subshrubs, which were significantly reduced. Plot-level species density was significantly affected by distance"&amp;" from watercourse and, more importantly, was significantly influenced by the interaction between management regime and distance to watercourse. It was reduced in eucalypt plantations relative to permanent protected areas. Current management of eucalypt pl"&amp;"antations in southern Brazil produce unsuitable conditions for grassland species to thrive within plantations. Livestock densities &lt;1.0 animal unit ha(-1) in eucalypt plantations undermines the ability of surrounding permanent protection areas to act as e"&amp;"cological networks for biodiversity conservation. (C) 2012 Elsevier GmbH. All rights reserved.")</f>
        <v>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v>
      </c>
      <c r="C587" s="24" t="str">
        <f>IFERROR(__xludf.DUMMYFUNCTION("""COMPUTED_VALUE"""),"10.1016/j.jnc.2012.10.002")</f>
        <v>10.1016/j.jnc.2012.10.002</v>
      </c>
      <c r="D587" s="24" t="str">
        <f>IFERROR(__xludf.DUMMYFUNCTION("""COMPUTED_VALUE"""),"Keck et al")</f>
        <v>Keck et al</v>
      </c>
      <c r="E587" s="24" t="str">
        <f>IFERROR(__xludf.DUMMYFUNCTION("""COMPUTED_VALUE"""),"WOS:000316729400007")</f>
        <v>WOS:000316729400007</v>
      </c>
      <c r="F587" s="24" t="str">
        <f>IFERROR(__xludf.DUMMYFUNCTION("""COMPUTED_VALUE"""),"[""ELIGIBLE""]")</f>
        <v>["ELIGIBLE"]</v>
      </c>
    </row>
    <row r="588">
      <c r="A588" s="24" t="str">
        <f>IFERROR(__xludf.DUMMYFUNCTION("""COMPUTED_VALUE"""),"Response of Benthic Macrofauna to Eutrophication in a Mesocosm Experiment: Ecosystem Resilience Prevents Hypoxic Conditions")</f>
        <v>Response of Benthic Macrofauna to Eutrophication in a Mesocosm Experiment: Ecosystem Resilience Prevents Hypoxic Conditions</v>
      </c>
      <c r="B588" s="24" t="str">
        <f>IFERROR(__xludf.DUMMYFUNCTION("""COMPUTED_VALUE"""),"A benthic-pelagic mesocosm experiment was performed to study how the benthic macrofaunal community responds to a eutrophication gradient. The novel experimental setup allowed the induction of an eutrophication gradient in the water column and the detailed"&amp;" documentation of the response of the benthos in terms of biodiversity and ecosystem processes. Nine mesocosms were deployed in the facilities of the Hellenic Center for Marine Research in Crete in the eastern Mediterranean. The mesocosms were 4 m deep, c"&amp;"ontained 1.5 m(3) coastal water, and included 85 liters of undisturbed sediment at the bottom. No water or sediment exchange was allowed. The experimental design included a Control and two eutrophication levels (Low and High) for the 58-day duration of th"&amp;"e experiment. Macrofaunal samples were collected at the end of the experiment from each mesocosm and compared to the ones collected at the beginning of the experiment from the sediment collection area. Results show that the High eutrophication treatment d"&amp;"iffered significantly from the Control and Low treatments in terms of macrofaunal species composition, diversity, ecological status and ecosystem processes. The increased availability of organic matter in the sediment caused differences in macrofaunal com"&amp;"munity structure by favoring deposit feeding species with high bioturbation ability, which significantly increased their abundance. The increased bioturbation potential of the new community combined with the high organic matter consumption contributed to "&amp;"the oxygenation of the sediment within the mesocosm, preventing the creation of hypoxic conditions in the sediment and maintaining ecosystem health despite the highly eutrophic conditions and significant changes in sediment geochemical variables. In the o"&amp;"ligotrophic eastern Mediterranean, healthy benthic ecosystems may use existing ecosystem processes to buffer the negative effects caused by eutrophication.")</f>
        <v>A benthic-pelagic mesocosm experiment was performed to study how the benthic macrofaunal community responds to a eutrophication gradient. The novel experimental setup allowed the induction of an eutrophication gradient in the water column and the detailed documentation of the response of the benthos in terms of biodiversity and ecosystem processes. Nine mesocosms were deployed in the facilities of the Hellenic Center for Marine Research in Crete in the eastern Mediterranean. The mesocosms were 4 m deep, contained 1.5 m(3) coastal water, and included 85 liters of undisturbed sediment at the bottom. No water or sediment exchange was allowed. The experimental design included a Control and two eutrophication levels (Low and High) for the 58-day duration of the experiment. Macrofaunal samples were collected at the end of the experiment from each mesocosm and compared to the ones collected at the beginning of the experiment from the sediment collection area. Results show that the High eutrophication treatment differed significantly from the Control and Low treatments in terms of macrofaunal species composition, diversity, ecological status and ecosystem processes. The increased availability of organic matter in the sediment caused differences in macrofaunal community structure by favoring deposit feeding species with high bioturbation ability, which significantly increased their abundance. The increased bioturbation potential of the new community combined with the high organic matter consumption contributed to the oxygenation of the sediment within the mesocosm, preventing the creation of hypoxic conditions in the sediment and maintaining ecosystem health despite the highly eutrophic conditions and significant changes in sediment geochemical variables. In the oligotrophic eastern Mediterranean, healthy benthic ecosystems may use existing ecosystem processes to buffer the negative effects caused by eutrophication.</v>
      </c>
      <c r="C588" s="24" t="str">
        <f>IFERROR(__xludf.DUMMYFUNCTION("""COMPUTED_VALUE"""),"10.3389/fmars.2017.00391")</f>
        <v>10.3389/fmars.2017.00391</v>
      </c>
      <c r="D588" s="24" t="str">
        <f>IFERROR(__xludf.DUMMYFUNCTION("""COMPUTED_VALUE"""),"Keck et al")</f>
        <v>Keck et al</v>
      </c>
      <c r="E588" s="24" t="str">
        <f>IFERROR(__xludf.DUMMYFUNCTION("""COMPUTED_VALUE"""),"WOS:000457690600389")</f>
        <v>WOS:000457690600389</v>
      </c>
      <c r="F588" s="24" t="str">
        <f>IFERROR(__xludf.DUMMYFUNCTION("""COMPUTED_VALUE"""),"[""ELIGIBLE""]")</f>
        <v>["ELIGIBLE"]</v>
      </c>
    </row>
    <row r="589">
      <c r="A589" s="24" t="str">
        <f>IFERROR(__xludf.DUMMYFUNCTION("""COMPUTED_VALUE"""),"Ecological causal assessment of benthic condition in the oil sands region, Athabasca River, Canada")</f>
        <v>Ecological causal assessment of benthic condition in the oil sands region, Athabasca River, Canada</v>
      </c>
      <c r="B589" s="24" t="str">
        <f>IFERROR(__xludf.DUMMYFUNCTION("""COMPUTED_VALUE"""),"Contaminant loads to rivers of the Canadian oil sands region are linked to industrial and natural sources. To date, biomonitoring studies have been unable to unequivocally assess potential environmental impacts associated with this development. As part of"&amp;" the Joint Alberta-Canada Oil Sands Monitoring initiative, we aimed to assess cumulative effects of anthropogenic activities and exposure to natural bitumen geology on benthic macroinvertebrate assemblages in the lower Athabasca River. We examined associa"&amp;"tions among macroinvertebrates and environmental correlates, such as nutrients, ions, metals, polycyclic aromatic compounds, and total suspended solids. The study design included sites within and outside the mineable bitumen deposits, within and outside o"&amp;"f the active mining and extraction area, and above and below municipal sewage effluents. We predicted observing a negative association between ecological condition of the river and exposure to natural bitumen and oil sands activity. However, contaminant c"&amp;"oncentrations in water and sediment were far below known toxicity thresholds, and benthic macroinvertebrate assemblages in sites exposed to oil sands mining activities appeared more affected by nutrient enrichment from the MSE than contaminants from minin"&amp;"g or natural bitumen. Although sites within the area of intense oil sands activity showed signs of mild environmental stress, assemblage pattern was more strongly associated with MSE nutrient enrichment than to diffuse contamination from either natural bi"&amp;"tumen or oil sands mining. Enrichment likely increases food resources available to consumers, thereby potentially masking toxic responses of consumers to contaminants. Current regulations prohibit the direct release of oil sands contaminants to waterways,"&amp;" with diffuse atmospheric deposition of aerial emissions and fugitive dust the main contaminant pathways to freshwaters. As the storage capacity of tailings ponds is reached, this nutrient-contaminant pattern could change if the river receives the propose"&amp;"d direct release of treated oil sands process water. Focused investigation-of-cause studies are required to better assess the consequences of cumulative interactions and ecological effects of nutrients and contaminant exposure in this system. Crown Copyri"&amp;"ght (C) 2020 Published by Elsevier B.V.")</f>
        <v>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v>
      </c>
      <c r="C589" s="24" t="str">
        <f>IFERROR(__xludf.DUMMYFUNCTION("""COMPUTED_VALUE"""),"10.1016/j.scitotenv.2020.141393")</f>
        <v>10.1016/j.scitotenv.2020.141393</v>
      </c>
      <c r="D589" s="24" t="str">
        <f>IFERROR(__xludf.DUMMYFUNCTION("""COMPUTED_VALUE"""),"Keck et al")</f>
        <v>Keck et al</v>
      </c>
      <c r="E589" s="24" t="str">
        <f>IFERROR(__xludf.DUMMYFUNCTION("""COMPUTED_VALUE"""),"WOS:000581793800021")</f>
        <v>WOS:000581793800021</v>
      </c>
      <c r="F589" s="24" t="str">
        <f>IFERROR(__xludf.DUMMYFUNCTION("""COMPUTED_VALUE"""),"[""ELIGIBLE""]")</f>
        <v>["ELIGIBLE"]</v>
      </c>
    </row>
    <row r="590">
      <c r="A590" s="24" t="str">
        <f>IFERROR(__xludf.DUMMYFUNCTION("""COMPUTED_VALUE"""),"Multiple indicators yield diverging results on grazing degradation and climate controls across Tibetan pastures")</f>
        <v>Multiple indicators yield diverging results on grazing degradation and climate controls across Tibetan pastures</v>
      </c>
      <c r="B590" s="24" t="str">
        <f>IFERROR(__xludf.DUMMYFUNCTION("""COMPUTED_VALUE"""),"Understanding the impacts of livestock grazing is crucial to rangeland management and conservation. Numerous indicators have been employed to detect differences caused by grazing, while case studies suggest that effects differ among individual indicator s"&amp;"ystems. Across Tibetan pastures that have evolved with long grazing histories and harbour high levels of biodiversity, we tested: (I) whether commonly used grazing indicators differ in their sensitivity to grazing and environmental conditions, and (2) the"&amp;" relative importance of grazing and abiotic factors in controlling effects on indicators. Our sampling covered 18 sites within two main grassland types (steppe and meadow). We compared species compositions among communities of plants, small mammals and an"&amp;"ts, as well as overall soil chemical conditions and field hyperspectral reflectance data using multivariate analyses between two qualitative levels of grazing intensity (heavy vs. light). Using univariate Generalized Linear Models, we explored the effects"&amp;" of grazing intensity, grassland type and their interaction on the richness and abundance of biotic groups as well as values of key soil and hyperspectral indices. The major environmental factors tested included temperature, precipitation, elevation, reli"&amp;"ef, exposure and inclination. Few of the indicators differed under relatively heavy grazing, including reductions in vegetation cover, soil organic carbon, total nitrogen concentration and two hyperspectral indices. Indicator groups differed both quantita"&amp;"tively and qualitatively with respect to grazing and climate impacts. Grazing effects were evident in the moist Kobresia meadows of eastern Tibet, while environmental controls dominated in alpine steppes of the drier western part of the plateau. Grazing e"&amp;"ffects on indicators thus depended on local precipitation conditions. Multivariate species compositions were affected by abiotic factors in all biotic indicator groups: precipitation was the most influential abiotic factor affecting plant species composit"&amp;"ion, overall soil nutrients and hyper spectral data, while elevation and temperature influenced ant and small mammal communities in terms of richness and species composition. Our results do not support the notion that local increases in relative grazing i"&amp;"ntensity have strong effects on the species richness of key biotic indicator groups across all Tibetan pastures. Reliable assessments of grazing effects thus require both multiple appropriate indicators and careful calibration to account for local climate"&amp;" and topographic conditions. Differences between principal grassland types must be acknowledged for future grassland conservation and management.")</f>
        <v>Understanding the impacts of livestock grazing is crucial to rangeland management and conservation. Numerous indicators have been employed to detect differences caused by grazing, while case studies suggest that effects differ among individual indicator systems. Across Tibetan pastures that have evolved with long grazing histories and harbour high levels of biodiversity, we tested: (I) whether commonly used grazing indicators differ in their sensitivity to grazing and environmental conditions, and (2) the relative importance of grazing and abiotic factors in controlling effects on indicators. Our sampling covered 18 sites within two main grassland types (steppe and meadow). We compared species compositions among communities of plants, small mammals and ants, as well as overall soil chemical conditions and field hyperspectral reflectance data using multivariate analyses between two qualitative levels of grazing intensity (heavy vs. light). Using univariate Generalized Linear Models, we explored the effects of grazing intensity, grassland type and their interaction on the richness and abundance of biotic groups as well as values of key soil and hyperspectral indices. The major environmental factors tested included temperature, precipitation, elevation, relief, exposure and inclination. Few of the indicators differed under relatively heavy grazing, including reductions in vegetation cover, soil organic carbon, total nitrogen concentration and two hyperspectral indices. Indicator groups differed both quantitatively and qualitatively with respect to grazing and climate impacts. Grazing effects were evident in the moist Kobresia meadows of eastern Tibet, while environmental controls dominated in alpine steppes of the drier western part of the plateau. Grazing effects on indicators thus depended on local precipitation conditions. Multivariate species compositions were affected by abiotic factors in all biotic indicator groups: precipitation was the most influential abiotic factor affecting plant species composition, overall soil nutrients and hyper spectral data, while elevation and temperature influenced ant and small mammal communities in terms of richness and species composition. Our results do not support the notion that local increases in relative grazing intensity have strong effects on the species richness of key biotic indicator groups across all Tibetan pastures. Reliable assessments of grazing effects thus require both multiple appropriate indicators and careful calibration to account for local climate and topographic conditions. Differences between principal grassland types must be acknowledged for future grassland conservation and management.</v>
      </c>
      <c r="C590" s="24" t="str">
        <f>IFERROR(__xludf.DUMMYFUNCTION("""COMPUTED_VALUE"""),"10.1016/j.ecolind.2018.06.021")</f>
        <v>10.1016/j.ecolind.2018.06.021</v>
      </c>
      <c r="D590" s="24" t="str">
        <f>IFERROR(__xludf.DUMMYFUNCTION("""COMPUTED_VALUE"""),"Keck et al")</f>
        <v>Keck et al</v>
      </c>
      <c r="E590" s="24" t="str">
        <f>IFERROR(__xludf.DUMMYFUNCTION("""COMPUTED_VALUE"""),"WOS:000452692600117")</f>
        <v>WOS:000452692600117</v>
      </c>
      <c r="F590" s="24" t="str">
        <f>IFERROR(__xludf.DUMMYFUNCTION("""COMPUTED_VALUE"""),"[""ELIGIBLE""]")</f>
        <v>["ELIGIBLE"]</v>
      </c>
    </row>
    <row r="591">
      <c r="A591" s="24" t="str">
        <f>IFERROR(__xludf.DUMMYFUNCTION("""COMPUTED_VALUE"""),"A survey of benthic invertebrate communities in native and non-native seagrass beds in St. John, USVI")</f>
        <v>A survey of benthic invertebrate communities in native and non-native seagrass beds in St. John, USVI</v>
      </c>
      <c r="B591" s="24" t="str">
        <f>IFERROR(__xludf.DUMMYFUNCTION("""COMPUTED_VALUE"""),"Halophila stipulacea, a seagrass native to the Indian Ocean, spread to the Caribbean in 2002. Few studies have explored the spatiotemporal distribution of H. stipulacea throughout the Caribbean and whether native invertebrates utilize this non-native seag"&amp;"rass as habitat. We surveyed the shallow, nearshore subtidal zones of four bays in St. John, US Virgin Islands over a two-year period to assess the abundance of both H. stipulacea and native seagrass species. We then surveyed macroinvertebrate communities"&amp;" in one bay with large areas of H. stipulacea, native seagrasses, and bare substrate to assess how macroinvertebrate species composition varied in these habitats. Our survey of the benthic macroinvertebrates revealed that: (1) native invertebrate species "&amp;"utilize H. stipulacea beds and (2) the density and richness of invertebrates was significantly higher in H. stipulacea beds compared to both native seagrass beds and bare substrate. Our results show that H. stipulacea is a common component of nearshore co"&amp;"mmunities in St. John, USVI and that native invertebrates use H. stipulacea beds as habitat - results that agree with findings from other recent studies. While these findings indicate that native macroinvertebrate species can be abundant in non-native sea"&amp;"grass, further investigation, including experimental manipulations, preference tests, and surveys across broad spatial scales, are required to develop a robust understanding of the ecological impacts of this non-native grass.")</f>
        <v>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v>
      </c>
      <c r="C591" s="24" t="str">
        <f>IFERROR(__xludf.DUMMYFUNCTION("""COMPUTED_VALUE"""),"10.1016/j.aquabot.2021.103448")</f>
        <v>10.1016/j.aquabot.2021.103448</v>
      </c>
      <c r="D591" s="24" t="str">
        <f>IFERROR(__xludf.DUMMYFUNCTION("""COMPUTED_VALUE"""),"Keck et al")</f>
        <v>Keck et al</v>
      </c>
      <c r="E591" s="24" t="str">
        <f>IFERROR(__xludf.DUMMYFUNCTION("""COMPUTED_VALUE"""),"WOS:000701772800007")</f>
        <v>WOS:000701772800007</v>
      </c>
      <c r="F591" s="24" t="str">
        <f>IFERROR(__xludf.DUMMYFUNCTION("""COMPUTED_VALUE"""),"[""ELIGIBLE""]")</f>
        <v>["ELIGIBLE"]</v>
      </c>
    </row>
    <row r="592">
      <c r="A592" s="24" t="str">
        <f>IFERROR(__xludf.DUMMYFUNCTION("""COMPUTED_VALUE"""),"Evaluating the Effects of a Deep-Water Marine Protected Area a Decade After Closure: A Multifaceted Approach Reveals Equivocal Benefits to Reef Fish Populations")</f>
        <v>Evaluating the Effects of a Deep-Water Marine Protected Area a Decade After Closure: A Multifaceted Approach Reveals Equivocal Benefits to Reef Fish Populations</v>
      </c>
      <c r="B592" s="24" t="str">
        <f>IFERROR(__xludf.DUMMYFUNCTION("""COMPUTED_VALUE"""),"Marine protected areas (MPAs) are increasingly used to rebuild fish populations. In 2009, eight MPAs were designated off the southeast United States with the goal of rebuilding populations of long-lived deep-water reef fishes. We tested whether reef fish "&amp;"within the largest of these MPAs, the Snowy Wreck Marine Protected Area (SWMPA), have increased in size and abundance relative to a nearby control area and compared to pre-closure. Hurdle models fitted through Bayesian inference on echosounder data collec"&amp;"ted in 2007-2009 and 2018-2020 yielded no evidence of an MPA effect. Comparisons of catch-per-unit-effort (CPUE) of all reef fishes yielded similar null results. However, CPUE of reef species with formal stock assessments increased 47% in the SWMPA and de"&amp;"creased 50% in the control area. We found significant increases in mean length of red porgy (Pagrus pagrus) inside the SWMPA but not in the control area. We also found community composition changes, including shifts away from groupers (Serranidae; Epineph"&amp;"elinae) and toward snappers (Lutjanidae) and tilefish (Malacanthidae) in both areas, though we did not detect an MPA effect with this analysis. Our equivocal results indicate that more time and stricter enforcement may be necessary before more biological "&amp;"effects of the SWMPA can be detected.")</f>
        <v>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v>
      </c>
      <c r="C592" s="24" t="str">
        <f>IFERROR(__xludf.DUMMYFUNCTION("""COMPUTED_VALUE"""),"10.3389/fmars.2021.775376")</f>
        <v>10.3389/fmars.2021.775376</v>
      </c>
      <c r="D592" s="24" t="str">
        <f>IFERROR(__xludf.DUMMYFUNCTION("""COMPUTED_VALUE"""),"Keck et al")</f>
        <v>Keck et al</v>
      </c>
      <c r="E592" s="24" t="str">
        <f>IFERROR(__xludf.DUMMYFUNCTION("""COMPUTED_VALUE"""),"WOS:000738162400001")</f>
        <v>WOS:000738162400001</v>
      </c>
      <c r="F592" s="24" t="str">
        <f>IFERROR(__xludf.DUMMYFUNCTION("""COMPUTED_VALUE"""),"[""ELIGIBLE""]")</f>
        <v>["ELIGIBLE"]</v>
      </c>
    </row>
    <row r="593">
      <c r="A593" s="24" t="str">
        <f>IFERROR(__xludf.DUMMYFUNCTION("""COMPUTED_VALUE"""),"Changes in Mediterranean rocky-reef fish assemblages exposed to sewage pollution")</f>
        <v>Changes in Mediterranean rocky-reef fish assemblages exposed to sewage pollution</v>
      </c>
      <c r="B593" s="24" t="str">
        <f>IFERROR(__xludf.DUMMYFUNCTION("""COMPUTED_VALUE"""),"The fish fauna associated with shallow subtidal rocky-reefs in southern Apulia (SE Italy, Mediterranean Sea) was investigated to assess whether fish assemblage structure, and temporal trends in species richness and abundance of fishes were affected by sew"&amp;"age pollution. Fish assemblages were evaluated by visual census at 3 locations (3 to 4 km apart), 1 putatively impacted by a sewage outfall (discharge rate from 200 to 600 m(3) h(-1)) and 2 controls; within each location, 3 sites (100 to 300 m apart) were"&amp;" surveyed 4 times over the study year. In general, dissimilarities in assemblage structures between the 2 controls were always lower than between each control and the outfall location. During winter, however, the dissimilarities between controls were very"&amp;" low and similar to those between each control and the outfall location, suggesting that in this period, fish assemblages from the outfall did not greatly differ from those in the controls. Planktivorous and detritivorous fishes were more abundant at the "&amp;"impacted location and contributed most to dissimilarities in assemblage structures between the outfall and controls. Furthermore, the outfall significantly affected total fish abundance (which was consistently about 5-fold greater at the outfall than at t"&amp;"he controls), and temporal trends in the average density of sparids and small serranids at the scale of locations, while small benthic fishes were influenced at the scale of sites (within locations). Particulate feeders and planktivorous fishes showed dif"&amp;"ferent temporal trends in average densities between outfall and controls at both spatial scales examined. Species richness and density of herbivorous fishes did not show significant differences attributable to the outfall. The data thus show that nearshor"&amp;"e sewage discharges have the potential to alter spatio-temporal patterns in littoral fish assemblages.")</f>
        <v>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v>
      </c>
      <c r="C593" s="24" t="str">
        <f>IFERROR(__xludf.DUMMYFUNCTION("""COMPUTED_VALUE"""),"10.3354/meps253269")</f>
        <v>10.3354/meps253269</v>
      </c>
      <c r="D593" s="24" t="str">
        <f>IFERROR(__xludf.DUMMYFUNCTION("""COMPUTED_VALUE"""),"Keck et al")</f>
        <v>Keck et al</v>
      </c>
      <c r="E593" s="24" t="str">
        <f>IFERROR(__xludf.DUMMYFUNCTION("""COMPUTED_VALUE"""),"WOS:000183487200024")</f>
        <v>WOS:000183487200024</v>
      </c>
      <c r="F593" s="24" t="str">
        <f>IFERROR(__xludf.DUMMYFUNCTION("""COMPUTED_VALUE"""),"[""ELIGIBLE""]")</f>
        <v>["ELIGIBLE"]</v>
      </c>
    </row>
    <row r="594">
      <c r="A594" s="24" t="str">
        <f>IFERROR(__xludf.DUMMYFUNCTION("""COMPUTED_VALUE"""),"Application of sewage sludge to agricultural soil increases the abundance of antibiotic resistance genes without altering the composition of prokaryotic communities")</f>
        <v>Application of sewage sludge to agricultural soil increases the abundance of antibiotic resistance genes without altering the composition of prokaryotic communities</v>
      </c>
      <c r="B594" s="24" t="str">
        <f>IFERROR(__xludf.DUMMYFUNCTION("""COMPUTED_VALUE"""),"The application of sewage sludge as soil amendment is a common agricultural practice. However, wastewater treatment plants, sewage sludge and sewage sludge-amended soils have been reported as hotspots for the appearance and dissemination of antibiotic res"&amp;"istance, driven, among other factors, by selection pressure exerted by co-exposure to antibiotics and heavy metals. To address this threat to environmental and human health, soil samples from a long-term (24 years) field experiment, carried out to study t"&amp;"he impact of thermally dried and anaerobically digested sewage sludge (at different doses and frequencies of application) on agricultural soil quality, were investigated for the presence of genes encoding antibiotic resistance (ARGs) and mobile genetic el"&amp;"ements (MGEs). Sewage sludge-induced changes in specific soil physicochemical and microbial properties, as indicators of soil quality, were also investigated. The application of sewage sludge increased the total concentration of copper and zinc in amended"&amp;" soils, but without affecting the bioavailability of these metals, possibly due to the high values of soil pH and organic matter content. Soil microbal quality, as reflected by the value of the Soil Quality Index, was higher in sewage sludge-amended soils"&amp;". Similarly, the application of sewage sludge increased soil microbial activity and biomass, as well as the abundance of ARGs and MGE genes, posing a risk of dissemination of antibiotic resistance. In contrast, the composition of soil prokaryotic communit"&amp;"ies was not significantly altered by the application of sewage sludge. We found correlation between soil Cu and Zn concentrations and the abundance of ARGs and MGE genes. It was concluded that sewage sludge-derived amendments must be properly treated and "&amp;"managed if they are to be applied to agricultural soil. (C) 2018 Elsevier B.V. All rights reserved.")</f>
        <v>The application of sewage sludge as soil amendment is a common agricultural practice. However, wastewater treatment plants, sewage sludge and sewage sludge-amended soils have been reported as hotspots for the appearance and dissemination of antibiotic resistance, driven, among other factors, by selection pressure exerted by co-exposure to antibiotics and heavy metals. To address this threat to environmental and human health, soil samples from a long-term (24 years) field experiment, carried out to study the impact of thermally dried and anaerobically digested sewage sludge (at different doses and frequencies of application) on agricultural soil quality, were investigated for the presence of genes encoding antibiotic resistance (ARGs) and mobile genetic elements (MGEs). Sewage sludge-induced changes in specific soil physicochemical and microbial properties, as indicators of soil quality, were also investigated. The application of sewage sludge increased the total concentration of copper and zinc in amended soils, but without affecting the bioavailability of these metals, possibly due to the high values of soil pH and organic matter content. Soil microbal quality, as reflected by the value of the Soil Quality Index, was higher in sewage sludge-amended soils. Similarly, the application of sewage sludge increased soil microbial activity and biomass, as well as the abundance of ARGs and MGE genes, posing a risk of dissemination of antibiotic resistance. In contrast, the composition of soil prokaryotic communities was not significantly altered by the application of sewage sludge. We found correlation between soil Cu and Zn concentrations and the abundance of ARGs and MGE genes. It was concluded that sewage sludge-derived amendments must be properly treated and managed if they are to be applied to agricultural soil. (C) 2018 Elsevier B.V. All rights reserved.</v>
      </c>
      <c r="C594" s="24" t="str">
        <f>IFERROR(__xludf.DUMMYFUNCTION("""COMPUTED_VALUE"""),"10.1016/j.scitotenv.2018.08.092")</f>
        <v>10.1016/j.scitotenv.2018.08.092</v>
      </c>
      <c r="D594" s="24" t="str">
        <f>IFERROR(__xludf.DUMMYFUNCTION("""COMPUTED_VALUE"""),"Keck et al")</f>
        <v>Keck et al</v>
      </c>
      <c r="E594" s="24" t="str">
        <f>IFERROR(__xludf.DUMMYFUNCTION("""COMPUTED_VALUE"""),"WOS:000447090400142")</f>
        <v>WOS:000447090400142</v>
      </c>
      <c r="F594" s="24" t="str">
        <f>IFERROR(__xludf.DUMMYFUNCTION("""COMPUTED_VALUE"""),"[""ELIGIBLE""]")</f>
        <v>["ELIGIBLE"]</v>
      </c>
    </row>
    <row r="595">
      <c r="A595" s="24" t="str">
        <f>IFERROR(__xludf.DUMMYFUNCTION("""COMPUTED_VALUE"""),"Changes in Lake Erie benthos over the last 50 years: Historical perspectives, current status, and main drivers")</f>
        <v>Changes in Lake Erie benthos over the last 50 years: Historical perspectives, current status, and main drivers</v>
      </c>
      <c r="B595" s="24" t="str">
        <f>IFERROR(__xludf.DUMMYFUNCTION("""COMPUTED_VALUE"""),"During the last 50 years the ecosystem of Lake Erie has experienced major environmental changes, from anthropogenic eutrophication in 1930-1960s, to nutrient and pollution abatement in the 1970s, and then the introduction of exotic dreissenids in the 1980"&amp;"s. We used multivariate statistical techniques to examine long-term changes in the zoobenthic community, comparing contemporary collections (2009, 2011-2012) and historical data (1963-1965, 1978-1979, 1993, and 1998). The Lake Erie benthic community under"&amp;"went significant changes during each decade examined, showing signs of recovery following ecosystem restoration in the 1970s, but then experiencing major structural and functional changes after dreissenid (Dreissena polymorpha and D. r. bugensis) introduc"&amp;"tions. There was a significant temporal trend in community composition changes from 1963 to 2012, and the largest difference was found between pre- and post-dreissenid invasion communities. Currently the lake-wide benthic community is dominated by dreisse"&amp;"nids both in density (41%) and total wet biomass (97%), followed by oligochaetes and chironomids. The largest benthic density was found in the central basin, and the greatest biomass in the eastern basin. The number of exotic species found in benthic surv"&amp;"eys increased every decade, from 1 in 1963 to 10 in 2009-2012, and the majority of the invaders were molluscs. Whereas the role of benthic invaders in community diversity is still low, their impact has had enormous consequences for the whole ecosystem. (C"&amp;") 2014 International Association for Great Lakes Research. Published by Elsevier B.V. All rights reserved.")</f>
        <v>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v>
      </c>
      <c r="C595" s="24" t="str">
        <f>IFERROR(__xludf.DUMMYFUNCTION("""COMPUTED_VALUE"""),"10.1016/j.jglr.2014.02.008")</f>
        <v>10.1016/j.jglr.2014.02.008</v>
      </c>
      <c r="D595" s="24" t="str">
        <f>IFERROR(__xludf.DUMMYFUNCTION("""COMPUTED_VALUE"""),"Keck et al")</f>
        <v>Keck et al</v>
      </c>
      <c r="E595" s="24" t="str">
        <f>IFERROR(__xludf.DUMMYFUNCTION("""COMPUTED_VALUE"""),"WOS:000342034500011")</f>
        <v>WOS:000342034500011</v>
      </c>
      <c r="F595" s="24" t="str">
        <f>IFERROR(__xludf.DUMMYFUNCTION("""COMPUTED_VALUE"""),"[""ELIGIBLE""]")</f>
        <v>["ELIGIBLE"]</v>
      </c>
    </row>
    <row r="596">
      <c r="A596" s="24" t="str">
        <f>IFERROR(__xludf.DUMMYFUNCTION("""COMPUTED_VALUE"""),"Ecological effects of Irgarol 1051 and Diuron on a coastal meiobenthic community: A laboratory microcosm experiment")</f>
        <v>Ecological effects of Irgarol 1051 and Diuron on a coastal meiobenthic community: A laboratory microcosm experiment</v>
      </c>
      <c r="B596" s="24" t="str">
        <f>IFERROR(__xludf.DUMMYFUNCTION("""COMPUTED_VALUE"""),"After the Tributyltin world ban, Irgarol 1051 and Diuron have been the most commonly used biocides in antifouling paints. When adsorbed to suspended particulate matter or introduced as paint particles, these compounds accumulate in marine sediments and po"&amp;"tentially cause ecological damage to benthic organisms. Therefore, a microcosm experiment was designed to evaluate the effects of Irgarol 1051 and Diuron, individually, on a meiofaunal community with emphasis on the dominant nematode assemblages. The expe"&amp;"riment tested two factors: Treatment (two types of controls and three environmentally relevant concentrations of each contaminant) and Exposure time (5, 15 and 30 days). Significant declines in meiofauna density, nematode species richness and diversity, a"&amp;"nd changes in multivariate community structure were observed for both biocides at all exposure levels when compared to controls. Decreases occurred early on, within five days of exposure, which suggests that mortality, and not sub-lethal effects, has befa"&amp;"llen upon the organisms. Sediment chlorophyll a and pheopigment concentrations, and redox potential were monitored to verify any indirect effects to the fauna through changes in the environment and results gave no indications of such mediated effects poin"&amp;"ting to a direct toxic effect of both Irgarol and Diuron on the meiofauna. Although contaminated treatments showed a significant decline in the relative abundances of a particular functional group represented by the larger, longer-lived species, we did no"&amp;"t observe the typical expected switch to smaller, more opportunistic taxa. Indeed, differences between controls and contaminated treatments were mainly due to an overall reduction in densities of the most abundant species in contaminated treatments. The h"&amp;"igh mortality (ca. 50% decline in total abundances), changes in community structure and species loss observed at biocide levels frequently encountered in the field suggest Irgarol and Diuron as a threat to benthic communities. Such severe effects contrast"&amp;" to other studies that have detected lower impacts, suggesting the free-living nematodes as potential indicators of marine pollution and the microcosm approach using natural communities as an impending tool for ecotoxicological studies. (C) 2015 Elsevier "&amp;"Ltd. All rights reserved.")</f>
        <v>After the Tributyltin world ban, Irgarol 1051 and Diuron have been the most commonly used biocides in antifouling paints. When adsorbed to suspended particulate matter or introduced as paint particles, these compounds accumulate in marine sediments and potentially cause ecological damage to benthic organisms. Therefore, a microcosm experiment was designed to evaluate the effects of Irgarol 1051 and Diuron, individually, on a meiofaunal community with emphasis on the dominant nematode assemblages. The experiment tested two factors: Treatment (two types of controls and three environmentally relevant concentrations of each contaminant) and Exposure time (5, 15 and 30 days). Significant declines in meiofauna density, nematode species richness and diversity, and changes in multivariate community structure were observed for both biocides at all exposure levels when compared to controls. Decreases occurred early on, within five days of exposure, which suggests that mortality, and not sub-lethal effects, has befallen upon the organisms. Sediment chlorophyll a and pheopigment concentrations, and redox potential were monitored to verify any indirect effects to the fauna through changes in the environment and results gave no indications of such mediated effects pointing to a direct toxic effect of both Irgarol and Diuron on the meiofauna. Although contaminated treatments showed a significant decline in the relative abundances of a particular functional group represented by the larger, longer-lived species, we did not observe the typical expected switch to smaller, more opportunistic taxa. Indeed, differences between controls and contaminated treatments were mainly due to an overall reduction in densities of the most abundant species in contaminated treatments. The high mortality (ca. 50% decline in total abundances), changes in community structure and species loss observed at biocide levels frequently encountered in the field suggest Irgarol and Diuron as a threat to benthic communities. Such severe effects contrast to other studies that have detected lower impacts, suggesting the free-living nematodes as potential indicators of marine pollution and the microcosm approach using natural communities as an impending tool for ecotoxicological studies. (C) 2015 Elsevier Ltd. All rights reserved.</v>
      </c>
      <c r="C596" s="24" t="str">
        <f>IFERROR(__xludf.DUMMYFUNCTION("""COMPUTED_VALUE"""),"10.1016/j.ecolind.2015.05.030")</f>
        <v>10.1016/j.ecolind.2015.05.030</v>
      </c>
      <c r="D596" s="24" t="str">
        <f>IFERROR(__xludf.DUMMYFUNCTION("""COMPUTED_VALUE"""),"Keck et al")</f>
        <v>Keck et al</v>
      </c>
      <c r="E596" s="24" t="str">
        <f>IFERROR(__xludf.DUMMYFUNCTION("""COMPUTED_VALUE"""),"WOS:000360776100003")</f>
        <v>WOS:000360776100003</v>
      </c>
      <c r="F596" s="24" t="str">
        <f>IFERROR(__xludf.DUMMYFUNCTION("""COMPUTED_VALUE"""),"[""ELIGIBLE""]")</f>
        <v>["ELIGIBLE"]</v>
      </c>
    </row>
    <row r="597">
      <c r="A597" s="24" t="str">
        <f>IFERROR(__xludf.DUMMYFUNCTION("""COMPUTED_VALUE"""),"Field assessment of numerical impacts of coastal sewage disposal on fish larvae relative to natural variability")</f>
        <v>Field assessment of numerical impacts of coastal sewage disposal on fish larvae relative to natural variability</v>
      </c>
      <c r="B597" s="24" t="str">
        <f>IFERROR(__xludf.DUMMYFUNCTION("""COMPUTED_VALUE"""),"Sewage disposal in aquatic environments can have significant impacts on assemblages of organisms. There have been few field investigations on effects of sewage disposal on fish larvae. Data on abundances of larvae, current velocities and the size and shap"&amp;"e of sewage plumes from point-source shoreline outfalls off Sydney (Australia) indicated that alongshore currents could transport large numbers of fish larvae into plumes, potentially affecting their health. Assemblages of fish larvae in surface sewage pl"&amp;"umes differed to those in distant shelf (control) waters, but no such impacts were detected for assemblages in subsurface (20 m depth) waters beneath plumes. No predictable negative or positive numerical responses of fish larvae to sewage disposal were de"&amp;"tected. Abundances of fish larvae fluctuated greatly in space and throughout time, and responses appeared to vary between taxa, outfalls and sampling periods. However, the large inherent level of natural spatial and temporal variability in abundances of l"&amp;"arvae confounded the detection of possible impacts. Future field investigations need to focus on effects of sewage disposal on the health and condition of fish larvae. Designs for future field-based studies are discussed.")</f>
        <v>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v>
      </c>
      <c r="C597" s="24" t="str">
        <f>IFERROR(__xludf.DUMMYFUNCTION("""COMPUTED_VALUE"""),"10.1023/A:1007365232465")</f>
        <v>10.1023/A:1007365232465</v>
      </c>
      <c r="D597" s="24" t="str">
        <f>IFERROR(__xludf.DUMMYFUNCTION("""COMPUTED_VALUE"""),"Keck et al")</f>
        <v>Keck et al</v>
      </c>
      <c r="E597" s="24" t="str">
        <f>IFERROR(__xludf.DUMMYFUNCTION("""COMPUTED_VALUE"""),"WOS:000070978100008")</f>
        <v>WOS:000070978100008</v>
      </c>
      <c r="F597" s="24" t="str">
        <f>IFERROR(__xludf.DUMMYFUNCTION("""COMPUTED_VALUE"""),"[""ELIGIBLE""]")</f>
        <v>["ELIGIBLE"]</v>
      </c>
    </row>
    <row r="598">
      <c r="A598" s="24" t="str">
        <f>IFERROR(__xludf.DUMMYFUNCTION("""COMPUTED_VALUE"""),"Invasive plant removal increases insect herbivory pressure on a native tree due to an increase in resource quality")</f>
        <v>Invasive plant removal increases insect herbivory pressure on a native tree due to an increase in resource quality</v>
      </c>
      <c r="B598" s="24" t="str">
        <f>IFERROR(__xludf.DUMMYFUNCTION("""COMPUTED_VALUE"""),"Insect predator densities and plant nutritional status can affect insect herbivore densities, but these effects have not yet been assessed in the context of an invasive species management. This study investigated the influence of (i) altered predatory art"&amp;"hropod abundance and community composition (top-down-effects); and (ii) altered leaf nitrogen and phosphorus levels (bottom-up-effects) as possible causes of fluctuations in herbivore abundance and herbivory on the native tree Brabejum stellatifolium in r"&amp;"iparian sites that differ in invasion status (near pristine, heavily invaded by Acacia mearnsii, and restored). Species richness, abundance and composition of herbivorous and predatory arthropods were compared between categories. Herbivore and predator ab"&amp;"undance, species richness and assemblage composition were significantly influenced by invasion status. As expected, herbivore abundance was significantly and positively correlated to levels of leaf damage. Leaf nitrogen levels were the highest at restored"&amp;" sites where herbivorous arthropods were also most abundant and the abundance of predators was intermediate. These results suggest that altered leaf nitrogen content is likely a key influence for the increased herbivore pressure on B. stellatifolium at si"&amp;"tes under pressure from invasive A. mearnsii and its status. Bottom-up influences therefore may be more important than top-down effects on controlling herbivore abundances in these altered riparian environments.")</f>
        <v>Insect predator densities and plant nutritional status can affect insect herbivore densities, but these effects have not yet been assessed in the context of an invasive species management. This study investigated the influence of (i) altered predatory arthropod abundance and community composition (top-down-effects); and (ii) altered leaf nitrogen and phosphorus levels (bottom-up-effects) as possible causes of fluctuations in herbivore abundance and herbivory on the native tree Brabejum stellatifolium in riparian sites that differ in invasion status (near pristine, heavily invaded by Acacia mearnsii, and restored). Species richness, abundance and composition of herbivorous and predatory arthropods were compared between categories. Herbivore and predator abundance, species richness and assemblage composition were significantly influenced by invasion status. As expected, herbivore abundance was significantly and positively correlated to levels of leaf damage. Leaf nitrogen levels were the highest at restored sites where herbivorous arthropods were also most abundant and the abundance of predators was intermediate. These results suggest that altered leaf nitrogen content is likely a key influence for the increased herbivore pressure on B. stellatifolium at sites under pressure from invasive A. mearnsii and its status. Bottom-up influences therefore may be more important than top-down effects on controlling herbivore abundances in these altered riparian environments.</v>
      </c>
      <c r="C598" s="24" t="str">
        <f>IFERROR(__xludf.DUMMYFUNCTION("""COMPUTED_VALUE"""),"10.1007/s11258-019-00942-z")</f>
        <v>10.1007/s11258-019-00942-z</v>
      </c>
      <c r="D598" s="24" t="str">
        <f>IFERROR(__xludf.DUMMYFUNCTION("""COMPUTED_VALUE"""),"Keck et al")</f>
        <v>Keck et al</v>
      </c>
      <c r="E598" s="24" t="str">
        <f>IFERROR(__xludf.DUMMYFUNCTION("""COMPUTED_VALUE"""),"WOS:000470753000008")</f>
        <v>WOS:000470753000008</v>
      </c>
      <c r="F598" s="24" t="str">
        <f>IFERROR(__xludf.DUMMYFUNCTION("""COMPUTED_VALUE"""),"[""ELIGIBLE""]")</f>
        <v>["ELIGIBLE"]</v>
      </c>
    </row>
    <row r="599">
      <c r="A599" s="24" t="str">
        <f>IFERROR(__xludf.DUMMYFUNCTION("""COMPUTED_VALUE"""),"Integrative assessment of ecological responses and chemical contamination of urban wastewater outfalls on soft bottom sediments of an estuarine system")</f>
        <v>Integrative assessment of ecological responses and chemical contamination of urban wastewater outfalls on soft bottom sediments of an estuarine system</v>
      </c>
      <c r="B599" s="24" t="str">
        <f>IFERROR(__xludf.DUMMYFUNCTION("""COMPUTED_VALUE"""),"Sewage outfalls are one of the main anthropogenic impacts to coastal systems. Linking the chemical analysis in sediment, and changes in the ecological responses is one of the main tasks in ecosystem assessment for the protection of the marine environment."&amp;" A three-tiered approach to evaluate the impact of the sewage of a recently built and obsolete Urban Waste Water Treatment Plants (UWWTPs) was performed. The sewage from each UWWTP differentially affected surrounding sediments. Macrobenthic community chan"&amp;"ges were influenced by the chemical composition in the sediments but also by grain size and organic matter. Abundance of the different families of the macrobenthic communities were correlated with most of the chemicals analyzed. On the contrary, toxicity "&amp;"bioassays were correlated with Zn and PCB concentrations but not with environmental variables. The toxicity tests linked the effect of chemical contamination on macrobenthic communities. A joint assessment of both chemical concentrations and their ecologi"&amp;"cal effects is recommended.")</f>
        <v>Sewage outfalls are one of the main anthropogenic impacts to coastal systems. Linking the chemical analysis in sediment, and changes in the ecological responses is one of the main tasks in ecosystem assessment for the protection of the marine environment. A three-tiered approach to evaluate the impact of the sewage of a recently built and obsolete Urban Waste Water Treatment Plants (UWWTPs) was performed. The sewage from each UWWTP differentially affected surrounding sediments. Macrobenthic community changes were influenced by the chemical composition in the sediments but also by grain size and organic matter. Abundance of the different families of the macrobenthic communities were correlated with most of the chemicals analyzed. On the contrary, toxicity bioassays were correlated with Zn and PCB concentrations but not with environmental variables. The toxicity tests linked the effect of chemical contamination on macrobenthic communities. A joint assessment of both chemical concentrations and their ecological effects is recommended.</v>
      </c>
      <c r="C599" s="24" t="str">
        <f>IFERROR(__xludf.DUMMYFUNCTION("""COMPUTED_VALUE"""),"10.1016/j.marenvres.2020.105234")</f>
        <v>10.1016/j.marenvres.2020.105234</v>
      </c>
      <c r="D599" s="24" t="str">
        <f>IFERROR(__xludf.DUMMYFUNCTION("""COMPUTED_VALUE"""),"Keck et al")</f>
        <v>Keck et al</v>
      </c>
      <c r="E599" s="24" t="str">
        <f>IFERROR(__xludf.DUMMYFUNCTION("""COMPUTED_VALUE"""),"WOS:000608272700002")</f>
        <v>WOS:000608272700002</v>
      </c>
      <c r="F599" s="24" t="str">
        <f>IFERROR(__xludf.DUMMYFUNCTION("""COMPUTED_VALUE"""),"[""ELIGIBLE""]")</f>
        <v>["ELIGIBLE"]</v>
      </c>
    </row>
    <row r="600">
      <c r="A600" s="24" t="str">
        <f>IFERROR(__xludf.DUMMYFUNCTION("""COMPUTED_VALUE"""),"Insights from Long-Term Ungrazed and GrazedWatersheds in a Salt Desert Colorado Plateau Ecosystem")</f>
        <v>Insights from Long-Term Ungrazed and GrazedWatersheds in a Salt Desert Colorado Plateau Ecosystem</v>
      </c>
      <c r="B600" s="24" t="str">
        <f>IFERROR(__xludf.DUMMYFUNCTION("""COMPUTED_VALUE"""),"Dryland ecosystems cover over 41% of the earth's land surface, and living within these important ecosystems are approximately 2 billion people, a large proportion of whom are subsistence agropastoralists. Improper grazing in drylands can negatively impact"&amp;" ecosystem productivity, soil conservation, hydrologic processes, downstream water quantity and quality, and ultimately human health and economic well-being. Concerns regarding the degraded state of western US rangelands in the 1950s resulted in an intera"&amp;"gency committee to study the effects of land use on runoff and erosion processes. In 1953, a federal research group established four pairedwatersheds in western Colorado to study the interaction of grazing by domestic livestock, runoff, and sediment yield"&amp;". Exclusion of livestock from half of the watersheds dramatically reduced runoff and sediment yield after the first 10 yr-primarily due to changes in ground cover but not vegetation. Here, we report results of repeated soils and vegetation assessments of "&amp;"the experimentalwatersheds after more than 50 yr of grazing exclusion. Results show that many of the differences in soil conditions between grazed and ungrazed watersheds observed in the 1950s and 1960s were still present in 2004, despite reduced numbers "&amp;"of livestock: few differences in vegetation cover but large differences in biological soil crusts, soil stability, soil compaction, and soil biogeochemistry. There were differences among soil types in response to grazing history, especially soil lichen co"&amp;"ver and soil organic matter, nitrogen, and sodium. Comparisons of ground cover measured in 2004 with those measured in 1953, 1966, and 1972 suggest much of the differences between grazed and ungrazed watersheds likely were driven by high sheep numbers dur"&amp;"ing droughts in the 1950s. Persistence of these differences, despite large reductions in stocking rates, suggest the combination of overgrazing and drought may have pushed these salt desert ecosystems into a persistent, degraded ecological state. Publishe"&amp;"d by Elsevier Inc. on behalf of The Society for Range Management.")</f>
        <v>Dryland ecosystems cover over 41% of the earth's land surface, and living within these important ecosystems are approximately 2 billion people, a large proportion of whom are subsistence agropastoralists. Improper grazing in drylands can negatively impact ecosystem productivity, soil conservation, hydrologic processes, downstream water quantity and quality, and ultimately human health and economic well-being. Concerns regarding the degraded state of western US rangelands in the 1950s resulted in an interagency committee to study the effects of land use on runoff and erosion processes. In 1953, a federal research group established four pairedwatersheds in western Colorado to study the interaction of grazing by domestic livestock, runoff, and sediment yield. Exclusion of livestock from half of the watersheds dramatically reduced runoff and sediment yield after the first 10 yr-primarily due to changes in ground cover but not vegetation. Here, we report results of repeated soils and vegetation assessments of the experimentalwatersheds after more than 50 yr of grazing exclusion. Results show that many of the differences in soil conditions between grazed and ungrazed watersheds observed in the 1950s and 1960s were still present in 2004, despite reduced numbers of livestock: few differences in vegetation cover but large differences in biological soil crusts, soil stability, soil compaction, and soil biogeochemistry. There were differences among soil types in response to grazing history, especially soil lichen cover and soil organic matter, nitrogen, and sodium. Comparisons of ground cover measured in 2004 with those measured in 1953, 1966, and 1972 suggest much of the differences between grazed and ungrazed watersheds likely were driven by high sheep numbers during droughts in the 1950s. Persistence of these differences, despite large reductions in stocking rates, suggest the combination of overgrazing and drought may have pushed these salt desert ecosystems into a persistent, degraded ecological state. Published by Elsevier Inc. on behalf of The Society for Range Management.</v>
      </c>
      <c r="C600" s="24" t="str">
        <f>IFERROR(__xludf.DUMMYFUNCTION("""COMPUTED_VALUE"""),"10.1016/j.rama.2018.02.007")</f>
        <v>10.1016/j.rama.2018.02.007</v>
      </c>
      <c r="D600" s="24" t="str">
        <f>IFERROR(__xludf.DUMMYFUNCTION("""COMPUTED_VALUE"""),"Keck et al")</f>
        <v>Keck et al</v>
      </c>
      <c r="E600" s="24" t="str">
        <f>IFERROR(__xludf.DUMMYFUNCTION("""COMPUTED_VALUE"""),"WOS:000435480900011")</f>
        <v>WOS:000435480900011</v>
      </c>
      <c r="F600" s="24" t="str">
        <f>IFERROR(__xludf.DUMMYFUNCTION("""COMPUTED_VALUE"""),"[""ELIGIBLE""]")</f>
        <v>["ELIGIBLE"]</v>
      </c>
    </row>
    <row r="601">
      <c r="A601" s="24" t="str">
        <f>IFERROR(__xludf.DUMMYFUNCTION("""COMPUTED_VALUE"""),"Putting marine sanctuaries into context: a comparison of estuary fish assemblages over multiple levels of protection and modification")</f>
        <v>Putting marine sanctuaries into context: a comparison of estuary fish assemblages over multiple levels of protection and modification</v>
      </c>
      <c r="B601" s="24" t="str">
        <f>IFERROR(__xludf.DUMMYFUNCTION("""COMPUTED_VALUE"""),"1. In recent decades there has been a significant effort to establish marine sanctuaries for the purpose of protecting marine biodiversity and ecological processes. While many studies have demonstrated that marine sanctuaries increase the abundance, diver"&amp;"sity, and trophic level of marine fish communities, few have compared these parameters across multiple levels of protection and human modification. 2. This study utilized baited remote underwater video to compare fish assemblages between marine parks, bet"&amp;"ween different levels of protection within parks (sanctuary and habitat protection zones), and between parks and highly modified systems with similar ecological communities. 3. It was demonstrated that sanctuary zones have higher abundance of targeted fis"&amp;"h species compared with other areas within some marine parks. 4. The total abundance of targeted species and abundances of some key fisheries species (e.g. pink snapper) were found to be higher in sanctuary zones. This suggests that increased protection m"&amp;"ay be effective at improving these aspects of the fish assemblage. 5. However, when marine parks were compared with highly modified environments it was found that targeted species were much more abundant in the highly modified systems. 6. Community compos"&amp;"ition of entire fish assemblages also differed between these levels of modification and economically important fisheries species contributed most to this difference. 7. These findings suggest that while highly protected sanctuary zones may increase the ab"&amp;"undance of targeted fish compared with less protected areas within the same estuary, highly industrialized or urbanized systems, not typically chosen as marine parks, may actually support more targeted species of fish. 8. It was demonstrated that forms of"&amp;" modification in addition to fishing pressure are having large effects on fish assemblages and productivity. Copyright (c) 2011 John Wiley &amp; Sons, Ltd.")</f>
        <v>1. In recent decades there has been a significant effort to establish marine sanctuaries for the purpose of protecting marine biodiversity and ecological processes. While many studies have demonstrated that marine sanctuaries increase the abundance, diversity, and trophic level of marine fish communities, few have compared these parameters across multiple levels of protection and human modification. 2. This study utilized baited remote underwater video to compare fish assemblages between marine parks, between different levels of protection within parks (sanctuary and habitat protection zones), and between parks and highly modified systems with similar ecological communities. 3. It was demonstrated that sanctuary zones have higher abundance of targeted fish species compared with other areas within some marine parks. 4. The total abundance of targeted species and abundances of some key fisheries species (e.g. pink snapper) were found to be higher in sanctuary zones. This suggests that increased protection may be effective at improving these aspects of the fish assemblage. 5. However, when marine parks were compared with highly modified environments it was found that targeted species were much more abundant in the highly modified systems. 6. Community composition of entire fish assemblages also differed between these levels of modification and economically important fisheries species contributed most to this difference. 7. These findings suggest that while highly protected sanctuary zones may increase the abundance of targeted fish compared with less protected areas within the same estuary, highly industrialized or urbanized systems, not typically chosen as marine parks, may actually support more targeted species of fish. 8. It was demonstrated that forms of modification in addition to fishing pressure are having large effects on fish assemblages and productivity. Copyright (c) 2011 John Wiley &amp; Sons, Ltd.</v>
      </c>
      <c r="C601" s="24" t="str">
        <f>IFERROR(__xludf.DUMMYFUNCTION("""COMPUTED_VALUE"""),"10.1002/aqc.1223")</f>
        <v>10.1002/aqc.1223</v>
      </c>
      <c r="D601" s="24" t="str">
        <f>IFERROR(__xludf.DUMMYFUNCTION("""COMPUTED_VALUE"""),"Keck et al")</f>
        <v>Keck et al</v>
      </c>
      <c r="E601" s="24" t="str">
        <f>IFERROR(__xludf.DUMMYFUNCTION("""COMPUTED_VALUE"""),"WOS:000297282000005")</f>
        <v>WOS:000297282000005</v>
      </c>
      <c r="F601" s="24" t="str">
        <f>IFERROR(__xludf.DUMMYFUNCTION("""COMPUTED_VALUE"""),"[""ELIGIBLE""]")</f>
        <v>["ELIGIBLE"]</v>
      </c>
    </row>
    <row r="602">
      <c r="A602" s="24" t="str">
        <f>IFERROR(__xludf.DUMMYFUNCTION("""COMPUTED_VALUE"""),"Evaluating Heathland Restoration Belowground Using Different Quality Indices of Soil Chemical and Biological Properties")</f>
        <v>Evaluating Heathland Restoration Belowground Using Different Quality Indices of Soil Chemical and Biological Properties</v>
      </c>
      <c r="B602" s="24" t="str">
        <f>IFERROR(__xludf.DUMMYFUNCTION("""COMPUTED_VALUE"""),"Reversion of agricultural land to heathland and acid grassland is a priority for the conservation of these rare habitats. Restoration processes require interventions to reverse the effects of fertilization and acidity amelioration undertaken during decade"&amp;"s of agricultural production. Belowground assessments of restoration success are few, and we have examined the utility of soil indices as a rationalized tool for land managers and restoration practitioners to assess the efficacy of restoration practice. T"&amp;"o achieve this, we assessed a large number of variables, many of which might be near redundant, that could be optimized for such indices. We used a 14-year field experiment contrasting acidified pasture (treated with elemental sulphur), control (untreated"&amp;") pasture, and adjacent native heathland and acid grassland sites. Based on biotic and abiotic parameters, several 'heathland restoration indices' (resembling soil quality indices) were generated using a minimum dataset identified through principal compon"&amp;"ent analysis and a linear scoring system. For comparison we also conducted alternative analyses of all parameters, using nonmetric multidimensional scaling plots and analyses of similarity (ANOSIM). Use of heathland restoration indices showed that element"&amp;"al sulphur application had changed the soil chemical conditions, along with the vegetation assemblage, to be comparable to that of native acid grassland, but not the belowground biology. ANOSIM on full datasets confirmed this finding. An index based on ke"&amp;"y variables, rather than an analysis of all biotic and abiotic parameters, can be valuable to land managers and stakeholders in acid grassland and heathland restoration.")</f>
        <v>Reversion of agricultural land to heathland and acid grassland is a priority for the conservation of these rare habitats. Restoration processes require interventions to reverse the effects of fertilization and acidity amelioration undertaken during decades of agricultural production. Belowground assessments of restoration success are few, and we have examined the utility of soil indices as a rationalized tool for land managers and restoration practitioners to assess the efficacy of restoration practice. To achieve this, we assessed a large number of variables, many of which might be near redundant, that could be optimized for such indices. We used a 14-year field experiment contrasting acidified pasture (treated with elemental sulphur), control (untreated) pasture, and adjacent native heathland and acid grassland sites. Based on biotic and abiotic parameters, several 'heathland restoration indices' (resembling soil quality indices) were generated using a minimum dataset identified through principal component analysis and a linear scoring system. For comparison we also conducted alternative analyses of all parameters, using nonmetric multidimensional scaling plots and analyses of similarity (ANOSIM). Use of heathland restoration indices showed that elemental sulphur application had changed the soil chemical conditions, along with the vegetation assemblage, to be comparable to that of native acid grassland, but not the belowground biology. ANOSIM on full datasets confirmed this finding. An index based on key variables, rather than an analysis of all biotic and abiotic parameters, can be valuable to land managers and stakeholders in acid grassland and heathland restoration.</v>
      </c>
      <c r="C602" s="24" t="str">
        <f>IFERROR(__xludf.DUMMYFUNCTION("""COMPUTED_VALUE"""),"10.3390/agronomy10081140")</f>
        <v>10.3390/agronomy10081140</v>
      </c>
      <c r="D602" s="24" t="str">
        <f>IFERROR(__xludf.DUMMYFUNCTION("""COMPUTED_VALUE"""),"Keck et al")</f>
        <v>Keck et al</v>
      </c>
      <c r="E602" s="24" t="str">
        <f>IFERROR(__xludf.DUMMYFUNCTION("""COMPUTED_VALUE"""),"WOS:000564640700001")</f>
        <v>WOS:000564640700001</v>
      </c>
      <c r="F602" s="24" t="str">
        <f>IFERROR(__xludf.DUMMYFUNCTION("""COMPUTED_VALUE"""),"[""ELIGIBLE""]")</f>
        <v>["ELIGIBLE"]</v>
      </c>
    </row>
    <row r="603">
      <c r="A603" s="24" t="str">
        <f>IFERROR(__xludf.DUMMYFUNCTION("""COMPUTED_VALUE"""),"A multimetric diatom index to assess the ecological status of coastal Galician rivers (NW Spain)")</f>
        <v>A multimetric diatom index to assess the ecological status of coastal Galician rivers (NW Spain)</v>
      </c>
      <c r="B603" s="24" t="str">
        <f>IFERROR(__xludf.DUMMYFUNCTION("""COMPUTED_VALUE"""),"There are many rivers in northwest Spain as a consequence of the mountainous landscape and the granitic geology subjected to Atlantic influences. Water and epilithic diatoms samples were collected at 72 sites in Galicia flowing into the Atlantic Ocean and"&amp;" Cantabrian Sea in summer 2002-2003 and spring 2004. These sites included minimally disturbed sites, defined as reference sites, and impacted sites which were influenced by different human pressures. We used the diatom assemblages to calculate diatom indi"&amp;"ces using the Omnidia software, but we also developed new metrics based on the similarity of species composition in reference sites. The response of the metrics was tested in relation to physicochemical variables. We developed a diatom multimetric index ("&amp;"MDIAT) as a combination of metric values. The sensitivity of the MDIAT to organic and nutrient stressors supports the use of this index to classify the ecological status of Galician rivers. The MDIAT showed higher correlations with some variables and nutr"&amp;"ients than the individual metrics. According to the MDIAT, 69% of the sites sampled in Galician coastal rivers achieve good ecological status. The MDIAT has been developed specifically for Galician granitic rivers (NW Spain), and has been intercalibrated "&amp;"at the European level in the Central Baltic Rivers GIG. Our study validates the application of this multimetric index to evaluate the water quality in coastal Galician rivers.")</f>
        <v>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v>
      </c>
      <c r="C603" s="24" t="str">
        <f>IFERROR(__xludf.DUMMYFUNCTION("""COMPUTED_VALUE"""),"10.1007/s10750-010-0206-y")</f>
        <v>10.1007/s10750-010-0206-y</v>
      </c>
      <c r="D603" s="24" t="str">
        <f>IFERROR(__xludf.DUMMYFUNCTION("""COMPUTED_VALUE"""),"Keck et al")</f>
        <v>Keck et al</v>
      </c>
      <c r="E603" s="24" t="str">
        <f>IFERROR(__xludf.DUMMYFUNCTION("""COMPUTED_VALUE"""),"WOS:000276071600027")</f>
        <v>WOS:000276071600027</v>
      </c>
      <c r="F603" s="24" t="str">
        <f>IFERROR(__xludf.DUMMYFUNCTION("""COMPUTED_VALUE"""),"[""ELIGIBLE""]")</f>
        <v>["ELIGIBLE"]</v>
      </c>
    </row>
    <row r="604">
      <c r="A604" s="24" t="str">
        <f>IFERROR(__xludf.DUMMYFUNCTION("""COMPUTED_VALUE"""),"Ocean acidification alters zooplankton communities and increases top-down pressure of a cubozoan predator")</f>
        <v>Ocean acidification alters zooplankton communities and increases top-down pressure of a cubozoan predator</v>
      </c>
      <c r="B604" s="24" t="str">
        <f>IFERROR(__xludf.DUMMYFUNCTION("""COMPUTED_VALUE"""),"The composition of local ecological communities is determined by the members of the regional community that are able to survive the abiotic and biotic conditions of a local ecosystem. Anthropogenic activities since the industrial revolution have increased"&amp;" atmospheric CO2 concentrations, which have in turn decreased ocean pH and altered carbonate ion concentrations: so called ocean acidification (OA). Single-species experiments have shown how OA can dramatically affect zooplankton development, physiology a"&amp;"nd skeletal mineralization status, potentially reducing their defensive function and altering their predatory and antipredatory behaviors. This means that increased OA may indirectly alter the biotic conditions by modifying trophic interactions. We invest"&amp;"igated how OA affects the impact of a cubozoan predator on their zooplankton prey, predominantly Copepoda, Pleocyemata, Dendrobranchiata, and Amphipoda. Experimental conditions were set at either current (pCO(2) 370 latm) or end-of-the-century OA (pCO(2) "&amp;"1,100 latm) scenarios, crossed in an orthogonal experimental design with the presence/absence of the cubozoan predator Carybdea rastoni. The combined effects of exposure to OA and predation by C. rastoni caused greater shifts in community structure, and g"&amp;"reater reductions in the abundance of key taxa than would be predicted from combining the effect of each stressor in isolation. Specifically, we show that in the combined presence of OA and a cubozoan predator, populations of the most abundant member of t"&amp;"he zooplankton community (calanoid copepods) were reduced 27% more than it would be predicted based on the effects of these stressors in isolation, suggesting that OA increases the susceptibility of plankton to predation. Our results indicate that the eco"&amp;"logical consequences of OA may be greater than predicted from single-species experiments, and highlight the need to understand future marine global change from a community perspective.")</f>
        <v>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v>
      </c>
      <c r="C604" s="24" t="str">
        <f>IFERROR(__xludf.DUMMYFUNCTION("""COMPUTED_VALUE"""),"10.1111/gcb.13849")</f>
        <v>10.1111/gcb.13849</v>
      </c>
      <c r="D604" s="24" t="str">
        <f>IFERROR(__xludf.DUMMYFUNCTION("""COMPUTED_VALUE"""),"Keck et al")</f>
        <v>Keck et al</v>
      </c>
      <c r="E604" s="24" t="str">
        <f>IFERROR(__xludf.DUMMYFUNCTION("""COMPUTED_VALUE"""),"WOS:000426506100011")</f>
        <v>WOS:000426506100011</v>
      </c>
      <c r="F604" s="24" t="str">
        <f>IFERROR(__xludf.DUMMYFUNCTION("""COMPUTED_VALUE"""),"[""ELIGIBLE""]")</f>
        <v>["ELIGIBLE"]</v>
      </c>
    </row>
    <row r="605">
      <c r="A605" s="24" t="str">
        <f>IFERROR(__xludf.DUMMYFUNCTION("""COMPUTED_VALUE"""),"Forest type interacts with milkweed invasion to affect spider communities")</f>
        <v>Forest type interacts with milkweed invasion to affect spider communities</v>
      </c>
      <c r="B605" s="24" t="str">
        <f>IFERROR(__xludf.DUMMYFUNCTION("""COMPUTED_VALUE"""),"1. Non-native tree plantations constitute a large part of forestation worldwide. Plantations are prone to invasion by exotic herbaceous plant species due to habitat properties, including understory vegetation structure. 2. We established 40 sampling sites"&amp;" in 10 plantation forests. Sites were selected according to tree species (native poplar forests and exotic pine plantations) and common milkweed (Asclepias syriaca) density (invaded and noninvaded sites) in a full factorial design. We collected spiders wi"&amp;"th pitfall traps. 3. We found a significant effect of A. syriaca invasion on spider functional diversity (Rao's quadratic entropy), with invaded sites having a lower functional diversity than non-invaded sites. A larger effect of invasion with A. syriaca "&amp;"on the RaoQ of spiders was observed in pine compared to poplar plantations. Spider species were larger, and web-building spiders were more frequent in poplar forests than in pine plantations. We found no effect of A. syriaca invasion on species richness o"&amp;"r abundance of spiders. 4. Species composition of spider assemblages in the two forest types was clearly separated according to non-metric multidimensional scaling. We identified seven species associated with pine plantations and six species associated wi"&amp;"th poplar plantations. 5. The similar species richness and the higher functional diversity of noninvaded sites suggested that these trait states were less similar than invaded sites and that functionally different species were present. In contrast, the in"&amp;"vaded sites had lower functional diversities and thus more uniform trait state compositions, suggesting that environmental filtering played an important role in species sorting, making invaded plantations low-quality secondary habitats for the original sp"&amp;"ider fauna.")</f>
        <v>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v>
      </c>
      <c r="C605" s="24" t="str">
        <f>IFERROR(__xludf.DUMMYFUNCTION("""COMPUTED_VALUE"""),"10.1111/icad.12346")</f>
        <v>10.1111/icad.12346</v>
      </c>
      <c r="D605" s="24" t="str">
        <f>IFERROR(__xludf.DUMMYFUNCTION("""COMPUTED_VALUE"""),"Keck et al")</f>
        <v>Keck et al</v>
      </c>
      <c r="E605" s="24" t="str">
        <f>IFERROR(__xludf.DUMMYFUNCTION("""COMPUTED_VALUE"""),"WOS:000497768200007")</f>
        <v>WOS:000497768200007</v>
      </c>
      <c r="F605" s="24" t="str">
        <f>IFERROR(__xludf.DUMMYFUNCTION("""COMPUTED_VALUE"""),"[""ELIGIBLE""]")</f>
        <v>["ELIGIBLE"]</v>
      </c>
    </row>
    <row r="606">
      <c r="A606" s="24" t="str">
        <f>IFERROR(__xludf.DUMMYFUNCTION("""COMPUTED_VALUE"""),"Characterizing Community Structure of Benthic Infauna From the Continental Slope of the Southern California Bight")</f>
        <v>Characterizing Community Structure of Benthic Infauna From the Continental Slope of the Southern California Bight</v>
      </c>
      <c r="B606" s="24" t="str">
        <f>IFERROR(__xludf.DUMMYFUNCTION("""COMPUTED_VALUE"""),"Infauna are an ecologically important component of marine benthic ecosystems and are the most common faunal assemblage used to assess habitat quality. Compared to the shallower waters of the continental shelf, less is known about the benthic fauna from th"&amp;"e continental slope, especially how the communities are structured by natural gradients and anthropogenic stressors. The present study was conceived to rectify these data gaps and characterize the natural, baseline structure of the benthic infauna of the "&amp;"upper continental slope (200-100 m) of the Southern California Bight. We aggregated benthic infauna, sediment composition, and sediment chemistry data from different surveys across the Southern California Bight region (750 samples from 347 sites) collecte"&amp;"d between 1972 and 2016. We defined 208 samples to be in reference condition based upon sediment chemistry and proximity to known anthropogenic disturbances. Cluster analysis of the reference samples was used to identify distinct assemblages and the abiot"&amp;"ic characteristics associated with each cluster were then used to define habitat characteristics for each assemblage. Three habitats were identified, delineated by geography, depth, and sediment composition. Across the habitats, there were detectable chan"&amp;"ges in community composition of the non-disturbed fauna through time. However, the uniqueness of the habitats was persistent, as the fauna from each habitat remained taxonomically distinct from irrespective of the decade of their collection. Within each h"&amp;"abitat, subtle, assemblage-scale responses to disturbance could be detected, but no consistent patterns could be identified among the component taxa. As with the non-disturbed samples, there were compositional changes in the fauna of the disturbed samples"&amp;" through time. Despite the changes, fauna from disturbed and non-disturbed samples remained taxonomically distinct from each other within each decade of the dataset. After considering both the spatial and temporal patterns in the fauna of slope ecosystem,"&amp;" it became apparent that there was a high degree of stochasticity in the taxonomic organization of all three habitats. This would suggest that the benthic fauna from these communities may be neutrally organized, which in turn poses interesting challenges "&amp;"for future development of condition assessment tools based upon the benthic fauna in these habitats.")</f>
        <v>Infauna are an ecologically important component of marine benthic ecosystems and are the most common faunal assemblage used to assess habitat quality. Compared to the shallower waters of the continental shelf, less is known about the benthic fauna from the continental slope, especially how the communities are structured by natural gradients and anthropogenic stressors. The present study was conceived to rectify these data gaps and characterize the natural, baseline structure of the benthic infauna of the upper continental slope (200-100 m) of the Southern California Bight. We aggregated benthic infauna, sediment composition, and sediment chemistry data from different surveys across the Southern California Bight region (750 samples from 347 sites) collected between 1972 and 2016. We defined 208 samples to be in reference condition based upon sediment chemistry and proximity to known anthropogenic disturbances. Cluster analysis of the reference samples was used to identify distinct assemblages and the abiotic characteristics associated with each cluster were then used to define habitat characteristics for each assemblage. Three habitats were identified, delineated by geography, depth, and sediment composition. Across the habitats, there were detectable changes in community composition of the non-disturbed fauna through time. However, the uniqueness of the habitats was persistent, as the fauna from each habitat remained taxonomically distinct from irrespective of the decade of their collection. Within each habitat, subtle, assemblage-scale responses to disturbance could be detected, but no consistent patterns could be identified among the component taxa. As with the non-disturbed samples, there were compositional changes in the fauna of the disturbed samples through time. Despite the changes, fauna from disturbed and non-disturbed samples remained taxonomically distinct from each other within each decade of the dataset. After considering both the spatial and temporal patterns in the fauna of slope ecosystem, it became apparent that there was a high degree of stochasticity in the taxonomic organization of all three habitats. This would suggest that the benthic fauna from these communities may be neutrally organized, which in turn poses interesting challenges for future development of condition assessment tools based upon the benthic fauna in these habitats.</v>
      </c>
      <c r="C606" s="24" t="str">
        <f>IFERROR(__xludf.DUMMYFUNCTION("""COMPUTED_VALUE"""),"10.3389/fmars.2021.605858")</f>
        <v>10.3389/fmars.2021.605858</v>
      </c>
      <c r="D606" s="24" t="str">
        <f>IFERROR(__xludf.DUMMYFUNCTION("""COMPUTED_VALUE"""),"Keck et al")</f>
        <v>Keck et al</v>
      </c>
      <c r="E606" s="24" t="str">
        <f>IFERROR(__xludf.DUMMYFUNCTION("""COMPUTED_VALUE"""),"WOS:000616937400001")</f>
        <v>WOS:000616937400001</v>
      </c>
      <c r="F606" s="24" t="str">
        <f>IFERROR(__xludf.DUMMYFUNCTION("""COMPUTED_VALUE"""),"[""ELIGIBLE""]")</f>
        <v>["ELIGIBLE"]</v>
      </c>
    </row>
    <row r="607">
      <c r="A607" s="24" t="str">
        <f>IFERROR(__xludf.DUMMYFUNCTION("""COMPUTED_VALUE"""),"Recent invasion of Didymosphenia geminata (Lyngbye) M. Schmidt in a Patagonian regulated river promotes changes in composition and density of macroinvertebrate community")</f>
        <v>Recent invasion of Didymosphenia geminata (Lyngbye) M. Schmidt in a Patagonian regulated river promotes changes in composition and density of macroinvertebrate community</v>
      </c>
      <c r="B607" s="24" t="str">
        <f>IFERROR(__xludf.DUMMYFUNCTION("""COMPUTED_VALUE"""),"Didymosphenia geminata is a stalked freshwater diatom, which forms large blooms in ultra-oligotrophic conditions, and it has been declared a nuisance species in many lotic systems worldwide. Its presence is verified in Argentine Patagonia since 2010. To u"&amp;"nderstand the differences in the community of macroinvertebrates between non-invaded sites and D. geminata blooms, three non-invaded sites and three sites with 80-90% blooms coverage were sampled seasonally at Futaleufu River. Physical and chemical variab"&amp;"les (pH, suspended solids, total dissolved solids, conductivity, dissolved oxygen, and nutrients) showed no significant differences between sites. Sites with D. geminata blooms were associated with significantly higher values of periphyton biomass and chl"&amp;"orophyll a. Macroinvertebrate community differed between D. geminata infected sites and sites with native periphyton. Higher total macroinvertebrate density, higher tolerant groups (Orthocladiinae and non-insect taxa) density, and total richness were foun"&amp;"d in the presence of blooms. Trophic structure changed at D. geminata blooms, where shredders and collector-gatherers increased in abundance. The diatom blooms may constitute a new complex micro-habitat that provides refuge from harsh current and predator"&amp;"s, as well as new foraging opportunities, producing a bottom-up effect on the benthic community.")</f>
        <v>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v>
      </c>
      <c r="C607" s="24" t="str">
        <f>IFERROR(__xludf.DUMMYFUNCTION("""COMPUTED_VALUE"""),"10.1007/s10530-020-02230-8")</f>
        <v>10.1007/s10530-020-02230-8</v>
      </c>
      <c r="D607" s="24" t="str">
        <f>IFERROR(__xludf.DUMMYFUNCTION("""COMPUTED_VALUE"""),"Keck et al")</f>
        <v>Keck et al</v>
      </c>
      <c r="E607" s="24" t="str">
        <f>IFERROR(__xludf.DUMMYFUNCTION("""COMPUTED_VALUE"""),"WOS:000515971700005")</f>
        <v>WOS:000515971700005</v>
      </c>
      <c r="F607" s="24" t="str">
        <f>IFERROR(__xludf.DUMMYFUNCTION("""COMPUTED_VALUE"""),"[""ELIGIBLE""]")</f>
        <v>["ELIGIBLE"]</v>
      </c>
    </row>
    <row r="608">
      <c r="A608" s="24" t="str">
        <f>IFERROR(__xludf.DUMMYFUNCTION("""COMPUTED_VALUE"""),"Fishers' knowledge identifies environmental changes and fish abundance trends in impounded tropical rivers")</f>
        <v>Fishers' knowledge identifies environmental changes and fish abundance trends in impounded tropical rivers</v>
      </c>
      <c r="B608" s="24" t="str">
        <f>IFERROR(__xludf.DUMMYFUNCTION("""COMPUTED_VALUE"""),"The long-term impacts of large hydroelectric dams on small-scale fisheries in tropical rivers are poorly known. A promising way to investigate such impacts is to compare and integrate the local ecological knowledge (LEK) of resource users with biological "&amp;"data for the same region. We analyzed the accuracy of fishers' LEK to investigate fisheries dynamics and environmental changes in the Lower Tocantins River (Brazilian Amazon) downstream from a large dam. We estimated fishers' LEK through interviews with 3"&amp;"00 fishers in nine villages and collected data on 601 fish landings in five of these villages, 22 years after the dam's establishment (2006-2008). We compared these two databases with each other and with data on fish landings from before the dam's establi"&amp;"shment (1981) gathered from the literature. The data obtained based on the fishers' LEK (interviews) and from fisheries agreed regarding the primary fish species caught, the most commonly used type of fishing gear (gill nets) and even the most often used "&amp;"gill net mesh sizes but disagreed regarding seasonal fish abundance. According to the interviewed fishers, the primary environmental changes that occurred after the impoundment were an overall decrease in fish abundance, an increase in the abundance of so"&amp;"me fish species and, possibly, the local extinction of a commercial fish species (Semaprochilodus brama). These changes were corroborated by comparing fish landings sampled before and 22 years after the impoundment, which indicated changes in the composit"&amp;"ion of fish landings and a decrease in the total annual fish production. Our results reinforce the hypothesis that large dams may adversely affect small-scale fisheries downstream and establish a feasible approach for applying fishers' LEK to fisheries ma"&amp;"nagement, especially in regions with a low research capacity.")</f>
        <v>The long-term impacts of large hydroelectric dams on small-scale fisheries in tropical rivers are poorly known. A promising way to investigate such impacts is to compare and integrate the local ecological knowledge (LEK) of resource users with biological data for the same region. We analyzed the accuracy of fishers' LEK to investigate fisheries dynamics and environmental changes in the Lower Tocantins River (Brazilian Amazon) downstream from a large dam. We estimated fishers' LEK through interviews with 300 fishers in nine villages and collected data on 601 fish landings in five of these villages, 22 years after the dam's establishment (2006-2008). We compared these two databases with each other and with data on fish landings from before the dam's establishment (1981) gathered from the literature. The data obtained based on the fishers' LEK (interviews) and from fisheries agreed regarding the primary fish species caught, the most commonly used type of fishing gear (gill nets) and even the most often used gill net mesh sizes but disagreed regarding seasonal fish abundance. According to the interviewed fishers, the primary environmental changes that occurred after the impoundment were an overall decrease in fish abundance, an increase in the abundance of some fish species and, possibly, the local extinction of a commercial fish species (Semaprochilodus brama). These changes were corroborated by comparing fish landings sampled before and 22 years after the impoundment, which indicated changes in the composition of fish landings and a decrease in the total annual fish production. Our results reinforce the hypothesis that large dams may adversely affect small-scale fisheries downstream and establish a feasible approach for applying fishers' LEK to fisheries management, especially in regions with a low research capacity.</v>
      </c>
      <c r="C608" s="24" t="str">
        <f>IFERROR(__xludf.DUMMYFUNCTION("""COMPUTED_VALUE"""),"10.1890/12-0429.1")</f>
        <v>10.1890/12-0429.1</v>
      </c>
      <c r="D608" s="24" t="str">
        <f>IFERROR(__xludf.DUMMYFUNCTION("""COMPUTED_VALUE"""),"Keck et al")</f>
        <v>Keck et al</v>
      </c>
      <c r="E608" s="24" t="str">
        <f>IFERROR(__xludf.DUMMYFUNCTION("""COMPUTED_VALUE"""),"WOS:000316559800011")</f>
        <v>WOS:000316559800011</v>
      </c>
      <c r="F608" s="24" t="str">
        <f>IFERROR(__xludf.DUMMYFUNCTION("""COMPUTED_VALUE"""),"[""ELIGIBLE""]")</f>
        <v>["ELIGIBLE"]</v>
      </c>
    </row>
    <row r="609">
      <c r="A609" s="24" t="str">
        <f>IFERROR(__xludf.DUMMYFUNCTION("""COMPUTED_VALUE"""),"Response of bacterial communities and plant-mediated soil processes to nitrogen deposition and precipitation in a desert steppe")</f>
        <v>Response of bacterial communities and plant-mediated soil processes to nitrogen deposition and precipitation in a desert steppe</v>
      </c>
      <c r="B609" s="24" t="str">
        <f>IFERROR(__xludf.DUMMYFUNCTION("""COMPUTED_VALUE"""),"Background and aims Changes in nitrogen (N) and precipitation levels can substantially alter soil properties and plant growth, thereby altering soil microbial diversity and functionality. Method We used manipulated precipitation treatments (50% reduction,"&amp;" control, and plus 50%) and tested two N fertilization levels (control and plus 35 kg N ha(-1) yr(-1)) from a 4-year field experiment to evaluate the effects on soil bacterial diversity, community composition, and N-cycle gene abundance. Results N additio"&amp;"ns significantly increased ammonia-oxidizing bacterial abundance (via AOB-amoA) but decreased denitrification genes (i.e., nirS and nosZ). Decreased precipitation significantly decreased the abundance of N-cycle genes (AOB-amoA, nirS, and nosZ), while inc"&amp;"reased precipitation conversely increased the abundance of these same genes. Decreased precipitation led to differences in the microbial community composition that favored drought resistance, indicating that plant-associated microbiomes may be able to mod"&amp;"ulate plant growth fitness in the context of extreme environmental conditions. N additions substantially altered soil bacterial communities, increasing the relative abundance of certain bacteria and of nitrification-related genes in a manner that depended"&amp;" on precipitation fluctuations. Conclusions Differences in the bacterial community composition and N-cycle genes determined the functional response of a grassland ecosystem to decreased precipitation conditions, and therefore could affect the influence of"&amp;" N deposition on plant growth as well as the physical and chemical properties of the soil.")</f>
        <v>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v>
      </c>
      <c r="C609" s="24" t="str">
        <f>IFERROR(__xludf.DUMMYFUNCTION("""COMPUTED_VALUE"""),"10.1007/s11104-020-04424-4")</f>
        <v>10.1007/s11104-020-04424-4</v>
      </c>
      <c r="D609" s="24" t="str">
        <f>IFERROR(__xludf.DUMMYFUNCTION("""COMPUTED_VALUE"""),"Keck et al")</f>
        <v>Keck et al</v>
      </c>
      <c r="E609" s="24" t="str">
        <f>IFERROR(__xludf.DUMMYFUNCTION("""COMPUTED_VALUE"""),"WOS:000508718600001")</f>
        <v>WOS:000508718600001</v>
      </c>
      <c r="F609" s="24" t="str">
        <f>IFERROR(__xludf.DUMMYFUNCTION("""COMPUTED_VALUE"""),"[""ELIGIBLE""]")</f>
        <v>["ELIGIBLE"]</v>
      </c>
    </row>
    <row r="610">
      <c r="A610" s="24" t="str">
        <f>IFERROR(__xludf.DUMMYFUNCTION("""COMPUTED_VALUE"""),"Functional responses of Odonata larvae to human disturbances in neotropical savanna headwater streams")</f>
        <v>Functional responses of Odonata larvae to human disturbances in neotropical savanna headwater streams</v>
      </c>
      <c r="B610" s="24" t="str">
        <f>IFERROR(__xludf.DUMMYFUNCTION("""COMPUTED_VALUE"""),"Headwater streams are facing increasing disturbances from human pressures worldwide, thus better knowledge about bioindicators, particularly aquatic insect responses to various pressures and stressors, are urgently needed. Multiple trait-based approaches "&amp;"consider species attributes filtered by the environment, allowing them to persist in ecosystems under environmental pressures. Because this approach has been minimally explored in Odonata larvae, we aimed to understand how anthropogenic stressors structur"&amp;"e Odonata larval assemblages in neotropical savanna streams by using multiple trait-based approaches. We hypothesized that a set of stressors-such as reduced substrate heterogeneity, poor water quality, natural land cover converted to pasture and agricult"&amp;"ure, and reduced local riparian canopy cover-select Odonata functional traits. We collected 3209 Odonata larvae from 186 neotropical savanna headwater stream sites and used 39 environmental variables and seven traits in 23 categories related to their func"&amp;"tional roles in Odonata genera. To assess associations between trait categories and environmental variables, we applied RLQ and fourth-corner statistical analyses. We found strong relationships between environmental variables and sets of Odonata biologica"&amp;"l traits that were separated into two main groups. Zygoptera genera (Perilestes, Allopodagrion, Heliocharis, Argia, Epipleoneura, Mnesarete/Hetaerina, Psaironeura) have elongated body shapes, caudal lamellae respiration, conforming thermoregulation, and e"&amp;"ndophytic oviposition. Such traits favor assemblages in conditions similar to reference streams, including denser riparian vegetation, good water quality, and diverse flows and substrate. Therefore, they are more sensitive to changes in those conditions. "&amp;"On the other hand, Anisoptera genera (Gomphoides, Archaeogomphus, Macrothemis, Brechmorhoga, Gynothemis, Phyllocycla) have cylindrical body shapes, internal gill respiration, endothermic thermoregulation, and burrowing behavior. Those traits facilitate th"&amp;"eir survival in intermediate or disturbed stream sites, characterized by riparian deforestation, increased erosion and siltation, and higher levels of total dissolved solids and conductivity. Therefore, using Odonata larval traits can be a valuable tool f"&amp;"or assessing and monitoring anthropogenic impacts on neotropical savanna streams.")</f>
        <v>Headwater streams are facing increasing disturbances from human pressures worldwide, thus better knowledge about bioindicators, particularly aquatic insect responses to various pressures and stressors, are urgently needed. Multiple trait-based approaches consider species attributes filtered by the environment, allowing them to persist in ecosystems under environmental pressures. Because this approach has been minimally explored in Odonata larvae, we aimed to understand how anthropogenic stressors structure Odonata larval assemblages in neotropical savanna streams by using multiple trait-based approaches. We hypothesized that a set of stressors-such as reduced substrate heterogeneity, poor water quality, natural land cover converted to pasture and agriculture, and reduced local riparian canopy cover-select Odonata functional traits. We collected 3209 Odonata larvae from 186 neotropical savanna headwater stream sites and used 39 environmental variables and seven traits in 23 categories related to their functional roles in Odonata genera. To assess associations between trait categories and environmental variables, we applied RLQ and fourth-corner statistical analyses. We found strong relationships between environmental variables and sets of Odonata biological traits that were separated into two main groups. Zygoptera genera (Perilestes, Allopodagrion, Heliocharis, Argia, Epipleoneura, Mnesarete/Hetaerina, Psaironeura) have elongated body shapes, caudal lamellae respiration, conforming thermoregulation, and endophytic oviposition. Such traits favor assemblages in conditions similar to reference streams, including denser riparian vegetation, good water quality, and diverse flows and substrate. Therefore, they are more sensitive to changes in those conditions. On the other hand, Anisoptera genera (Gomphoides, Archaeogomphus, Macrothemis, Brechmorhoga, Gynothemis, Phyllocycla) have cylindrical body shapes, internal gill respiration, endothermic thermoregulation, and burrowing behavior. Those traits facilitate their survival in intermediate or disturbed stream sites, characterized by riparian deforestation, increased erosion and siltation, and higher levels of total dissolved solids and conductivity. Therefore, using Odonata larval traits can be a valuable tool for assessing and monitoring anthropogenic impacts on neotropical savanna streams.</v>
      </c>
      <c r="C610" s="24" t="str">
        <f>IFERROR(__xludf.DUMMYFUNCTION("""COMPUTED_VALUE"""),"10.1016/j.ecolind.2021.108367")</f>
        <v>10.1016/j.ecolind.2021.108367</v>
      </c>
      <c r="D610" s="24" t="str">
        <f>IFERROR(__xludf.DUMMYFUNCTION("""COMPUTED_VALUE"""),"Keck et al")</f>
        <v>Keck et al</v>
      </c>
      <c r="E610" s="24" t="str">
        <f>IFERROR(__xludf.DUMMYFUNCTION("""COMPUTED_VALUE"""),"WOS:000719748000001")</f>
        <v>WOS:000719748000001</v>
      </c>
      <c r="F610" s="24" t="str">
        <f>IFERROR(__xludf.DUMMYFUNCTION("""COMPUTED_VALUE"""),"[""ELIGIBLE""]")</f>
        <v>["ELIGIBLE"]</v>
      </c>
    </row>
    <row r="611">
      <c r="A611" s="24" t="str">
        <f>IFERROR(__xludf.DUMMYFUNCTION("""COMPUTED_VALUE"""),"Implications of Community-Based Management of Marine Reserves in the Philippines for Reef Fish Communities and Biodiversity")</f>
        <v>Implications of Community-Based Management of Marine Reserves in the Philippines for Reef Fish Communities and Biodiversity</v>
      </c>
      <c r="B611" s="24" t="str">
        <f>IFERROR(__xludf.DUMMYFUNCTION("""COMPUTED_VALUE"""),"Overfishing and destructive fishing practices are major threats to marine biodiversity in the Philippines, where over 1.9 million small-scale fishers are supported by these biodiverse marine communities. Nearly 50% of all marine fish capture in the Philip"&amp;"pines is from artisanal fisheries, with much of it not reported or under-reported. Marine reserves, where fishing is prohibited have been created in many local government units to help restore and preserve this biodiversity. The success of these marine re"&amp;"serves is still under serious debate with effective management still representing a significant challenge. The lack of a governance system to centrally managed marine reserves has resulted in non-governmental organizations developing community-based manag"&amp;"ement schemes. Using independent fisheries data from Rare's Fish Forever program, we applied PERMANOVA, SIMPER and biodiversity index analyses to evaluate the community structure of reef fish in 20 sites within the Philippines. We analyzed the differences"&amp;" in fish assemblage inside and outside of these marine reserves, before and after community-based management had been implemented. We provide evidence that: (i) fish community structure changes within marine reserves after community-based management strat"&amp;"egies are implemented; and (ii) community-based management of marine fisheries resources protects and promotes biodiversity inside, and in some cases, outside marine reserves. Variability across sites suggests that other social or ecological factors may b"&amp;"e influencing the ability of marine reserves to fully protect biodiversity and marine resources. Small-scale fishers in the Philippines participate in mixed-catch harvests and depend on biodiversity and reef community structure for their livelihoods. Thus"&amp;", this work has implications on how community-based management strategies for marine reserves and adjacent waters may be beneficial for the sustainability of small-scale fishers.")</f>
        <v>Overfishing and destructive fishing practices are major threats to marine biodiversity in the Philippines, where over 1.9 million small-scale fishers are supported by these biodiverse marine communities. Nearly 50% of all marine fish capture in the Philippines is from artisanal fisheries, with much of it not reported or under-reported. Marine reserves, where fishing is prohibited have been created in many local government units to help restore and preserve this biodiversity. The success of these marine reserves is still under serious debate with effective management still representing a significant challenge. The lack of a governance system to centrally managed marine reserves has resulted in non-governmental organizations developing community-based management schemes. Using independent fisheries data from Rare's Fish Forever program, we applied PERMANOVA, SIMPER and biodiversity index analyses to evaluate the community structure of reef fish in 20 sites within the Philippines. We analyzed the differences in fish assemblage inside and outside of these marine reserves, before and after community-based management had been implemented. We provide evidence that: (i) fish community structure changes within marine reserves after community-based management strategies are implemented; and (ii) community-based management of marine fisheries resources protects and promotes biodiversity inside, and in some cases, outside marine reserves. Variability across sites suggests that other social or ecological factors may be influencing the ability of marine reserves to fully protect biodiversity and marine resources. Small-scale fishers in the Philippines participate in mixed-catch harvests and depend on biodiversity and reef community structure for their livelihoods. Thus, this work has implications on how community-based management strategies for marine reserves and adjacent waters may be beneficial for the sustainability of small-scale fishers.</v>
      </c>
      <c r="C611" s="24" t="str">
        <f>IFERROR(__xludf.DUMMYFUNCTION("""COMPUTED_VALUE"""),"10.3389/fmars.2021.731675")</f>
        <v>10.3389/fmars.2021.731675</v>
      </c>
      <c r="D611" s="24" t="str">
        <f>IFERROR(__xludf.DUMMYFUNCTION("""COMPUTED_VALUE"""),"Keck et al")</f>
        <v>Keck et al</v>
      </c>
      <c r="E611" s="24" t="str">
        <f>IFERROR(__xludf.DUMMYFUNCTION("""COMPUTED_VALUE"""),"WOS:000726188400001")</f>
        <v>WOS:000726188400001</v>
      </c>
      <c r="F611" s="24" t="str">
        <f>IFERROR(__xludf.DUMMYFUNCTION("""COMPUTED_VALUE"""),"[""ELIGIBLE""]")</f>
        <v>["ELIGIBLE"]</v>
      </c>
    </row>
    <row r="612">
      <c r="A612" s="24" t="str">
        <f>IFERROR(__xludf.DUMMYFUNCTION("""COMPUTED_VALUE"""),"Responses of serpentine plants to pine invasion: Vegetation diversity and nickel accumulation in species with contrasting adaptive strategies")</f>
        <v>Responses of serpentine plants to pine invasion: Vegetation diversity and nickel accumulation in species with contrasting adaptive strategies</v>
      </c>
      <c r="B612" s="24" t="str">
        <f>IFERROR(__xludf.DUMMYFUNCTION("""COMPUTED_VALUE"""),"Introduction of non-native trees is one of the major threats to ecosystem integrity and biodiversity. Stands of maritime pine (Pinus pinaster Ait.) introduced decades ago represent a threat to the specialized plant communities of serpentine outcrops in It"&amp;"aly. This study investigates the effects of such invasions at the community and species level, based on vegetation sampling in three selected sites with comparable environmental conditions. Pine cover caused a decrease of alpha-diversity by lowering the s"&amp;"pecies evenness of the community, though species richness was not negatively affected. Compositional changes between the two habitats were significant but not clearly associated with a decrease in taxonomic distinctness in the pine stands. As many as nine"&amp;" indicator species were found in the open vegetation, along with the obligate endemics Odontarrhena bertolonii and Armeria denticulata. Both of them declined in the pine stands. Here, an increase in the phytoavailable nickel fraction was associated with a"&amp;" decrease in total nickel concentration in the soil, via mobilization of the metal caused by lowering of pH induced by the conifer litter. The nickel-hyperaccumulator O. bertolonii was able to maintain high metal concentrations in the shoots despite a dec"&amp;"rease in root concentration, resulting in a higher shoot/root ratio in the pine stands (similar to 20). Conversely, shoot/root ratio in the non-accumulator Plantago holosteumwas &lt;1 and not affected by the conifer, as well as its abundance in this anthropo"&amp;"genic habitat. Contrasting responses of the two species were likely due to their different sensitivity to modified light and soil conditions, whereas stability of shoot nickel-concentration in O. bertolonii did not support increased predation by natural e"&amp;"nemies as one of the causes for its decline under the conifer. Progressive thinning of these stands is advocated to limit soil nickel mobilization and to restore a unique ecosystem with its endemic metallophytes. (C) 2017 Elsevier B. V. All rights reserve"&amp;"d.")</f>
        <v>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v>
      </c>
      <c r="C612" s="24" t="str">
        <f>IFERROR(__xludf.DUMMYFUNCTION("""COMPUTED_VALUE"""),"10.1016/j.scitotenv.2017.03.249")</f>
        <v>10.1016/j.scitotenv.2017.03.249</v>
      </c>
      <c r="D612" s="24" t="str">
        <f>IFERROR(__xludf.DUMMYFUNCTION("""COMPUTED_VALUE"""),"Keck et al")</f>
        <v>Keck et al</v>
      </c>
      <c r="E612" s="24" t="str">
        <f>IFERROR(__xludf.DUMMYFUNCTION("""COMPUTED_VALUE"""),"WOS:000401556800009")</f>
        <v>WOS:000401556800009</v>
      </c>
      <c r="F612" s="24" t="str">
        <f>IFERROR(__xludf.DUMMYFUNCTION("""COMPUTED_VALUE"""),"[""ELIGIBLE""]")</f>
        <v>["ELIGIBLE"]</v>
      </c>
    </row>
    <row r="613">
      <c r="A613" s="24" t="str">
        <f>IFERROR(__xludf.DUMMYFUNCTION("""COMPUTED_VALUE"""),"Structure, distribution patterns and ecological responses to hydrological changes in benthic macroinvertebrate assemblages in a regulated semi-arid river: baseline for biomonitoring studies")</f>
        <v>Structure, distribution patterns and ecological responses to hydrological changes in benthic macroinvertebrate assemblages in a regulated semi-arid river: baseline for biomonitoring studies</v>
      </c>
      <c r="B613" s="24" t="str">
        <f>IFERROR(__xludf.DUMMYFUNCTION("""COMPUTED_VALUE"""),"Biological monitoring requires a comprehensive baseline of assemblage distribution patterns and their environmental drivers. In this study we evaluated benthic macroinvertebrates in a regulated river, located in a semi-arid region, which has a seasonal fl"&amp;"ood pulse and is affected by several anthropogenic pressures. Taxonomic and trophic structures of benthic macroinvertebrate assemblages were analysed in terms of their longitudinal distribution, hydrological regime and environmental factors, including the"&amp;" effects of hydromorphology, riparian land use and water abstraction. Most taxa were generalists and classified in the collector-gatherer functional feeding group. A large taxonomic replacement was associated with hydromorphological characteristics. Local"&amp;" environmental variables were critical for macroinvertebrate assemblages. There was significant temporal variability regarding seasonal flood pulse. Water abstraction for irrigation had a strong effect on assemblage structure. We suggest some challenges a"&amp;"nd issues for successful implementation of biomonitoring tools in the Dulce River, related primarily to high spatiotemporal variability.")</f>
        <v>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v>
      </c>
      <c r="C613" s="24" t="str">
        <f>IFERROR(__xludf.DUMMYFUNCTION("""COMPUTED_VALUE"""),"10.1071/MF19283")</f>
        <v>10.1071/MF19283</v>
      </c>
      <c r="D613" s="24" t="str">
        <f>IFERROR(__xludf.DUMMYFUNCTION("""COMPUTED_VALUE"""),"Keck et al")</f>
        <v>Keck et al</v>
      </c>
      <c r="E613" s="24" t="str">
        <f>IFERROR(__xludf.DUMMYFUNCTION("""COMPUTED_VALUE"""),"WOS:000547956500001")</f>
        <v>WOS:000547956500001</v>
      </c>
      <c r="F613" s="24" t="str">
        <f>IFERROR(__xludf.DUMMYFUNCTION("""COMPUTED_VALUE"""),"[""ELIGIBLE""]")</f>
        <v>["ELIGIBLE"]</v>
      </c>
    </row>
    <row r="614">
      <c r="A614" s="24" t="str">
        <f>IFERROR(__xludf.DUMMYFUNCTION("""COMPUTED_VALUE"""),"Effects of triclosan on bacterial community composition and Vibrio populations in natural seawater microcosms")</f>
        <v>Effects of triclosan on bacterial community composition and Vibrio populations in natural seawater microcosms</v>
      </c>
      <c r="B614" s="24" t="str">
        <f>IFERROR(__xludf.DUMMYFUNCTION("""COMPUTED_VALUE"""),"Pharmaceuticals and personal care products, including antimicrobials, can be found at trace levels in treated wastewater effluent. Impacts of chemical contaminants on coastal aquatic microbial community structure and pathogen abundance are unknown despite"&amp;" the potential for selection through antimicrobial resistance. In particular, Vibrio, a marine bacterial genus that includes several human pathogens, displays resistance to the ubiquitous antimicrobial compound triclosan. Here we demonstrated through use "&amp;"of natural seawater microcosms that triclosan (at a concentration of similar to 5 ppm) can induce a significant Vibrio growth response (68-1,700 fold increases) in comparison with no treatment controls for three distinct coastal ecosystems: Looe Key Reef "&amp;"(Florida Keys National Marine Sanctuary), Doctors Arm Canal (Big Pine Key, FL), and Clam Bank Landing (North Inlet Estuary, Georgetown, SC). Additionally, microbial community analysis by 16 S rRNA gene sequencing for Looe Key Reef showed distinct changes "&amp;"in microbial -community structure with exposure to 5 ppm triclosan, with increases observed in the relative abundance of Vibrionaceae (17-fold), Pseudoalteromonadaceae (65-fold), Alteromonadaceae (108-fold), Colwelliaceae (430-fold), and Oceanospirillacea"&amp;"e (1,494-fold). While the triclosan doses tested were above concentrations typically observed in coastal surface waters, results identify bacterial families that are potentially resistant to triclosan and/or adapted to use triclosan as a carbon source. Th"&amp;"e results further suggest the potential for selection of Vibrio in coastal environments, especially sediments, where triclosan may accumulate at high levels.")</f>
        <v>Pharmaceuticals and personal care products, including antimicrobials, can be found at trace levels in treated wastewater effluent. Impacts of chemical contaminants on coastal aquatic microbial community structure and pathogen abundance are unknown despite the potential for selection through antimicrobial resistance. In particular, Vibrio, a marine bacterial genus that includes several human pathogens, displays resistance to the ubiquitous antimicrobial compound triclosan. Here we demonstrated through use of natural seawater microcosms that triclosan (at a concentration of similar to 5 ppm) can induce a significant Vibrio growth response (68-1,700 fold increases) in comparison with no treatment controls for three distinct coastal ecosystems: Looe Key Reef (Florida Keys National Marine Sanctuary), Doctors Arm Canal (Big Pine Key, FL), and Clam Bank Landing (North Inlet Estuary, Georgetown, SC). Additionally, microbial community analysis by 16 S rRNA gene sequencing for Looe Key Reef showed distinct changes in microbial -community structure with exposure to 5 ppm triclosan, with increases observed in the relative abundance of Vibrionaceae (17-fold), Pseudoalteromonadaceae (65-fold), Alteromonadaceae (108-fold), Colwelliaceae (430-fold), and Oceanospirillaceae (1,494-fold). While the triclosan doses tested were above concentrations typically observed in coastal surface waters, results identify bacterial families that are potentially resistant to triclosan and/or adapted to use triclosan as a carbon source. The results further suggest the potential for selection of Vibrio in coastal environments, especially sediments, where triclosan may accumulate at high levels.</v>
      </c>
      <c r="C614" s="24" t="str">
        <f>IFERROR(__xludf.DUMMYFUNCTION("""COMPUTED_VALUE"""),"10.1525/elementa.141")</f>
        <v>10.1525/elementa.141</v>
      </c>
      <c r="D614" s="24" t="str">
        <f>IFERROR(__xludf.DUMMYFUNCTION("""COMPUTED_VALUE"""),"Keck et al")</f>
        <v>Keck et al</v>
      </c>
      <c r="E614" s="24" t="str">
        <f>IFERROR(__xludf.DUMMYFUNCTION("""COMPUTED_VALUE"""),"WOS:000402118000001")</f>
        <v>WOS:000402118000001</v>
      </c>
      <c r="F614" s="24" t="str">
        <f>IFERROR(__xludf.DUMMYFUNCTION("""COMPUTED_VALUE"""),"[""ELIGIBLE""]")</f>
        <v>["ELIGIBLE"]</v>
      </c>
    </row>
    <row r="615">
      <c r="A615" s="24" t="str">
        <f>IFERROR(__xludf.DUMMYFUNCTION("""COMPUTED_VALUE"""),"Invasive lumbricid earthworms in northeastern North American forests and consequences for leaf-litter fauna")</f>
        <v>Invasive lumbricid earthworms in northeastern North American forests and consequences for leaf-litter fauna</v>
      </c>
      <c r="B615" s="24" t="str">
        <f>IFERROR(__xludf.DUMMYFUNCTION("""COMPUTED_VALUE"""),"Colonization of North America by exotic earthworms has been implicated in undesirable changes in soil structure, nutrient cycling, and biodiversity. Invasion by putative European earthworms has a long history in northeastern North America. Partly for this"&amp;" reason, factors that may be continuing to facilitate expansion of earthworm distributions and the consequences of earthworm spread in the Northeast get relatively little attention. We sampled earthworms and environmental attributes at 85 sites in central"&amp;" New York. We additionally sampled leaf-litter fauna at 25 of these sites. We detected no earthworms at 27 of 71 forested sites (38%). Forested sites without detectable earthworm populations were farther from the nearest road and had soils of lower pH tha"&amp;"n forested sites with earthworms. Proximity of the nearest road was strongly associated with earthworm diversity and abundance, and earthworm biomass was highest in low, moist areas. We found a strong, negative relationship between the biomass of earthwor"&amp;"ms and abundance of invertebrates in the litter layer. This association was likely mediated by the abundance of organic litter, which was lower at sites with high biomass of earthworms. Sites with only the putative native Bimastos (Dendrodrilus) rubidus h"&amp;"ad a high mass of leaf litter and large numbers of leaf litter animals despite high densities of this species. We believe that there is potential for further expansion of European earthworm taxa in the Northeast and strong evidence for negative consequenc"&amp;"es of this expansion. Additional regulations on activities that promote introduction may be necessary.")</f>
        <v>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v>
      </c>
      <c r="C615" s="24" t="str">
        <f>IFERROR(__xludf.DUMMYFUNCTION("""COMPUTED_VALUE"""),"10.1007/s10530-019-01959-1")</f>
        <v>10.1007/s10530-019-01959-1</v>
      </c>
      <c r="D615" s="24" t="str">
        <f>IFERROR(__xludf.DUMMYFUNCTION("""COMPUTED_VALUE"""),"Keck et al")</f>
        <v>Keck et al</v>
      </c>
      <c r="E615" s="24" t="str">
        <f>IFERROR(__xludf.DUMMYFUNCTION("""COMPUTED_VALUE"""),"WOS:000467649500020")</f>
        <v>WOS:000467649500020</v>
      </c>
      <c r="F615" s="24" t="str">
        <f>IFERROR(__xludf.DUMMYFUNCTION("""COMPUTED_VALUE"""),"[""ELIGIBLE""]")</f>
        <v>["ELIGIBLE"]</v>
      </c>
    </row>
    <row r="616">
      <c r="A616" s="24" t="str">
        <f>IFERROR(__xludf.DUMMYFUNCTION("""COMPUTED_VALUE"""),"Assessment of the impact of Atlantic bluefin tuna farming on Adriatic benthic habitats by analysing macroinvertebrate assemblage structure at family level")</f>
        <v>Assessment of the impact of Atlantic bluefin tuna farming on Adriatic benthic habitats by analysing macroinvertebrate assemblage structure at family level</v>
      </c>
      <c r="B616" s="24" t="str">
        <f>IFERROR(__xludf.DUMMYFUNCTION("""COMPUTED_VALUE"""),"The rapidly expanding Atlantic bluefin tuna fattening industry is characterized by high stock densities and a high input food biomass in the form of whole bait seafood. The environmental impact of this activity must be effectively monitored within a prope"&amp;"r sustainable development framework, to address concerns about the potential adverse effects. However, evaluation of monitoring tools for tuna farming has received less attention than other activities. Based on the principles of key taxa (Pocklington &amp; We"&amp;"lls, 1992), we tested the potential use of changes in benthic macroinvertebrate assemblages, polychaetes and amphipods for this purpose. Applying a non-parametric multivariate approach for monitoring the impact of this aquaculture activity on the benthic "&amp;"habitat, we checked for correlations with the physicochemical environmental variables of the sediment. A hierarchical spatial design was followed, using multiple controls. Amphipods and polychaetes showed dissimilarities between impacted and control locat"&amp;"ions, with significant differences for total assemblage structure at a taxonomic level of families. Total nitrogen (TN) and total sulfur (TS) concentrations were the variables best associated with these changes for amphipods, and d C-13 and total phosphor"&amp;"us (TP) were the best for polychaetes. However, total free sulfides (TFS) and TP were the chemical variables that best indicated the effects on sediment. Using tins approach, surrogating the whole benthic assemblage to a single taxocene, our data suggest "&amp;"that monitoring tuna farming impact by comparing the changes in amphipod and polychaete assemblages at family level could be an optimal procedure with an excellent cost/benefit ratio.")</f>
        <v>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v>
      </c>
      <c r="C616" s="24" t="str">
        <f>IFERROR(__xludf.DUMMYFUNCTION("""COMPUTED_VALUE"""),"10.12681/mms.2133")</f>
        <v>10.12681/mms.2133</v>
      </c>
      <c r="D616" s="24" t="str">
        <f>IFERROR(__xludf.DUMMYFUNCTION("""COMPUTED_VALUE"""),"Keck et al")</f>
        <v>Keck et al</v>
      </c>
      <c r="E616" s="24" t="str">
        <f>IFERROR(__xludf.DUMMYFUNCTION("""COMPUTED_VALUE"""),"WOS:000440187700011")</f>
        <v>WOS:000440187700011</v>
      </c>
      <c r="F616" s="24" t="str">
        <f>IFERROR(__xludf.DUMMYFUNCTION("""COMPUTED_VALUE"""),"[""ELIGIBLE""]")</f>
        <v>["ELIGIBLE"]</v>
      </c>
    </row>
    <row r="617">
      <c r="A617" s="24" t="str">
        <f>IFERROR(__xludf.DUMMYFUNCTION("""COMPUTED_VALUE"""),"Impacts of invasion by Dreissena polymorpha (Pallas, 1771) on the performance of macroinvertebrate assessment tools for eutrophication pressure in lakes")</f>
        <v>Impacts of invasion by Dreissena polymorpha (Pallas, 1771) on the performance of macroinvertebrate assessment tools for eutrophication pressure in lakes</v>
      </c>
      <c r="B617" s="24" t="str">
        <f>IFERROR(__xludf.DUMMYFUNCTION("""COMPUTED_VALUE"""),"Aquatic ecosystems are experiencing increasing disturbance from multiple stressors caused by anthropogenic activities. The potential for multiple stressors to modify each others' impacts is not well understood. Legislation such as the EU Water Framework D"&amp;"irective (WFD) requires the development of tools to assess human impacts in aquatic systems that incorporate ecological elements, such as macroinvertebrates. Nutrient enrichment and invasive species are major threats to freshwater systems. The invasive ze"&amp;"bra mussel Dreissena polymorpha is a conspicuous invader in freshwater aquatic systems in Europe and North America, and has been linked to drastic changes in macroinvertebrate communities and lake ecology. In 31 lake sites varying in nutrient pressure and"&amp;" in the presence or absence of D. polymorpha we tested three ecological quality assessment tools based on macroinvertebrate assemblages (% Sensitive Taxa to Total Phosphorus (TP), TP Score and Indicator Taxa Metric) and two basic ecological metrics. There"&amp;" were highly significant changes in macroinvertebrate diversity, structure, and composition associated with the invasion by D. polymorpha. While the three metrics performed consistently well in non-invaded systems, they lost explanatory power for eutrophi"&amp;"cation pressure in invaded systems. Our results suggest that metrics may need to be developed separately for invaded and non-invaded systems, and that the interaction between alien species and nutrient enrichment requires further investigation.")</f>
        <v>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v>
      </c>
      <c r="C617" s="24" t="str">
        <f>IFERROR(__xludf.DUMMYFUNCTION("""COMPUTED_VALUE"""),"10.1007/s10750-010-0391-8")</f>
        <v>10.1007/s10750-010-0391-8</v>
      </c>
      <c r="D617" s="24" t="str">
        <f>IFERROR(__xludf.DUMMYFUNCTION("""COMPUTED_VALUE"""),"Keck et al")</f>
        <v>Keck et al</v>
      </c>
      <c r="E617" s="24" t="str">
        <f>IFERROR(__xludf.DUMMYFUNCTION("""COMPUTED_VALUE"""),"WOS:000281026500019")</f>
        <v>WOS:000281026500019</v>
      </c>
      <c r="F617" s="24" t="str">
        <f>IFERROR(__xludf.DUMMYFUNCTION("""COMPUTED_VALUE"""),"[""ELIGIBLE""]")</f>
        <v>["ELIGIBLE"]</v>
      </c>
    </row>
    <row r="618">
      <c r="A618" s="24" t="str">
        <f>IFERROR(__xludf.DUMMYFUNCTION("""COMPUTED_VALUE"""),"Diatoms as indicators of isolated herbaceous wetland condition in Florida, USA")</f>
        <v>Diatoms as indicators of isolated herbaceous wetland condition in Florida, USA</v>
      </c>
      <c r="B618" s="24" t="str">
        <f>IFERROR(__xludf.DUMMYFUNCTION("""COMPUTED_VALUE"""),"Benthic, epiphytic, and phytoplanktonic diatoms, as well as soil and water physical-chemical parameters, were sampled from 70 small (average 0.86 ha) isolated depressional herbaceous wetlands located along a gradient of human disturbance in peninsular Flo"&amp;"rida to (1) compare diatom assemblage structure between algal types; (2) develop biological indicators of wetland condition; (3) examine synecological relationships between diatom structure and environmental variables, with the ultimate goal of developing"&amp;" an index of biological integrity using a single assemblage. Collected diatom samples were enumerated to 250 valves and identified to species or subspecies. An assessment of wetland condition was made using a landscape-scale human disturbance score (Lands"&amp;"cape Development Intensity index, LDI), calculated for each site using land use maps and GIS. Assemblages from both impaired and reference sites were compared using blocked multi-response permutation procedures, the percent similarity index, and visually "&amp;"examined using non-metric multidimensional scaling (NMDS). No ecologically significant compositional differences were found within sites. Mantel's test (Mantel's r = 0.29, p &lt; 0.0001) and NMDS (stress: 14.52, variance: 78.5%) identified epiphytic diatoms "&amp;"as the most responsive to human disturbance. Strong significant correlations (vertical bar r vertical bar(s)&gt; 0.50, p &lt; 0.05) were found between epiphytic NMDS site scores and soil pH, specific conductivity, water total phosphorous, and LDI, while soil pH"&amp;", water color, soil TP, and turbidity were also significantly correlated (p &lt; 0.05). Metrics to assess wetland condition were developed using epiphytic abundance data. Epiphytic taxa sensitive or tolerant to human landscape modification were identified us"&amp;"ing Indicator Species Analysis, and autecological indices relating diatom sensitivity to nutrients, pH, dissolved oxygen levels, saprobity, salinity, and trophic, status were calculated. Fourteen final metrics were identified, scored on an ordinal scale, "&amp;"and combined into the Diatom Index of Wetland Condition (DIWC). The DIWC was highly correlated with the disturbance score (Spearman's r(s) = -0.71, p &lt; 0.0001), although the results need to be validated. (C) 2006 Elsevier Ltd. All rights reserved.")</f>
        <v>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v>
      </c>
      <c r="C618" s="24" t="str">
        <f>IFERROR(__xludf.DUMMYFUNCTION("""COMPUTED_VALUE"""),"10.1016/j.ecolind.2006.06.001")</f>
        <v>10.1016/j.ecolind.2006.06.001</v>
      </c>
      <c r="D618" s="24" t="str">
        <f>IFERROR(__xludf.DUMMYFUNCTION("""COMPUTED_VALUE"""),"Keck et al")</f>
        <v>Keck et al</v>
      </c>
      <c r="E618" s="24" t="str">
        <f>IFERROR(__xludf.DUMMYFUNCTION("""COMPUTED_VALUE"""),"WOS:000246213900003")</f>
        <v>WOS:000246213900003</v>
      </c>
      <c r="F618" s="24" t="str">
        <f>IFERROR(__xludf.DUMMYFUNCTION("""COMPUTED_VALUE"""),"[""ELIGIBLE""]")</f>
        <v>["ELIGIBLE"]</v>
      </c>
    </row>
    <row r="619">
      <c r="A619" s="24" t="str">
        <f>IFERROR(__xludf.DUMMYFUNCTION("""COMPUTED_VALUE"""),"Impact of cage farming of cobia (Rachycentron canadum) on the benthic macrofauna in a tropical region")</f>
        <v>Impact of cage farming of cobia (Rachycentron canadum) on the benthic macrofauna in a tropical region</v>
      </c>
      <c r="B619" s="24" t="str">
        <f>IFERROR(__xludf.DUMMYFUNCTION("""COMPUTED_VALUE"""),"This study assessed the environmental impact of the cage culture of cobia (Rachycentron canadum) off the coast of Recife, northeastern Brazil. Fifteen thousand juveniles were reared in four 1200 m(3) floating cages for 9 months and fed with a 42% protein "&amp;"commercial feed. Sampling campaigns were held at the beginning, during and after harvest (February, August and December of 2011, respectively). Seven sampling stations were established transverse to the coastline, and a control was placed 200 m to the sou"&amp;"theast of the cages. Local hydrodynamics had an important role in dispersing the farming residues, which favored dispersion northeastwards. The area of direct impact of settling particles was estimated to be from 10 to 129 m from the cages. A significantl"&amp;"y higher concentration of total nitrogen in the intermediate and final sampling campaigns and lower dissolved oxygen levels in the final sampling were observed. Significant changes in the structure of the macrobenthic community (decreased diversity and ev"&amp;"enness parallel to an increase in density) reinforce that a process of organic enrichment took place in the area surrounding the fish farm. These changes, however, occurred only in a temporal, not spatial, fashion and were likely due to the organic enrich"&amp;"ment of sediment by wastes from fish farming.")</f>
        <v>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v>
      </c>
      <c r="C619" s="24" t="str">
        <f>IFERROR(__xludf.DUMMYFUNCTION("""COMPUTED_VALUE"""),"10.1016/j.aquaculture.2019.734314")</f>
        <v>10.1016/j.aquaculture.2019.734314</v>
      </c>
      <c r="D619" s="24" t="str">
        <f>IFERROR(__xludf.DUMMYFUNCTION("""COMPUTED_VALUE"""),"Keck et al")</f>
        <v>Keck et al</v>
      </c>
      <c r="E619" s="24" t="str">
        <f>IFERROR(__xludf.DUMMYFUNCTION("""COMPUTED_VALUE"""),"WOS:000491992200045")</f>
        <v>WOS:000491992200045</v>
      </c>
      <c r="F619" s="24" t="str">
        <f>IFERROR(__xludf.DUMMYFUNCTION("""COMPUTED_VALUE"""),"[""ELIGIBLE""]")</f>
        <v>["ELIGIBLE"]</v>
      </c>
    </row>
    <row r="620">
      <c r="A620" s="24" t="str">
        <f>IFERROR(__xludf.DUMMYFUNCTION("""COMPUTED_VALUE"""),"Effects of Ocean Acidification on Coral Endolithic Bacterial Communities in Isopora palifera and Porites lobata")</f>
        <v>Effects of Ocean Acidification on Coral Endolithic Bacterial Communities in Isopora palifera and Porites lobata</v>
      </c>
      <c r="B620" s="24" t="str">
        <f>IFERROR(__xludf.DUMMYFUNCTION("""COMPUTED_VALUE"""),"Endolithic microbes in coral reefs may act as a nutrient source for their coral hosts. Increasing atmospheric CO2 concentrations are causing ocean acidification (OA), which may affect marine organisms and ecosystems, especially calcifying organisms such a"&amp;"s reef-building corals. However, knowledge of how OA affects marine microbes remains limited, and little research has been done on how coral endolithic communities respond to shifting environmental baselines. In this study, the endolithic communities of t"&amp;"wo common shallow water coral species, lsopora palifera and Porites lobata, were examined to investigate the microbial community dynamics under OA treatments. The colonies were placed in an environment with a partial pressure of carbon dioxide (pCO(2)) of"&amp;" 1,000 or 400 ppm (control) for 2 months. Several I. palifera colonies bleached and died at 1,000 ppm pCO(2), but the P. lobata colonies remained unaffected. Inversely, the endolithic community in P. lobata skeletons showed significant changes after OA tr"&amp;"eatment, whereas no significant dynamics were observed among the I. palifera endoliths. Our findings suggest that the skeletal structures of different coral species may play a key role in corals host and endoliths under future high-OA scenarios.")</f>
        <v>Endolithic microbes in coral reefs may act as a nutrient source for their coral hosts. Increasing atmospheric CO2 concentrations are causing ocean acidification (OA), which may affect marine organisms and ecosystems, especially calcifying organisms such as reef-building corals. However, knowledge of how OA affects marine microbes remains limited, and little research has been done on how coral endolithic communities respond to shifting environmental baselines. In this study, the endolithic communities of two common shallow water coral species, lsopora palifera and Porites lobata, were examined to investigate the microbial community dynamics under OA treatments. The colonies were placed in an environment with a partial pressure of carbon dioxide (pCO(2)) of 1,000 or 400 ppm (control) for 2 months. Several I. palifera colonies bleached and died at 1,000 ppm pCO(2), but the P. lobata colonies remained unaffected. Inversely, the endolithic community in P. lobata skeletons showed significant changes after OA treatment, whereas no significant dynamics were observed among the I. palifera endoliths. Our findings suggest that the skeletal structures of different coral species may play a key role in corals host and endoliths under future high-OA scenarios.</v>
      </c>
      <c r="C620" s="24" t="str">
        <f>IFERROR(__xludf.DUMMYFUNCTION("""COMPUTED_VALUE"""),"10.3389/fmars.2020.603293")</f>
        <v>10.3389/fmars.2020.603293</v>
      </c>
      <c r="D620" s="24" t="str">
        <f>IFERROR(__xludf.DUMMYFUNCTION("""COMPUTED_VALUE"""),"Keck et al")</f>
        <v>Keck et al</v>
      </c>
      <c r="E620" s="24" t="str">
        <f>IFERROR(__xludf.DUMMYFUNCTION("""COMPUTED_VALUE"""),"WOS:000600718100001")</f>
        <v>WOS:000600718100001</v>
      </c>
      <c r="F620" s="24" t="str">
        <f>IFERROR(__xludf.DUMMYFUNCTION("""COMPUTED_VALUE"""),"[""ELIGIBLE""]")</f>
        <v>["ELIGIBLE"]</v>
      </c>
    </row>
    <row r="621">
      <c r="A621" s="24" t="str">
        <f>IFERROR(__xludf.DUMMYFUNCTION("""COMPUTED_VALUE"""),"Upstream and downstream responses of fish assemblages to an eastern Amazonian hydroelectric dam")</f>
        <v>Upstream and downstream responses of fish assemblages to an eastern Amazonian hydroelectric dam</v>
      </c>
      <c r="B621" s="24" t="str">
        <f>IFERROR(__xludf.DUMMYFUNCTION("""COMPUTED_VALUE"""),"1.Major hydroelectric dams are proliferating in tropical regions such as Amazonia, where extensive new hydropower developments are planned despite potentially severe ecological and social impacts. The status of freshwater biota in the vicinity of existing"&amp;" dams could be valuable to predict the effects of such developments, but detailed ecological monitoring before and after dam construction is frequently lacking. 2.In the absence of these data, we used a space-for-time replacement to compare a key componen"&amp;"t of the aquatic biota at upstream and downstream sites, with the latter more closely resembling river channel conditions prior to the dam. We assessed the fish assemblages upstream and downstream of the Coaracy Nunes Dam in Amapa, Brazil, the first ecolo"&amp;"gical study at this site since this dam was constructed 42years earlier. We used gillnets during eight bimonthly field campaigns, covering both wet and dry seasons, and sampled the ichthyofauna (1819 individuals, 81 species) at four sites: Downstream Chan"&amp;"nel, Reservoir, Upstream Lake and Upstream Channel. 3.We found clear negative impacts on the abundance, biomass, species richness, alpha diversity and species dominance upstream of the dam. The physical subdivision of the river channel and the upstream ch"&amp;"annel conversion from lentic to lotic habitats were strongly associated with differences in the composition and structure of fish communities. Notable changes include an increased contribution of small-bodied fish in the reservoir and an absence of long-d"&amp;"istance migrants upstream of the dam. 4.Downstream channel habitats, in particular, retained their fish diversity with high conservation value typical of eastern Amazonia, yet these areas now face the threat of new hydropower development farther downstrea"&amp;"m. The long-term impacts on aquatic biodiversity highlighted in this study are especially relevant in the face of burgeoning new hydroelectricity development plans for rivers across lowland Amazonia.")</f>
        <v>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v>
      </c>
      <c r="C621" s="24" t="str">
        <f>IFERROR(__xludf.DUMMYFUNCTION("""COMPUTED_VALUE"""),"10.1111/fwb.12628")</f>
        <v>10.1111/fwb.12628</v>
      </c>
      <c r="D621" s="24" t="str">
        <f>IFERROR(__xludf.DUMMYFUNCTION("""COMPUTED_VALUE"""),"Keck et al")</f>
        <v>Keck et al</v>
      </c>
      <c r="E621" s="24" t="str">
        <f>IFERROR(__xludf.DUMMYFUNCTION("""COMPUTED_VALUE"""),"WOS:000361037900005")</f>
        <v>WOS:000361037900005</v>
      </c>
      <c r="F621" s="24" t="str">
        <f>IFERROR(__xludf.DUMMYFUNCTION("""COMPUTED_VALUE"""),"[""ELIGIBLE""]")</f>
        <v>["ELIGIBLE"]</v>
      </c>
    </row>
    <row r="622">
      <c r="A622" s="24" t="str">
        <f>IFERROR(__xludf.DUMMYFUNCTION("""COMPUTED_VALUE"""),"Response of Soil Properties and Microbial Communities to Increasing Salinization in the Meadow Grassland of Northeast China")</f>
        <v>Response of Soil Properties and Microbial Communities to Increasing Salinization in the Meadow Grassland of Northeast China</v>
      </c>
      <c r="B622" s="24" t="str">
        <f>IFERROR(__xludf.DUMMYFUNCTION("""COMPUTED_VALUE"""),"Secondary salinization is a serious environmental issue and a major threat to the sustainable use of grasslands. Information about the response of microbial communities and soil properties in already saline soils to increasing salinity is lacking. We inve"&amp;"stigated soil properties and the structures of soil bacterial and fungal communities across a gradient of salinization in the Horqin Grassland, China. Three sites with relatively lightly (average soluble salt content = 0.11%), relatively moderately (avera"&amp;"ge soluble salt content = 0.44%), and heavily (average soluble salt content = 1.07%) degraded grassland, were selected as experimental sites. We examined variations in the composition and structure of the soil bacterial and fungal communities by using hig"&amp;"h-throughput sequencing of the 16S and 18S rRNA genes, respectively. We found degrading effects of salinization on soil properties, i.e., decreased soil moisture, organic matter, total N, NH4-N, and NO3-N and increased soil bulk density, pH, and electrica"&amp;"l conductivity. The bacterial and fungal community structures changed with increasing salinity. However, dominant microbial taxa (including phylum, genus, and operational taxonomic unit levels) were similar among experimental sites, indicating that increa"&amp;"sing salinization slightly affected the basic compositions of microbial communities in already saline grasslands. Furthermore, the relative abundances of most dominant taxa sensitively responded to the soil salt content. Acidobacteria, Actinobacteria, Chl"&amp;"oroflexi, RB4, Rubrobacter, Blastocatella, H16, Glomeromycota, and Aspergillus linearly increased with increasing salinization, suggesting that they could be used as bioindicators for salt-tolerant communities. Overall, the changes in the structures of so"&amp;"il bacterial and fungal communities were determined by the relative quantities of dominant taxa rather than community composition. The structures of soil bacterial and fungal communities were linked to soil properties and vegetation. Increasing soil salt "&amp;"content, and thereby varied pH and organic matter, were likely the direct influencing factors of microbial communities in these saline grasslands.")</f>
        <v>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v>
      </c>
      <c r="C622" s="24" t="str">
        <f>IFERROR(__xludf.DUMMYFUNCTION("""COMPUTED_VALUE"""),"10.1007/s00248-021-01695-x")</f>
        <v>10.1007/s00248-021-01695-x</v>
      </c>
      <c r="D622" s="24" t="str">
        <f>IFERROR(__xludf.DUMMYFUNCTION("""COMPUTED_VALUE"""),"Keck et al")</f>
        <v>Keck et al</v>
      </c>
      <c r="E622" s="24" t="str">
        <f>IFERROR(__xludf.DUMMYFUNCTION("""COMPUTED_VALUE"""),"WOS:000612617900001")</f>
        <v>WOS:000612617900001</v>
      </c>
      <c r="F622" s="24" t="str">
        <f>IFERROR(__xludf.DUMMYFUNCTION("""COMPUTED_VALUE"""),"[""ELIGIBLE""]")</f>
        <v>["ELIGIBLE"]</v>
      </c>
    </row>
    <row r="623">
      <c r="A623" s="24" t="str">
        <f>IFERROR(__xludf.DUMMYFUNCTION("""COMPUTED_VALUE"""),"Role of fish farm fouling in recolonisation of nearby soft-bottom habitats affected by coastal aquaculture")</f>
        <v>Role of fish farm fouling in recolonisation of nearby soft-bottom habitats affected by coastal aquaculture</v>
      </c>
      <c r="B623" s="24" t="str">
        <f>IFERROR(__xludf.DUMMYFUNCTION("""COMPUTED_VALUE"""),"Organic loading from fish farming constitutes a significant disturbance to marine sediment, normally reducing species abundance and richness and creating disturbed patches in soft-bottom communities. In contrast, floating fish farms harbour a high abundan"&amp;"ce of invertebrates associated with fouling communities, particularly amphipods. Changes in macrofaunal recolonisation induced by fish farms were researched using amphipod assemblages as a useful representative group. The objectives of this experiment wer"&amp;"e: (1) to test the effect of fish farms on amphipod colonisation-processes in defaunated sediments and (2) to define the influence of surrounding natural and artificial habitats as sources of initial colonisers. Experimental design included 36 plastic tra"&amp;"ys placed on the sea bottom (25-28 m depth) in fish-farming and control areas and retrieved one month after placement date. Significant differences were found in amphipod assemblage composition in control versus farm sites. While the recolonisation proces"&amp;"s in control areas depended on the species present in the sediments adjacent to the experimental trays, in fish-farming areas the recolonisation was strongly dependent on the input of amphipods from fouling communities. It is the first time that a spillov"&amp;"er effect from fouling communities on floating habitats into the benthos is detected in the coastal areas. If the organic enrichment of aquaculture sediments is moderate, the ecological services of benthic habitats may be balanced, at least partly, by bio"&amp;"mass exported from fouling communities on the same fish farms. (C) 2015 Elsevier B.V. All rights reserved.")</f>
        <v>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v>
      </c>
      <c r="C623" s="24" t="str">
        <f>IFERROR(__xludf.DUMMYFUNCTION("""COMPUTED_VALUE"""),"10.1016/j.jembe.2015.10.019")</f>
        <v>10.1016/j.jembe.2015.10.019</v>
      </c>
      <c r="D623" s="24" t="str">
        <f>IFERROR(__xludf.DUMMYFUNCTION("""COMPUTED_VALUE"""),"Keck et al")</f>
        <v>Keck et al</v>
      </c>
      <c r="E623" s="24" t="str">
        <f>IFERROR(__xludf.DUMMYFUNCTION("""COMPUTED_VALUE"""),"WOS:000366768300028")</f>
        <v>WOS:000366768300028</v>
      </c>
      <c r="F623" s="24" t="str">
        <f>IFERROR(__xludf.DUMMYFUNCTION("""COMPUTED_VALUE"""),"[""ELIGIBLE""]")</f>
        <v>["ELIGIBLE"]</v>
      </c>
    </row>
    <row r="624">
      <c r="A624" s="24" t="str">
        <f>IFERROR(__xludf.DUMMYFUNCTION("""COMPUTED_VALUE"""),"Changes in macroinvertebrate and fish assemblages in a medium-sized river following a breach of a low-head dam")</f>
        <v>Changes in macroinvertebrate and fish assemblages in a medium-sized river following a breach of a low-head dam</v>
      </c>
      <c r="B624" s="24" t="str">
        <f>IFERROR(__xludf.DUMMYFUNCTION("""COMPUTED_VALUE"""),"1. Dam removal has great potential for restoring rivers and streams, yet limited data exist documenting recovery of associated biota within these systems following removals, especially on larger systems. This study examined the effects of a dam breach on "&amp;"benthic macroinvertebrate and fish assemblages in the Fox River, Illinois, U.S.A. 2. Benthic macroinvertebrates and fish were collected above and below the breached dam and three nearby intact dams for 1 year pre- and 3 years post-breach (2 years of addit"&amp;"ional pre-breach fish data were obtained from previous surveys). We also examined the effects of the breach on associated habitat by measuring average width, depth, flow rate and bed particle size at each site. 3. Physical habitat at the former impoundmen"&amp;"t (IMP) became comparable to free-flowing sites (FF) within 1 year of the breach (width and depth decreased, flow rate and bed particle size increased). We also found a strong temporal effect on depth and flow rate at all surveyed sites. 4. Following the "&amp;"breach, relative abundance of Ephemeroptera, Plecoptera and Trichoptera (largely due to hydropsychid caddisflies) increased, whereas relative abundance of Ostracoda decreased, in the former IMP to levels comparable to FF sites. High variation in other met"&amp;"rics (e.g. total taxa, diversity) precluded determination of an effect of the breach on these aspects of the assemblage. However, non-metric multidimensional scaling (NMDS) ordinations indicated that overall macroinvertebrate assemblage structure at the f"&amp;"ormer IMP shifted to a characteristically FF assemblage 2 years following the breach. 5. Total fish taxa and a regional fish index of biotic integrity became more similar in the former IMP to FF sites following the breach. However, other fish metrics (e.g"&amp;". biomass, diversity, density) did not show a strong response to the breach of the dam. Ordinations of abundance data suggested the fish assemblage only slightly shifted to FF characteristics 3 years after the breach. 6. Effects of the breach to the site "&amp;"immediately below the former dam included minor alterations in habitat (decreased flow rate and increased particle size) and short-term changes in several macroinvertebrate metrics (e.g. decreased assemblage diversity and EPT richness for first post-year)"&amp;", but longer-term alterations in several fish metrics (e.g. decreased assemblage richness for all three post-years; decreased density for first two post-years). However, NMDS ordinations suggested no change to overall assemblage structure for both macroin"&amp;"vertebrates and fish following the breach at this downstream site. 7. Collectively, our results support the effectiveness of dam removal as a restoration practice for impaired streams and rivers. However, differences in response times of macroinvertebrate"&amp;"s and fish coupled with the temporal effect on several habitat variables highlight the need for longer-term studies.")</f>
        <v>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v>
      </c>
      <c r="C624" s="24" t="str">
        <f>IFERROR(__xludf.DUMMYFUNCTION("""COMPUTED_VALUE"""),"10.1111/j.1365-2427.2008.01956.x")</f>
        <v>10.1111/j.1365-2427.2008.01956.x</v>
      </c>
      <c r="D624" s="24" t="str">
        <f>IFERROR(__xludf.DUMMYFUNCTION("""COMPUTED_VALUE"""),"Keck et al")</f>
        <v>Keck et al</v>
      </c>
      <c r="E624" s="24" t="str">
        <f>IFERROR(__xludf.DUMMYFUNCTION("""COMPUTED_VALUE"""),"WOS:000254808400018")</f>
        <v>WOS:000254808400018</v>
      </c>
      <c r="F624" s="24" t="str">
        <f>IFERROR(__xludf.DUMMYFUNCTION("""COMPUTED_VALUE"""),"[""ELIGIBLE""]")</f>
        <v>["ELIGIBLE"]</v>
      </c>
    </row>
    <row r="625">
      <c r="A625" s="24" t="str">
        <f>IFERROR(__xludf.DUMMYFUNCTION("""COMPUTED_VALUE"""),"Impact of Estuary Barrage Construction on Fish Assemblages in the Lower Part of a River and the Role of Fishways as a Passage")</f>
        <v>Impact of Estuary Barrage Construction on Fish Assemblages in the Lower Part of a River and the Role of Fishways as a Passage</v>
      </c>
      <c r="B625" s="24" t="str">
        <f>IFERROR(__xludf.DUMMYFUNCTION("""COMPUTED_VALUE"""),"The construction of an estuary barrage, an instream structure in the lower reaches of a river, causes significant physical changes in water flow patterns and river morphology, and results in altered environmental conditions. Here, we examined the impact o"&amp;"f the Geum River estuary barrage, completed in 1990, on fish assemblages by using a literature search and fresh surveys of fishways in the barrage. We found that fish assemblages upstream and downstream of the barrage were altered following its completion"&amp;". After construction, more species were found in the freshwater area, with a particularly great increase in freshwater species. Conversely, estuarine and marine species were only consistently caught in the downstream salt-water area, although the number o"&amp;"f species increased. In total, 15,829 fish from 47 species and 20 families were identified at the three types (pool and weir, rubble type, and boat passage) of fishways in the barrage. The dominant species were Chelon haematocheilus, an estuarine species,"&amp;" Coilia nasus, a diadromous species, and Erythroculter erythropterus, a freshwater species. The mean total length of fish (101.9 +/- 76.0 mm) in the boat passage fishway was approximately 100 mm lesser than those in the pool and weir (207.2 +/- 112.8 mm) "&amp;"and rubble type (205.8 +/- 112.7 mm) fishways. The boat passage fishway was the most efficient for fish movements. The current fishway system is not sufficient for fish migration, and thus additional ways are required to improve the system such as the boa"&amp;"t passage. Few estuarine or diadromous species were found in both freshwater and salt-water areas, but freshwater fishes that accidently moved to salt-water area actively used fishways. Therefore, fishway management in the Geum River estuary barrage has t"&amp;"o focus on freshwater fish; however, this may need to change to a focus on migratory fishes depending on ecological life cycles of migratory fish.")</f>
        <v>The construction of an estuary barrage, an instream structure in the lower reaches of a river, causes significant physical changes in water flow patterns and river morphology, and results in altered environmental conditions. Here, we examined the impact of the Geum River estuary barrage, completed in 1990, on fish assemblages by using a literature search and fresh surveys of fishways in the barrage. We found that fish assemblages upstream and downstream of the barrage were altered following its completion. After construction, more species were found in the freshwater area, with a particularly great increase in freshwater species. Conversely, estuarine and marine species were only consistently caught in the downstream salt-water area, although the number of species increased. In total, 15,829 fish from 47 species and 20 families were identified at the three types (pool and weir, rubble type, and boat passage) of fishways in the barrage. The dominant species were Chelon haematocheilus, an estuarine species, Coilia nasus, a diadromous species, and Erythroculter erythropterus, a freshwater species. The mean total length of fish (101.9 +/- 76.0 mm) in the boat passage fishway was approximately 100 mm lesser than those in the pool and weir (207.2 +/- 112.8 mm) and rubble type (205.8 +/- 112.7 mm) fishways. The boat passage fishway was the most efficient for fish movements. The current fishway system is not sufficient for fish migration, and thus additional ways are required to improve the system such as the boat passage. Few estuarine or diadromous species were found in both freshwater and salt-water areas, but freshwater fishes that accidently moved to salt-water area actively used fishways. Therefore, fishway management in the Geum River estuary barrage has to focus on freshwater fish; however, this may need to change to a focus on migratory fishes depending on ecological life cycles of migratory fish.</v>
      </c>
      <c r="C625" s="24" t="str">
        <f>IFERROR(__xludf.DUMMYFUNCTION("""COMPUTED_VALUE"""),"10.1007/s12601-017-0015-6")</f>
        <v>10.1007/s12601-017-0015-6</v>
      </c>
      <c r="D625" s="24" t="str">
        <f>IFERROR(__xludf.DUMMYFUNCTION("""COMPUTED_VALUE"""),"Keck et al")</f>
        <v>Keck et al</v>
      </c>
      <c r="E625" s="24" t="str">
        <f>IFERROR(__xludf.DUMMYFUNCTION("""COMPUTED_VALUE"""),"WOS:000397134300013")</f>
        <v>WOS:000397134300013</v>
      </c>
      <c r="F625" s="24" t="str">
        <f>IFERROR(__xludf.DUMMYFUNCTION("""COMPUTED_VALUE"""),"[""ELIGIBLE""]")</f>
        <v>["ELIGIBLE"]</v>
      </c>
    </row>
    <row r="626">
      <c r="A626" s="24" t="str">
        <f>IFERROR(__xludf.DUMMYFUNCTION("""COMPUTED_VALUE"""),"Occurrence of antibiotic resistome in farmland soils near phosphorus chemical industrial area")</f>
        <v>Occurrence of antibiotic resistome in farmland soils near phosphorus chemical industrial area</v>
      </c>
      <c r="B626" s="24" t="str">
        <f>IFERROR(__xludf.DUMMYFUNCTION("""COMPUTED_VALUE"""),"Heavy metal pollution of soil surrounding phosphorus chemical industry has been a long-concerned problem; however, the occurrence of antibiotic resistance genes (ARGs) in farmland soils in its vicinity remains unexplored. In this study, variations of heav"&amp;"y metals, ARGs, mobile genetic elements (MGEs), and microbiome in surface soils of farmland along the prevailing downwind direction of a phosphorus chemical industrial zone were investigated. Cadmium (Cd) contents in soils close to the industrial zone (&lt;="&amp;" 500 m away) were statistically higher than those at greater distances (1000 to 4000 m). A comparable ARG diversity was observed across soils, while the relative abundance of ARGs decreased markedly with increasing distance in the range of 1000 m. The soi"&amp;"l in closest proximity to the industrial zone (20 m away) exhibited divergent compositions of ARGs, MGEs, and bacterial community from the other soils at farther locations (500 to 4000 m away). Variation partitioning analysis revealed that Cd and MGEs lev"&amp;"els were the primary factors controlling ARG distribution. Structural equation modeling further indicated that the direct effect of Cd on ARG abundance was stronger than its indirect effect via affecting MGEs and microbiome. The observed prevalence of ARG"&amp;"s in farmland soils highlights the necessity of including resistome in the framework for environmental risk assessment of phosphorus chemical manufacturing. (c) 2021 Elsevier B.V. All rights reserved.")</f>
        <v>Heavy metal pollution of soil surrounding phosphorus chemical industry has been a long-concerned problem; however, the occurrence of antibiotic resistance genes (ARGs) in farmland soils in its vicinity remains unexplored. In this study, variations of heavy metals, ARGs, mobile genetic elements (MGEs), and microbiome in surface soils of farmland along the prevailing downwind direction of a phosphorus chemical industrial zone were investigated. Cadmium (Cd) contents in soils close to the industrial zone (&lt;= 500 m away) were statistically higher than those at greater distances (1000 to 4000 m). A comparable ARG diversity was observed across soils, while the relative abundance of ARGs decreased markedly with increasing distance in the range of 1000 m. The soil in closest proximity to the industrial zone (20 m away) exhibited divergent compositions of ARGs, MGEs, and bacterial community from the other soils at farther locations (500 to 4000 m away). Variation partitioning analysis revealed that Cd and MGEs levels were the primary factors controlling ARG distribution. Structural equation modeling further indicated that the direct effect of Cd on ARG abundance was stronger than its indirect effect via affecting MGEs and microbiome. The observed prevalence of ARGs in farmland soils highlights the necessity of including resistome in the framework for environmental risk assessment of phosphorus chemical manufacturing. (c) 2021 Elsevier B.V. All rights reserved.</v>
      </c>
      <c r="C626" s="24" t="str">
        <f>IFERROR(__xludf.DUMMYFUNCTION("""COMPUTED_VALUE"""),"10.1016/j.scitotenv.2021.149053")</f>
        <v>10.1016/j.scitotenv.2021.149053</v>
      </c>
      <c r="D626" s="24" t="str">
        <f>IFERROR(__xludf.DUMMYFUNCTION("""COMPUTED_VALUE"""),"Keck et al")</f>
        <v>Keck et al</v>
      </c>
      <c r="E626" s="24" t="str">
        <f>IFERROR(__xludf.DUMMYFUNCTION("""COMPUTED_VALUE"""),"WOS:000698511000003")</f>
        <v>WOS:000698511000003</v>
      </c>
      <c r="F626" s="24" t="str">
        <f>IFERROR(__xludf.DUMMYFUNCTION("""COMPUTED_VALUE"""),"[""ELIGIBLE""]")</f>
        <v>["ELIGIBLE"]</v>
      </c>
    </row>
    <row r="627">
      <c r="A627" s="24" t="str">
        <f>IFERROR(__xludf.DUMMYFUNCTION("""COMPUTED_VALUE"""),"Cryptogamic communities as a useful bioindication tool for estimating the degree of soil pollution with heavy metals")</f>
        <v>Cryptogamic communities as a useful bioindication tool for estimating the degree of soil pollution with heavy metals</v>
      </c>
      <c r="B627" s="24" t="str">
        <f>IFERROR(__xludf.DUMMYFUNCTION("""COMPUTED_VALUE"""),"Lichens and bryophytes have commonly been used as bioindicators of environmental conditions, especially in relation to air quality. However, their diagnostic role in the assessment of soil pollution is relatively poorly recognised. The aim of this study w"&amp;"as to find a pattern of cryptogamic biota structure associated with zinc and lead soil pollution and to thereby identify common signal species useful for bioindication purposes. The study area encompassed various types of anthropogenic and semi-natural ha"&amp;"bitats directly associated with the processing of Zn-Pb ores in southem Poland. Detailed analysis of cryptogamic biota with respect to the chemical parameters of the corresgonding soil enabled us to identify three different pollution classes related to th"&amp;"e concentration of heavy metals and four distinct groups of ecologically close species with similar responses to the prevailing level of pollution. The significant relationship between soil chemical parameters and cryptogamic biota structure implies the h"&amp;"igh bioindicative value of the defined lichen and bryophyte assemblages. Consequently, specific sets of distinct species reflecting levels of pollution were instrumental in the development of a practical tool. This approach may constitute a first step in "&amp;"soil quality assessment in a broad landscape scale. It provides an opportunity for preliminary verification of the sites that are potentially the most contaminated and which require further attention, for example, within the framework of restoration proje"&amp;"cts, reclamation interventions, or conservation strategies. The proposed bioindication approach involves common, widespread lichens and bryophytes, thus increasing the potential for its wide application in post-industrial areas associated with the mining "&amp;"and processing of Zn-Pb ores.")</f>
        <v>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v>
      </c>
      <c r="C627" s="24" t="str">
        <f>IFERROR(__xludf.DUMMYFUNCTION("""COMPUTED_VALUE"""),"10.1016/j.ecolind.2018.01.013")</f>
        <v>10.1016/j.ecolind.2018.01.013</v>
      </c>
      <c r="D627" s="24" t="str">
        <f>IFERROR(__xludf.DUMMYFUNCTION("""COMPUTED_VALUE"""),"Keck et al")</f>
        <v>Keck et al</v>
      </c>
      <c r="E627" s="24" t="str">
        <f>IFERROR(__xludf.DUMMYFUNCTION("""COMPUTED_VALUE"""),"WOS:000430760800045")</f>
        <v>WOS:000430760800045</v>
      </c>
      <c r="F627" s="24" t="str">
        <f>IFERROR(__xludf.DUMMYFUNCTION("""COMPUTED_VALUE"""),"[""ELIGIBLE""]")</f>
        <v>["ELIGIBLE"]</v>
      </c>
    </row>
    <row r="628">
      <c r="A628" s="24" t="str">
        <f>IFERROR(__xludf.DUMMYFUNCTION("""COMPUTED_VALUE"""),"Responses of soil N-fixing bacterial communities to redroot pigweed (Amaranthus retroflexus L.) invasion under Cu and Cd heavy metal soil pollution")</f>
        <v>Responses of soil N-fixing bacterial communities to redroot pigweed (Amaranthus retroflexus L.) invasion under Cu and Cd heavy metal soil pollution</v>
      </c>
      <c r="B628" s="24" t="str">
        <f>IFERROR(__xludf.DUMMYFUNCTION("""COMPUTED_VALUE"""),"Soil nitrogen (N) availability is generally considered as the mainly driving force of successful colonization of many kinds of invasive plant species. Meanwhile, the vast majority of biologically available N in ecosystems mainly originates from soil N-fix"&amp;"ing bacterial communities (SNB) primarily via biological N-fixation. The progressive shifts in the components of heavy metal pollution (HMP) can cause obvious changes in soil microbial communities (especially SNB). This study aims to comprehensively analy"&amp;"ze the effects of redroot pigweed (Amaranthus retroflexus L.) invasion on the community structure of SNB under Cu and Cd heavy metal soil pollution (independent copper (Cu), independent cadmium (Cd), and combined Cu and Cd) by using high throughput sequen"&amp;"cing. The positive effects of redroot pigweed invasion on the total number of all species, the number of species, the diversity, and the richness of SNB may be that redroot pigweed can trigger obvious variation in soil nutrient content (especially N), a k"&amp;"ey driver of the community structure of SNB, via the root exudates and/or leaf litters. The negative effects of HMP on the number of species and the richness of SNB may be attributed to the additional energy cost to SNB and/or the decreased soil pH under "&amp;"HMP. The effects of the combined Cu and Cd on the total number of all species and the richness of SNB were higher than those under the independent Cu and Cd. This may be due to the stronger oxidative stress under the combined heavy metals. The negative ef"&amp;"fects of redroot pigweed invasion treatment with all types of HMP on the total number of all species and the richness of SNB may be ascribed to the shifts in soil physicochemical properties (especially the stronger acidification) and the additional energy"&amp;" cost which can wave remarkably effects on the abundance of the nifH gene. Accordingly, the invasion of redroot pigweed may be inhibited under HMP as a result of the shifts in certain species of SNB and the decreased the total number of all species and th"&amp;"e richness of SNB.")</f>
        <v>Soil nitrogen (N) availability is generally considered as the mainly driving force of successful colonization of many kinds of invasive plant species. Meanwhile, the vast majority of biologically available N in ecosystems mainly originates from soil N-fixing bacterial communities (SNB) primarily via biological N-fixation. The progressive shifts in the components of heavy metal pollution (HMP) can cause obvious changes in soil microbial communities (especially SNB). This study aims to comprehensively analyze the effects of redroot pigweed (Amaranthus retroflexus L.) invasion on the community structure of SNB under Cu and Cd heavy metal soil pollution (independent copper (Cu), independent cadmium (Cd), and combined Cu and Cd) by using high throughput sequencing. The positive effects of redroot pigweed invasion on the total number of all species, the number of species, the diversity, and the richness of SNB may be that redroot pigweed can trigger obvious variation in soil nutrient content (especially N), a key driver of the community structure of SNB, via the root exudates and/or leaf litters. The negative effects of HMP on the number of species and the richness of SNB may be attributed to the additional energy cost to SNB and/or the decreased soil pH under HMP. The effects of the combined Cu and Cd on the total number of all species and the richness of SNB were higher than those under the independent Cu and Cd. This may be due to the stronger oxidative stress under the combined heavy metals. The negative effects of redroot pigweed invasion treatment with all types of HMP on the total number of all species and the richness of SNB may be ascribed to the shifts in soil physicochemical properties (especially the stronger acidification) and the additional energy cost which can wave remarkably effects on the abundance of the nifH gene. Accordingly, the invasion of redroot pigweed may be inhibited under HMP as a result of the shifts in certain species of SNB and the decreased the total number of all species and the richness of SNB.</v>
      </c>
      <c r="C628" s="24" t="str">
        <f>IFERROR(__xludf.DUMMYFUNCTION("""COMPUTED_VALUE"""),"10.1016/j.agee.2018.08.002")</f>
        <v>10.1016/j.agee.2018.08.002</v>
      </c>
      <c r="D628" s="24" t="str">
        <f>IFERROR(__xludf.DUMMYFUNCTION("""COMPUTED_VALUE"""),"Keck et al")</f>
        <v>Keck et al</v>
      </c>
      <c r="E628" s="24" t="str">
        <f>IFERROR(__xludf.DUMMYFUNCTION("""COMPUTED_VALUE"""),"WOS:000446144100002")</f>
        <v>WOS:000446144100002</v>
      </c>
      <c r="F628" s="24" t="str">
        <f>IFERROR(__xludf.DUMMYFUNCTION("""COMPUTED_VALUE"""),"[""ELIGIBLE""]")</f>
        <v>["ELIGIBLE"]</v>
      </c>
    </row>
    <row r="629">
      <c r="A629" s="24" t="str">
        <f>IFERROR(__xludf.DUMMYFUNCTION("""COMPUTED_VALUE"""),"Effect of recreational-fisheries management on fish biodiversity in gravel pit lakes, with contrasts to unmanaged lakes")</f>
        <v>Effect of recreational-fisheries management on fish biodiversity in gravel pit lakes, with contrasts to unmanaged lakes</v>
      </c>
      <c r="B629" s="24" t="str">
        <f>IFERROR(__xludf.DUMMYFUNCTION("""COMPUTED_VALUE"""),"Gravel pit lakes are novel ecosystems that can be colonized by fish through natural or anthropogenic pathways. In central Europe, many of them are managed by recreational anglers and thus experience regular fish stocking. However, also unmanaged gravel pi"&amp;"ts may be affected by stocking, either through illegal fish introductions or, occasionally, by immigration from connected water bodies. We sampled 23 small (&lt; 20 ha) gravel pit lakes (16 managed and 7 unmanaged) in north-western Germany using littoral ele"&amp;"ctrofishing and multimesh gillnets. Our objective was to compare the fish biodiversity in gravel pit lakes in the presence or absence of recreational fisheries. Given the size of the sampled lakes, we expected species poor communities and elevated fish di"&amp;"versity in the managed systems due to regular stocking of game fish species. Our study lakes were primarily mesotrophic and did not differ in key abiotic and biotic environmental characteristics. Lakes of both management types hosted similar fish abundanc"&amp;"es and biomasses, but were substantially different in terms of fish community structure and species richness. Fish were present in all lakes, with a minimum of three species. Higher alpha-diversity and lower beta-diversity was discovered in managed gravel"&amp;" pit lakes compared to unmanaged lakes. Consequently, recreational-fisheries management fostered homogenization of fish communities, by stocking a similar set of fish species desired by anglers such as piscivorous fish and large bodied cyprinids. However,"&amp;" unmanaged gravel pit lakes were also affected by human-mediated colonization, presumably by illegal fish releases. Hardly any non-native species were detected, suggesting that recreational-fisheries management did not foster the spread of exotic species "&amp;"in our study region.")</f>
        <v>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v>
      </c>
      <c r="C629" s="24" t="str">
        <f>IFERROR(__xludf.DUMMYFUNCTION("""COMPUTED_VALUE"""),"10.1111/jfb.13989")</f>
        <v>10.1111/jfb.13989</v>
      </c>
      <c r="D629" s="24" t="str">
        <f>IFERROR(__xludf.DUMMYFUNCTION("""COMPUTED_VALUE"""),"Keck et al")</f>
        <v>Keck et al</v>
      </c>
      <c r="E629" s="24" t="str">
        <f>IFERROR(__xludf.DUMMYFUNCTION("""COMPUTED_VALUE"""),"WOS:000472976300005")</f>
        <v>WOS:000472976300005</v>
      </c>
      <c r="F629" s="24" t="str">
        <f>IFERROR(__xludf.DUMMYFUNCTION("""COMPUTED_VALUE"""),"[""ELIGIBLE""]")</f>
        <v>["ELIGIBLE"]</v>
      </c>
    </row>
    <row r="630">
      <c r="A630" s="24" t="str">
        <f>IFERROR(__xludf.DUMMYFUNCTION("""COMPUTED_VALUE"""),"Evaluating the efficacy of small-scale marine protected areas for preserving reef health: A case study applying emerging monitoring technology")</f>
        <v>Evaluating the efficacy of small-scale marine protected areas for preserving reef health: A case study applying emerging monitoring technology</v>
      </c>
      <c r="B630" s="24" t="str">
        <f>IFERROR(__xludf.DUMMYFUNCTION("""COMPUTED_VALUE"""),"Marine protected areas (MPAs) are widely used as management tools to conserve species and ecosystems at risk from human impact. Coastal managers often focus MPA designation on biogenic reef environments due to their value and sensitivity to damage. Howeve"&amp;"r, difficulties in enforcement and a lack of capacity to adequately monitor MPAs often make it hard for managers to assess the effectiveness of MPAs, particularly in under-resourced, low-income coastal countries. Reef community data were collected at thre"&amp;"e long-term managed reserves within the Western Visayas region of the central Philippines in order to assess the state of reef community structure inside and outside of these small-scale locally managed MPAs. In addition, 3D structural data were captured "&amp;"using recently developed 'Structure from Motion' photogrammetry techniques, demonstrating how multiple quantitative metrics of physical structural complexity and health can be recorded in such analyses. These community-run MPAs were shown to be effective "&amp;"even when small (10-20 ha). Mean fish biomass density was five times greater within present-day protected sites, alongside significantly increased levels of fish diversity, richness, and size. No significant structural differences were observed inside and"&amp;" outside of MPAs; however, average reef rugosity, height, and roughness were significantly higher in unfished reefs compared to blast-fished reefs. Reef substrate complexity, coral composition, and level of management, were also shown to structure fish co"&amp;"mmunity assemblages, with the link between reef structure and fish richness/abundance disrupted outside of MPAs. The Structure from Motion technique allows a greater range of quantitative morphometrics to be assessed than traditional methods and at relati"&amp;"vely low cost. The technique is rapid, non-destructive and can be archived, increasing the value of data for managers wishing to quantify reef health and efficiently monitor benthic changes through time. We discuss both the limitations and benefits of thi"&amp;"s technology's future use.")</f>
        <v>Marine protected areas (MPAs) are widely used as management tools to conserve species and ecosystems at risk from human impact. Coastal managers often focus MPA designation on biogenic reef environments due to their value and sensitivity to damage. However, difficulties in enforcement and a lack of capacity to adequately monitor MPAs often make it hard for managers to assess the effectiveness of MPAs, particularly in under-resourced, low-income coastal countries. Reef community data were collected at three long-term managed reserves within the Western Visayas region of the central Philippines in order to assess the state of reef community structure inside and outside of these small-scale locally managed MPAs. In addition, 3D structural data were captured using recently developed 'Structure from Motion' photogrammetry techniques, demonstrating how multiple quantitative metrics of physical structural complexity and health can be recorded in such analyses. These community-run MPAs were shown to be effective even when small (10-20 ha). Mean fish biomass density was five times greater within present-day protected sites, alongside significantly increased levels of fish diversity, richness, and size. No significant structural differences were observed inside and outside of MPAs; however, average reef rugosity, height, and roughness were significantly higher in unfished reefs compared to blast-fished reefs. Reef substrate complexity, coral composition, and level of management, were also shown to structure fish community assemblages, with the link between reef structure and fish richness/abundance disrupted outside of MPAs. The Structure from Motion technique allows a greater range of quantitative morphometrics to be assessed than traditional methods and at relatively low cost. The technique is rapid, non-destructive and can be archived, increasing the value of data for managers wishing to quantify reef health and efficiently monitor benthic changes through time. We discuss both the limitations and benefits of this technology's future use.</v>
      </c>
      <c r="C630" s="24" t="str">
        <f>IFERROR(__xludf.DUMMYFUNCTION("""COMPUTED_VALUE"""),"10.1002/aqc.3215")</f>
        <v>10.1002/aqc.3215</v>
      </c>
      <c r="D630" s="24" t="str">
        <f>IFERROR(__xludf.DUMMYFUNCTION("""COMPUTED_VALUE"""),"Keck et al")</f>
        <v>Keck et al</v>
      </c>
      <c r="E630" s="24" t="str">
        <f>IFERROR(__xludf.DUMMYFUNCTION("""COMPUTED_VALUE"""),"WOS:000485570200001")</f>
        <v>WOS:000485570200001</v>
      </c>
      <c r="F630" s="24" t="str">
        <f>IFERROR(__xludf.DUMMYFUNCTION("""COMPUTED_VALUE"""),"[""ELIGIBLE""]")</f>
        <v>["ELIGIBLE"]</v>
      </c>
    </row>
    <row r="631">
      <c r="A631" s="24" t="str">
        <f>IFERROR(__xludf.DUMMYFUNCTION("""COMPUTED_VALUE"""),"Deforestation and the Structure of Frog Communities in the Humedale Terraba-Sierpe, Costa Rica")</f>
        <v>Deforestation and the Structure of Frog Communities in the Humedale Terraba-Sierpe, Costa Rica</v>
      </c>
      <c r="B631" s="24" t="str">
        <f>IFERROR(__xludf.DUMMYFUNCTION("""COMPUTED_VALUE"""),"Loss of tropical forests is a major cause of biodiversity loss worldwide. Although drastic modification of the habitat has been shown to negatively affect amphibians, we are far from a complete understanding of the response of amphibian communities to def"&amp;"orestation. We studied frog assemblages in a gradient of forest modification in a humid area of Costa Rica, where the primary forest has been partially converted into pasture. The study area is a mosaic of primary palm forest, abandoned pasture covered by"&amp;" secondary forest, and pasture. Species richness was assessed by randomized walk surveys and audio strip transects. We also measured ecological features to evaluate the relationship between landscape alteration and amphibian distribution. The study area h"&amp;"osted a large number of amphibian species. We focused our monitoring on six anurans: Leptodactylus labialis, Eleutherodactylus fitzingeri, E. diastema, Hyla rosenbergi, H. microcephala, and Cochranella granulosa. Three species (L. labialis, H. rosenbergi,"&amp;" and H. microcephala) were most abundant in pasture areas with livestock presence, while E. fitzingeri, E. diastema, and C. granulosa were associated with primary forest. Most of the variation in community structure was explained by the joint effect of fo"&amp;"rest alteration and presence of livestock. Whereas forest specialists suffer direct negative effect from deforestation, generalist species can take advantage of forest alteration and the presence of farm animals. Species that are able to take advantage of"&amp;" the new environmental characteristics associated with human modifications of landscapes will come to prevail in the new communities.")</f>
        <v>Loss of tropical forests is a major cause of biodiversity loss worldwide. Although drastic modification of the habitat has been shown to negatively affect amphibians, we are far from a complete understanding of the response of amphibian communities to deforestation. We studied frog assemblages in a gradient of forest modification in a humid area of Costa Rica, where the primary forest has been partially converted into pasture. The study area is a mosaic of primary palm forest, abandoned pasture covered by secondary forest, and pasture. Species richness was assessed by randomized walk surveys and audio strip transects. We also measured ecological features to evaluate the relationship between landscape alteration and amphibian distribution. The study area hosted a large number of amphibian species. We focused our monitoring on six anurans: Leptodactylus labialis, Eleutherodactylus fitzingeri, E. diastema, Hyla rosenbergi, H. microcephala, and Cochranella granulosa. Three species (L. labialis, H. rosenbergi, and H. microcephala) were most abundant in pasture areas with livestock presence, while E. fitzingeri, E. diastema, and C. granulosa were associated with primary forest. Most of the variation in community structure was explained by the joint effect of forest alteration and presence of livestock. Whereas forest specialists suffer direct negative effect from deforestation, generalist species can take advantage of forest alteration and the presence of farm animals. Species that are able to take advantage of the new environmental characteristics associated with human modifications of landscapes will come to prevail in the new communities.</v>
      </c>
      <c r="C631" s="24" t="str">
        <f>IFERROR(__xludf.DUMMYFUNCTION("""COMPUTED_VALUE"""),"10.2108/zsj.26.197")</f>
        <v>10.2108/zsj.26.197</v>
      </c>
      <c r="D631" s="24" t="str">
        <f>IFERROR(__xludf.DUMMYFUNCTION("""COMPUTED_VALUE"""),"Keck et al")</f>
        <v>Keck et al</v>
      </c>
      <c r="E631" s="24" t="str">
        <f>IFERROR(__xludf.DUMMYFUNCTION("""COMPUTED_VALUE"""),"WOS:000265265700004")</f>
        <v>WOS:000265265700004</v>
      </c>
      <c r="F631" s="24" t="str">
        <f>IFERROR(__xludf.DUMMYFUNCTION("""COMPUTED_VALUE"""),"[""ELIGIBLE""]")</f>
        <v>["ELIGIBLE"]</v>
      </c>
    </row>
    <row r="632">
      <c r="A632" s="24" t="str">
        <f>IFERROR(__xludf.DUMMYFUNCTION("""COMPUTED_VALUE"""),"A Substrate-Independent Benthic Sampler (SIBS) for Hard and Mixed-Bottom Marine Habitats: A Proof-of-Concept Study")</f>
        <v>A Substrate-Independent Benthic Sampler (SIBS) for Hard and Mixed-Bottom Marine Habitats: A Proof-of-Concept Study</v>
      </c>
      <c r="B632" s="24" t="str">
        <f>IFERROR(__xludf.DUMMYFUNCTION("""COMPUTED_VALUE"""),"Sea cage fish farms are increasingly situated over hard and mixed substrate habitats for production and waste-dispersion reasons; yet in many cases, these installations are not being effectively managed with respect to benthic impacts due to the lack of a"&amp;" practical sampling method. This study presents the first set of results from a newly developed Substrate Independent Benthic Sampler (SIBS) device that captures the unconsolidated organic and inorganic matter that overlies almost all substrates. The cont"&amp;"ents of the samples were analyzed using extracted environmental DNA (eDNA) followed by metabarcoding of the bacterial 16S rRNA gene. SIBS microbial assemblages reliably changed with proximity to farm and concurred with visual assessments of impact. Moreov"&amp;"er, the approach appeared to be very sensitive with respect to the enrichment gradient, being able to discern influences at distances of 500-1500 m from the impact source. Other spatial differences, due to region and farm, were small in comparison, and th"&amp;"e effect of the underlying substrate type was minor. The samples contained sufficient previously described bacterial bioindicator taxa from enriched sediments, such that a meaningful biotic index could be calculated, thereby placing them on a well-establi"&amp;"shed benthic enrichment spectrum with established environmental thresholds. SIBS-derived bacterial data provide a powerful new approach for mapping spatial boundaries of farm effects irrespective of substrate type and topography. More importantly, the too"&amp;"l should also permit quantitative assessment of benthic enrichment levels irrespective of substrate type from depths of at least 100 m. It therefore has the potential to solve the hard-bottom problem that has until now prohibited effective environmental m"&amp;"onitoring at mixed and hard-bottom locations.")</f>
        <v>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v>
      </c>
      <c r="C632" s="24" t="str">
        <f>IFERROR(__xludf.DUMMYFUNCTION("""COMPUTED_VALUE"""),"10.3389/fmars.2021.627687")</f>
        <v>10.3389/fmars.2021.627687</v>
      </c>
      <c r="D632" s="24" t="str">
        <f>IFERROR(__xludf.DUMMYFUNCTION("""COMPUTED_VALUE"""),"Keck et al")</f>
        <v>Keck et al</v>
      </c>
      <c r="E632" s="24" t="str">
        <f>IFERROR(__xludf.DUMMYFUNCTION("""COMPUTED_VALUE"""),"WOS:000642479100001")</f>
        <v>WOS:000642479100001</v>
      </c>
      <c r="F632" s="24" t="str">
        <f>IFERROR(__xludf.DUMMYFUNCTION("""COMPUTED_VALUE"""),"[""ELIGIBLE""]")</f>
        <v>["ELIGIBLE"]</v>
      </c>
    </row>
    <row r="633">
      <c r="A633" s="24" t="str">
        <f>IFERROR(__xludf.DUMMYFUNCTION("""COMPUTED_VALUE"""),"Compositional changes in thermophilous oak forests in Poland over time: do they correspond to European trends?")</f>
        <v>Compositional changes in thermophilous oak forests in Poland over time: do they correspond to European trends?</v>
      </c>
      <c r="B633" s="24" t="str">
        <f>IFERROR(__xludf.DUMMYFUNCTION("""COMPUTED_VALUE"""),"Questions: Have compositional changes occurred in thermophilous oak forests in Poland during the past two decades? What kinds of driversmight be responsible for these changes? Are the thermophilous oak woods still rich in species or have they rather lost "&amp;"their diversity? Location: SudetesMts., SWPoland. Methods: The vegetation of thermophilous oak forests within four distinct areas was surveyed on 92 semi-permanent plots in the time periods from 1992 to 1994 and from 2010 to 2014. The overall pattern in v"&amp;"egetation changes, trends in species composition and site parameters, as well as the diversity of studied communities were analysed using ordination and permutation techniques. Results: The species composition of thermophilous oak forests has changed sign"&amp;"ificantly. We recorded a decrease in the share of oligotrophic light-demanding species, whereas mesotrophic light-demanding and nitrophilous species showed an upward trend. Regarding the fourth group of shade-tolerant species, their share varied depending"&amp;" on the site. The analysis of habitat parameters revealed that the studied oak forest communities generally shifted from communities of moderately oligotrophic and mesic character towards forests growing on nutrient- richer but drier habitats. Interesting"&amp;"ly, the observed change in species composition was not accompanied by the loss of biodiversity that has generally been reported in other types of thermophilous forests in Europe. Conclusions: Changes observed within thermophilous and previously coppiced o"&amp;"ak forests of southwest Poland are going in a direction which has not been recognized so far in analogous communities. The transition of studied communities is probably a result of the cumulative influence of several drivers, the most crucial of which see"&amp;"m to be soil regeneration, after the period of intensive acidity caused by sulphur emission between 1960 and 2000, and decreasing moisture. The observed changes are independent of the type of forestmanagement (or the lack thereof) within the study sites.")</f>
        <v>Questions: Have compositional changes occurred in thermophilous oak forests in Poland during the past two decades? What kinds of driversmight be responsible for these changes? Are the thermophilous oak woods still rich in species or have they rather lost their diversity? Location: SudetesMts., SWPoland. Methods: The vegetation of thermophilous oak forests within four distinct areas was surveyed on 92 semi-permanent plots in the time periods from 1992 to 1994 and from 2010 to 2014. The overall pattern in vegetation changes, trends in species composition and site parameters, as well as the diversity of studied communities were analysed using ordination and permutation techniques. Results: The species composition of thermophilous oak forests has changed significantly. We recorded a decrease in the share of oligotrophic light-demanding species, whereas mesotrophic light-demanding and nitrophilous species showed an upward trend. Regarding the fourth group of shade-tolerant species, their share varied depending on the site. The analysis of habitat parameters revealed that the studied oak forest communities generally shifted from communities of moderately oligotrophic and mesic character towards forests growing on nutrient- richer but drier habitats. Interestingly, the observed change in species composition was not accompanied by the loss of biodiversity that has generally been reported in other types of thermophilous forests in Europe. Conclusions: Changes observed within thermophilous and previously coppiced oak forests of southwest Poland are going in a direction which has not been recognized so far in analogous communities. The transition of studied communities is probably a result of the cumulative influence of several drivers, the most crucial of which seem to be soil regeneration, after the period of intensive acidity caused by sulphur emission between 1960 and 2000, and decreasing moisture. The observed changes are independent of the type of forestmanagement (or the lack thereof) within the study sites.</v>
      </c>
      <c r="C633" s="24" t="str">
        <f>IFERROR(__xludf.DUMMYFUNCTION("""COMPUTED_VALUE"""),"10.1111/avsc.12290")</f>
        <v>10.1111/avsc.12290</v>
      </c>
      <c r="D633" s="24" t="str">
        <f>IFERROR(__xludf.DUMMYFUNCTION("""COMPUTED_VALUE"""),"Keck et al")</f>
        <v>Keck et al</v>
      </c>
      <c r="E633" s="24" t="str">
        <f>IFERROR(__xludf.DUMMYFUNCTION("""COMPUTED_VALUE"""),"WOS:000398083700014")</f>
        <v>WOS:000398083700014</v>
      </c>
      <c r="F633" s="24" t="str">
        <f>IFERROR(__xludf.DUMMYFUNCTION("""COMPUTED_VALUE"""),"[""ELIGIBLE""]")</f>
        <v>["ELIGIBLE"]</v>
      </c>
    </row>
    <row r="634">
      <c r="A634" s="24" t="str">
        <f>IFERROR(__xludf.DUMMYFUNCTION("""COMPUTED_VALUE"""),"INTERRELATIONSHIPS IN COMMUNITY STRUCTURE BETWEEN SHALLOW-WATER MARINE MEIOFAUNA AND MACROFAUNA IN RELATION TO DREDGINGS DISPOSAL")</f>
        <v>INTERRELATIONSHIPS IN COMMUNITY STRUCTURE BETWEEN SHALLOW-WATER MARINE MEIOFAUNA AND MACROFAUNA IN RELATION TO DREDGINGS DISPOSAL</v>
      </c>
      <c r="B634" s="24" t="str">
        <f>IFERROR(__xludf.DUMMYFUNCTION("""COMPUTED_VALUE"""),"Patterns in community structure of macrofauna (Day grab samples), nematodes (Craib core samples and subsamples from Day grabs) and copepods (Craib core samples) along a transect through a dredgings disposal site in Liverpool Bay, UK, are compared, and rel"&amp;"ated to a range of environmental measurements. Disposal of dredged material at the site has different effects on different components of the benthos. Nematodes are more sensitive to sediment structure and the ongoing disposal of dredgings at the site, but"&amp;" the method used to sample them influences the perceived pattern of impact. Subsampling from grabs is not found to be an adequate method of sampling meiofauna in studies designed to examine details of changes in community structure, although such samples "&amp;"may be sufficient for detecting that substantial changes have occurred. Macrofauna are more sensitive to concentrations of metals and longer term events at the site.")</f>
        <v>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v>
      </c>
      <c r="C634" s="24" t="str">
        <f>IFERROR(__xludf.DUMMYFUNCTION("""COMPUTED_VALUE"""),"10.3354/meps127103")</f>
        <v>10.3354/meps127103</v>
      </c>
      <c r="D634" s="24" t="str">
        <f>IFERROR(__xludf.DUMMYFUNCTION("""COMPUTED_VALUE"""),"Keck et al")</f>
        <v>Keck et al</v>
      </c>
      <c r="E634" s="24" t="str">
        <f>IFERROR(__xludf.DUMMYFUNCTION("""COMPUTED_VALUE"""),"WOS:A1995TG88000010")</f>
        <v>WOS:A1995TG88000010</v>
      </c>
      <c r="F634" s="24" t="str">
        <f>IFERROR(__xludf.DUMMYFUNCTION("""COMPUTED_VALUE"""),"[""ELIGIBLE""]")</f>
        <v>["ELIGIBLE"]</v>
      </c>
    </row>
    <row r="635">
      <c r="A635" s="24" t="str">
        <f>IFERROR(__xludf.DUMMYFUNCTION("""COMPUTED_VALUE"""),"Temporal changes in the polychaete infaunal community surrounding a Hawaiian mariculture operation")</f>
        <v>Temporal changes in the polychaete infaunal community surrounding a Hawaiian mariculture operation</v>
      </c>
      <c r="B635" s="24" t="str">
        <f>IFERROR(__xludf.DUMMYFUNCTION("""COMPUTED_VALUE"""),"Benthic monitoring efforts in the vicinity of a Pacific threadfin Polydactylis sexfilis mariculture venture have, allowed us to examine eutrophic effects on the infaunal community. Polychaete infaunal communities from 2 sites near the point source were co"&amp;"mpared to 2 control stations beyond the range of fish feed and wastes. Regression analysis indicated significant decreases in Shannon-Weiner diversity over time and near the effluent source. Non-metric multidimensional scaling (nMDS) showed a progression "&amp;"of species succession and turnover at impacted sites but relatively unchanging polychaete communities at control sites. An analysis of similarity (ANOSIM) indicated significant differences between community structures at impacted and control sites but les"&amp;"s obvious differences over time. An abundant and regionally widespread polychaete Pionosyllis heterocirrata had disappeared from impacted sites. Increasing abundances of 2 opportunistic polychaetes, Capitella capitata (complex) and Ophryotrocha adherens, "&amp;"resulted in decreasing Shannon-Weiner diversity values (H') at impacted stations. Expanding populations of C. capitata and O. adherens seem to be preceded by high densities of Myriochele oculata. These 3 species may represent an order of succession due to"&amp;" attrition by anoxia in Hawaiian waters. Deviation of the infaunal polychaete community at impacted sites resulting from the appearance of polychaete pollution indicators, low species richness resulting from the disappearance of ambient polychaete species"&amp;" and depressed community abundance reflect the effects of fish mariculture on the benthic community. Such effects may be diluted by the open-ocean location on the south shore of O'ahu, Hawai'i.")</f>
        <v>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v>
      </c>
      <c r="C635" s="24" t="str">
        <f>IFERROR(__xludf.DUMMYFUNCTION("""COMPUTED_VALUE"""),"10.3354/meps307175")</f>
        <v>10.3354/meps307175</v>
      </c>
      <c r="D635" s="24" t="str">
        <f>IFERROR(__xludf.DUMMYFUNCTION("""COMPUTED_VALUE"""),"Keck et al")</f>
        <v>Keck et al</v>
      </c>
      <c r="E635" s="24" t="str">
        <f>IFERROR(__xludf.DUMMYFUNCTION("""COMPUTED_VALUE"""),"WOS:000235775700014")</f>
        <v>WOS:000235775700014</v>
      </c>
      <c r="F635" s="24" t="str">
        <f>IFERROR(__xludf.DUMMYFUNCTION("""COMPUTED_VALUE"""),"[""ELIGIBLE""]")</f>
        <v>["ELIGIBLE"]</v>
      </c>
    </row>
    <row r="636">
      <c r="A636" s="24" t="str">
        <f>IFERROR(__xludf.DUMMYFUNCTION("""COMPUTED_VALUE"""),"Effect of Land Use on the Benthic Diatom Community of the Danube River in the Region of Budapest")</f>
        <v>Effect of Land Use on the Benthic Diatom Community of the Danube River in the Region of Budapest</v>
      </c>
      <c r="B636" s="24" t="str">
        <f>IFERROR(__xludf.DUMMYFUNCTION("""COMPUTED_VALUE"""),"(1) Urbanization significantly influences the ecosystems of rivers in various ways, including the so-called loading effect of wastewater production. Benthic diatoms are used in ecological status assessments of waters. Beside species composition, traits ca"&amp;"n be used as indicators. We aimed to evaluate how the loading of the large city of Budapest manifests in the physico-chemical variables of the River Danube and what species composition and trait response this loading results in for the benthic diatom comm"&amp;"unities. (2) Weekly samplings were performed at points upstream and downstream of Budapest on both riverbanks. Samples were compared, based on general physical-chemical variables and the concentration of thirty-four elements, as well as species compositio"&amp;"n and seven traits of species of diatom communities. Ecological status was assessed using the Specific Pollution Sensitivity Index (IPS). (3) Only a few measured environmental variables showed differences between the sampling points, suggesting that the n"&amp;"utrient loading has significantly decreased due to the installation of several efficiently working wastewater treatment plants since the introduction of the European Union Water Framework Directive. In contrast, the species composition and traits of speci"&amp;"es showed the effect of land use. Benthic diatoms indicate the environmental changes caused by land use in the longer-term, while chemical measurements reflect instantaneous status.")</f>
        <v>(1) Urbanization significantly influences the ecosystems of rivers in various ways, including the so-called loading effect of wastewater production. Benthic diatoms are used in ecological status assessments of waters. Beside species composition, traits can be used as indicators. We aimed to evaluate how the loading of the large city of Budapest manifests in the physico-chemical variables of the River Danube and what species composition and trait response this loading results in for the benthic diatom communities. (2) Weekly samplings were performed at points upstream and downstream of Budapest on both riverbanks. Samples were compared, based on general physical-chemical variables and the concentration of thirty-four elements, as well as species composition and seven traits of species of diatom communities. Ecological status was assessed using the Specific Pollution Sensitivity Index (IPS). (3) Only a few measured environmental variables showed differences between the sampling points, suggesting that the nutrient loading has significantly decreased due to the installation of several efficiently working wastewater treatment plants since the introduction of the European Union Water Framework Directive. In contrast, the species composition and traits of species showed the effect of land use. Benthic diatoms indicate the environmental changes caused by land use in the longer-term, while chemical measurements reflect instantaneous status.</v>
      </c>
      <c r="C636" s="24" t="str">
        <f>IFERROR(__xludf.DUMMYFUNCTION("""COMPUTED_VALUE"""),"10.3390/w12020479")</f>
        <v>10.3390/w12020479</v>
      </c>
      <c r="D636" s="24" t="str">
        <f>IFERROR(__xludf.DUMMYFUNCTION("""COMPUTED_VALUE"""),"Keck et al")</f>
        <v>Keck et al</v>
      </c>
      <c r="E636" s="24" t="str">
        <f>IFERROR(__xludf.DUMMYFUNCTION("""COMPUTED_VALUE"""),"WOS:000519846500170")</f>
        <v>WOS:000519846500170</v>
      </c>
      <c r="F636" s="24" t="str">
        <f>IFERROR(__xludf.DUMMYFUNCTION("""COMPUTED_VALUE"""),"[""ELIGIBLE""]")</f>
        <v>["ELIGIBLE"]</v>
      </c>
    </row>
    <row r="637">
      <c r="A637" s="24" t="str">
        <f>IFERROR(__xludf.DUMMYFUNCTION("""COMPUTED_VALUE"""),"Impact on demersal fish of a large-scale and deep sand extraction site with ecosystem-based landscaped sandbars")</f>
        <v>Impact on demersal fish of a large-scale and deep sand extraction site with ecosystem-based landscaped sandbars</v>
      </c>
      <c r="B637" s="24" t="str">
        <f>IFERROR(__xludf.DUMMYFUNCTION("""COMPUTED_VALUE"""),"For the seaward harbour extension of the Port of Rotterdam in the Netherlands, approximately 220 million m(3) sand was extracted between 2009 and 2013. In order to decrease the surface area of direct impact, the authorities permitted deep sand extraction,"&amp;" down to 20 m below the seabed. Biological and physical impacts of large-scale and deep sand extraction are still being investigated and largely unknown. For this reason, we investigated the colonization of demersal fish in a deep sand extraction site. Tw"&amp;"o sandbars were artificially created by selective dredging, copying naturally occurring meso-scale bedforms to increase habitat heterogeneity and increasing post-dredging benthic and demersal fish species richness and biomass. Significant differences in d"&amp;"emersal fish species assemblages in the sand extraction site were associated with variables such as water depth, median grain size, fraction of very fine sand, biomass of white furrow shell (Abra alba) and time after the cessation of sand extraction. Larg"&amp;"e quantities of undigested crushed white furrow shell fragments were found in all stomachs and intestines of plaice (Pleuronectes platessa), indicating that it is an important prey item. One and two years after cessation, a significant 20-fold increase in"&amp;" demersal fish biomass was observed in deep parts of the extraction site. In the troughs of a landscaped sandbar however, a significant drop in biomass down to reference levels and a significant change in species assemblage was observed two years after ce"&amp;"ssation. The fish assemblage at the crests of the sandbars differed significantly from the troughs with tub gurnard (Chelidonichthys lucerna) being a Dufrene-Legendre indicator species of the crests. This is a first indication of the applicability of land"&amp;"scaping techniques to induce heterogeneity of the seabed although it remains difficult to draw a strong conclusion due the lack of replication in the experiment A new ecological equilibrium is not reached after 2 years since biotic and abiotic variables a"&amp;"re still adapting. To understand the final impact of deep and large-scale sand extraction on demersal fish, we recommend monitoring for a longer period, at least for a period of six years or even longer. (C) 2014 The Authors. Published by Elsevier Ltd. Th"&amp;"is is an open access article under the CC BY license (http ://creativecommons.org/licenses/by/3.0/).")</f>
        <v>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v>
      </c>
      <c r="C637" s="24" t="str">
        <f>IFERROR(__xludf.DUMMYFUNCTION("""COMPUTED_VALUE"""),"10.1016/j.ecss.2014.05.029")</f>
        <v>10.1016/j.ecss.2014.05.029</v>
      </c>
      <c r="D637" s="24" t="str">
        <f>IFERROR(__xludf.DUMMYFUNCTION("""COMPUTED_VALUE"""),"Keck et al")</f>
        <v>Keck et al</v>
      </c>
      <c r="E637" s="24" t="str">
        <f>IFERROR(__xludf.DUMMYFUNCTION("""COMPUTED_VALUE"""),"WOS:000340983900010")</f>
        <v>WOS:000340983900010</v>
      </c>
      <c r="F637" s="24" t="str">
        <f>IFERROR(__xludf.DUMMYFUNCTION("""COMPUTED_VALUE"""),"[""ELIGIBLE""]")</f>
        <v>["ELIGIBLE"]</v>
      </c>
    </row>
    <row r="638">
      <c r="A638" s="24" t="str">
        <f>IFERROR(__xludf.DUMMYFUNCTION("""COMPUTED_VALUE"""),"Riparian forest buffers mitigate the effects of deforestation on fish assemblages in tropical headwater streams")</f>
        <v>Riparian forest buffers mitigate the effects of deforestation on fish assemblages in tropical headwater streams</v>
      </c>
      <c r="B638" s="24" t="str">
        <f>IFERROR(__xludf.DUMMYFUNCTION("""COMPUTED_VALUE"""),"Riparian forest buffers may play a critical role in moderating the impacts of deforestation on tropical stream ecosystems, but very few studies have examined the ecological effects of riparian buffers in the tropics. To test the hypothesis that riparian f"&amp;"orest buffers can reduce the impacts of deforestation on tropical stream biota, we sampled fish assemblages in lowland headwater streams in southeastern Costa Rica representing three different treatments: (1) forested reference stream reaches, (2) stream "&amp;"reaches adjacent to pasture with a riparian forest buffer averaging at least 15 m in width on each bank, and (3) stream reaches adjacent to pasture without a riparian forest buffer. Land cover upstream from the study reaches was dominated by forest at all"&amp;" of the sites, allowing us to isolate the reach-scale effects of the three study treatments. Fish density was significantly higher in pasture reaches than in forest and forest buffer reaches, mostly due to an increase in herbivore-detritivores, but fish b"&amp;"iomass did not differ among reach types. Fish species richness was also higher in pasture reaches than in forested reference reaches, while forest buffer reaches were intermediate. Overall, the taxonomic and trophic structure of fish assemblages in forest"&amp;" and forest buffer reaches was very similar, while assemblages in pasture reaches were quite distinct. These patterns were persistent across three sampling periods during our 15-month study. Differences in stream ecosystem conditions between pasture reach"&amp;"es and forested sites, including higher stream temperatures, reduced fruit and seed inputs, and a trend toward increased periphyton abundance, appeared to favor fish species normally found in larger streams and facilitate a native invasion process. Forest"&amp;" buffer reaches, in contrast, had stream temperatures and allochthonous inputs more similar to forested streams. Our results illustrate the importance of riparian areas to stream ecosystem integrity in the tropics and provide support for Costa Rican legis"&amp;"lation protecting riparian forests.")</f>
        <v>Riparian forest buffers may play a critical role in moderating the impacts of deforestation on tropical stream ecosystems, but very few studies have examined the ecological effects of riparian buffers in the tropics. To test the hypothesis that riparian forest buffers can reduce the impacts of deforestation on tropical stream biota, we sampled fish assemblages in lowland headwater streams in southeastern Costa Rica representing three different treatments: (1) forested reference stream reaches, (2) stream reaches adjacent to pasture with a riparian forest buffer averaging at least 15 m in width on each bank, and (3) stream reaches adjacent to pasture without a riparian forest buffer. Land cover upstream from the study reaches was dominated by forest at all of the sites, allowing us to isolate the reach-scale effects of the three study treatments. Fish density was significantly higher in pasture reaches than in forest and forest buffer reaches, mostly due to an increase in herbivore-detritivores, but fish biomass did not differ among reach types. Fish species richness was also higher in pasture reaches than in forested reference reaches, while forest buffer reaches were intermediate. Overall, the taxonomic and trophic structure of fish assemblages in forest and forest buffer reaches was very similar, while assemblages in pasture reaches were quite distinct. These patterns were persistent across three sampling periods during our 15-month study. Differences in stream ecosystem conditions between pasture reaches and forested sites, including higher stream temperatures, reduced fruit and seed inputs, and a trend toward increased periphyton abundance, appeared to favor fish species normally found in larger streams and facilitate a native invasion process. Forest buffer reaches, in contrast, had stream temperatures and allochthonous inputs more similar to forested streams. Our results illustrate the importance of riparian areas to stream ecosystem integrity in the tropics and provide support for Costa Rican legislation protecting riparian forests.</v>
      </c>
      <c r="C638" s="24" t="str">
        <f>IFERROR(__xludf.DUMMYFUNCTION("""COMPUTED_VALUE"""),"10.1890/08-0050.1")</f>
        <v>10.1890/08-0050.1</v>
      </c>
      <c r="D638" s="24" t="str">
        <f>IFERROR(__xludf.DUMMYFUNCTION("""COMPUTED_VALUE"""),"Keck et al")</f>
        <v>Keck et al</v>
      </c>
      <c r="E638" s="24" t="str">
        <f>IFERROR(__xludf.DUMMYFUNCTION("""COMPUTED_VALUE"""),"WOS:000263719400015")</f>
        <v>WOS:000263719400015</v>
      </c>
      <c r="F638" s="24" t="str">
        <f>IFERROR(__xludf.DUMMYFUNCTION("""COMPUTED_VALUE"""),"[""ELIGIBLE""]")</f>
        <v>["ELIGIBLE"]</v>
      </c>
    </row>
    <row r="639">
      <c r="A639" s="24" t="str">
        <f>IFERROR(__xludf.DUMMYFUNCTION("""COMPUTED_VALUE"""),"The alien octocoral Carijoa riisei is a biogenic substrate multiplier in artificial Brazilian shipwrecks")</f>
        <v>The alien octocoral Carijoa riisei is a biogenic substrate multiplier in artificial Brazilian shipwrecks</v>
      </c>
      <c r="B639" s="24" t="str">
        <f>IFERROR(__xludf.DUMMYFUNCTION("""COMPUTED_VALUE"""),"Despite the obvious negative effects caused by invasive species, some recent studies have shown that the impacts at local scale are diverse and not necessarily negative. Arborescent benthic organisms such as octocorals form three-dimensional structures ca"&amp;"pable of increasing the amount of substrate available and providing shelter for epibiont species. We investigated the role of the alien octocoral Carijoa riisei on the diversity of benthic communities in three shipwrecks on the north-eastern coast of Braz"&amp;"il. We expected that (a) the fauna associated with the octocoral are richer and more diverse compared to the adjacent; (b) some species are exclusively associated with C. riisei; (c) the species that are present both in the areas with and without C. riise"&amp;"i have a greater abundance when associated with the octocoral. For this, we compared the macrobenthic communities associated with C. riisei to those found in adjacent areas where the octocoral was absent. Our study showed that the communities associated w"&amp;"ith the octocoral were 1.5 times richer and 10 times more abundant than adjacent communities, with 29 exclusive taxa. The dominant taxa were the amphipods Ericthonius brasiliensis and Podocerus brasiliensis and polychaetes of the family Syllidae. These ta"&amp;"xa were present in areas with presence and absence of C. riisei, but their abundance was significantly greater where the octocoral was present. Our results reinforce the idea that Carijoa riisei acts as an ecosystem engineer in coastal reefs, creating new"&amp;" habitats and increasing diversity at a local scale, even though it is an alien species.")</f>
        <v>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v>
      </c>
      <c r="C639" s="24" t="str">
        <f>IFERROR(__xludf.DUMMYFUNCTION("""COMPUTED_VALUE"""),"10.1007/s10452-021-09908-8")</f>
        <v>10.1007/s10452-021-09908-8</v>
      </c>
      <c r="D639" s="24" t="str">
        <f>IFERROR(__xludf.DUMMYFUNCTION("""COMPUTED_VALUE"""),"Keck et al")</f>
        <v>Keck et al</v>
      </c>
      <c r="E639" s="24" t="str">
        <f>IFERROR(__xludf.DUMMYFUNCTION("""COMPUTED_VALUE"""),"WOS:000705743100001")</f>
        <v>WOS:000705743100001</v>
      </c>
      <c r="F639" s="24" t="str">
        <f>IFERROR(__xludf.DUMMYFUNCTION("""COMPUTED_VALUE"""),"[""ELIGIBLE""]")</f>
        <v>["ELIGIBLE"]</v>
      </c>
    </row>
    <row r="640">
      <c r="A640" s="24" t="str">
        <f>IFERROR(__xludf.DUMMYFUNCTION("""COMPUTED_VALUE"""),"SYNOPTIC POST FISHERY STRUCTURE OF INVERTEBRATE BYCATCH ASSOCIATED TO ZYGOCHLAMYS PATAGONICA FISHING GROUNDS AT THE SOUTHWEST ATLANTIC SHELF-BREAK FRONT (39° S, ARGENTINA)")</f>
        <v>SYNOPTIC POST FISHERY STRUCTURE OF INVERTEBRATE BYCATCH ASSOCIATED TO ZYGOCHLAMYS PATAGONICA FISHING GROUNDS AT THE SOUTHWEST ATLANTIC SHELF-BREAK FRONT (39° S, ARGENTINA)</v>
      </c>
      <c r="B640" s="24" t="str">
        <f>IFERROR(__xludf.DUMMYFUNCTION("""COMPUTED_VALUE"""),"Biological data were collected in a Patagonian scallop fishing ground, between 39 degrees 00' and 39 degrees 50' S and between 87 and 130 m depth. During 2007, we sampled the following stations where the trawling exerted could be precisely determined: 11 "&amp;"locations subjected to continuous fishing effort between 1996 and 2006 (continuous fishing effort, 878 commercial tows) and 12 locations subjected to fishing effort between 1996 and 2002 (interrupted fishing effort, 302 commercial tows). Univariate (speci"&amp;"es richness, Shannon's diversity index, and Pielou's equitability index) and multivariate analysis, analysis of variance, and Kruskal-Wallis tests were applied to analyze species composition and biomass. This study reflects the significant higher density "&amp;"of sessile taxa (Porifera and the ascidean Paramolgula gregaria) and two small ophiuroids (Ophiacantha vivipara and Ophiura lymani), all of them conspicuous during the exploratory cruises conducted in 1995, in the sites where fishing effort was interrupte"&amp;"d 4 y before the sampling in 2007 than in those sites continuously exploited and discusses the results considering previous knowledge on the damage that the process on board scallopers imparts on invertebrates bycatch.")</f>
        <v>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v>
      </c>
      <c r="C640" s="24" t="str">
        <f>IFERROR(__xludf.DUMMYFUNCTION("""COMPUTED_VALUE"""),"10.2983/035.034.0301")</f>
        <v>10.2983/035.034.0301</v>
      </c>
      <c r="D640" s="24" t="str">
        <f>IFERROR(__xludf.DUMMYFUNCTION("""COMPUTED_VALUE"""),"Keck et al")</f>
        <v>Keck et al</v>
      </c>
      <c r="E640" s="24" t="str">
        <f>IFERROR(__xludf.DUMMYFUNCTION("""COMPUTED_VALUE"""),"WOS:000367745300001")</f>
        <v>WOS:000367745300001</v>
      </c>
      <c r="F640" s="24" t="str">
        <f>IFERROR(__xludf.DUMMYFUNCTION("""COMPUTED_VALUE"""),"[""ELIGIBLE""]")</f>
        <v>["ELIGIBLE"]</v>
      </c>
    </row>
    <row r="641">
      <c r="A641" s="24" t="str">
        <f>IFERROR(__xludf.DUMMYFUNCTION("""COMPUTED_VALUE"""),"Impacts of a shallow shipwreck on a coral reef: A case study from St. Brandon's Atoll, Mauritius, Indian Ocean")</f>
        <v>Impacts of a shallow shipwreck on a coral reef: A case study from St. Brandon's Atoll, Mauritius, Indian Ocean</v>
      </c>
      <c r="B641" s="24" t="str">
        <f>IFERROR(__xludf.DUMMYFUNCTION("""COMPUTED_VALUE"""),"Shallow shipwrecks, can have severe ecological and toxicological impacts on coral atolls. In 2012, a tuna longliner ran aground on the reef crest of St Brandon's Atoll, Mauritius, broke up into three pieces which was moved by currents and storms into the "&amp;"lagoon. In the months following the grounding, the coral around the wreck became dead and black. Down-current from the wreck, a dense bloom of filamentous algae (Ulva sp.) attached to coral occurred. To determine the ecological effects of the wreck on the"&amp;" system, the marine biota around the wreck, in the algal bloom, and fish reference zones were counted in 2014. Metal concentrations in reference and affected coral was determined using inductively coupled plasma mass spectrometry (ICP/MS). A pronounced di"&amp;"fference was seen in the metal concentration pattern between coral from the wreck- and algal zones, and the coral reference zone. While the wreck zone contained the highest abundance of fish, the fish reference zone had the highest species diversity but w"&amp;"ith fewer fish. We also counted eleven Critically Endangered hawksbill sea turtles Eretmochelys imbricata and significantly more sea cucumbers in the algal zone than the reference zones. The effects of shipwrecks on coral reefs must be considered a threat"&amp;" over periods of years and should be studied further.")</f>
        <v>Shallow shipwrecks, can have severe ecological and toxicological impacts on coral atolls. In 2012, a tuna longliner ran aground on the reef crest of St Brandon's Atoll, Mauritius, broke up into three pieces which was moved by currents and storms into the lagoon. In the months following the grounding, the coral around the wreck became dead and black. Down-current from the wreck, a dense bloom of filamentous algae (Ulva sp.) attached to coral occurred. To determine the ecological effects of the wreck on the system, the marine biota around the wreck, in the algal bloom, and fish reference zones were counted in 2014. Metal concentrations in reference and affected coral was determined using inductively coupled plasma mass spectrometry (ICP/MS). A pronounced difference was seen in the metal concentration pattern between coral from the wreck- and algal zones, and the coral reference zone. While the wreck zone contained the highest abundance of fish, the fish reference zone had the highest species diversity but with fewer fish. We also counted eleven Critically Endangered hawksbill sea turtles Eretmochelys imbricata and significantly more sea cucumbers in the algal zone than the reference zones. The effects of shipwrecks on coral reefs must be considered a threat over periods of years and should be studied further.</v>
      </c>
      <c r="C641" s="24" t="str">
        <f>IFERROR(__xludf.DUMMYFUNCTION("""COMPUTED_VALUE"""),"10.1016/j.marenvres.2020.104916")</f>
        <v>10.1016/j.marenvres.2020.104916</v>
      </c>
      <c r="D641" s="24" t="str">
        <f>IFERROR(__xludf.DUMMYFUNCTION("""COMPUTED_VALUE"""),"Keck et al")</f>
        <v>Keck et al</v>
      </c>
      <c r="E641" s="24" t="str">
        <f>IFERROR(__xludf.DUMMYFUNCTION("""COMPUTED_VALUE"""),"WOS:000528612000002")</f>
        <v>WOS:000528612000002</v>
      </c>
      <c r="F641" s="24" t="str">
        <f>IFERROR(__xludf.DUMMYFUNCTION("""COMPUTED_VALUE"""),"[""ELIGIBLE""]")</f>
        <v>["ELIGIBLE"]</v>
      </c>
    </row>
    <row r="642">
      <c r="A642" s="24" t="str">
        <f>IFERROR(__xludf.DUMMYFUNCTION("""COMPUTED_VALUE"""),"Beach recreation impacts benthic invertebrates on ocean-exposed sandy shores")</f>
        <v>Beach recreation impacts benthic invertebrates on ocean-exposed sandy shores</v>
      </c>
      <c r="B642" s="24" t="str">
        <f>IFERROR(__xludf.DUMMYFUNCTION("""COMPUTED_VALUE"""),"Ocean beaches are prime recreational assets and are becoming increasingly urbanised: more beaches today front metropolitan regions, are mechanically cleaned, and are used for recreation by increasing numbers of residents and tourists. This 'urbanisation' "&amp;"of beaches presents complex management and conservation challenges, including the accurate determination of ecological effects caused by human beach use. Here we tested whether spatial variation in recreational beach use translates into ecological changes"&amp;" in the benthic invertebrate assemblages inhabiting the intertidal zone in Eastern Australia. Detected faunal changes were consistent with an interpretation of trampling impacts on the lower part of the beach: here, reductions in key ecological measures w"&amp;"ere significant in terms of total abundance (-72% to -44% lower than control areas), and species richness (-55% to -5%), resulting in significant shifts in community structure. Conversely, upper-shore assemblages were structurally similar between tramplin"&amp;"g treatments. Because benthic invertebrates are structurally and functionally important in beach ecosystems (e.g. nutrient cycling, trophic links), human impacts from recreation are likely to propagate beyond the macrobenthos and hence require mitigation."&amp;" Conservation measures for beaches are challenging in urban settings. However, a practicable approach to systematic conservation planning for urban beaches that recognises the social and political reality of beaches having a prime role as recreational ass"&amp;"ets while maximising environmental outcomes via spatial zoning and visitor management is not unrealistic. (C) 2011 Elsevier Ltd. All rights reserved.")</f>
        <v>Ocean beaches are prime recreational assets and are becoming increasingly urbanised: more beaches today front metropolitan regions, are mechanically cleaned, and are used for recreation by increasing numbers of residents and tourists. This 'urbanisation' of beaches presents complex management and conservation challenges, including the accurate determination of ecological effects caused by human beach use. Here we tested whether spatial variation in recreational beach use translates into ecological changes in the benthic invertebrate assemblages inhabiting the intertidal zone in Eastern Australia. Detected faunal changes were consistent with an interpretation of trampling impacts on the lower part of the beach: here, reductions in key ecological measures were significant in terms of total abundance (-72% to -44% lower than control areas), and species richness (-55% to -5%), resulting in significant shifts in community structure. Conversely, upper-shore assemblages were structurally similar between trampling treatments. Because benthic invertebrates are structurally and functionally important in beach ecosystems (e.g. nutrient cycling, trophic links), human impacts from recreation are likely to propagate beyond the macrobenthos and hence require mitigation. Conservation measures for beaches are challenging in urban settings. However, a practicable approach to systematic conservation planning for urban beaches that recognises the social and political reality of beaches having a prime role as recreational assets while maximising environmental outcomes via spatial zoning and visitor management is not unrealistic. (C) 2011 Elsevier Ltd. All rights reserved.</v>
      </c>
      <c r="C642" s="24" t="str">
        <f>IFERROR(__xludf.DUMMYFUNCTION("""COMPUTED_VALUE"""),"10.1016/j.biocon.2011.12.022")</f>
        <v>10.1016/j.biocon.2011.12.022</v>
      </c>
      <c r="D642" s="24" t="str">
        <f>IFERROR(__xludf.DUMMYFUNCTION("""COMPUTED_VALUE"""),"Keck et al")</f>
        <v>Keck et al</v>
      </c>
      <c r="E642" s="24" t="str">
        <f>IFERROR(__xludf.DUMMYFUNCTION("""COMPUTED_VALUE"""),"WOS:000302972700016")</f>
        <v>WOS:000302972700016</v>
      </c>
      <c r="F642" s="24" t="str">
        <f>IFERROR(__xludf.DUMMYFUNCTION("""COMPUTED_VALUE"""),"[""ELIGIBLE""]")</f>
        <v>["ELIGIBLE"]</v>
      </c>
    </row>
    <row r="643">
      <c r="A643" s="24" t="str">
        <f>IFERROR(__xludf.DUMMYFUNCTION("""COMPUTED_VALUE"""),"Disentangling the stream community impacts of Didymosphenia geminata: How are higher trophic levels affected?")</f>
        <v>Disentangling the stream community impacts of Didymosphenia geminata: How are higher trophic levels affected?</v>
      </c>
      <c r="B643" s="24" t="str">
        <f>IFERROR(__xludf.DUMMYFUNCTION("""COMPUTED_VALUE"""),"Human activities frequently result in either intentional or unintentional introductions of species to new locations, and freshwater environments worldwide are particularly vulnerable to species invasions. An introduced freshwater diatom, Didymosphenia gem"&amp;"inata, was first discovered in New Zealand in 2004 but there was limited research available to predict the drivers of D. geminata biomass and how biomass variability might influence higher trophic levels (e.g. invertebrates and fish). We examined the effe"&amp;"ct of D. geminata biomass on benthic invertebrates, invertebrate drift and fish communities in 20 rivers in New Zealand with variable hydrology, physical habitat and water chemistry. Variation in D. geminata biomass was best explained by a model that show"&amp;"ed D. geminata biomass increased with time since the last flow event exceeding three times the median annual discharge and decreasing concentration of dissolved reactive phosphorus. Analyses of biotic responses showed that high D. geminata biomass did not"&amp;" affect either invertebrate or fish diversity but altered the structure of benthic communities, changed the composition of drifting invertebrate communities and reduced fish biomass by 90 %, particularly trout. A partial least squares path model was used "&amp;"to disentangle both direct and indirect effects of D. geminata on fish communities and showed D. geminata had a significant negative direct effect on fish communities. This is the first study to show how the potential effects of the introduced diatom D. g"&amp;"eminata can impact fish communities and has shown that D. geminata impacts fish both directly and indirectly through changes in their invertebrate prey community.")</f>
        <v>Human activities frequently result in either intentional or unintentional introductions of species to new locations, and freshwater environments worldwide are particularly vulnerable to species invasions. An introduced freshwater diatom, Didymosphenia geminata, was first discovered in New Zealand in 2004 but there was limited research available to predict the drivers of D. geminata biomass and how biomass variability might influence higher trophic levels (e.g. invertebrates and fish). We examined the effect of D. geminata biomass on benthic invertebrates, invertebrate drift and fish communities in 20 rivers in New Zealand with variable hydrology, physical habitat and water chemistry. Variation in D. geminata biomass was best explained by a model that showed D. geminata biomass increased with time since the last flow event exceeding three times the median annual discharge and decreasing concentration of dissolved reactive phosphorus. Analyses of biotic responses showed that high D. geminata biomass did not affect either invertebrate or fish diversity but altered the structure of benthic communities, changed the composition of drifting invertebrate communities and reduced fish biomass by 90 %, particularly trout. A partial least squares path model was used to disentangle both direct and indirect effects of D. geminata on fish communities and showed D. geminata had a significant negative direct effect on fish communities. This is the first study to show how the potential effects of the introduced diatom D. geminata can impact fish communities and has shown that D. geminata impacts fish both directly and indirectly through changes in their invertebrate prey community.</v>
      </c>
      <c r="C643" s="24" t="str">
        <f>IFERROR(__xludf.DUMMYFUNCTION("""COMPUTED_VALUE"""),"10.1007/s10530-016-1233-z")</f>
        <v>10.1007/s10530-016-1233-z</v>
      </c>
      <c r="D643" s="24" t="str">
        <f>IFERROR(__xludf.DUMMYFUNCTION("""COMPUTED_VALUE"""),"Keck et al")</f>
        <v>Keck et al</v>
      </c>
      <c r="E643" s="24" t="str">
        <f>IFERROR(__xludf.DUMMYFUNCTION("""COMPUTED_VALUE"""),"WOS:000388579500005")</f>
        <v>WOS:000388579500005</v>
      </c>
      <c r="F643" s="24" t="str">
        <f>IFERROR(__xludf.DUMMYFUNCTION("""COMPUTED_VALUE"""),"[""ELIGIBLE""]")</f>
        <v>["ELIGIBLE"]</v>
      </c>
    </row>
    <row r="644">
      <c r="A644" s="24" t="str">
        <f>IFERROR(__xludf.DUMMYFUNCTION("""COMPUTED_VALUE"""),"Soil biota composition and the performance of a noxious weed across its invaded range")</f>
        <v>Soil biota composition and the performance of a noxious weed across its invaded range</v>
      </c>
      <c r="B644" s="24" t="str">
        <f>IFERROR(__xludf.DUMMYFUNCTION("""COMPUTED_VALUE"""),"The success of invasive plant species is driven, in part, by feedback with soil ecosystems. Yet, how variation in belowground communities across latitudinal gradients affects invader distributions remains poorly understood. To determine the effect of soil"&amp;" communities on the performance of the noxious weed Cirsium arvense across its invaded range, we grew seedlings for 40 days in soils collected across a 699 km linear distance from both inside and outside established populations. We also described the meso"&amp;"faunal and bacterial communities across all soil samples. We found that C. arvense typically performed better when grown in soils sourced from northern populations than from southern locations where it has a longer invasion history. We also found evidence"&amp;" that C. arvense performed best in soils sourced from outside invaded patches, although this was not consistent across all sites. The bacterial community showed a significant increase in the magnitude of compositional change in invaded sites at higher lat"&amp;"itudes, while the mesofaunal community showed the opposite pattern. Bacterial community composition was significantly correlated with C. arvense performance, although mesofaunal community composition was not. Our results demonstrate that the interactions "&amp;"between an invasive plant and associated soil communities change across the invaded range, and the bacterial community in particular may affect variation in plant performance. Observed patterns may be caused by C.arvense presence and time since invasion a"&amp;"llowing for an accumulation of species-specific pathogens in southern soils, while the naivete of northern soils to invasion results in a more responsive bacterial community. Although these interactions are difficult to predict, such effects could possibl"&amp;"y facilitate the establishment of this exotic species to novel locations.")</f>
        <v>The success of invasive plant species is driven, in part, by feedback with soil ecosystems. Yet, how variation in belowground communities across latitudinal gradients affects invader distributions remains poorly understood. To determine the effect of soil communities on the performance of the noxious weed Cirsium arvense across its invaded range, we grew seedlings for 40 days in soils collected across a 699 km linear distance from both inside and outside established populations. We also described the mesofaunal and bacterial communities across all soil samples. We found that C. arvense typically performed better when grown in soils sourced from northern populations than from southern locations where it has a longer invasion history. We also found evidence that C. arvense performed best in soils sourced from outside invaded patches, although this was not consistent across all sites. The bacterial community showed a significant increase in the magnitude of compositional change in invaded sites at higher latitudes, while the mesofaunal community showed the opposite pattern. Bacterial community composition was significantly correlated with C. arvense performance, although mesofaunal community composition was not. Our results demonstrate that the interactions between an invasive plant and associated soil communities change across the invaded range, and the bacterial community in particular may affect variation in plant performance. Observed patterns may be caused by C.arvense presence and time since invasion allowing for an accumulation of species-specific pathogens in southern soils, while the naivete of northern soils to invasion results in a more responsive bacterial community. Although these interactions are difficult to predict, such effects could possibly facilitate the establishment of this exotic species to novel locations.</v>
      </c>
      <c r="C644" s="24" t="str">
        <f>IFERROR(__xludf.DUMMYFUNCTION("""COMPUTED_VALUE"""),"10.1111/ecog.04562")</f>
        <v>10.1111/ecog.04562</v>
      </c>
      <c r="D644" s="24" t="str">
        <f>IFERROR(__xludf.DUMMYFUNCTION("""COMPUTED_VALUE"""),"Keck et al")</f>
        <v>Keck et al</v>
      </c>
      <c r="E644" s="24" t="str">
        <f>IFERROR(__xludf.DUMMYFUNCTION("""COMPUTED_VALUE"""),"WOS:000489884000005")</f>
        <v>WOS:000489884000005</v>
      </c>
      <c r="F644" s="24" t="str">
        <f>IFERROR(__xludf.DUMMYFUNCTION("""COMPUTED_VALUE"""),"[""ELIGIBLE""]")</f>
        <v>["ELIGIBLE"]</v>
      </c>
    </row>
    <row r="645">
      <c r="A645" s="24" t="str">
        <f>IFERROR(__xludf.DUMMYFUNCTION("""COMPUTED_VALUE"""),"Long-term changes in a population of an invasive bivalve and its effects")</f>
        <v>Long-term changes in a population of an invasive bivalve and its effects</v>
      </c>
      <c r="B645" s="24" t="str">
        <f>IFERROR(__xludf.DUMMYFUNCTION("""COMPUTED_VALUE"""),"Although the ecological and economic effects of non-native species probably often change through time, few studies have documented such effects. The zebra mussel (Dreissena polymorpha) is an important invader that has had large ecological and economic eff"&amp;"ects on the ecosystems it has invaded in North America and western Europe. Our 20-year study of the Hudson River, New York, showed that the characteristics of a zebra mussel population and its effects on other benthic animals both changed substantially th"&amp;"rough time. Over the period of study, annual survivorship of adult zebra mussels fell &gt; 100-fold, which caused the aggregate filtration rate of the population to fall by 82%. Population size and body size of zebra mussels may also have fallen. In the earl"&amp;"y years of the invasion, densities of nearly all benthic animals in deepwater sites fell steeply (by 80-99%). After about 8 years of decline, these populations began to recover, and are approaching pre-invasion densities. The littoral zoobenthos showed ne"&amp;"ither the initial decline nor the subsequent recovery. Although the mechanisms behind these changes are not fully clear, our study shows that the effects of an invader may change considerably over time.")</f>
        <v>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v>
      </c>
      <c r="C645" s="24" t="str">
        <f>IFERROR(__xludf.DUMMYFUNCTION("""COMPUTED_VALUE"""),"10.1007/s00442-010-1792-0")</f>
        <v>10.1007/s00442-010-1792-0</v>
      </c>
      <c r="D645" s="24" t="str">
        <f>IFERROR(__xludf.DUMMYFUNCTION("""COMPUTED_VALUE"""),"Keck et al")</f>
        <v>Keck et al</v>
      </c>
      <c r="E645" s="24" t="str">
        <f>IFERROR(__xludf.DUMMYFUNCTION("""COMPUTED_VALUE"""),"WOS:000288397200022")</f>
        <v>WOS:000288397200022</v>
      </c>
      <c r="F645" s="24" t="str">
        <f>IFERROR(__xludf.DUMMYFUNCTION("""COMPUTED_VALUE"""),"[""ELIGIBLE""]")</f>
        <v>["ELIGIBLE"]</v>
      </c>
    </row>
    <row r="646">
      <c r="A646" s="24" t="str">
        <f>IFERROR(__xludf.DUMMYFUNCTION("""COMPUTED_VALUE"""),"Marine fungi may benefit from ocean acidification")</f>
        <v>Marine fungi may benefit from ocean acidification</v>
      </c>
      <c r="B646" s="24" t="str">
        <f>IFERROR(__xludf.DUMMYFUNCTION("""COMPUTED_VALUE"""),"Recent studies have discussed the consequences of ocean acidification for bacterial processes and diversity. However, the decomposition of complex substrates in marine environments, a key part of the flow of energy in ecosystems, is largely mediated by ma"&amp;"rine fungi. Although marine fungi have frequently been reported to prefer low pH levels, this group has been neglected in ocean acidification research. We present the first investigation of direct pH effects on marine fungal abundance and community struct"&amp;"ure. In microcosm experiments repeated in 2 consecutive years, we incubated natural North Sea water for 4 wk at in situ seawater pH (8.10 and 8.26), pH 7.82 and pH 7.67. Fungal abundance was determined by colony forming unit (cfu) counts, and fungal commu"&amp;"nity structure was investigated by the culture-independent fingerprint method Fungal Automated Ribosomal Intergenic Spacer Analysis (F-ARISA). Furthermore, pH at the study site was determined over a yearly cycle. Fungal cfu were on average 9 times higher "&amp;"at pH 7.82 and 34 times higher at pH 7.67 compared to in situ seawater pH, and we observed fungal community shifts predominantly at pH 7.67. Currently, surface seawater pH at Helgoland Roads remains &gt;8.0 throughout the year; thus we cannot exclude that fu"&amp;"ngal responses may differ in regions regularly experiencing lower pH values. However, our results suggest that under realistic levels of ocean acidification, marine fungi will reach greater importance in marine biogeochemical cycles. The rise of this grou"&amp;"p of organisms will affect a variety of biotic interactions in the sea.")</f>
        <v>Recent studies have discussed the consequences of ocean acidification for bacterial processes and diversity. However, the decomposition of complex substrates in marine environments, a key part of the flow of energy in ecosystems, is largely mediated by marine fungi. Although marine fungi have frequently been reported to prefer low pH levels, this group has been neglected in ocean acidification research. We present the first investigation of direct pH effects on marine fungal abundance and community structure. In microcosm experiments repeated in 2 consecutive years, we incubated natural North Sea water for 4 wk at in situ seawater pH (8.10 and 8.26), pH 7.82 and pH 7.67. Fungal abundance was determined by colony forming unit (cfu) counts, and fungal community structure was investigated by the culture-independent fingerprint method Fungal Automated Ribosomal Intergenic Spacer Analysis (F-ARISA). Furthermore, pH at the study site was determined over a yearly cycle. Fungal cfu were on average 9 times higher at pH 7.82 and 34 times higher at pH 7.67 compared to in situ seawater pH, and we observed fungal community shifts predominantly at pH 7.67. Currently, surface seawater pH at Helgoland Roads remains &gt;8.0 throughout the year; thus we cannot exclude that fungal responses may differ in regions regularly experiencing lower pH values. However, our results suggest that under realistic levels of ocean acidification, marine fungi will reach greater importance in marine biogeochemical cycles. The rise of this group of organisms will affect a variety of biotic interactions in the sea.</v>
      </c>
      <c r="C646" s="24" t="str">
        <f>IFERROR(__xludf.DUMMYFUNCTION("""COMPUTED_VALUE"""),"10.3354/ame01622")</f>
        <v>10.3354/ame01622</v>
      </c>
      <c r="D646" s="24" t="str">
        <f>IFERROR(__xludf.DUMMYFUNCTION("""COMPUTED_VALUE"""),"Keck et al")</f>
        <v>Keck et al</v>
      </c>
      <c r="E646" s="24" t="str">
        <f>IFERROR(__xludf.DUMMYFUNCTION("""COMPUTED_VALUE"""),"WOS:000317867500005")</f>
        <v>WOS:000317867500005</v>
      </c>
      <c r="F646" s="24" t="str">
        <f>IFERROR(__xludf.DUMMYFUNCTION("""COMPUTED_VALUE"""),"[""ELIGIBLE""]")</f>
        <v>["ELIGIBLE"]</v>
      </c>
    </row>
    <row r="647">
      <c r="A647" s="24" t="str">
        <f>IFERROR(__xludf.DUMMYFUNCTION("""COMPUTED_VALUE"""),"Biodiversity, trait composition and ecological functioning: impacts of coastal urbanisation on subtropical mudflats")</f>
        <v>Biodiversity, trait composition and ecological functioning: impacts of coastal urbanisation on subtropical mudflats</v>
      </c>
      <c r="B647" s="24" t="str">
        <f>IFERROR(__xludf.DUMMYFUNCTION("""COMPUTED_VALUE"""),"The world's coastlines have become heavily modified over the last century, with the adjacent natural habitats declining in biodiversity and health under increasing pressure from urbanisation. In this study we assessed the structure and biological traits o"&amp;"f macrofaunal assemblages from 24 south-east Queensland mudflats in order to determine whether ecological functioning (e.g. primary production, nutrient cycling) and the delivery of ecosystem services was affected by urbanisation. This work represents the"&amp;" most comprehensive assessment of mudflat assemblages in the region to date. The mudflats contained 50 macrofaunal taxa and so were comparable to other local intertidal systems. Summer assemblages contained more species, more individuals and had differing"&amp;" taxonomic composition. When indexed as a proportion of subcatchment area, urbanisation did not correspond to a clear impact on macrofaunal composition; rather, the nature of the industry or activity was critical. Mudflats from subcatchments with industri"&amp;"es producing organic wastes significantly differed from subcatchments with &lt;1.3% cover of these industries. Functioning was conserved in mudflats experiencing current levels of enrichment, but this may decline with growing pressure from human populations."&amp;" The results of this study illustrate that large-scale spatial data, such as from satellites, can be used to detect the cumulative effects of urbanisation when the pressures are highly resolved.")</f>
        <v>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v>
      </c>
      <c r="C647" s="24" t="str">
        <f>IFERROR(__xludf.DUMMYFUNCTION("""COMPUTED_VALUE"""),"10.1071/MF19242")</f>
        <v>10.1071/MF19242</v>
      </c>
      <c r="D647" s="24" t="str">
        <f>IFERROR(__xludf.DUMMYFUNCTION("""COMPUTED_VALUE"""),"Keck et al")</f>
        <v>Keck et al</v>
      </c>
      <c r="E647" s="24" t="str">
        <f>IFERROR(__xludf.DUMMYFUNCTION("""COMPUTED_VALUE"""),"WOS:000562536400001")</f>
        <v>WOS:000562536400001</v>
      </c>
      <c r="F647" s="24" t="str">
        <f>IFERROR(__xludf.DUMMYFUNCTION("""COMPUTED_VALUE"""),"[""ELIGIBLE""]")</f>
        <v>["ELIGIBLE"]</v>
      </c>
    </row>
    <row r="648">
      <c r="A648" s="24" t="str">
        <f>IFERROR(__xludf.DUMMYFUNCTION("""COMPUTED_VALUE"""),"Exotic trees modify the thermal landscape and food resources for lizard communities")</f>
        <v>Exotic trees modify the thermal landscape and food resources for lizard communities</v>
      </c>
      <c r="B648" s="24" t="str">
        <f>IFERROR(__xludf.DUMMYFUNCTION("""COMPUTED_VALUE"""),"Increasing numbers of invasive plant species are establishing around the globe, and these species frequently form dense stands that alter habitat structure in critical ways. Nevertheless, little is known about the mechanisms underlying the impacts of inva"&amp;"sive alien plant species on native fauna. We first ask whether alien pine trees impact lizard species richness in the Cape Floristic Region of South Africa, a world-renowned biodiversity hotspot, by examining differences in lizard species richness, abunda"&amp;"nce, and diversity between native mountain fynbos and exotic pine tree-dominated habitats. We then examine two mutually non-exclusive processes: (i) changes in the thermal quality of the habitat and (ii) changes in the availability of food resources, to e"&amp;"xplain differences in lizard assemblages among habitat types. Lizard richness, abundance, and diversity were greater in fynbos habitat than in fynbos heavily invaded by pine and in pine plantations. The thermal quality of the environment and food resource"&amp;"s was consistently higher in native fynbos than in pine forests, but these responses were more varied when comparisons were made along an invasion gradient and among seasons. Our results suggest that management strategies must consider spatially and tempo"&amp;"rally detailed measurements of thermal regimes and resources to assess the impacts of invasive vegetation on reptile diversity.")</f>
        <v>Increasing numbers of invasive plant species are establishing around the globe, and these species frequently form dense stands that alter habitat structure in critical ways. Nevertheless, little is known about the mechanisms underlying the impacts of invasive alien plant species on native fauna. We first ask whether alien pine trees impact lizard species richness in the Cape Floristic Region of South Africa, a world-renowned biodiversity hotspot, by examining differences in lizard species richness, abundance, and diversity between native mountain fynbos and exotic pine tree-dominated habitats. We then examine two mutually non-exclusive processes: (i) changes in the thermal quality of the habitat and (ii) changes in the availability of food resources, to explain differences in lizard assemblages among habitat types. Lizard richness, abundance, and diversity were greater in fynbos habitat than in fynbos heavily invaded by pine and in pine plantations. The thermal quality of the environment and food resources was consistently higher in native fynbos than in pine forests, but these responses were more varied when comparisons were made along an invasion gradient and among seasons. Our results suggest that management strategies must consider spatially and temporally detailed measurements of thermal regimes and resources to assess the impacts of invasive vegetation on reptile diversity.</v>
      </c>
      <c r="C648" s="24" t="str">
        <f>IFERROR(__xludf.DUMMYFUNCTION("""COMPUTED_VALUE"""),"10.1007/s00442-016-3726-y")</f>
        <v>10.1007/s00442-016-3726-y</v>
      </c>
      <c r="D648" s="24" t="str">
        <f>IFERROR(__xludf.DUMMYFUNCTION("""COMPUTED_VALUE"""),"Keck et al")</f>
        <v>Keck et al</v>
      </c>
      <c r="E648" s="24" t="str">
        <f>IFERROR(__xludf.DUMMYFUNCTION("""COMPUTED_VALUE"""),"WOS:000386070800026")</f>
        <v>WOS:000386070800026</v>
      </c>
      <c r="F648" s="24" t="str">
        <f>IFERROR(__xludf.DUMMYFUNCTION("""COMPUTED_VALUE"""),"[""ELIGIBLE""]")</f>
        <v>["ELIGIBLE"]</v>
      </c>
    </row>
    <row r="649">
      <c r="A649" s="24" t="str">
        <f>IFERROR(__xludf.DUMMYFUNCTION("""COMPUTED_VALUE"""),"Additive effects of mining and residential development on stream conditions in a central Appalachian watershed")</f>
        <v>Additive effects of mining and residential development on stream conditions in a central Appalachian watershed</v>
      </c>
      <c r="B649" s="24" t="str">
        <f>IFERROR(__xludf.DUMMYFUNCTION("""COMPUTED_VALUE"""),"Large-scale surface mining in southern West Virginia significantly alters headwater stream networks. The extent to which mining interacts with other stressors to determine physical, chemical, and biological conditions in aquatic systems downstream is uncl"&amp;"ear. We conducted a watershed-scale assessment of Pigeon Creek, an intensively mined watershed of the Tug Fork drainage in Mingo County, West Virginia. Our objectives were to: 1) develop landscape-based indicators of mining and residential development, 2)"&amp;" quantify the interactive effects of mining and residential development on in-stream conditions, and 3) identify landscape-based thresholds above which biological impairment occurs in this watershed. Macroinvertebrate community structure was negatively co"&amp;"rrelated with intensity of mining and residential development. Correlation analysis and partial Mantel tests indicated that mining (% of total subwatershed area) caused acute changes in water chemistry (r = 0.55-0.91), whereas residential development (par"&amp;"cel density) strongly affected both physical habitat (r = 0.59-0.81) and macroinvertebrate community structure (r = 0.59-0.93). The combined effects of mining and development on in-stream biotic conditions were additive. Sites affected by equivalent level"&amp;"s of both stressors had lower Ephemeroptera, Plecoptera, Trichoptera richness than sites affected by either stressor alone. Biological impairment thresholds occurred at similar to 25% total mining (equivalent to a specific conductance of similar to 250 mu"&amp;" S/cm) and at parcel densities of similar to 5 and 14 parcels/km(2). Our results provide a tool that can be used to predict downstream ecological response to proposed mining given pre-existing watershed conditions. Our study suggests that effective manage"&amp;"ment of impacts from new mine development must address nonmining-related impacts in this region.")</f>
        <v>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v>
      </c>
      <c r="C649" s="24" t="str">
        <f>IFERROR(__xludf.DUMMYFUNCTION("""COMPUTED_VALUE"""),"10.1899/10-079.1")</f>
        <v>10.1899/10-079.1</v>
      </c>
      <c r="D649" s="24" t="str">
        <f>IFERROR(__xludf.DUMMYFUNCTION("""COMPUTED_VALUE"""),"Keck et al")</f>
        <v>Keck et al</v>
      </c>
      <c r="E649" s="24" t="str">
        <f>IFERROR(__xludf.DUMMYFUNCTION("""COMPUTED_VALUE"""),"WOS:000290361600006")</f>
        <v>WOS:000290361600006</v>
      </c>
      <c r="F649" s="24" t="str">
        <f>IFERROR(__xludf.DUMMYFUNCTION("""COMPUTED_VALUE"""),"[""ELIGIBLE""]")</f>
        <v>["ELIGIBLE"]</v>
      </c>
    </row>
    <row r="650">
      <c r="A650" s="24" t="str">
        <f>IFERROR(__xludf.DUMMYFUNCTION("""COMPUTED_VALUE"""),"Invasive weeds in urban riparian zones: the influence of catchment imperviousness and soil chemistry across an urbanization gradient")</f>
        <v>Invasive weeds in urban riparian zones: the influence of catchment imperviousness and soil chemistry across an urbanization gradient</v>
      </c>
      <c r="B650" s="24" t="str">
        <f>IFERROR(__xludf.DUMMYFUNCTION("""COMPUTED_VALUE"""),"The riparian zones of urban waterways are frequently degraded by weed invasions. This study examined the effects of different levels of catchment imperviousness, as a surrogate for the extent and intensity of urbanisation, on invasive weeds and soil physi"&amp;"cal and chemical attributes. The study was conducted adjacent to waterways in the partly urbanised Georges River catchment in south western Sydney. Vegetation and soil sampling was undertaken in the riparian zone of 10 freshwater streams in non-urban (low"&amp;" imperviousness), peri-urban (moderate imperviousness) and urban (high imperviousness) sub-catchments. Soil samples were tested for a suite of physical and chemical properties (moisture, bulk density, organic matter, pH, salinity, phosphorus, potassium an"&amp;"d calcium). Increased levels of sub-catchment imperviousness and urbanisation were associated with higher weed coverage and elevated soil geochemical attributes. One of the most interesting findings in this study was that urban soil calcium concentrations"&amp;" were over 2000 times greater than soils collected from non-urban catchments. The BIOENV procedure identified soil pH, salinity, calcium, organic matter, moisture and catchment imperviousness to be important environmental factors associated with variation"&amp;" in riparian vegetation. The single factor of soil pH was most highly correlated with variations in riparian vegetation. Soil pH was approximately 1.5 units higher in urban compared to non-urban riparian soils. We speculate that there is a link between ur"&amp;"ban concrete materials, urban soil and water contaminants and riparian weed invasion. We also recommend further study into the contribution of urban concrete materials on the geochemical contamination of riparian soils.")</f>
        <v>The riparian zones of urban waterways are frequently degraded by weed invasions. This study examined the effects of different levels of catchment imperviousness, as a surrogate for the extent and intensity of urbanisation, on invasive weeds and soil physical and chemical attributes. The study was conducted adjacent to waterways in the partly urbanised Georges River catchment in south western Sydney. Vegetation and soil sampling was undertaken in the riparian zone of 10 freshwater streams in non-urban (low imperviousness), peri-urban (moderate imperviousness) and urban (high imperviousness) sub-catchments. Soil samples were tested for a suite of physical and chemical properties (moisture, bulk density, organic matter, pH, salinity, phosphorus, potassium and calcium). Increased levels of sub-catchment imperviousness and urbanisation were associated with higher weed coverage and elevated soil geochemical attributes. One of the most interesting findings in this study was that urban soil calcium concentrations were over 2000 times greater than soils collected from non-urban catchments. The BIOENV procedure identified soil pH, salinity, calcium, organic matter, moisture and catchment imperviousness to be important environmental factors associated with variation in riparian vegetation. The single factor of soil pH was most highly correlated with variations in riparian vegetation. Soil pH was approximately 1.5 units higher in urban compared to non-urban riparian soils. We speculate that there is a link between urban concrete materials, urban soil and water contaminants and riparian weed invasion. We also recommend further study into the contribution of urban concrete materials on the geochemical contamination of riparian soils.</v>
      </c>
      <c r="C650" s="24" t="str">
        <f>IFERROR(__xludf.DUMMYFUNCTION("""COMPUTED_VALUE"""),"10.1007/s11252-018-0736-z")</f>
        <v>10.1007/s11252-018-0736-z</v>
      </c>
      <c r="D650" s="24" t="str">
        <f>IFERROR(__xludf.DUMMYFUNCTION("""COMPUTED_VALUE"""),"Keck et al")</f>
        <v>Keck et al</v>
      </c>
      <c r="E650" s="24" t="str">
        <f>IFERROR(__xludf.DUMMYFUNCTION("""COMPUTED_VALUE"""),"WOS:000434162600009")</f>
        <v>WOS:000434162600009</v>
      </c>
      <c r="F650" s="24" t="str">
        <f>IFERROR(__xludf.DUMMYFUNCTION("""COMPUTED_VALUE"""),"[""ELIGIBLE""]")</f>
        <v>["ELIGIBLE"]</v>
      </c>
    </row>
    <row r="651">
      <c r="A651" s="24" t="str">
        <f>IFERROR(__xludf.DUMMYFUNCTION("""COMPUTED_VALUE"""),"Pulling apart the urbanization axis: patterns of physiochemical degradation and biological response across stream ecosystems")</f>
        <v>Pulling apart the urbanization axis: patterns of physiochemical degradation and biological response across stream ecosystems</v>
      </c>
      <c r="B651" s="24" t="str">
        <f>IFERROR(__xludf.DUMMYFUNCTION("""COMPUTED_VALUE"""),"Watershed urbanization introduces a variety of physical, chemical, and thermal stressors to receiving streams and leads to well-documented declines in the diversity of fish and macroinvertebrates. Far less knowledge is available about how these urban stre"&amp;"ssors affect microbial communities and microbially mediated ecosystem properties. We examined 67 chemical, physical, and biological attributes of streams draining 47 watersheds in the metropolitan area surrounding Raleigh, North Carolina. Watersheds range"&amp;"d from undeveloped to 99.7% developed watershed area. In contrast to prior investigators, we found no consistent changes in habitat structure, channel dimensions, or bed sediment size distributions along the urbanization gradient. Watershed urbanization l"&amp;"ed to large and consistent changes in receiving stream chemistry (increases in NO3- bioavailable and algal-derived dissolved organic C, and the trace metals Pb, Cd, and Zn) and thermal regimes. These chemical and thermal changes were not associated with a"&amp;"ny consistent shifts in microbial community structure or taxonomic richness, based on terminalrestriction fragment length polymorphism and pyrosequencing methods, despite the fact that these urban stressors were associated with commonly reported declines "&amp;"in macroinvertebrate taxonomic richness and altered macroinvertebrate community composition. Chemical and thermal changes as a function of % developed watershed area also were unrelated to shifts in microbially mediated biogeochemical processes (C mineral"&amp;"ization, denitrification potential, and substrate-induced respiration). A broad urbanization gradient sampled in this region suggests that stream ecosystem responses to watershed urbanization can follow diverse trajectories.")</f>
        <v>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v>
      </c>
      <c r="C651" s="24" t="str">
        <f>IFERROR(__xludf.DUMMYFUNCTION("""COMPUTED_VALUE"""),"10.1086/699387")</f>
        <v>10.1086/699387</v>
      </c>
      <c r="D651" s="24" t="str">
        <f>IFERROR(__xludf.DUMMYFUNCTION("""COMPUTED_VALUE"""),"Keck et al")</f>
        <v>Keck et al</v>
      </c>
      <c r="E651" s="24" t="str">
        <f>IFERROR(__xludf.DUMMYFUNCTION("""COMPUTED_VALUE"""),"WOS:000441679400018")</f>
        <v>WOS:000441679400018</v>
      </c>
      <c r="F651" s="24" t="str">
        <f>IFERROR(__xludf.DUMMYFUNCTION("""COMPUTED_VALUE"""),"[""ELIGIBLE""]")</f>
        <v>["ELIGIBLE"]</v>
      </c>
    </row>
    <row r="652">
      <c r="A652" s="24" t="str">
        <f>IFERROR(__xludf.DUMMYFUNCTION("""COMPUTED_VALUE"""),"Recovery of Tundra Vegetation Three Decades after Hydrocarbon Drilling with and without Seeding of Non-Native Grasses")</f>
        <v>Recovery of Tundra Vegetation Three Decades after Hydrocarbon Drilling with and without Seeding of Non-Native Grasses</v>
      </c>
      <c r="B652" s="24" t="str">
        <f>IFERROR(__xludf.DUMMYFUNCTION("""COMPUTED_VALUE"""),"Oil and gas exploration conducted in the 1970s left a legacy of abandoned test wells with sumps, containing drilling waste, in the Mackenzie Delta region of Canada's Northwest Territories. One to two years after the test wells were decommissioned, a set o"&amp;"f sites were seeded with non-native grasses and fertilized to test whether these treatments could accelerate vegetation recovery and prevent erosion. We sampled seeded and unseeded sumps and adjacent tundra vegetation in the Mackenzie Delta region three d"&amp;"ecades later to examine the impact of post-disturbance seeding treatments on site recovery. Plant species composition and environmental data were collected at 12 sump sites (6 seeded and fertilized and 6 unseeded and unfertilized) in lowland and upland tu"&amp;"ndra. Multivariate analyses using NMDS and perMANOVA indicated that in the lowlands, seeding and fertilization treatments had small but significant effects on plant species composition that differentiated seeded from unseeded sump caps. Plant communities "&amp;"on sump caps for all treatment types were significantly different from surrounding undisturbed tundra, even after more than 30 years of recovery. Seeded non-native grasses were found on both seeded and unseeded sumps, but not in the surrounding undisturbe"&amp;"d tundra. Undisturbed tundra appears resistant to the spread of introduced agronomic grasses, but disturbed areas, such as sumps, provide areas of suitable habitat where non-native plants can persist.")</f>
        <v>Oil and gas exploration conducted in the 1970s left a legacy of abandoned test wells with sumps, containing drilling waste, in the Mackenzie Delta region of Canada's Northwest Territories. One to two years after the test wells were decommissioned, a set of sites were seeded with non-native grasses and fertilized to test whether these treatments could accelerate vegetation recovery and prevent erosion. We sampled seeded and unseeded sumps and adjacent tundra vegetation in the Mackenzie Delta region three decades later to examine the impact of post-disturbance seeding treatments on site recovery. Plant species composition and environmental data were collected at 12 sump sites (6 seeded and fertilized and 6 unseeded and unfertilized) in lowland and upland tundra. Multivariate analyses using NMDS and perMANOVA indicated that in the lowlands, seeding and fertilization treatments had small but significant effects on plant species composition that differentiated seeded from unseeded sump caps. Plant communities on sump caps for all treatment types were significantly different from surrounding undisturbed tundra, even after more than 30 years of recovery. Seeded non-native grasses were found on both seeded and unseeded sumps, but not in the surrounding undisturbed tundra. Undisturbed tundra appears resistant to the spread of introduced agronomic grasses, but disturbed areas, such as sumps, provide areas of suitable habitat where non-native plants can persist.</v>
      </c>
      <c r="C652" s="24" t="str">
        <f>IFERROR(__xludf.DUMMYFUNCTION("""COMPUTED_VALUE"""),"10.14430/arctic4445")</f>
        <v>10.14430/arctic4445</v>
      </c>
      <c r="D652" s="24" t="str">
        <f>IFERROR(__xludf.DUMMYFUNCTION("""COMPUTED_VALUE"""),"Keck et al")</f>
        <v>Keck et al</v>
      </c>
      <c r="E652" s="24" t="str">
        <f>IFERROR(__xludf.DUMMYFUNCTION("""COMPUTED_VALUE"""),"WOS:000352333000002")</f>
        <v>WOS:000352333000002</v>
      </c>
      <c r="F652" s="24" t="str">
        <f>IFERROR(__xludf.DUMMYFUNCTION("""COMPUTED_VALUE"""),"[""ELIGIBLE""]")</f>
        <v>["ELIGIBLE"]</v>
      </c>
    </row>
    <row r="653">
      <c r="A653" s="24" t="str">
        <f>IFERROR(__xludf.DUMMYFUNCTION("""COMPUTED_VALUE"""),"Plant community and phylogenetic shifts in acid seep springs over 49 years following Microstegium vimineum invasion")</f>
        <v>Plant community and phylogenetic shifts in acid seep springs over 49 years following Microstegium vimineum invasion</v>
      </c>
      <c r="B653" s="24" t="str">
        <f>IFERROR(__xludf.DUMMYFUNCTION("""COMPUTED_VALUE"""),"Community composition and diversity can change following exotic invasion. We tested the extent to which acid seep spring communities in southern Illinois had changed in composition and community heterogeneity based on three species surveys over 49 years. "&amp;"We also investigated the extent of changes in taxonomic and phylogenetic diversity since the invasion of Microstegium vimineum, an exotic grass. Floristic surveys of ten acid seep springs in southern Illinois were conducted in summer 2017 and compared to "&amp;"two previous surveys from 1968 and 2008. We investigated changes among acid seep springs and between surveys in species composition and community heterogeneity with multivariate ordination based on site dissimilarity, and univariate analyses comparing cha"&amp;"nges in taxonomic diversity (species richness and exotic species richness) and phylogenetic diversity [net relatedness (NRI) and nearest taxon indices (NTI)] determined from a species phylogeny based upon two plastid sequences (rbcL and matK). Acid seep s"&amp;"pring communities became more compositionally similar to each other following woody plant encroachment and M. vimineum invasion. Total species richness declines were observed between surveys while exotic species richness increased. While NRI did not exhib"&amp;"it any temporal patterns, NTI significantly increased over time indicating that a decrease in phylogenetic diversity accompanied exotic invasion over almost half a century within these plant communities.")</f>
        <v>Community composition and diversity can change following exotic invasion. We tested the extent to which acid seep spring communities in southern Illinois had changed in composition and community heterogeneity based on three species surveys over 49 years. We also investigated the extent of changes in taxonomic and phylogenetic diversity since the invasion of Microstegium vimineum, an exotic grass. Floristic surveys of ten acid seep springs in southern Illinois were conducted in summer 2017 and compared to two previous surveys from 1968 and 2008. We investigated changes among acid seep springs and between surveys in species composition and community heterogeneity with multivariate ordination based on site dissimilarity, and univariate analyses comparing changes in taxonomic diversity (species richness and exotic species richness) and phylogenetic diversity [net relatedness (NRI) and nearest taxon indices (NTI)] determined from a species phylogeny based upon two plastid sequences (rbcL and matK). Acid seep spring communities became more compositionally similar to each other following woody plant encroachment and M. vimineum invasion. Total species richness declines were observed between surveys while exotic species richness increased. While NRI did not exhibit any temporal patterns, NTI significantly increased over time indicating that a decrease in phylogenetic diversity accompanied exotic invasion over almost half a century within these plant communities.</v>
      </c>
      <c r="C653" s="24" t="str">
        <f>IFERROR(__xludf.DUMMYFUNCTION("""COMPUTED_VALUE"""),"10.1007/s11258-020-01002-7")</f>
        <v>10.1007/s11258-020-01002-7</v>
      </c>
      <c r="D653" s="24" t="str">
        <f>IFERROR(__xludf.DUMMYFUNCTION("""COMPUTED_VALUE"""),"Keck et al")</f>
        <v>Keck et al</v>
      </c>
      <c r="E653" s="24" t="str">
        <f>IFERROR(__xludf.DUMMYFUNCTION("""COMPUTED_VALUE"""),"WOS:000510295800001")</f>
        <v>WOS:000510295800001</v>
      </c>
      <c r="F653" s="24" t="str">
        <f>IFERROR(__xludf.DUMMYFUNCTION("""COMPUTED_VALUE"""),"[""ELIGIBLE""]")</f>
        <v>["ELIGIBLE"]</v>
      </c>
    </row>
    <row r="654">
      <c r="A654" s="24" t="str">
        <f>IFERROR(__xludf.DUMMYFUNCTION("""COMPUTED_VALUE"""),"Soil biota can change after exotic plant invasion: does this affect ecosystem processes?")</f>
        <v>Soil biota can change after exotic plant invasion: does this affect ecosystem processes?</v>
      </c>
      <c r="B654" s="24" t="str">
        <f>IFERROR(__xludf.DUMMYFUNCTION("""COMPUTED_VALUE"""),"Invasion of the exotic annual grass Bromus tectorum into stands of the native perennial grass Hilaria jamesii significantly reduced the abundance of soil biota, especially microarthropods and nematodes. Effects of invasion on active and total bacterial an"&amp;"d fungal biomass were variable, although populations generally increased after 50+ years of invasion. The invasion of Bromus also resulted in a decrease in richness and a species shift in plants, microarthropods, fungi, and nematodes. However, despite the"&amp;" depauperate soil fauna at the invaded sites, no effects were seen on cellulose decomposition rates, nitrogen mineralization rates, or vascular plant growth. When Hilaria was planted into soils from riot-invaded, recently invaded, and historically invaded"&amp;" sites (all currently or once dominated by Hilaria), germination and survivorship were not affected. In contrast, aboveground Hilaria biomass was significantly. greater in recently invaded soils than in the other two soils. We attributed the Hilaria respo"&amp;"nse to differences in soil nutrients present before the invasion, especially soil nitrogen, phosphorus, and potassium, as these nutrients were elevated in the soils that produced the greatest Hilaria biomass. Our data suggest that it is not soil biotic ri"&amp;"chness per se that determines soil process rates or plant productivity, but instead that either (1) the presence of a few critical soil food web taxa can keep ecosystem function high, (2) nutrient loss is very slow in this ecosystem, and/or (3) these proc"&amp;"esses are microbially driven. However, the presence of Bromus may reduce key soil nutrients over time and thus may eventually suppress native plant success.")</f>
        <v>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v>
      </c>
      <c r="C654" s="24" t="str">
        <f>IFERROR(__xludf.DUMMYFUNCTION("""COMPUTED_VALUE"""),"10.1890/05-0333")</f>
        <v>10.1890/05-0333</v>
      </c>
      <c r="D654" s="24" t="str">
        <f>IFERROR(__xludf.DUMMYFUNCTION("""COMPUTED_VALUE"""),"Keck et al")</f>
        <v>Keck et al</v>
      </c>
      <c r="E654" s="24" t="str">
        <f>IFERROR(__xludf.DUMMYFUNCTION("""COMPUTED_VALUE"""),"WOS:000233419600017")</f>
        <v>WOS:000233419600017</v>
      </c>
      <c r="F654" s="24" t="str">
        <f>IFERROR(__xludf.DUMMYFUNCTION("""COMPUTED_VALUE"""),"[""ELIGIBLE""]")</f>
        <v>["ELIGIBLE"]</v>
      </c>
    </row>
    <row r="655">
      <c r="A655" s="24" t="str">
        <f>IFERROR(__xludf.DUMMYFUNCTION("""COMPUTED_VALUE"""),"Effects of dredging on benthic diatom assemblages in a lowland stream")</f>
        <v>Effects of dredging on benthic diatom assemblages in a lowland stream</v>
      </c>
      <c r="B655" s="24" t="str">
        <f>IFERROR(__xludf.DUMMYFUNCTION("""COMPUTED_VALUE"""),"The objective of this study was to assess the effects of dredging on the structure and composition of diatom assemblages from a lowland stream and to investigate whether the response of diatom assemblages to the dredging is also influenced by different wa"&amp;"ter quality. Three sampling sites were established in Rodriguez Stream (Argentina); physico-chemical variables and benthic diatom assemblages were sampled weekly in spring 2001. Species composition, cell density, diversity and evenness were estimated. Dia"&amp;"tom tolerance to organic Pollution and eutrophication were also analyzed. Differences in physico-chemical variables and changes in benthic diatom assemblages were compared between the pre- and post-dredging periods using a t-test. Data were analyzed using"&amp;" Principal Components Analysis (PCA), non-metric Multidimensional scaling (MDS) ordination and cluster analysis. The effects of dredging in the stream involve two types of disturbances: (i) in the stream bed, by the removal and destabilization Of the Subs"&amp;"trate and (ii) in the water column, by generating chemical changes and an alteration of the light environment of the stream. Suspended solids, Soluble reactive phosphorus and dissolved inorganic nitrogen were significantly higher in post-dredging periods."&amp;" Physical and chemical modifications in the habitat of benthic diatoms produced changes in the assemblage: diversity and species numbers showed an immediate increase after dredging, decreasing at the end of the study period. Changes in the tolerance of th"&amp;"e diatom assemblage to organic pollution and eutrophication were also observed as a consequence of dredging; in the post-dredging period sensitive species were replaced by either tolerant or most tolerant species. These changes were particularly noticeabl"&amp;"e in site 1 (characterized by its lower amount of nutrients and organic matter previous to dredging), which showed an increase in the amount of nutrients and oxygen demand as a consequence of sediment removal. However, these changes were not so conspicuou"&amp;"s in sites 2 and 3, which already presented a marked water quality deterioration before the execution of the dredging works. (C) 2008 Elsevier Ltd. All rights reserved.")</f>
        <v>The objective of this study was to assess the effects of dredging on the structure and composition of diatom assemblages from a lowland stream and to investigate whether the response of diatom assemblages to the dredging is also influenced by different water quality. Three sampling sites were established in Rodriguez Stream (Argentina); physico-chemical variables and benthic diatom assemblages were sampled weekly in spring 2001. Species composition, cell density, diversity and evenness were estimated. Diatom tolerance to organic Pollution and eutrophication were also analyzed. Differences in physico-chemical variables and changes in benthic diatom assemblages were compared between the pre- and post-dredging periods using a t-test. Data were analyzed using Principal Components Analysis (PCA), non-metric Multidimensional scaling (MDS) ordination and cluster analysis. The effects of dredging in the stream involve two types of disturbances: (i) in the stream bed, by the removal and destabilization Of the Substrate and (ii) in the water column, by generating chemical changes and an alteration of the light environment of the stream. Suspended solids, Soluble reactive phosphorus and dissolved inorganic nitrogen were significantly higher in post-dredging periods. Physical and chemical modifications in the habitat of benthic diatoms produced changes in the assemblage: diversity and species numbers showed an immediate increase after dredging, decreasing at the end of the study period. Changes in the tolerance of the diatom assemblage to organic pollution and eutrophication were also observed as a consequence of dredging; in the post-dredging period sensitive species were replaced by either tolerant or most tolerant species. These changes were particularly noticeable in site 1 (characterized by its lower amount of nutrients and organic matter previous to dredging), which showed an increase in the amount of nutrients and oxygen demand as a consequence of sediment removal. However, these changes were not so conspicuous in sites 2 and 3, which already presented a marked water quality deterioration before the execution of the dredging works. (C) 2008 Elsevier Ltd. All rights reserved.</v>
      </c>
      <c r="C655" s="24" t="str">
        <f>IFERROR(__xludf.DUMMYFUNCTION("""COMPUTED_VALUE"""),"10.1016/j.jenvman.2008.03.004")</f>
        <v>10.1016/j.jenvman.2008.03.004</v>
      </c>
      <c r="D655" s="24" t="str">
        <f>IFERROR(__xludf.DUMMYFUNCTION("""COMPUTED_VALUE"""),"Keck et al")</f>
        <v>Keck et al</v>
      </c>
      <c r="E655" s="24" t="str">
        <f>IFERROR(__xludf.DUMMYFUNCTION("""COMPUTED_VALUE"""),"WOS:000261895500033")</f>
        <v>WOS:000261895500033</v>
      </c>
      <c r="F655" s="24" t="str">
        <f>IFERROR(__xludf.DUMMYFUNCTION("""COMPUTED_VALUE"""),"[""ELIGIBLE""]")</f>
        <v>["ELIGIBLE"]</v>
      </c>
    </row>
    <row r="656">
      <c r="A656" s="24" t="str">
        <f>IFERROR(__xludf.DUMMYFUNCTION("""COMPUTED_VALUE"""),"River of the dammed: longitudinal changes in fish assemblages in response to dams")</f>
        <v>River of the dammed: longitudinal changes in fish assemblages in response to dams</v>
      </c>
      <c r="B656" s="24" t="str">
        <f>IFERROR(__xludf.DUMMYFUNCTION("""COMPUTED_VALUE"""),"Although dams are a common feature on rivers throughout the world, their effects on diversity, composition, and structure of fish assemblages are often unclear. We used electrified benthic trawls and stable isotope analysis of delta C-13 and delta N-15 to"&amp;" determine the complex relationships between taxonomic diversity and food web structure of fish assemblages among sites in the free-flowing and impounded reaches of the Allegheny River, Pennsylvania, USA. We found higher gamma and beta fish diversity in t"&amp;"he free-flowing section, where Brillouin diversity increased in a downstream direction; however, in the impounded section, we found decreasing diversity downstream. Analysis of similarity and non-metric multi-dimensional scaling revealed longitudinal diff"&amp;"erences in Bray-Curtis similarity between assemblages from impounded and those from free-flowing sites. Finally, using stable isotope analysis, we showed that fishes in the free-flowing section derived nutrients primarily from benthic sources while fishes"&amp;" in the impounded section had a stronger reliance on pelagic nutrients. Our findings reveal that dams can reduce fish taxonomic diversity, driven primarily by decreases in lotic taxa, while shifting resource use from benthic toward pelagic nutrients. A mu"&amp;"lti-faceted approach to assess the cumulative effects of dams on aquatic communities is, therefore, recommended.")</f>
        <v>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v>
      </c>
      <c r="C656" s="24" t="str">
        <f>IFERROR(__xludf.DUMMYFUNCTION("""COMPUTED_VALUE"""),"10.1007/s10750-013-1780-6")</f>
        <v>10.1007/s10750-013-1780-6</v>
      </c>
      <c r="D656" s="24" t="str">
        <f>IFERROR(__xludf.DUMMYFUNCTION("""COMPUTED_VALUE"""),"Keck et al")</f>
        <v>Keck et al</v>
      </c>
      <c r="E656" s="24" t="str">
        <f>IFERROR(__xludf.DUMMYFUNCTION("""COMPUTED_VALUE"""),"WOS:000330967900002")</f>
        <v>WOS:000330967900002</v>
      </c>
      <c r="F656" s="24" t="str">
        <f>IFERROR(__xludf.DUMMYFUNCTION("""COMPUTED_VALUE"""),"[""ELIGIBLE""]")</f>
        <v>["ELIGIBLE"]</v>
      </c>
    </row>
    <row r="657">
      <c r="A657" s="24" t="str">
        <f>IFERROR(__xludf.DUMMYFUNCTION("""COMPUTED_VALUE"""),"Relationships between taxonomic resolution and data transformations in analyses of a macrobenthic community along an established pollution gradient")</f>
        <v>Relationships between taxonomic resolution and data transformations in analyses of a macrobenthic community along an established pollution gradient</v>
      </c>
      <c r="B657" s="24" t="str">
        <f>IFERROR(__xludf.DUMMYFUNCTION("""COMPUTED_VALUE"""),"Although surveys of soft-bottom macrofauna are an important tool in marine pollution monitoring, the high costs involved have often been criticised. Species identification is time-consuming, and one solution is to identify organisms to a taxonomic level h"&amp;"igher than species. This study, using data from a survey in the vicinity of the Valhall oil field in the Norwegian sector of the North Sea, examines the effects of using abundances of different taxonomic levels, and of using different data transformations"&amp;" (used to adjust the relative weightings of rare and abundant taxa) in subsequent multivariate analyses of faunal patterns, and relates the environmental variables to the observed faunal patterns from the different analyses. The study area has a constant "&amp;"water depth, homogeneous bottom sediment and a uniform benthic community. At the time of the survey the platform had been active for 9 yr, and strong gradients in environmental contaminants and related faunal changes were found. Data from 27 stations arou"&amp;"nd the oil platform were analysed at the levels of species, genus, family, order, class and phylum, using a range of data transformations and multivariate techniques. The data matrix contained 156 species grouped into 138 genera, 102 families, 42 orders, "&amp;"18 classes and 10 phyla. Matrices derived from species, genus and family abundances constructed using the same transformation are very similar, and even at higher taxonomic levels the gradient of change in community structure is still detectable. As the t"&amp;"axonomic level increases the effects of transformations become stronger, so although both taxonomic resolution and transformation affect the results of analyses, the effects of each are different and, to a large extent, unrelated. The highest correlations"&amp;" between matrices derived from measured environmental variables and biotic matrices are between environmental variables related to drilling activity and mildly transformed family abundances, suggesting that analyses of higher taxonomic levels are more lik"&amp;"ely to reflect a contamination gradient than are analyses based on species abundances. Before any general recommendations regarding taxonomic levels are given for future macrobenthic surveys, there is an obvious need for studies of weak, intermediate and "&amp;"strong gradients in various types of contamination in homogeneous and heterogeneous environments, using the same sampling and analysis methods.")</f>
        <v>Although surveys of soft-bottom macrofauna are an important tool in marine pollution monitoring, the high costs involved have often been criticised. Species identification is time-consuming, and one solution is to identify organisms to a taxonomic level higher than species. This study, using data from a survey in the vicinity of the Valhall oil field in the Norwegian sector of the North Sea, examines the effects of using abundances of different taxonomic levels, and of using different data transformations (used to adjust the relative weightings of rare and abundant taxa) in subsequent multivariate analyses of faunal patterns, and relates the environmental variables to the observed faunal patterns from the different analyses. The study area has a constant water depth, homogeneous bottom sediment and a uniform benthic community. At the time of the survey the platform had been active for 9 yr, and strong gradients in environmental contaminants and related faunal changes were found. Data from 27 stations around the oil platform were analysed at the levels of species, genus, family, order, class and phylum, using a range of data transformations and multivariate techniques. The data matrix contained 156 species grouped into 138 genera, 102 families, 42 orders, 18 classes and 10 phyla. Matrices derived from species, genus and family abundances constructed using the same transformation are very similar, and even at higher taxonomic levels the gradient of change in community structure is still detectable. As the taxonomic level increases the effects of transformations become stronger, so although both taxonomic resolution and transformation affect the results of analyses, the effects of each are different and, to a large extent, unrelated. The highest correlations between matrices derived from measured environmental variables and biotic matrices are between environmental variables related to drilling activity and mildly transformed family abundances, suggesting that analyses of higher taxonomic levels are more likely to reflect a contamination gradient than are analyses based on species abundances. Before any general recommendations regarding taxonomic levels are given for future macrobenthic surveys, there is an obvious need for studies of weak, intermediate and strong gradients in various types of contamination in homogeneous and heterogeneous environments, using the same sampling and analysis methods.</v>
      </c>
      <c r="C657" s="24" t="str">
        <f>IFERROR(__xludf.DUMMYFUNCTION("""COMPUTED_VALUE"""),"10.3354/meps149173")</f>
        <v>10.3354/meps149173</v>
      </c>
      <c r="D657" s="24" t="str">
        <f>IFERROR(__xludf.DUMMYFUNCTION("""COMPUTED_VALUE"""),"Keck et al")</f>
        <v>Keck et al</v>
      </c>
      <c r="E657" s="24" t="str">
        <f>IFERROR(__xludf.DUMMYFUNCTION("""COMPUTED_VALUE"""),"WOS:A1997XA14600016")</f>
        <v>WOS:A1997XA14600016</v>
      </c>
      <c r="F657" s="24" t="str">
        <f>IFERROR(__xludf.DUMMYFUNCTION("""COMPUTED_VALUE"""),"[""ELIGIBLE""]")</f>
        <v>["ELIGIBLE"]</v>
      </c>
    </row>
    <row r="658">
      <c r="A658" s="24" t="str">
        <f>IFERROR(__xludf.DUMMYFUNCTION("""COMPUTED_VALUE"""),"Biological aspects and ecological effects of a bed of the invasive non-indigenous mussel Brachidontes pharaonis (Fischer P., 1870) in Malta")</f>
        <v>Biological aspects and ecological effects of a bed of the invasive non-indigenous mussel Brachidontes pharaonis (Fischer P., 1870) in Malta</v>
      </c>
      <c r="B658" s="24" t="str">
        <f>IFERROR(__xludf.DUMMYFUNCTION("""COMPUTED_VALUE"""),"No mussel beds were known to occur in the Maltese Islands previous to 2009, when a single bed of the Lessepsian immigrant Brachidontes pharaonis, first recorded from the islands in 1970, was discovered in Birzebbugia Bay. The population structure of B. ph"&amp;"araonis was investigated to assess its potential to spread and colonise new shores, while the biotic community at the mussel bed was compared to that present on uncolonised substratum to determine the effects of mussel bed establishment on the associated "&amp;"biota. Results indicate a lower species richness and slightly different community structure with greater small-scale heterogeneity at the mussel bed site compared to the adjacent rocky shore where mussels are present but where there is no bed formation. T"&amp;"he B. pharaonis population had a peak density of 16550 +/- 2051 ind.m(-2) within the mussel bed and included recent recruits. These data suggest that the B. pharaonis population has the potential to expand. Establishment of extensive beds by this invasive"&amp;" mussel could change the structure of native rocky shore assemblages around the Maltese Islands and elsewhere in the Mediterranean.")</f>
        <v>No mussel beds were known to occur in the Maltese Islands previous to 2009, when a single bed of the Lessepsian immigrant Brachidontes pharaonis, first recorded from the islands in 1970, was discovered in Birzebbugia Bay. The population structure of B. pharaonis was investigated to assess its potential to spread and colonise new shores, while the biotic community at the mussel bed was compared to that present on uncolonised substratum to determine the effects of mussel bed establishment on the associated biota. Results indicate a lower species richness and slightly different community structure with greater small-scale heterogeneity at the mussel bed site compared to the adjacent rocky shore where mussels are present but where there is no bed formation. The B. pharaonis population had a peak density of 16550 +/- 2051 ind.m(-2) within the mussel bed and included recent recruits. These data suggest that the B. pharaonis population has the potential to expand. Establishment of extensive beds by this invasive mussel could change the structure of native rocky shore assemblages around the Maltese Islands and elsewhere in the Mediterranean.</v>
      </c>
      <c r="C658" s="24" t="str">
        <f>IFERROR(__xludf.DUMMYFUNCTION("""COMPUTED_VALUE"""),"10.12681/mms.32")</f>
        <v>10.12681/mms.32</v>
      </c>
      <c r="D658" s="24" t="str">
        <f>IFERROR(__xludf.DUMMYFUNCTION("""COMPUTED_VALUE"""),"Keck et al")</f>
        <v>Keck et al</v>
      </c>
      <c r="E658" s="24" t="str">
        <f>IFERROR(__xludf.DUMMYFUNCTION("""COMPUTED_VALUE"""),"WOS:000306303500015")</f>
        <v>WOS:000306303500015</v>
      </c>
      <c r="F658" s="24" t="str">
        <f>IFERROR(__xludf.DUMMYFUNCTION("""COMPUTED_VALUE"""),"[""ELIGIBLE""]")</f>
        <v>["ELIGIBLE"]</v>
      </c>
    </row>
    <row r="659">
      <c r="A659" s="24" t="str">
        <f>IFERROR(__xludf.DUMMYFUNCTION("""COMPUTED_VALUE"""),"Calcium Carbonate Production, Coral Cover and Diversity along a Distance Gradient from Stone Town: A Case Study from Zanzibar, Tanzania")</f>
        <v>Calcium Carbonate Production, Coral Cover and Diversity along a Distance Gradient from Stone Town: A Case Study from Zanzibar, Tanzania</v>
      </c>
      <c r="B659" s="24" t="str">
        <f>IFERROR(__xludf.DUMMYFUNCTION("""COMPUTED_VALUE"""),"Photosymbiotic scleractinian corals are major bioengineers in tropical coastal waters, where they build structurally complex geological features and provide substrata for a manifold of macro and microhabitats. On a local scale, ecological competition and "&amp;"physical parameters-natural as well as human-derived, alter species richness, biodiversity, and morphological adaptation on tropical coral reefs. Here, we compared four coral reefs in the Zanzibar Archipelago at different distances from Stone Town and und"&amp;"er different management regimes. To assess the ecological health of these reefs, calcium carbonate production, structural complexity, and alpha-diversity were determined. The unprotected reefs in the direct vicinity of Stone Town, which are exposed to fis"&amp;"hing pressure, land-derived pollution, unregulated tourism, and careless anchoring, showed the lowest calcium carbonate production (8.47 +/- 4.37 kg CaCO3 m(-2) yr(-1)), coral cover (52.4 +/- 13.9%), and diversity (H' = 0.94 +/- 0.37). Conversely, the fur"&amp;"thest reef and marine protected area showed the highest net calcium carbonate production (16.90 +/- 9.70 kg CaCO3 m(-2) yr(-1)), coral cover (67.4 +/- 8.7%), and diversity (H' = 1.74 +/- 0.20). In comparison to other bioregions and/or reefs of the Indian "&amp;"Ocean, estimates of calcium carbonate production and coral cover (&gt;50%) were relatively high. Moreover, coral community structure differs significantly with distance from Stone Town, in that, the most homogenous reefs dominated by massive and submassive s"&amp;"pecies (Porites lobate and P. rus) occurred the closest to Stone Town.")</f>
        <v>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v>
      </c>
      <c r="C659" s="24" t="str">
        <f>IFERROR(__xludf.DUMMYFUNCTION("""COMPUTED_VALUE"""),"10.3389/fmars.2017.00412")</f>
        <v>10.3389/fmars.2017.00412</v>
      </c>
      <c r="D659" s="24" t="str">
        <f>IFERROR(__xludf.DUMMYFUNCTION("""COMPUTED_VALUE"""),"Keck et al")</f>
        <v>Keck et al</v>
      </c>
      <c r="E659" s="24" t="str">
        <f>IFERROR(__xludf.DUMMYFUNCTION("""COMPUTED_VALUE"""),"WOS:000457690600408")</f>
        <v>WOS:000457690600408</v>
      </c>
      <c r="F659" s="24" t="str">
        <f>IFERROR(__xludf.DUMMYFUNCTION("""COMPUTED_VALUE"""),"[""ELIGIBLE""]")</f>
        <v>["ELIGIBLE"]</v>
      </c>
    </row>
    <row r="660">
      <c r="A660" s="24" t="str">
        <f>IFERROR(__xludf.DUMMYFUNCTION("""COMPUTED_VALUE"""),"Excess phosphate loading shifts bacterioplankton community composition in oligotrophic coastal water microcosms over time")</f>
        <v>Excess phosphate loading shifts bacterioplankton community composition in oligotrophic coastal water microcosms over time</v>
      </c>
      <c r="B660" s="24" t="str">
        <f>IFERROR(__xludf.DUMMYFUNCTION("""COMPUTED_VALUE"""),"Phosphorus (P), primarily as phosphate, is considered as a key trophic factor of eutrophication in coastal environments. Information on the response of bacterial community to excess phosphate loading in oligotrophic coastal water could provide insights in"&amp;"to the micro-ecological effects on the expanding trend of nutrient-enrichment in coastal water. In this study, temporal dynamic of bacterioplankton community composition was investigated using 16S Illumina MiSeq sequencing technique in oligotrophic seawat"&amp;"er microcosms manipulated with no perturbation (control) and a certain level of phosphate by two loading modes: 1) one-off loading at the beginning of incubation; and 2) periodic loadings every two days over a 16-day duration. The results showed that over"&amp;"all bacterial alpha-diversity temporally changed and achieved the lowest value in phosphate loading (P-loading) microcosms at day 8; phosphate-addition increased the Shannon index and Pielou's evenness compared with those of the control at day 16. Bacteri"&amp;"oplanlcton community turnover across all the treatments showed a similar temporal pattern. P-loading significantly affected bacterioplankton community composition with negative correlations of Methylophilaceae and Flavobacteriaceae and positive correlatio"&amp;"n of Saprospiraceae. Periodic loading treatments demonstrated a greater effect on community variation than one-off loading treatments did. Moreover, excess P loading accelerated the temporal succession of the bacterioplankton community composition. These "&amp;"results provide insights into the pattern of bacterioplankton community phylogenetically responding to excess P-loading in the manipulated oligotrophic coastal system. (C) 2016 Elsevier B.V. All rights reserved.")</f>
        <v>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v>
      </c>
      <c r="C660" s="24" t="str">
        <f>IFERROR(__xludf.DUMMYFUNCTION("""COMPUTED_VALUE"""),"10.1016/j.jembe.2016.07.009")</f>
        <v>10.1016/j.jembe.2016.07.009</v>
      </c>
      <c r="D660" s="24" t="str">
        <f>IFERROR(__xludf.DUMMYFUNCTION("""COMPUTED_VALUE"""),"Keck et al")</f>
        <v>Keck et al</v>
      </c>
      <c r="E660" s="24" t="str">
        <f>IFERROR(__xludf.DUMMYFUNCTION("""COMPUTED_VALUE"""),"WOS:000382413400017")</f>
        <v>WOS:000382413400017</v>
      </c>
      <c r="F660" s="24" t="str">
        <f>IFERROR(__xludf.DUMMYFUNCTION("""COMPUTED_VALUE"""),"[""ELIGIBLE""]")</f>
        <v>["ELIGIBLE"]</v>
      </c>
    </row>
    <row r="661">
      <c r="A661" s="24" t="str">
        <f>IFERROR(__xludf.DUMMYFUNCTION("""COMPUTED_VALUE"""),"Reducing management intensity and isolation as promising tools to enhance ground-dwelling arthropod diversity in urban grasslands")</f>
        <v>Reducing management intensity and isolation as promising tools to enhance ground-dwelling arthropod diversity in urban grasslands</v>
      </c>
      <c r="B661" s="24" t="str">
        <f>IFERROR(__xludf.DUMMYFUNCTION("""COMPUTED_VALUE"""),"Urbanisation is a growing global phenomenon having multiple ecological consequences. However, the effects of urbanisation on biodiversity remain ambiguous, and some evidence exists that cities provide valuable secondary habitats for many species, possibly"&amp;" mitigating regional biodiversity loss. Therefore, the value of urban sites for biodiversity depends on local habitat conditions and the configuration of the surrounding landscape. We aimed to disentangle the effects of local habitatparameters (management"&amp;", plant diversity) and urban matrix variables (urbanisation, isolation) on carabid beetle and spider diversity and traits in informal urban green spaces in Berlin, Germany. Habitat management and isolation were the most important influences on carabid bee"&amp;"tle and spider species and trait compositions. Spider communities of irregular managed sites contained 2.5 times more species of conservation concern than extensive (regular) managed sites. Moreover, irregular managed sites contained larger species (both "&amp;"for carabid beetles and spiders) and affected the hunting mode of spiders. Isolated sites tended to have lower spider species richness and number of spider species of conservation concern. Moreover, isolated sites were characterised by small, mobile and h"&amp;"erbivorous carabid beetles. In contrast, urbanisation and local plant diversity had no effect on carabid beetles and spiders. We conclude that urban grasslands within residential areas - even if not targeted for conservation plans - can provide important "&amp;"habitats for conserving biodiversity, including species of conservation concern. Reducing the intensity of habitat management and increasing the connectivity of urban grassland sites can promote diverse arthropod communities and should therefore be consid"&amp;"ered in urban planning.")</f>
        <v>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v>
      </c>
      <c r="C661" s="24" t="str">
        <f>IFERROR(__xludf.DUMMYFUNCTION("""COMPUTED_VALUE"""),"10.1007/s11252-018-0786-2")</f>
        <v>10.1007/s11252-018-0786-2</v>
      </c>
      <c r="D661" s="24" t="str">
        <f>IFERROR(__xludf.DUMMYFUNCTION("""COMPUTED_VALUE"""),"Keck et al")</f>
        <v>Keck et al</v>
      </c>
      <c r="E661" s="24" t="str">
        <f>IFERROR(__xludf.DUMMYFUNCTION("""COMPUTED_VALUE"""),"WOS:000452382200011")</f>
        <v>WOS:000452382200011</v>
      </c>
      <c r="F661" s="24" t="str">
        <f>IFERROR(__xludf.DUMMYFUNCTION("""COMPUTED_VALUE"""),"[""ELIGIBLE""]")</f>
        <v>["ELIGIBLE"]</v>
      </c>
    </row>
    <row r="662">
      <c r="A662" s="24" t="str">
        <f>IFERROR(__xludf.DUMMYFUNCTION("""COMPUTED_VALUE"""),"Sensitivity of macroinvertebrate indicator taxa to metal gradients in mining areas in Northern Spain")</f>
        <v>Sensitivity of macroinvertebrate indicator taxa to metal gradients in mining areas in Northern Spain</v>
      </c>
      <c r="B662" s="24" t="str">
        <f>IFERROR(__xludf.DUMMYFUNCTION("""COMPUTED_VALUE"""),"The study of macroinvertebrate communities using a Reference Condition Approach (RCA) is a powerful tool for detecting the impacts of mining activities due to heavy metal contamination in rivers. However, studies on this topic based on an RCA fully satisf"&amp;"ying the Water Framework Directive (WFD) criteria for reference site selection are still scarce. Following a WFD-compliant RCA design, a total of 14 reference and 15 test sites were intensively sampled during July 2015 in the Nalon River basin (Asturias, "&amp;"Northern Spain). Macroinvertebrate samples, water physicochemistry, metal concentrations in sediments and habitat quality were evaluated at each selected site. To determine whether increasing heavy metal levels in sediments have significant ecological imp"&amp;"acts in the structure of macroinvertebrate communities in the study area, we applied a combination of non-parametric multivariate and univariate procedures, as well as gradient analysis and Threshold Indicator Taxa ANalysis (TITAN) over the biotic and env"&amp;"ironmental datasets. We found significant alterations in the macroinvertebrate community structure with respect to the reference condition (REF group) for those test sites within mercury (HG group) and gold (AU group) mining areas, with Ephemeroptera, Ple"&amp;"coptera and Trichoptera (EPT) richness and abundance being the community descriptors showing the strongest alterations in relation to mining pressures in the studied area. Metal concentrations in sediments were significantly correlated to the metrics of c"&amp;"ommunity structure related to abundance, richness and biodiversity, with As and Hg being the two metals showing higher biological effects on macro-invertebrate assemblages. TITAN also allowed us to establish a set of macro invertebrate families specifical"&amp;"ly sensitive to metal concentrations in sediments, most of which corresponded to EPT families. Our results prove that determined sensitive taxa could be considered as reliable indicators of metal pollution in the mining areas of Northern Spain. From a WFD"&amp;" perspective, our study clearly indicates that the responsive community descriptors found in this study are actually key parameters in the evaluation of the ecological status in the rivers of Northern Spain. These data are highly relevant for the future d"&amp;"evelopment of environmental quality standards for river sediments in Spain.")</f>
        <v>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v>
      </c>
      <c r="C662" s="24" t="str">
        <f>IFERROR(__xludf.DUMMYFUNCTION("""COMPUTED_VALUE"""),"10.1016/j.ecolind.2018.04.059")</f>
        <v>10.1016/j.ecolind.2018.04.059</v>
      </c>
      <c r="D662" s="24" t="str">
        <f>IFERROR(__xludf.DUMMYFUNCTION("""COMPUTED_VALUE"""),"Keck et al")</f>
        <v>Keck et al</v>
      </c>
      <c r="E662" s="24" t="str">
        <f>IFERROR(__xludf.DUMMYFUNCTION("""COMPUTED_VALUE"""),"WOS:000452692600022")</f>
        <v>WOS:000452692600022</v>
      </c>
      <c r="F662" s="24" t="str">
        <f>IFERROR(__xludf.DUMMYFUNCTION("""COMPUTED_VALUE"""),"[""ELIGIBLE""]")</f>
        <v>["ELIGIBLE"]</v>
      </c>
    </row>
    <row r="663">
      <c r="A663" s="24" t="str">
        <f>IFERROR(__xludf.DUMMYFUNCTION("""COMPUTED_VALUE"""),"Fish assemblage responses to water withdrawals and water supply reservoirs in piedmont streams")</f>
        <v>Fish assemblage responses to water withdrawals and water supply reservoirs in piedmont streams</v>
      </c>
      <c r="B663" s="24" t="str">
        <f>IFERROR(__xludf.DUMMYFUNCTION("""COMPUTED_VALUE"""),"Understanding effects of flow alteration on stream biota is essential to developing ecologically sustainable water supply strategies. We evaluated effects of altering flows via surface water withdrawals and instream reservoirs on stream fish assemblages, "&amp;"and compared effects with other hypothesized drivers of species richness and assemblage composition. We sampled fishes during three years in 28 streams used for municipal water supply in the Piedmont region of Georgia, U.S.A. Study sites had permitted ave"&amp;"rage withdrawal rates that ranged from &lt; 0.05 to &gt; 13 times the stream's seven-day, ten-year recurrence low flow (7Q10), and were located directly downstream either from a water supply reservoir or from a withdrawal taken from an unimpounded stream. Ordin"&amp;"ation analysis of catch data showed a shift in assemblage composition at reservoir sites corresponding to dominance by habitat generalist species. Richness of fluvial specialists averaged about 3 fewer species downstream from reservoirs, and also declined"&amp;" as permitted withdrawal rate increased above about 0.5 to one 7Q10-equivalent of water. Reservoir presence and withdrawal rate, along with drainage area, accounted for 70% of the among-site variance in fluvial specialist richness and were better predicto"&amp;"r variables than percent of the catchment in urban land use or average streambed sediment size. Increasing withdrawal rate also increased the odds that a site's Index of Biotic Integrity score fell below a regulatory threshold indicating biological impair"&amp;"ment. Estimates of reservoir and withdrawal effects on stream biota could be used in predictive landscape models to support adaptive water supply planning intended to meet societal needs while conserving biological resources.")</f>
        <v>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v>
      </c>
      <c r="C663" s="24" t="str">
        <f>IFERROR(__xludf.DUMMYFUNCTION("""COMPUTED_VALUE"""),"10.1007/s00267-005-0169-3")</f>
        <v>10.1007/s00267-005-0169-3</v>
      </c>
      <c r="D663" s="24" t="str">
        <f>IFERROR(__xludf.DUMMYFUNCTION("""COMPUTED_VALUE"""),"Keck et al")</f>
        <v>Keck et al</v>
      </c>
      <c r="E663" s="24" t="str">
        <f>IFERROR(__xludf.DUMMYFUNCTION("""COMPUTED_VALUE"""),"WOS:000239657000009")</f>
        <v>WOS:000239657000009</v>
      </c>
      <c r="F663" s="24" t="str">
        <f>IFERROR(__xludf.DUMMYFUNCTION("""COMPUTED_VALUE"""),"[""ELIGIBLE""]")</f>
        <v>["ELIGIBLE"]</v>
      </c>
    </row>
    <row r="664">
      <c r="A664" s="24" t="str">
        <f>IFERROR(__xludf.DUMMYFUNCTION("""COMPUTED_VALUE"""),"Ocean Acidification Regulates the Activity, Community Structure, and Functional Potential of Heterotrophic Bacterioplankton in an Oligotrophic Gyre")</f>
        <v>Ocean Acidification Regulates the Activity, Community Structure, and Functional Potential of Heterotrophic Bacterioplankton in an Oligotrophic Gyre</v>
      </c>
      <c r="B664" s="24" t="str">
        <f>IFERROR(__xludf.DUMMYFUNCTION("""COMPUTED_VALUE"""),"Ocean acidification (OA), a consequence of increased global carbon dioxide (CO2) emissions, is considered a major threat to marine ecosystems. Its effects on bacterioplankton activity, diversity, and community composition have received considerable attent"&amp;"ion. However, the direct impact of OA on heterotrophic bacterioplankton is often masked by the significant response of phytoplankton due to the close coupling of heterotrophic bacterioplankton and autotrophs. Here we investigated the responses of a hetero"&amp;"trophic bacterioplankton assemblage to high pCO(2) (790-ppm) treatment in warm tropical western Pacific waters by conducting a microcosm experiment in dark for 12 days. Heterotrophic bacterioplankton abundance and production were enhanced by OA over the f"&amp;"irst 6 days of incubation, while the diversity and species richness were negatively affected. Bacterioplankton community composition in the high pCO(2) treatment changed faster than that in the control. The molecular ecological network analysis showed tha"&amp;"t the elevated CO2 changed the overall connections among the bacterial community and resulted in a simple network under high CO2 condition. Species-specific responses to OA were observed and could be attributed to the different life strategies and to the "&amp;"ability of a given species to adapt to environmental conditions. In addition, high-throughput functional gene array analysis revealed that genes related to carbon and nitrogen cycling were positively affected by acidification. Together, our findings sugge"&amp;"st that OA has direct effects on heterotrophic bacterioplankton in a low-latitude warm ocean and may therefore affect global biogeochemical cycles.")</f>
        <v>Ocean acidification (OA), a consequence of increased global carbon dioxide (CO2) emissions, is considered a major threat to marine ecosystems. Its effects on bacterioplankton activity, diversity, and community composition have received considerable attention. However, the direct impact of OA on heterotrophic bacterioplankton is often masked by the significant response of phytoplankton due to the close coupling of heterotrophic bacterioplankton and autotrophs. Here we investigated the responses of a heterotrophic bacterioplankton assemblage to high pCO(2) (790-ppm) treatment in warm tropical western Pacific waters by conducting a microcosm experiment in dark for 12 days. Heterotrophic bacterioplankton abundance and production were enhanced by OA over the first 6 days of incubation, while the diversity and species richness were negatively affected. Bacterioplankton community composition in the high pCO(2) treatment changed faster than that in the control. The molecular ecological network analysis showed that the elevated CO2 changed the overall connections among the bacterial community and resulted in a simple network under high CO2 condition. Species-specific responses to OA were observed and could be attributed to the different life strategies and to the ability of a given species to adapt to environmental conditions. In addition, high-throughput functional gene array analysis revealed that genes related to carbon and nitrogen cycling were positively affected by acidification. Together, our findings suggest that OA has direct effects on heterotrophic bacterioplankton in a low-latitude warm ocean and may therefore affect global biogeochemical cycles.</v>
      </c>
      <c r="C664" s="24" t="str">
        <f>IFERROR(__xludf.DUMMYFUNCTION("""COMPUTED_VALUE"""),"10.1029/2018JG004707")</f>
        <v>10.1029/2018JG004707</v>
      </c>
      <c r="D664" s="24" t="str">
        <f>IFERROR(__xludf.DUMMYFUNCTION("""COMPUTED_VALUE"""),"Keck et al")</f>
        <v>Keck et al</v>
      </c>
      <c r="E664" s="24" t="str">
        <f>IFERROR(__xludf.DUMMYFUNCTION("""COMPUTED_VALUE"""),"WOS:000469076200018")</f>
        <v>WOS:000469076200018</v>
      </c>
      <c r="F664" s="24" t="str">
        <f>IFERROR(__xludf.DUMMYFUNCTION("""COMPUTED_VALUE"""),"[""ELIGIBLE""]")</f>
        <v>["ELIGIBLE"]</v>
      </c>
    </row>
    <row r="665">
      <c r="A665" s="24" t="str">
        <f>IFERROR(__xludf.DUMMYFUNCTION("""COMPUTED_VALUE"""),"Palm distribution patterns in the southwestern Brazilian Amazon: Impact of a large hydroelectric dam")</f>
        <v>Palm distribution patterns in the southwestern Brazilian Amazon: Impact of a large hydroelectric dam</v>
      </c>
      <c r="B665" s="24" t="str">
        <f>IFERROR(__xludf.DUMMYFUNCTION("""COMPUTED_VALUE"""),"Mega hydroelectric dams cause loss of habitat for many species and lead to local or regional extinction. Despite these dire facts, little is known about the impact of these mega-dams on Amazonia. Using palms as a model, we investigated this question by sa"&amp;"mpling 26 1-ha plots distributed in the influence areas of the Jirau mega-dam in southwestern Brazilian Amazonia. We examined palm community patterns and species distributions as a function of environmental variables, as well as the effect of this large d"&amp;"am on plant survival. Palm communities on the banks of the Madeira River differ among three main habitats sampled (campinarana, terra-firme and varzea forests), and these differences are associated with the gradient of C, pH, N, P, soil texture, slope, an"&amp;"d depth to the water-table. The level of the Madeira River raised after the construction of the Jirau mega-dam, directly affecting the populations of 61.3% of the palm species, particularly those species associated to areas with silty soils, low slope, an"&amp;"d low depth to the water-table. Varzea and terra-firme forests near the river, as well as low-lying plots, even those distant from the river, were affected by the filling of the reservoir. Varzea forests and campinaranas had a greater proportion of palm s"&amp;"pecies flooded by the reservoir and the reduction of water-table depth. Varzea forests and campinaranas harbor distinct palm communities from the terra-firme forests and require priority in conservation policies and management to mitigate harmful environm"&amp;"ental impacts in the Amazon.")</f>
        <v>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v>
      </c>
      <c r="C665" s="24" t="str">
        <f>IFERROR(__xludf.DUMMYFUNCTION("""COMPUTED_VALUE"""),"10.1016/j.foreco.2020.118032")</f>
        <v>10.1016/j.foreco.2020.118032</v>
      </c>
      <c r="D665" s="24" t="str">
        <f>IFERROR(__xludf.DUMMYFUNCTION("""COMPUTED_VALUE"""),"Keck et al")</f>
        <v>Keck et al</v>
      </c>
      <c r="E665" s="24" t="str">
        <f>IFERROR(__xludf.DUMMYFUNCTION("""COMPUTED_VALUE"""),"WOS:000528190400013")</f>
        <v>WOS:000528190400013</v>
      </c>
      <c r="F665" s="24" t="str">
        <f>IFERROR(__xludf.DUMMYFUNCTION("""COMPUTED_VALUE"""),"[""ELIGIBLE""]")</f>
        <v>["ELIGIBLE"]</v>
      </c>
    </row>
    <row r="666">
      <c r="A666" s="24" t="str">
        <f>IFERROR(__xludf.DUMMYFUNCTION("""COMPUTED_VALUE"""),"Taxonomic structure and the effectiveness of surrogates in environmental monitoring: a lesson from polychaetes")</f>
        <v>Taxonomic structure and the effectiveness of surrogates in environmental monitoring: a lesson from polychaetes</v>
      </c>
      <c r="B666" s="24" t="str">
        <f>IFERROR(__xludf.DUMMYFUNCTION("""COMPUTED_VALUE"""),"Multivariate approaches for the quantification of changes in biological assemblages can provide a powerful tool for assessing human impacts on ecological systems. Taxonomic sufficiency (TS) has been proposed as a short-cut method in environmental monitori"&amp;"ng. However, issues about the efficacy of taxonomic surrogates in depicting spatial patterns and taxonomic structure of marine assemblages are still a source of debate. Here, we followed the logic of beyond-BACI (before, after, control, impact) designs an"&amp;"d their modifications to deal with cases in which no data have been collected before the purported impact. By using, as a case study, the analysis of the effects of sewage pollution on spatial patterns of polychaete assemblages along a stretch of rocky co"&amp;"ast in the Ionian Sea (south Italy), this study aimed to (1) investigate whether the assemblage's taxonomic structure influences the results of the analyses based on coarser taxonomy, and (2) test the efficiency of an alternative cost-effective method to "&amp;"TS. The analyses highlighted the impact as a modification of natural spatial patterns of assemblages at the scale of location, site and replicate units. Results were consistent when analysing data at species and genus level, The use of other surrogates fa"&amp;"iled in fully depicting modifications of natural spatial patterns as a consequence of the impact. The surrogate performance depended on the assemblage's taxonomic structure, and was related to the information provided by the mono-specific higher taxa (i.e"&amp;". species distribution). Differences among sites at the impacted location were underestimated after lumping species distributions together. Our data suggest that the analysis at species level of a correctly selected taxon (i.e. a single family) can repres"&amp;"ent a valid cost-effective alternative to using all species-based data sets. The results stress that only an a priori taxonomic screening may address the correct approach for depicting changes in assemblages in relation to human impacts.")</f>
        <v>Multivariate approaches for the quantification of changes in biological assemblages can provide a powerful tool for assessing human impacts on ecological systems. Taxonomic sufficiency (TS) has been proposed as a short-cut method in environmental monitoring. However, issues about the efficacy of taxonomic surrogates in depicting spatial patterns and taxonomic structure of marine assemblages are still a source of debate. Here, we followed the logic of beyond-BACI (before, after, control, impact) designs and their modifications to deal with cases in which no data have been collected before the purported impact. By using, as a case study, the analysis of the effects of sewage pollution on spatial patterns of polychaete assemblages along a stretch of rocky coast in the Ionian Sea (south Italy), this study aimed to (1) investigate whether the assemblage's taxonomic structure influences the results of the analyses based on coarser taxonomy, and (2) test the efficiency of an alternative cost-effective method to TS. The analyses highlighted the impact as a modification of natural spatial patterns of assemblages at the scale of location, site and replicate units. Results were consistent when analysing data at species and genus level, The use of other surrogates failed in fully depicting modifications of natural spatial patterns as a consequence of the impact. The surrogate performance depended on the assemblage's taxonomic structure, and was related to the information provided by the mono-specific higher taxa (i.e. species distribution). Differences among sites at the impacted location were underestimated after lumping species distributions together. Our data suggest that the analysis at species level of a correctly selected taxon (i.e. a single family) can represent a valid cost-effective alternative to using all species-based data sets. The results stress that only an a priori taxonomic screening may address the correct approach for depicting changes in assemblages in relation to human impacts.</v>
      </c>
      <c r="C666" s="24" t="str">
        <f>IFERROR(__xludf.DUMMYFUNCTION("""COMPUTED_VALUE"""),"10.3354/meps07989")</f>
        <v>10.3354/meps07989</v>
      </c>
      <c r="D666" s="24" t="str">
        <f>IFERROR(__xludf.DUMMYFUNCTION("""COMPUTED_VALUE"""),"Keck et al")</f>
        <v>Keck et al</v>
      </c>
      <c r="E666" s="24" t="str">
        <f>IFERROR(__xludf.DUMMYFUNCTION("""COMPUTED_VALUE"""),"WOS:000266756800016")</f>
        <v>WOS:000266756800016</v>
      </c>
      <c r="F666" s="24" t="str">
        <f>IFERROR(__xludf.DUMMYFUNCTION("""COMPUTED_VALUE"""),"[""ELIGIBLE""]")</f>
        <v>["ELIGIBLE"]</v>
      </c>
    </row>
    <row r="667">
      <c r="A667" s="24" t="str">
        <f>IFERROR(__xludf.DUMMYFUNCTION("""COMPUTED_VALUE"""),"Indirect effects may buffer negative responses of seagrass invertebrate communities to ocean acidification")</f>
        <v>Indirect effects may buffer negative responses of seagrass invertebrate communities to ocean acidification</v>
      </c>
      <c r="B667" s="24" t="str">
        <f>IFERROR(__xludf.DUMMYFUNCTION("""COMPUTED_VALUE"""),"Ocean acidification has been shown to have highly variable effects, with many negative and some positive responses from individual species, while community level effects are largely unknown. Although an overall loss of biodiversity is expected, predicting"&amp;" the effects of ocean acidification on whole assemblages can be problematic as both direct and indirect effects of acidification must be taken into consideration. This study demonstrates how invertebrate assemblages associated with the highly productive s"&amp;"eagrass, Posidonia oceanica, respond to natural acidification that occurs at CO2 vents off the coast of Italy. We examined seasonal differences in invertebrate community structure between two distinct pH zones: control (pH 8.1) and acidified (pH 7.8) and "&amp;"show that many groups of invertebrate taxa were robust to acidification effects. Differences in community structure appeared to be driven by the indirect effects of acidification, such as changes to canopy structure and food availability, rather than phys"&amp;"iological intolerance to low pH. The number of invertebrates collected in acidified stations was almost double that of control stations during the study and many heavily calcified species appeared to thrive. These results highlight how positive indirect e"&amp;"ffects may buffer the ecological impacts of acidification, and provide evidence that this highly productive, nearshore habitat may provide refuge to its associated communities from future ocean acidification. (C) 2014 Elsevier B.V. All rights reserved.")</f>
        <v>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v>
      </c>
      <c r="C667" s="24" t="str">
        <f>IFERROR(__xludf.DUMMYFUNCTION("""COMPUTED_VALUE"""),"10.1016/j.jembe.2014.07.011")</f>
        <v>10.1016/j.jembe.2014.07.011</v>
      </c>
      <c r="D667" s="24" t="str">
        <f>IFERROR(__xludf.DUMMYFUNCTION("""COMPUTED_VALUE"""),"Keck et al")</f>
        <v>Keck et al</v>
      </c>
      <c r="E667" s="24" t="str">
        <f>IFERROR(__xludf.DUMMYFUNCTION("""COMPUTED_VALUE"""),"WOS:000346894900004")</f>
        <v>WOS:000346894900004</v>
      </c>
      <c r="F667" s="24" t="str">
        <f>IFERROR(__xludf.DUMMYFUNCTION("""COMPUTED_VALUE"""),"[""ELIGIBLE""]")</f>
        <v>["ELIGIBLE"]</v>
      </c>
    </row>
    <row r="668">
      <c r="A668" s="24" t="str">
        <f>IFERROR(__xludf.DUMMYFUNCTION("""COMPUTED_VALUE"""),"Comprehensive Insight into Lake Nasser Environment: Water Quality and Biotic Communities-A Case Study before Operating the Renaissance Dam")</f>
        <v>Comprehensive Insight into Lake Nasser Environment: Water Quality and Biotic Communities-A Case Study before Operating the Renaissance Dam</v>
      </c>
      <c r="B668" s="24" t="str">
        <f>IFERROR(__xludf.DUMMYFUNCTION("""COMPUTED_VALUE"""),"This study focused on the monitoring and assessment of aquatic ecosystem functioning based on the abiotic and biotic features of Lake Nasser in the post-flood and pre-flood periods as the last ones before water storing behind the Grand Ethiopian Renaissan"&amp;"ce Dam. The physicochemical parameters, distribution and structure of biotic communities, including bacteria, phytoplankton, zooplankton, macrophytes, epiphytes and fish were analyzed at 15 sites. The values of most parameters (primarily temperature, tota"&amp;"l suspended solids, pH, orthophosphates, carbonates, sulphates and some cations) were higher in the pre-flood period, whereas higher values of conductivity, total dissolved solids, total solids, nitrites, nitrates, chemical oxygen demand, bicarbonates and"&amp;" chlorophyll a were recorded in the post-flood period. Cyanobacteria-dominated phytoplankton and total coliform bacteria were more abundant in the pre-flood period, and especially at sites 10-15, whereas higher abundances of zooplankton were recorded in t"&amp;"he post-flood period. All these changes in parameters were significantly differentiated, and only the concentrations of dissolved oxygen, biochemical oxygen demand, ammonium and silicates were at similar level in both periods. The study also indicated tha"&amp;"t environmental factors had affected the macrophyte distribution and the adaptation of the invasive species Myriophyllum spicatum to thrive under different environmental factors in the lake. Besides, macrophytes provided the habitat to other aquatic organ"&amp;"isms, especially epiphytes, and also helped maintaining the good water quality, nutrient cycling and stabilizing rivers' and lakes' banks. Generally, these conditions were rather favorable for biological processes and fish production.")</f>
        <v>This study focused on the monitoring and assessment of aquatic ecosystem functioning based on the abiotic and biotic features of Lake Nasser in the post-flood and pre-flood periods as the last ones before water storing behind the Grand Ethiopian Renaissance Dam. The physicochemical parameters, distribution and structure of biotic communities, including bacteria, phytoplankton, zooplankton, macrophytes, epiphytes and fish were analyzed at 15 sites. The values of most parameters (primarily temperature, total suspended solids, pH, orthophosphates, carbonates, sulphates and some cations) were higher in the pre-flood period, whereas higher values of conductivity, total dissolved solids, total solids, nitrites, nitrates, chemical oxygen demand, bicarbonates and chlorophyll a were recorded in the post-flood period. Cyanobacteria-dominated phytoplankton and total coliform bacteria were more abundant in the pre-flood period, and especially at sites 10-15, whereas higher abundances of zooplankton were recorded in the post-flood period. All these changes in parameters were significantly differentiated, and only the concentrations of dissolved oxygen, biochemical oxygen demand, ammonium and silicates were at similar level in both periods. The study also indicated that environmental factors had affected the macrophyte distribution and the adaptation of the invasive species Myriophyllum spicatum to thrive under different environmental factors in the lake. Besides, macrophytes provided the habitat to other aquatic organisms, especially epiphytes, and also helped maintaining the good water quality, nutrient cycling and stabilizing rivers' and lakes' banks. Generally, these conditions were rather favorable for biological processes and fish production.</v>
      </c>
      <c r="C668" s="24" t="str">
        <f>IFERROR(__xludf.DUMMYFUNCTION("""COMPUTED_VALUE"""),"10.3390/w13162195")</f>
        <v>10.3390/w13162195</v>
      </c>
      <c r="D668" s="24" t="str">
        <f>IFERROR(__xludf.DUMMYFUNCTION("""COMPUTED_VALUE"""),"Keck et al")</f>
        <v>Keck et al</v>
      </c>
      <c r="E668" s="24" t="str">
        <f>IFERROR(__xludf.DUMMYFUNCTION("""COMPUTED_VALUE"""),"WOS:000689918400001")</f>
        <v>WOS:000689918400001</v>
      </c>
      <c r="F668" s="24" t="str">
        <f>IFERROR(__xludf.DUMMYFUNCTION("""COMPUTED_VALUE"""),"[""ELIGIBLE""]")</f>
        <v>["ELIGIBLE"]</v>
      </c>
    </row>
    <row r="669">
      <c r="A669" s="24" t="str">
        <f>IFERROR(__xludf.DUMMYFUNCTION("""COMPUTED_VALUE"""),"Ecological restoration following the local eradication of an invasive ant in northern Australia")</f>
        <v>Ecological restoration following the local eradication of an invasive ant in northern Australia</v>
      </c>
      <c r="B669" s="24" t="str">
        <f>IFERROR(__xludf.DUMMYFUNCTION("""COMPUTED_VALUE"""),"There have been many management programs for invasive ants, yet few have achieved eradication. Of those that were successful, none have documented the subsequent recovery of the affected ecological system. Here I document the ecological impact and eradica"&amp;"tion of a 5 ha infestation of the African big headed ant Pheidole megacephala from an intact habitat in northern Australia, as well as the subsequent recovery of the native ant fauna. Pre-treatment, the impact of P. megacephala on the native ant fauna was"&amp;" clear. Native ant abundance and species richness were almost always significantly lower in infested compared to uninfested samples. Multivariate analysis statistically separated sample grids from infested and uninfested areas. Following treatment, no P. "&amp;"megacephala individuals were detected for 2 years and it was therefore declared eradicated. Ecological recovery post treatment was also clear. Twenty-one months post-treatment, native ant abundance and species richness within the treated (infested) area w"&amp;"ere always almost always significantly greater than in the pre-treatment sample, corresponding with no change in the control area (uninfested area). Total species richness from plots in the treated area was identical to that from plots in the control area"&amp;". Multivariate analysis showed no statistical separation of the treated or control plots. Species richness within lure plots displayed no trend within the treated area relative to the treatment boundary or locations away from the treated area. This projec"&amp;"t demonstrates the feasibility of eradicating this ant, and that ecological systems are capable of recovering following removal of an exotic invader.")</f>
        <v>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v>
      </c>
      <c r="C669" s="24" t="str">
        <f>IFERROR(__xludf.DUMMYFUNCTION("""COMPUTED_VALUE"""),"10.1007/s10530-009-9516-2")</f>
        <v>10.1007/s10530-009-9516-2</v>
      </c>
      <c r="D669" s="24" t="str">
        <f>IFERROR(__xludf.DUMMYFUNCTION("""COMPUTED_VALUE"""),"Keck et al")</f>
        <v>Keck et al</v>
      </c>
      <c r="E669" s="24" t="str">
        <f>IFERROR(__xludf.DUMMYFUNCTION("""COMPUTED_VALUE"""),"WOS:000275634800023")</f>
        <v>WOS:000275634800023</v>
      </c>
      <c r="F669" s="24" t="str">
        <f>IFERROR(__xludf.DUMMYFUNCTION("""COMPUTED_VALUE"""),"[""ELIGIBLE""]")</f>
        <v>["ELIGIBLE"]</v>
      </c>
    </row>
    <row r="670">
      <c r="A670" s="24" t="str">
        <f>IFERROR(__xludf.DUMMYFUNCTION("""COMPUTED_VALUE"""),"Fishpond dams affect leaf-litter processing and associated detritivore communities along intermittent low-order streams")</f>
        <v>Fishpond dams affect leaf-litter processing and associated detritivore communities along intermittent low-order streams</v>
      </c>
      <c r="B670" s="24" t="str">
        <f>IFERROR(__xludf.DUMMYFUNCTION("""COMPUTED_VALUE"""),"Intermittent streams are common and widespread freshwater ecosystems globally. While dams greatly affect the ecology of permanent streams, the extent of their effects on intermittent streams remains largely unknown. The physical and chemical alterations i"&amp;"nduced by dams could have particularly strong impacts on the functioning of intermittent low-order streams, especially due to the limitations they place on colonisation of aquatic biota from downstream permanent waters. Leaf-litter breakdown (LLB) and ass"&amp;"ociated communities (microbes and shredders) were studied to investigate the potential ecological continuum rupture caused by fishpond dams along the longitudinal gradient of intermittent streams. Three to four sites were investigated along three referenc"&amp;"e (no dam) and three impacted (with a fishpond dam) first-order intermittent low-order streams. LLB increased along the longitudinal gradient in all six streams regardless of the presence of dams (from 1.5 to 8.4 fold over &lt;1.5km distance). This underscor"&amp;"es the great variability of low-order stream functioning even at fine scales. Such upstream to downstream gradients need to be taken into account before investigating the effect of any perturbation using LLB as a functional indicator. Fishponds dams tende"&amp;"d to increase LLB downstream, and altered the downstream microbial communities (increase in fungal densities) and shredder assemblages (increase in Gammaridae). The effects of fishpond dams on intermittent stream functioning appeared to be most significan"&amp;"t when they were associated with changes in hydrology, that is, when fishponds resulted in permanent flows downstream of dams. Our findings suggest that better management of fishpond dams in order to limit hydrological modifications downstream (for instan"&amp;"ce, by preventing leaks from the dam) could reduce their impact on ecosystem functioning in intermittent streams.")</f>
        <v>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v>
      </c>
      <c r="C670" s="24" t="str">
        <f>IFERROR(__xludf.DUMMYFUNCTION("""COMPUTED_VALUE"""),"10.1111/fwb.12984")</f>
        <v>10.1111/fwb.12984</v>
      </c>
      <c r="D670" s="24" t="str">
        <f>IFERROR(__xludf.DUMMYFUNCTION("""COMPUTED_VALUE"""),"Keck et al")</f>
        <v>Keck et al</v>
      </c>
      <c r="E670" s="24" t="str">
        <f>IFERROR(__xludf.DUMMYFUNCTION("""COMPUTED_VALUE"""),"WOS:000410094000007")</f>
        <v>WOS:000410094000007</v>
      </c>
      <c r="F670" s="24" t="str">
        <f>IFERROR(__xludf.DUMMYFUNCTION("""COMPUTED_VALUE"""),"[""ELIGIBLE""]")</f>
        <v>["ELIGIBLE"]</v>
      </c>
    </row>
    <row r="671">
      <c r="A671" s="24" t="str">
        <f>IFERROR(__xludf.DUMMYFUNCTION("""COMPUTED_VALUE"""),"Effects of Unplanned Development on Marine Biodiversity: A Lesson from Albania (Central Mediterranean Sea)")</f>
        <v>Effects of Unplanned Development on Marine Biodiversity: A Lesson from Albania (Central Mediterranean Sea)</v>
      </c>
      <c r="B671" s="24" t="str">
        <f>IFERROR(__xludf.DUMMYFUNCTION("""COMPUTED_VALUE"""),"Human activities determine dramatic changes in natural systems, especially in marine coastal areas. This is especially true when economic development is fast and scarcely regulated, representing a serious threat to biodiversity. Besides the obvious predic"&amp;"tion of impairment of natural systems, forecasting the effects of human activities can be particularly challenging since they affect species and assemblages, the patterns of distribution and extent of which are often totally unknown. In Vlora Bay, we show"&amp;" through an interdisciplinary project that 15 y of coastal development can result in a loss of over 50% of seagrass cover and a decline in macroalgae cover such as Cystoseira spp., which are structurally and functionally crucial habitats that provide esse"&amp;"ntial goods and services for local human communities and recreation. Furthermore, illegal fishery practices (date mussel fishery, trawling, and use of explosives) contribute to depict a scenario of fragmentation and loss of shallow species-rich assemblage"&amp;"s. Large-scale changes in sedimentation patterns have been recognised as one of the main drivers of those changes. This model of development, associated with nearly irreversible environmental consequences, as observed in Albania, can serve as an example f"&amp;"or many other Mediterranean areas, showing a combination of high biodiversity and low protection regime. We discuss the urgent need for ecosystem-based management to ensure sustainable development while conserving and managing natural biodiversity and res"&amp;"ources.")</f>
        <v>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v>
      </c>
      <c r="C671" s="24" t="str">
        <f>IFERROR(__xludf.DUMMYFUNCTION("""COMPUTED_VALUE"""),"10.2112/SI_58_10")</f>
        <v>10.2112/SI_58_10</v>
      </c>
      <c r="D671" s="24" t="str">
        <f>IFERROR(__xludf.DUMMYFUNCTION("""COMPUTED_VALUE"""),"Keck et al")</f>
        <v>Keck et al</v>
      </c>
      <c r="E671" s="24" t="str">
        <f>IFERROR(__xludf.DUMMYFUNCTION("""COMPUTED_VALUE"""),"WOS:000286957500010")</f>
        <v>WOS:000286957500010</v>
      </c>
      <c r="F671" s="24" t="str">
        <f>IFERROR(__xludf.DUMMYFUNCTION("""COMPUTED_VALUE"""),"[""ELIGIBLE""]")</f>
        <v>["ELIGIBLE"]</v>
      </c>
    </row>
    <row r="672">
      <c r="A672" s="24" t="str">
        <f>IFERROR(__xludf.DUMMYFUNCTION("""COMPUTED_VALUE"""),"Landscape indicators and thresholds of stream ecological impairment in an intensively mined Appalachian watershed")</f>
        <v>Landscape indicators and thresholds of stream ecological impairment in an intensively mined Appalachian watershed</v>
      </c>
      <c r="B672" s="24" t="str">
        <f>IFERROR(__xludf.DUMMYFUNCTION("""COMPUTED_VALUE"""),"Coal-mine development is occurring at a rapid rate in the central Appalachians, but few tools exist to assess the consequences of cumulative effects of mining to downstream aquatic resources. We constructed and applied an index of mining intensity (MI) to"&amp;" the Lower Cheat River basin, northern West Virginia. Our objectives were to: 1) determine if the MI could be used to predict stream-water quality and biological conditions, 2) quantify the extent to which geology and the geographic position of mines modu"&amp;"late the effects of mining on in-stream conditions, and 3) identify thresholds of MI that produce quantifiable changes to benthic macroinvertebrate communities. We quantified water chemistry, habitat quality, and benthic macroinvertebrate communities from"&amp;" May 2002 to May 2003 in 39 stream segments randomly distributed across a range of MI, coal geology, elevation, and watershed area. We sampled benthic macroinvertebrates at an additional 41 validation sites in May 2002. The MI was positively correlated wi"&amp;"th dissolved metals (r = 0.65-0.85) and negatively correlated with ecological condition metrics (r = 0.49-0.78), including total richness, Ephemeroptera, Plecoptera, Trichoptera richness, and the West Virginia Stream Condition Index. Coal geology and dist"&amp;"ance from mining had a significant interactive effect on benthic macroinvertebrate responses. Streams draining watersheds with Freeport coal geology had significantly poorer water quality and ecological condition than streams draining watersheds with simi"&amp;"lar MI but with Kittanning coal geology. Mining effects on stream conditions diminished as distance from the nearest mining activities upstream increased to a distance of similar to 10 km. Changepoint analysis provided evidence of threshold effects of min"&amp;"ing on benthic macroinvertebrate communities in Freeport coal watersheds but not in Kittanning coal watersheds. Abrupt reductions in ecological condition occurred at MI values as low as 1 to 5% of maximum intensity, and ecological impairment to streams be"&amp;"came almost certain at MI &gt;18 to 20%. Our results provide evidence of an interactive effect of landuse intensity, underlying geology, and the spatial arrangement of disturbance on the degree of impairment to receiving water bodies. The thresholds we ident"&amp;"ified could be used by water-resource managers to protect and restore stream conditions in actively mined watersheds of the central Appalachian region.")</f>
        <v>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v>
      </c>
      <c r="C672" s="24" t="str">
        <f>IFERROR(__xludf.DUMMYFUNCTION("""COMPUTED_VALUE"""),"10.1899/09-149.1")</f>
        <v>10.1899/09-149.1</v>
      </c>
      <c r="D672" s="24" t="str">
        <f>IFERROR(__xludf.DUMMYFUNCTION("""COMPUTED_VALUE"""),"Keck et al")</f>
        <v>Keck et al</v>
      </c>
      <c r="E672" s="24" t="str">
        <f>IFERROR(__xludf.DUMMYFUNCTION("""COMPUTED_VALUE"""),"WOS:000283891800009")</f>
        <v>WOS:000283891800009</v>
      </c>
      <c r="F672" s="24" t="str">
        <f>IFERROR(__xludf.DUMMYFUNCTION("""COMPUTED_VALUE"""),"[""ELIGIBLE""]")</f>
        <v>["ELIGIBLE"]</v>
      </c>
    </row>
    <row r="673">
      <c r="A673" s="24" t="str">
        <f>IFERROR(__xludf.DUMMYFUNCTION("""COMPUTED_VALUE"""),"Soil Microbial Community and Litter Quality Controls on Decomposition Across a Tropical Forest Disturbance Gradient")</f>
        <v>Soil Microbial Community and Litter Quality Controls on Decomposition Across a Tropical Forest Disturbance Gradient</v>
      </c>
      <c r="B673" s="24" t="str">
        <f>IFERROR(__xludf.DUMMYFUNCTION("""COMPUTED_VALUE"""),"Industrial logging and agricultural expansion are driving rapid transformations of tropical ecosystems, modifying patterns in above-ground plant and below-ground microbial communities. However, the extent to which these changes in biodiversity drive modif"&amp;"ications of ecosystem process rates such as leaf litter decomposition is poorly understood. To determine the relative effects of changes to the chemical quality of litter and shifts in microbial decomposers on leaf litter decomposition rates, we performed"&amp;" a controlled, reciprocal transplant, litter decomposition experiment across a tropical land-use disturbance gradient. Litter mixtures and soils were collected from old growth forest, moderately logged forest, heavily logged forest, and oil palm plantatio"&amp;"n in Sabah, Malaysia, and combined in a fully crossed, factorial microcosm experiment maintained under controlled environmental conditions. We found that whilst litter quality was the most important predictor of litter mass loss, soil origin was also sign"&amp;"ificant, explaining between 5.17 and 15.43% of total variation. Microbial decomposer communities from old growth forest had greater functional breadth relative to those from logged forests and oil palm plantation as all litter types decomposed faster when"&amp;" combined with old growth soil. The most chemically recalcitrant litter (lowest N, highest lignin, lignin:N, and C:N ratio) from moderate logged forest decomposed faster when combined with its home soil (Home-Field Advantage) whilst the most labile litter"&amp;" from oil palm decomposed slowest when combined with its home soil. This was correlated with lower total soil microbial biomass. Taken together, these findings demonstrate that whilst litter quality regulated rates of litter decomposition across the distu"&amp;"rbance gradient, soil microbial decomposer communities were functionally dissimilar between land uses and explained a significant proportion of variation. The impact of disturbance on soil, including microbial community structure, should be considered alo"&amp;"ngside changes to plant communities when assessing effects on crucial ecosystem processes such as decomposition.")</f>
        <v>Industrial logging and agricultural expansion are driving rapid transformations of tropical ecosystems, modifying patterns in above-ground plant and below-ground microbial communities. However, the extent to which these changes in biodiversity drive modifications of ecosystem process rates such as leaf litter decomposition is poorly understood. To determine the relative effects of changes to the chemical quality of litter and shifts in microbial decomposers on leaf litter decomposition rates, we performed a controlled, reciprocal transplant, litter decomposition experiment across a tropical land-use disturbance gradient. Litter mixtures and soils were collected from old growth forest, moderately logged forest, heavily logged forest, and oil palm plantation in Sabah, Malaysia, and combined in a fully crossed, factorial microcosm experiment maintained under controlled environmental conditions. We found that whilst litter quality was the most important predictor of litter mass loss, soil origin was also significant, explaining between 5.17 and 15.43% of total variation. Microbial decomposer communities from old growth forest had greater functional breadth relative to those from logged forests and oil palm plantation as all litter types decomposed faster when combined with old growth soil. The most chemically recalcitrant litter (lowest N, highest lignin, lignin:N, and C:N ratio) from moderate logged forest decomposed faster when combined with its home soil (Home-Field Advantage) whilst the most labile litter from oil palm decomposed slowest when combined with its home soil. This was correlated with lower total soil microbial biomass. Taken together, these findings demonstrate that whilst litter quality regulated rates of litter decomposition across the disturbance gradient, soil microbial decomposer communities were functionally dissimilar between land uses and explained a significant proportion of variation. The impact of disturbance on soil, including microbial community structure, should be considered alongside changes to plant communities when assessing effects on crucial ecosystem processes such as decomposition.</v>
      </c>
      <c r="C673" s="24" t="str">
        <f>IFERROR(__xludf.DUMMYFUNCTION("""COMPUTED_VALUE"""),"10.3389/ffgc.2020.00081")</f>
        <v>10.3389/ffgc.2020.00081</v>
      </c>
      <c r="D673" s="24" t="str">
        <f>IFERROR(__xludf.DUMMYFUNCTION("""COMPUTED_VALUE"""),"Keck et al")</f>
        <v>Keck et al</v>
      </c>
      <c r="E673" s="24" t="str">
        <f>IFERROR(__xludf.DUMMYFUNCTION("""COMPUTED_VALUE"""),"WOS:000556782800001")</f>
        <v>WOS:000556782800001</v>
      </c>
      <c r="F673" s="24" t="str">
        <f>IFERROR(__xludf.DUMMYFUNCTION("""COMPUTED_VALUE"""),"[""ELIGIBLE""]")</f>
        <v>["ELIGIBLE"]</v>
      </c>
    </row>
    <row r="674">
      <c r="A674" s="24" t="str">
        <f>IFERROR(__xludf.DUMMYFUNCTION("""COMPUTED_VALUE"""),"Tadpoles Inhabiting Natural and Anthropogenic Temporary Water Bodies: Which Are the Environmental Factors that Affect the Diversity of the Assemblages?")</f>
        <v>Tadpoles Inhabiting Natural and Anthropogenic Temporary Water Bodies: Which Are the Environmental Factors that Affect the Diversity of the Assemblages?</v>
      </c>
      <c r="B674" s="24" t="str">
        <f>IFERROR(__xludf.DUMMYFUNCTION("""COMPUTED_VALUE"""),"The study of tadpole assemblages allows inferring habitat availability and using their occupation as a means of proxy for the effective reproduction of the species, contributing to complementary information for the study of their adult forms. Environmenta"&amp;"l variables, represented by abiotic variables, vegetation structure, matrix management, and landscape elements, affect species having reproductive modes associated with oviposition and development in bodies of water. In the Orinoco region, most amphibians"&amp;" have complex life cycles and deposit their eggs in highly dynamic lentic bodies of water. Therefore, it is important to know how larval assemblages change over short periods of water accumulation and their relationship with environmental variables. Field"&amp;"work was conducted during 9 weeks of larval sampling, from the beginning of the rainy season. We evaluate changes in anuran assemblages associated with water accumulation in five temporary water bodies of anthropogenic (road or pasture) and natural (savan"&amp;"na or gallery forest) origin. Twenty environmental variables were evaluated and measured in the center of each water body. Of these, nine landscape variables were measured only once during the study. The other eleven variables, representing management pra"&amp;"ctices, physicochemical and structural characteristics of the water bodies, were measured weekly during the 3 months of sampling. We explored differences in the structure and diversity of larval-stage anuran assemblages using statistical tests suitable fo"&amp;"r small sample sizes (i.e., permutational multivariate analysis of variance PERMANOVA and the distance-based linear modeling DistLM). Of the 14 species found, two species had remarkedly high abundances from which Rhinella humboldti (19% of the total tadpo"&amp;"le abundance) was a generalist inhabiting the natural and anthropogenic water bodies, while Leptodactylus insularum (18% of the total tadpole abundance) was a specialist at a natural pond in the savanna. The natural water bodies contained the highest numb"&amp;"er of species (between 10 and 12) and a total abundance of larvae (between 847 and 485 individuals). In contrast, the anthropogenic water body tracks generated by tractors were only occupied by two species with 50 individuals in total, while the water bod"&amp;"y generated by the trampling of cattle in pastures had three species with 474 individuals. These three species that inhabited the anthropogenic puddles were also found in the natural ponds and none of the eight species of hylids inhabited the puddles. In "&amp;"each field trip, all the tadpoles were collected from the sampled bodies of water. However, a week later, we found that each of the water bodies had been recolonized by four species (Leptodactylus fuscus, Leptodactylus fragilis, Elachistocleis ovalis, and"&amp;" R. humbolti). The variables with the highest explanatory power on the variation of anuran assemblage structure throughout all the water bodies were height of plants, number of cattle, distance to the nearest native forest edge, distance to an anthropic l"&amp;"entic body of water, distance to a natural lentic body of water, and pH. The bodies of water immersed in the natural cover were more diverse and had a greater degree of spatial and temporal species turnover. Our study calls for the importance of understan"&amp;"ding the turnover of larval stage anurans over short periods, associated with water accumulation, in highly dynamic systems such as natural ponds and anthropogenic puddles. &amp; nbsp;The importance of species traits and local processes is also highlighted, f"&amp;"rom environmental variables to human management activities, in the conservation of amphibian assemblages.")</f>
        <v>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v>
      </c>
      <c r="C674" s="24" t="str">
        <f>IFERROR(__xludf.DUMMYFUNCTION("""COMPUTED_VALUE"""),"10.3389/fenvs.2021.667448")</f>
        <v>10.3389/fenvs.2021.667448</v>
      </c>
      <c r="D674" s="24" t="str">
        <f>IFERROR(__xludf.DUMMYFUNCTION("""COMPUTED_VALUE"""),"Keck et al")</f>
        <v>Keck et al</v>
      </c>
      <c r="E674" s="24" t="str">
        <f>IFERROR(__xludf.DUMMYFUNCTION("""COMPUTED_VALUE"""),"WOS:000717564900001")</f>
        <v>WOS:000717564900001</v>
      </c>
      <c r="F674" s="24" t="str">
        <f>IFERROR(__xludf.DUMMYFUNCTION("""COMPUTED_VALUE"""),"[""ELIGIBLE""]")</f>
        <v>["ELIGIBLE"]</v>
      </c>
    </row>
    <row r="675">
      <c r="A675" s="24" t="str">
        <f>IFERROR(__xludf.DUMMYFUNCTION("""COMPUTED_VALUE"""),"N and P fertilization enhanced carbon decomposition function by shifting microbes towards an r-selected community in meadow grassland soils")</f>
        <v>N and P fertilization enhanced carbon decomposition function by shifting microbes towards an r-selected community in meadow grassland soils</v>
      </c>
      <c r="B675" s="24" t="str">
        <f>IFERROR(__xludf.DUMMYFUNCTION("""COMPUTED_VALUE"""),"Applications of mineral nitrogen (N) and phosphorus (P) fertilizer to grasslands become more frequently in recent decade, aiming to improve the grass production. Nonetheless, the ecological impacts of N and P fertilizer on ecosystem components, especially"&amp;" the belowground soil microbes, are not well acknowledged in grasslands ecosystem. We investigated the responses of plant traits, soil properties, bacterial community composition and potential functions to 5-year N and P fertilization in a mid-high latitu"&amp;"de meadow grassland in Inner Mongolia, China. Bacterial species richness and diversity significantly (P &lt; 0.05) decreased under combined N and P fertilization treatment. The overall bacterial community composition was significantly (PERMANOVA, P &lt; 0.05) c"&amp;"hanged by N and P fertilization. In specific, N and P fertilization increased the relative abundance of the nominated r-strategists (copiotrophs), such as Actiobacteria, Candidatus Saccharibacteria, and Firmicutes; whereas reduced the relative abundance o"&amp;"f the putative K-strategists (oligotrophs), including Acidobacteria, Gammaproteobacteria, and Deltaproteobacteria. As a consequence, the ratio of r-strategists to K strategists (r/K ratio) increased under nutrients addition. The shifts towards an r-select"&amp;"ed community were further verified by the increased averaged rRNA operon copy number (rrn) of bacterial communigy. Soil N cycling process was inhibited by N fertilization, whereas soil C metabolizing function was accelerated by N and P fertilization. It i"&amp;"mplies that application of N and P fertilization will increase the risk of C loss in this region. The present study deepens our knowledge on the impacts of N and P fertilization on soil biotic and abiotic parameters in an organic carbon-rich meadow grassl"&amp;"and ecosystem. It provides a reference for designing a sustainable grassland management that can balance the grass yield and environment protection.")</f>
        <v>Applications of mineral nitrogen (N) and phosphorus (P) fertilizer to grasslands become more frequently in recent decade, aiming to improve the grass production. Nonetheless, the ecological impacts of N and P fertilizer on ecosystem components, especially the belowground soil microbes, are not well acknowledged in grasslands ecosystem. We investigated the responses of plant traits, soil properties, bacterial community composition and potential functions to 5-year N and P fertilization in a mid-high latitude meadow grassland in Inner Mongolia, China. Bacterial species richness and diversity significantly (P &lt; 0.05) decreased under combined N and P fertilization treatment. The overall bacterial community composition was significantly (PERMANOVA, P &lt; 0.05) changed by N and P fertilization. In specific, N and P fertilization increased the relative abundance of the nominated r-strategists (copiotrophs), such as Actiobacteria, Candidatus Saccharibacteria, and Firmicutes; whereas reduced the relative abundance of the putative K-strategists (oligotrophs), including Acidobacteria, Gammaproteobacteria, and Deltaproteobacteria. As a consequence, the ratio of r-strategists to K strategists (r/K ratio) increased under nutrients addition. The shifts towards an r-selected community were further verified by the increased averaged rRNA operon copy number (rrn) of bacterial communigy. Soil N cycling process was inhibited by N fertilization, whereas soil C metabolizing function was accelerated by N and P fertilization. It implies that application of N and P fertilization will increase the risk of C loss in this region. The present study deepens our knowledge on the impacts of N and P fertilization on soil biotic and abiotic parameters in an organic carbon-rich meadow grassland ecosystem. It provides a reference for designing a sustainable grassland management that can balance the grass yield and environment protection.</v>
      </c>
      <c r="C675" s="24" t="str">
        <f>IFERROR(__xludf.DUMMYFUNCTION("""COMPUTED_VALUE"""),"10.1016/j.ecolind.2021.108306")</f>
        <v>10.1016/j.ecolind.2021.108306</v>
      </c>
      <c r="D675" s="24" t="str">
        <f>IFERROR(__xludf.DUMMYFUNCTION("""COMPUTED_VALUE"""),"Keck et al")</f>
        <v>Keck et al</v>
      </c>
      <c r="E675" s="24" t="str">
        <f>IFERROR(__xludf.DUMMYFUNCTION("""COMPUTED_VALUE"""),"WOS:000710621100009")</f>
        <v>WOS:000710621100009</v>
      </c>
      <c r="F675" s="24" t="str">
        <f>IFERROR(__xludf.DUMMYFUNCTION("""COMPUTED_VALUE"""),"[""ELIGIBLE""]")</f>
        <v>["ELIGIBLE"]</v>
      </c>
    </row>
    <row r="676">
      <c r="A676" s="24" t="str">
        <f>IFERROR(__xludf.DUMMYFUNCTION("""COMPUTED_VALUE"""),"Reducing the deleterious effects of logging on Ephemeroptera communities through reduced impact management")</f>
        <v>Reducing the deleterious effects of logging on Ephemeroptera communities through reduced impact management</v>
      </c>
      <c r="B676" s="24" t="str">
        <f>IFERROR(__xludf.DUMMYFUNCTION("""COMPUTED_VALUE"""),"Reduced impact logging has emerged as one alternative to reduce the effects of timber harvesting. However, the effects of this method on aquatic ecosystems still need to be tested. We studied the effects of logging (reduced-impact logging-RIL and conventi"&amp;"onal logging methods-CL) on the chemical water quality and physical habitat conditions of streams in eastern Amazonia, as well as on Ephemeroptera diversity. Were analyzed control streams (without logging-CONTROL), streams with RIL and streams with CL, lo"&amp;"cated in the Capim River Basin. Specimens were collected using a dipnet, following a standard protocol and abiotic data were measured with a multiparameter probe. Conventional logging in proximity to streams increased the conductivity and pH of the water,"&amp;" reduced dissolved oxygen and canopy cover of the stream's channel, altering the composition of Ephemeroptera when compared with CONTROL and RIL areas. We verified that specialist Ephemeroptera species within control environments were replaced by species "&amp;"more tolerant to changes in the natural habitat conditions. In contrast, there was species similarity between RIL and CONTROL streams.")</f>
        <v>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v>
      </c>
      <c r="C676" s="24" t="str">
        <f>IFERROR(__xludf.DUMMYFUNCTION("""COMPUTED_VALUE"""),"10.1007/s10750-018-3705-x")</f>
        <v>10.1007/s10750-018-3705-x</v>
      </c>
      <c r="D676" s="24" t="str">
        <f>IFERROR(__xludf.DUMMYFUNCTION("""COMPUTED_VALUE"""),"Keck et al")</f>
        <v>Keck et al</v>
      </c>
      <c r="E676" s="24" t="str">
        <f>IFERROR(__xludf.DUMMYFUNCTION("""COMPUTED_VALUE"""),"WOS:000444146300014")</f>
        <v>WOS:000444146300014</v>
      </c>
      <c r="F676" s="24" t="str">
        <f>IFERROR(__xludf.DUMMYFUNCTION("""COMPUTED_VALUE"""),"[""ELIGIBLE""]")</f>
        <v>["ELIGIBLE"]</v>
      </c>
    </row>
    <row r="677">
      <c r="A677" s="24" t="str">
        <f>IFERROR(__xludf.DUMMYFUNCTION("""COMPUTED_VALUE"""),"Effects of the antibiotic ciprofloxacin on the bacterial community structure and degradation of pyrene in marine sediment")</f>
        <v>Effects of the antibiotic ciprofloxacin on the bacterial community structure and degradation of pyrene in marine sediment</v>
      </c>
      <c r="B677" s="24" t="str">
        <f>IFERROR(__xludf.DUMMYFUNCTION("""COMPUTED_VALUE"""),"The ecological consequences of antibiotics in the aquatic environment have been an issue of concern over the past years due to the potential risk for negative effects on indigenous microorganisms. Microorganisms provide important ecosystem services, such "&amp;"as nutrient recycling, organic matter mineralization and degradation of pollutants. In this study, effects of exposure to the antibiotic ciprofloxacin on the bacterial diversity and pollutant degradation in natural marine sediments were studied using mole"&amp;"cular methods (T-RFLP) in combination with radiorespirometry. In a microcosm experiment, sediment spiked with C-14-labelled pyrene was exposed to five concentrations of ciprofloxacin (0, 20, 200, 1000 and 2000 mu g L-1) in a single dose to the overlying w"&amp;"ater. The production of (CO2)-C-14 (i.e. complete mineralization Of pyrene) was measured during 11 weeks. Sediment samples for bacterial community structure analysis were taken after 7 weeks. Results showed a significant dose-dependent inhibition of pyren"&amp;"e mineralization measured as the total (CO2)-C-14 production. The nominal EC50 was calculated to 560 mu g L-1, corresponding to 0.4 mu g/kg d.w. sediment. The lowest effect concentration on the bacterial community structure was 200 mu g L-1, which corresp"&amp;"onds to 0.1 mu g/kg d.w. sediment. Our results show that antibiotic pollution can be a potential threat to both bacterial diversity and an essential ecosystem service they perform in marine sediment. (C) 2008 Elsevier B.V. All rights reserved.")</f>
        <v>The ecological consequences of antibiotics in the aquatic environment have been an issue of concern over the past years due to the potential risk for negative effects on indigenous microorganisms. Microorganisms provide important ecosystem services, such as nutrient recycling, organic matter mineralization and degradation of pollutants. In this study, effects of exposure to the antibiotic ciprofloxacin on the bacterial diversity and pollutant degradation in natural marine sediments were studied using molecular methods (T-RFLP) in combination with radiorespirometry. In a microcosm experiment, sediment spiked with C-14-labelled pyrene was exposed to five concentrations of ciprofloxacin (0, 20, 200, 1000 and 2000 mu g L-1) in a single dose to the overlying water. The production of (CO2)-C-14 (i.e. complete mineralization Of pyrene) was measured during 11 weeks. Sediment samples for bacterial community structure analysis were taken after 7 weeks. Results showed a significant dose-dependent inhibition of pyrene mineralization measured as the total (CO2)-C-14 production. The nominal EC50 was calculated to 560 mu g L-1, corresponding to 0.4 mu g/kg d.w. sediment. The lowest effect concentration on the bacterial community structure was 200 mu g L-1, which corresponds to 0.1 mu g/kg d.w. sediment. Our results show that antibiotic pollution can be a potential threat to both bacterial diversity and an essential ecosystem service they perform in marine sediment. (C) 2008 Elsevier B.V. All rights reserved.</v>
      </c>
      <c r="C677" s="24" t="str">
        <f>IFERROR(__xludf.DUMMYFUNCTION("""COMPUTED_VALUE"""),"10.1016/j.aquatox.2008.09.002")</f>
        <v>10.1016/j.aquatox.2008.09.002</v>
      </c>
      <c r="D677" s="24" t="str">
        <f>IFERROR(__xludf.DUMMYFUNCTION("""COMPUTED_VALUE"""),"Keck et al")</f>
        <v>Keck et al</v>
      </c>
      <c r="E677" s="24" t="str">
        <f>IFERROR(__xludf.DUMMYFUNCTION("""COMPUTED_VALUE"""),"WOS:000261776000008")</f>
        <v>WOS:000261776000008</v>
      </c>
      <c r="F677" s="24" t="str">
        <f>IFERROR(__xludf.DUMMYFUNCTION("""COMPUTED_VALUE"""),"[""ELIGIBLE""]")</f>
        <v>["ELIGIBLE"]</v>
      </c>
    </row>
    <row r="678">
      <c r="A678" s="24" t="str">
        <f>IFERROR(__xludf.DUMMYFUNCTION("""COMPUTED_VALUE"""),"Prokaryotic and microeukaryotic communities in an experimental rice plantation under long-term use of pesticides")</f>
        <v>Prokaryotic and microeukaryotic communities in an experimental rice plantation under long-term use of pesticides</v>
      </c>
      <c r="B678" s="24" t="str">
        <f>IFERROR(__xludf.DUMMYFUNCTION("""COMPUTED_VALUE"""),"Conventional agricultural practices, such as rice plantations, often contaminate the soil and water with xenobiotics. Here we evaluated the microbiota composition in experimental rice planting with a record of prolonged pesticide use, using 16S and 18S rR"&amp;"NA amplicon sequencing. We investigated four components of a complete agricultural system: affluent water (A), rice rhizosphere soil (R), sediment from a storage pond (S), and effluent (E) water (drained from the storage pond). Despite the short spatial d"&amp;"istance between our sites, the beta diversity analysis of bacterial communities showed two well-defined clusters, separating the water and sediment/rhizosphere samples; rhizosphere and sediment were richer while the effluent was less diverse. Overall, the"&amp;" site with the highest evenness was the rhizosphere. Unlike the bacterial communities, Shannon diversity of microeukaryotes was significantly different between A and E. The effluent presented the lowest values for all ecological indexes tested and differe"&amp;"d significantly from all sampled sites, except on evenness. When mapped the metabolic pathways, genes corresponding to the degradation of aromatic compounds, including genes related to pesticide degradation, were identified. The most abundant genes were r"&amp;"elated to the degradation of benzoate. Our results indicate that the effluent is a selective environment for fungi. Interestingly, the overall fungal diversity was higher in the affluent, the water that reached the system before pesticide application, and"&amp;" where the prokaryotic diversity was the lowest. The affluent and effluent seem to have the lowest environmental quality, given the presence of bacteria genera previously recorded in environments with high concentrations of pesticide residues. The microbi"&amp;"ota, environmental characteristics, and pesticide residues should be further studied and try to elucidate the potential for pesticide degradation by natural consortia. Thus, extensive comparative studies are needed to clarify the microbial composition, di"&amp;"versity, and functioning of rice cultivation environments, and how pesticide use changes may reflect differences in microbial structure.")</f>
        <v>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v>
      </c>
      <c r="C678" s="24" t="str">
        <f>IFERROR(__xludf.DUMMYFUNCTION("""COMPUTED_VALUE"""),"10.1007/s11356-020-10614-5")</f>
        <v>10.1007/s11356-020-10614-5</v>
      </c>
      <c r="D678" s="24" t="str">
        <f>IFERROR(__xludf.DUMMYFUNCTION("""COMPUTED_VALUE"""),"Keck et al")</f>
        <v>Keck et al</v>
      </c>
      <c r="E678" s="24" t="str">
        <f>IFERROR(__xludf.DUMMYFUNCTION("""COMPUTED_VALUE"""),"WOS:000565841700006")</f>
        <v>WOS:000565841700006</v>
      </c>
      <c r="F678" s="24" t="str">
        <f>IFERROR(__xludf.DUMMYFUNCTION("""COMPUTED_VALUE"""),"[""ELIGIBLE""]")</f>
        <v>["ELIGIBLE"]</v>
      </c>
    </row>
    <row r="679">
      <c r="A679" s="24" t="str">
        <f>IFERROR(__xludf.DUMMYFUNCTION("""COMPUTED_VALUE"""),"Facilitative effects of introduced Pacific oysters on native macroalgae are limited by a secondary invader, the seaweed Sargassum muticum")</f>
        <v>Facilitative effects of introduced Pacific oysters on native macroalgae are limited by a secondary invader, the seaweed Sargassum muticum</v>
      </c>
      <c r="B679" s="24" t="str">
        <f>IFERROR(__xludf.DUMMYFUNCTION("""COMPUTED_VALUE"""),"Introduced habitat-providing organisms such as epibenthic bivalves may facilitate the invasion and expansion of further non-native species which may modify the effects of the primary invader on the native system. In the sedimentary intertidal Wadden Sea ("&amp;"south-eastern North Sea) introduced Pacific oysters (Crassostrea gigas) have overgrown native blue mussel beds (Mytilus edulis). These oyster beds are now providing the major attachment substratum for macroalgae. Recently, oysters have expanded their dist"&amp;"ribution into the shallow subtidal zone of the Wadden Sea, and there support a rich associated species community including the Japanese seaweed Sargassum muticum, which has been presumably introduced together with the oysters. With a block designed field "&amp;"experiment, we explored the effects of S. muticum on the associated community of soft-bottom C gigas beds in the shallow subtidal. Replicated oyster plots of 1 m(2) were arranged with a density of 0, 7, 15 or 45 S. muticum m(-2), respectively. We found no"&amp;" effects of different S. muticum densities on associated epi- and endobenthic community compositions associated to the oyster plots. However, the overall coverage of sessile organisms settling on the oyster shells was significantly reduced at high S. muti"&amp;"cum densities. The occurrence of abundant native macro-algal species such as Polysiphonia nigrescens, Antithamnion plumula and Elachista fucicola decreased with increasing S. muticum densities. Sessile invertebrates, by contrast, were only marginally affe"&amp;"cted and we found no effects of S. muticum canopy on diversity and abundance of endofauna organisms. We conclude that increasing densities of S. muticum on C gigas beds in the shallow subtidal zone of the Wadden Sea limit the occurrence of native macroalg"&amp;"ae which otherwise would benefit from the additional hard substratum provided by the oysters. Thus, a secondary invader may abolish the effects of the primary invader for native species by occupying the new formed niche. (C) 2009 Elsevier B.V. All rights "&amp;"reserved.")</f>
        <v>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v>
      </c>
      <c r="C679" s="24" t="str">
        <f>IFERROR(__xludf.DUMMYFUNCTION("""COMPUTED_VALUE"""),"10.1016/j.seares.2009.11.002")</f>
        <v>10.1016/j.seares.2009.11.002</v>
      </c>
      <c r="D679" s="24" t="str">
        <f>IFERROR(__xludf.DUMMYFUNCTION("""COMPUTED_VALUE"""),"Keck et al")</f>
        <v>Keck et al</v>
      </c>
      <c r="E679" s="24" t="str">
        <f>IFERROR(__xludf.DUMMYFUNCTION("""COMPUTED_VALUE"""),"WOS:000275570500005")</f>
        <v>WOS:000275570500005</v>
      </c>
      <c r="F679" s="24" t="str">
        <f>IFERROR(__xludf.DUMMYFUNCTION("""COMPUTED_VALUE"""),"[""ELIGIBLE""]")</f>
        <v>["ELIGIBLE"]</v>
      </c>
    </row>
    <row r="680">
      <c r="A680" s="24" t="str">
        <f>IFERROR(__xludf.DUMMYFUNCTION("""COMPUTED_VALUE"""),"Impact of sewage pollution on the structure and functioning of a rocky shore benthic community")</f>
        <v>Impact of sewage pollution on the structure and functioning of a rocky shore benthic community</v>
      </c>
      <c r="B680" s="24" t="str">
        <f>IFERROR(__xludf.DUMMYFUNCTION("""COMPUTED_VALUE"""),"The secondary production of rocky shore macroinvertebrate assemblages impacted through sewage discharge was assessed, taking into account the trends of production among dominant species and feeding guilds. The present study was conducted on the Peniche pe"&amp;"ninsula (central-western Portuguese coast, temperate region), in three areas: one area near a sewage discharge and two undisturbed reference areas. Within each area, three intertidal zones were monitored - littoral fringe, eulittoral and sublittoral fring"&amp;"e - by taking seasonal samples during one year. The empirical model of Cusson and Bourget (2005) was used to evaluate secondary production. In the littoral fringe, no differences in the production values were found between impacted and reference areas. In"&amp;" the eulittoral, sewage discharge seemed to affect the natural competition between patellidae and barnacles by favouring suspension feeders (barnacles), presumably due to higher food resources near the sewage. In the sublittoral fringe, near the sewage di"&amp;"scharge, an increase in the production values of tolerant species was observed to the detriment of the sensitive species, with higher production levels in the reference areas. Overall, secondary production was higher in the communities near the sewage aff"&amp;"ected areas, but this increase was mostly due to the production of tolerant species. The present study showed that the incorporation of secondary production in the biological assessment provided further insight into the health of the ecosystem, thus being"&amp;" an important tool for understanding differences in the functioning of the ecosystem.")</f>
        <v>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v>
      </c>
      <c r="C680" s="24" t="str">
        <f>IFERROR(__xludf.DUMMYFUNCTION("""COMPUTED_VALUE"""),"10.1071/MF13190")</f>
        <v>10.1071/MF13190</v>
      </c>
      <c r="D680" s="24" t="str">
        <f>IFERROR(__xludf.DUMMYFUNCTION("""COMPUTED_VALUE"""),"Keck et al")</f>
        <v>Keck et al</v>
      </c>
      <c r="E680" s="24" t="str">
        <f>IFERROR(__xludf.DUMMYFUNCTION("""COMPUTED_VALUE"""),"WOS:000344380200009")</f>
        <v>WOS:000344380200009</v>
      </c>
      <c r="F680" s="24" t="str">
        <f>IFERROR(__xludf.DUMMYFUNCTION("""COMPUTED_VALUE"""),"[""ELIGIBLE""]")</f>
        <v>["ELIGIBLE"]</v>
      </c>
    </row>
    <row r="681">
      <c r="A681" s="24" t="str">
        <f>IFERROR(__xludf.DUMMYFUNCTION("""COMPUTED_VALUE"""),"Ecological effects of soil properties and metal concentrations on the composition and diversity of microbial communities associated with land use patterns in an electronic waste recycling region")</f>
        <v>Ecological effects of soil properties and metal concentrations on the composition and diversity of microbial communities associated with land use patterns in an electronic waste recycling region</v>
      </c>
      <c r="B681" s="24" t="str">
        <f>IFERROR(__xludf.DUMMYFUNCTION("""COMPUTED_VALUE"""),"Soil microbes play vital roles in ecosystem functions, and soil microbial communities may be strongly structured by land use patterns associated with electronic waste (e-waste) recycling activities, which can increase the heavy metal concentration in soil"&amp;"s. In this study, a suite of soils from five land use types ( paddy field, vegetable field, dry field, forest field, and e-waste recycling site) were collected in Longtang Town, Guangdong Province, South China. Soil physicochemical properties and heavy me"&amp;"tal concentrations were measured, and the indigenous microbial assemblages were profiled using 16S rRNA high-throughput sequencing and clone library analyses. The results showed that mercury concentration was positively correlated with both Faith's PD and"&amp;" Chao1 estimates, suggesting that the soil microbial alpha diversity was predominantly regulated by mercury. In addition, redundancy analysis indicated that available phosphorus, soil moisture, and mercury were the three major drivers affecting the microb"&amp;"ial assemblages. Overall, the microbial composition was determined primarily by land use patterns, and this study provides a novel insight on the composition and diversity of microbial communities in soils associated with e-waste recycling activities. (C)"&amp;" 2017 Elsevier B.V. All rights reserved.")</f>
        <v>Soil microbes play vital roles in ecosystem functions, and soil microbial communities may be strongly structured by land use patterns associated with electronic waste (e-waste) recycling activities, which can increase the heavy metal concentration in soils. In this study, a suite of soils from five land use types ( paddy field, vegetable field, dry field, forest field, and e-waste recycling site) were collected in Longtang Town, Guangdong Province, South China. Soil physicochemical properties and heavy metal concentrations were measured, and the indigenous microbial assemblages were profiled using 16S rRNA high-throughput sequencing and clone library analyses. The results showed that mercury concentration was positively correlated with both Faith's PD and Chao1 estimates, suggesting that the soil microbial alpha diversity was predominantly regulated by mercury. In addition, redundancy analysis indicated that available phosphorus, soil moisture, and mercury were the three major drivers affecting the microbial assemblages. Overall, the microbial composition was determined primarily by land use patterns, and this study provides a novel insight on the composition and diversity of microbial communities in soils associated with e-waste recycling activities. (C) 2017 Elsevier B.V. All rights reserved.</v>
      </c>
      <c r="C681" s="24" t="str">
        <f>IFERROR(__xludf.DUMMYFUNCTION("""COMPUTED_VALUE"""),"10.1016/j.scitotenv.2017.05.165")</f>
        <v>10.1016/j.scitotenv.2017.05.165</v>
      </c>
      <c r="D681" s="24" t="str">
        <f>IFERROR(__xludf.DUMMYFUNCTION("""COMPUTED_VALUE"""),"Keck et al")</f>
        <v>Keck et al</v>
      </c>
      <c r="E681" s="24" t="str">
        <f>IFERROR(__xludf.DUMMYFUNCTION("""COMPUTED_VALUE"""),"WOS:000406294900006")</f>
        <v>WOS:000406294900006</v>
      </c>
      <c r="F681" s="24" t="str">
        <f>IFERROR(__xludf.DUMMYFUNCTION("""COMPUTED_VALUE"""),"[""ELIGIBLE""]")</f>
        <v>["ELIGIBLE"]</v>
      </c>
    </row>
    <row r="682">
      <c r="A682" s="24" t="str">
        <f>IFERROR(__xludf.DUMMYFUNCTION("""COMPUTED_VALUE"""),"Enhanced summer warming reduces fungal decomposer diversity and litter mass loss more strongly in dry than in wet tundra")</f>
        <v>Enhanced summer warming reduces fungal decomposer diversity and litter mass loss more strongly in dry than in wet tundra</v>
      </c>
      <c r="B682" s="24" t="str">
        <f>IFERROR(__xludf.DUMMYFUNCTION("""COMPUTED_VALUE"""),"Many Arctic regions are currently experiencing substantial summer and winter climate changes. Litter decomposition is a fundamental component of ecosystem carbon and nutrient cycles, with fungi being among the primary decomposers. To assess the impacts of"&amp;" seasonal climatic changes on litter fungal communities and their functioning, Betula glandulosa leaf litter was surface-incubated in two adjacent low Arctic sites with contrasting soil moisture regimes: dry shrub heath and wet sedge tundra at Disko Islan"&amp;"d, Greenland. At both sites, we investigated the impacts of factorial combinations of enhanced summer warming (using open-top chambers; OTCs) and deepened snow (using snow fences) on surface litter mass loss, chemistry and fungal decomposer communities af"&amp;"ter approximately 1 year. Enhanced summer warming significantly restricted litter mass loss by 32% in the dry and 17% in the wet site. Litter moisture content was significantly reduced by summer warming in the dry, but not in the wet site. Likewise, funga"&amp;"l total abundance and diversity were reduced by OTC warming at the dry site, while comparatively modest warming effects were observed in the wet site. These results suggest that increased evapotranspiration in the OTC plots lowered litter moisture content"&amp;" to the point where fungal decomposition activities became inhibited. In contrast, snow addition enhanced fungal abundance in both sites but did not significantly affect litter mass loss rates. Across sites, control plots only shared 15% of their fungal p"&amp;"hylotypes, suggesting strong local controls on fungal decomposer community composition. Nevertheless, fungal community functioning (litter decomposition) was negatively affected by warming in both sites. We conclude that although buried soil organic matte"&amp;"r decomposition is widely expected to increase with future summer warming, surface litter decay and nutrient turnover rates in both xeric and relatively moist tundra are likely to be significantly restricted by the evaporative drying associated with warme"&amp;"r air temperatures.")</f>
        <v>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v>
      </c>
      <c r="C682" s="24" t="str">
        <f>IFERROR(__xludf.DUMMYFUNCTION("""COMPUTED_VALUE"""),"10.1111/gcb.13362")</f>
        <v>10.1111/gcb.13362</v>
      </c>
      <c r="D682" s="24" t="str">
        <f>IFERROR(__xludf.DUMMYFUNCTION("""COMPUTED_VALUE"""),"Keck et al")</f>
        <v>Keck et al</v>
      </c>
      <c r="E682" s="24" t="str">
        <f>IFERROR(__xludf.DUMMYFUNCTION("""COMPUTED_VALUE"""),"WOS:000390218300034")</f>
        <v>WOS:000390218300034</v>
      </c>
      <c r="F682" s="24" t="str">
        <f>IFERROR(__xludf.DUMMYFUNCTION("""COMPUTED_VALUE"""),"[""ELIGIBLE""]")</f>
        <v>["ELIGIBLE"]</v>
      </c>
    </row>
    <row r="683">
      <c r="A683" s="24" t="str">
        <f>IFERROR(__xludf.DUMMYFUNCTION("""COMPUTED_VALUE"""),"Cage fish farm act as a source of changes in the fish community of a Neotropical reservoir")</f>
        <v>Cage fish farm act as a source of changes in the fish community of a Neotropical reservoir</v>
      </c>
      <c r="B683" s="24" t="str">
        <f>IFERROR(__xludf.DUMMYFUNCTION("""COMPUTED_VALUE"""),"Brazil has shown an increase in cage fish farms activity in reservoirs. However, this activity shows potential to cause several changes in the environment with consequences in the structure of native fish fauna community. Thus, the hypothesis of this work"&amp;" is that three cage fish farms, located in the different areas of Chavantes reservoir, high Parana basin, have potential to interfere with resident fish communities, modifying their structure. Fish were caught in twelve monthly field samplings around thre"&amp;"e cage fish farms (FF) (FF1 and FF2 Dec/ 06-Nov/07; FF3 - Mar/08-Feb/09) and their respective reference sites (RF) (RF1, RF2 and RF3), using gillnets with 3 to 14 cm between opposite knots. Our data showed that cage fish farms cause increase in fish abund"&amp;"ance and biomass around cages. However, Margalef Richness and Shannon-Wiener diversity decreased in these areas. Spatially, fish community around cage fish farms differed from those observed in the reference sites (Permanova two-way: (F = 12.747; p = 0.00"&amp;"1)). However, seasonal differences were not observed (F = 1.3732; p = 0.089). This difference was illustrated by NMDS, that showed the formation of two groups, one composed by fish farms and another by reference sites. These differences were mainly influe"&amp;"nced by a small group of fish species (Apareiodon affinis, Steindachnerina insculpta (detritivores) and Pimelodus maculatus (generalist) (Simper analysis)) that are able to consume wastes released. We conclude that the cage fish farm act as a driver of al"&amp;"terations in the fish community, increasing the abundance and biomass of a few species which contributes to decrease Richness and Diversity.")</f>
        <v>Brazil has shown an increase in cage fish farms activity in reservoirs. However, this activity shows potential to cause several changes in the environment with consequences in the structure of native fish fauna community. Thus, the hypothesis of this work is that three cage fish farms, located in the different areas of Chavantes reservoir, high Parana basin, have potential to interfere with resident fish communities, modifying their structure. Fish were caught in twelve monthly field samplings around three cage fish farms (FF) (FF1 and FF2 Dec/ 06-Nov/07; FF3 - Mar/08-Feb/09) and their respective reference sites (RF) (RF1, RF2 and RF3), using gillnets with 3 to 14 cm between opposite knots. Our data showed that cage fish farms cause increase in fish abundance and biomass around cages. However, Margalef Richness and Shannon-Wiener diversity decreased in these areas. Spatially, fish community around cage fish farms differed from those observed in the reference sites (Permanova two-way: (F = 12.747; p = 0.001)). However, seasonal differences were not observed (F = 1.3732; p = 0.089). This difference was illustrated by NMDS, that showed the formation of two groups, one composed by fish farms and another by reference sites. These differences were mainly influenced by a small group of fish species (Apareiodon affinis, Steindachnerina insculpta (detritivores) and Pimelodus maculatus (generalist) (Simper analysis)) that are able to consume wastes released. We conclude that the cage fish farm act as a driver of alterations in the fish community, increasing the abundance and biomass of a few species which contributes to decrease Richness and Diversity.</v>
      </c>
      <c r="C683" s="24" t="str">
        <f>IFERROR(__xludf.DUMMYFUNCTION("""COMPUTED_VALUE"""),"10.1016/j.aquaculture.2018.06.053")</f>
        <v>10.1016/j.aquaculture.2018.06.053</v>
      </c>
      <c r="D683" s="24" t="str">
        <f>IFERROR(__xludf.DUMMYFUNCTION("""COMPUTED_VALUE"""),"Keck et al")</f>
        <v>Keck et al</v>
      </c>
      <c r="E683" s="24" t="str">
        <f>IFERROR(__xludf.DUMMYFUNCTION("""COMPUTED_VALUE"""),"WOS:000439123500094")</f>
        <v>WOS:000439123500094</v>
      </c>
      <c r="F683" s="24" t="str">
        <f>IFERROR(__xludf.DUMMYFUNCTION("""COMPUTED_VALUE"""),"[""ELIGIBLE""]")</f>
        <v>["ELIGIBLE"]</v>
      </c>
    </row>
    <row r="684">
      <c r="A684" s="24" t="str">
        <f>IFERROR(__xludf.DUMMYFUNCTION("""COMPUTED_VALUE"""),"Facilitation in the low intertidal: effects of an invasive species on the structure of an estuarine macrozoobenthic assemblage")</f>
        <v>Facilitation in the low intertidal: effects of an invasive species on the structure of an estuarine macrozoobenthic assemblage</v>
      </c>
      <c r="B684" s="24" t="str">
        <f>IFERROR(__xludf.DUMMYFUNCTION("""COMPUTED_VALUE"""),"The Asian clam Corbicula fluminea (Muller, 1774) has been recognized as one of the most important invasive alien species in aquatic ecosystems and may have significant ecological and economic impacts. Recently, the presence of C. fluminea was associated w"&amp;"ith changes in benthic and epibenthic fauna. In this study, we aimed to understand the mechanisms underlying the effects of C. fluminea on an estuarine macrozoobenthic assemblage using a manipulative experiment. We used 5 different treatments (control, ro"&amp;"ck, closed, live, open), which were placed in a low sandy intertidal soft bottom area in the Minho estuary (NW Iberian Peninsula) for 2 months. We found that the presence of live and open empty shells of C. fluminea had positive effects on the density, bi"&amp;"omass and species richness of macrozoobenthos, specifically on species belonging to Annelida, Mollusca and Crustacea. Our results may be explained by 2 main mechanisms: (1) the production of feces and pseudofeces by C. fluminea, which increases organic ma"&amp;"tter content and food resources for some macrozoobenthic species; and (2) ecosystem engineering activities by C. fluminea, which can create conditions for the establishment of other species via shell production and bioturbation in the sediments.")</f>
        <v>The Asian clam Corbicula fluminea (Muller, 1774) has been recognized as one of the most important invasive alien species in aquatic ecosystems and may have significant ecological and economic impacts. Recently, the presence of C. fluminea was associated with changes in benthic and epibenthic fauna. In this study, we aimed to understand the mechanisms underlying the effects of C. fluminea on an estuarine macrozoobenthic assemblage using a manipulative experiment. We used 5 different treatments (control, rock, closed, live, open), which were placed in a low sandy intertidal soft bottom area in the Minho estuary (NW Iberian Peninsula) for 2 months. We found that the presence of live and open empty shells of C. fluminea had positive effects on the density, biomass and species richness of macrozoobenthos, specifically on species belonging to Annelida, Mollusca and Crustacea. Our results may be explained by 2 main mechanisms: (1) the production of feces and pseudofeces by C. fluminea, which increases organic matter content and food resources for some macrozoobenthic species; and (2) ecosystem engineering activities by C. fluminea, which can create conditions for the establishment of other species via shell production and bioturbation in the sediments.</v>
      </c>
      <c r="C684" s="24" t="str">
        <f>IFERROR(__xludf.DUMMYFUNCTION("""COMPUTED_VALUE"""),"10.3354/meps11168")</f>
        <v>10.3354/meps11168</v>
      </c>
      <c r="D684" s="24" t="str">
        <f>IFERROR(__xludf.DUMMYFUNCTION("""COMPUTED_VALUE"""),"Keck et al")</f>
        <v>Keck et al</v>
      </c>
      <c r="E684" s="24" t="str">
        <f>IFERROR(__xludf.DUMMYFUNCTION("""COMPUTED_VALUE"""),"WOS:000350667800011")</f>
        <v>WOS:000350667800011</v>
      </c>
      <c r="F684" s="24" t="str">
        <f>IFERROR(__xludf.DUMMYFUNCTION("""COMPUTED_VALUE"""),"[""ELIGIBLE""]")</f>
        <v>["ELIGIBLE"]</v>
      </c>
    </row>
    <row r="685">
      <c r="A685" s="24" t="str">
        <f>IFERROR(__xludf.DUMMYFUNCTION("""COMPUTED_VALUE"""),"The effects of marine sand and gravel extraction on the sediment composition and macrofaunal community of a commercial dredging site (15 years post-dredging)")</f>
        <v>The effects of marine sand and gravel extraction on the sediment composition and macrofaunal community of a commercial dredging site (15 years post-dredging)</v>
      </c>
      <c r="B685" s="24" t="str">
        <f>IFERROR(__xludf.DUMMYFUNCTION("""COMPUTED_VALUE"""),"A prediction that faunal recovery of a marine aggregate extraction site subjected to high dredging intensity was likely to take 15-20 years was investigated. Samples were collected at the high dredging intensity site and two reference sites in 2011 (15 ye"&amp;"ars post-dredging). Results indicated that the high site had similar sediment characteristics to the reference sites by 2011. Macrofaunal data analyses showed no difference between the values of all calculated univariate measures (abundance, number of tax"&amp;"a, biomass and evenness) between the high and reference sites. Multivariate analyses found that the macrofaunal community at the high site was comparable to those of the reference sites by 2011. Overall, the results supported the predicted recovery time. "&amp;"The findings of the study suggest that persistent physical impacts prolonged the biological recovery of the high site. Crown Copyright (C) 2015 Published by Elsevier Ltd. All rights reserved.")</f>
        <v>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v>
      </c>
      <c r="C685" s="24" t="str">
        <f>IFERROR(__xludf.DUMMYFUNCTION("""COMPUTED_VALUE"""),"10.1016/j.marpolbul.2015.07.024")</f>
        <v>10.1016/j.marpolbul.2015.07.024</v>
      </c>
      <c r="D685" s="24" t="str">
        <f>IFERROR(__xludf.DUMMYFUNCTION("""COMPUTED_VALUE"""),"Keck et al")</f>
        <v>Keck et al</v>
      </c>
      <c r="E685" s="24" t="str">
        <f>IFERROR(__xludf.DUMMYFUNCTION("""COMPUTED_VALUE"""),"WOS:000364258000034")</f>
        <v>WOS:000364258000034</v>
      </c>
      <c r="F685" s="24" t="str">
        <f>IFERROR(__xludf.DUMMYFUNCTION("""COMPUTED_VALUE"""),"[""ELIGIBLE""]")</f>
        <v>["ELIGIBLE"]</v>
      </c>
    </row>
    <row r="686">
      <c r="A686" s="24" t="str">
        <f>IFERROR(__xludf.DUMMYFUNCTION("""COMPUTED_VALUE"""),"Effects of nitrogen addition on rhizospheric soil microbial communities of poplar plantations at different ages")</f>
        <v>Effects of nitrogen addition on rhizospheric soil microbial communities of poplar plantations at different ages</v>
      </c>
      <c r="B686" s="24" t="str">
        <f>IFERROR(__xludf.DUMMYFUNCTION("""COMPUTED_VALUE"""),"The continuous increase of nitrogen (N) deposition has had strong impacts on the structure and health of forest ecosystems globally. An elucidation of the shifts in rhizospheric microbial communities and their interactions with environmental factors under"&amp;" N-addition will assist us with better understanding the responses of forest ecosystems to future environmental changes. In this study, we employed high-throughput sequencing to investigate the responses of rhizosphere soil bacterial and fungal communitie"&amp;"s to seven-years of N-addition in young (9-year) and mature (14-year) poplar plantations in coastal Eastern China. The experiment included three N-addition levels: 0 (N0), 100 (N1), and 300 (N2) kg N ha(-1) yr(-1). The results revealed that soil fungal, b"&amp;"ut not bacterial, alpha-diversity significantly declined under the seven-year N-addition in mature poplars. Moreover, both bacterial and fungal community structures were significantly altered. The total C and NO3- contents controlled the patterns of soil "&amp;"bacteria community structures in mature poplar plantations, while soil pH, NO3-, total N, and C/N were the main factors that shaped the patterns of soil fungi communities in both poplar plantations. However, the relative abundance of plant pathogenic gene"&amp;"ra Mycoleptodiscus and Plectosphaerella increased strongly with N-addition. The soil microbial communities of mature poplar plantations were sensitive to N-addition. Our findings suggested that long-term simulated N deposition reduced fungal alpha-diversi"&amp;"ty, altered the composition of bacterial and fungal communities, while boosting the abundance of pathogenic communities, which may induce disease and otherwise damage forest ecosystems.")</f>
        <v>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v>
      </c>
      <c r="C686" s="24" t="str">
        <f>IFERROR(__xludf.DUMMYFUNCTION("""COMPUTED_VALUE"""),"10.1016/j.foreco.2021.119328")</f>
        <v>10.1016/j.foreco.2021.119328</v>
      </c>
      <c r="D686" s="24" t="str">
        <f>IFERROR(__xludf.DUMMYFUNCTION("""COMPUTED_VALUE"""),"Keck et al")</f>
        <v>Keck et al</v>
      </c>
      <c r="E686" s="24" t="str">
        <f>IFERROR(__xludf.DUMMYFUNCTION("""COMPUTED_VALUE"""),"WOS:000657657400005")</f>
        <v>WOS:000657657400005</v>
      </c>
      <c r="F686" s="24" t="str">
        <f>IFERROR(__xludf.DUMMYFUNCTION("""COMPUTED_VALUE"""),"[""ELIGIBLE""]")</f>
        <v>["ELIGIBLE"]</v>
      </c>
    </row>
    <row r="687">
      <c r="A687" s="24" t="str">
        <f>IFERROR(__xludf.DUMMYFUNCTION("""COMPUTED_VALUE"""),"Effect of River Ecological Restoration on Biofilm Microbial Community Composition")</f>
        <v>Effect of River Ecological Restoration on Biofilm Microbial Community Composition</v>
      </c>
      <c r="B687" s="24" t="str">
        <f>IFERROR(__xludf.DUMMYFUNCTION("""COMPUTED_VALUE"""),"Across the world, there have been increasing attempts to restore good ecological condition to degraded rivers through habitat restoration. Microbial communities developing as biofilms play an important role in river ecosystem functioning by driving organi"&amp;"c matter decomposition and ecosystem respiration. However, little is known about the structure and function of microbial communities in riverine systems and how these change when habitat restoration is implemented. Here, we compared the biofilm bacterial "&amp;"community composition using 16S rRNA genes targeted high-throughput Illumina Miseq sequencing in three river types, degraded urban rivers, urban rivers undergoing habitat restoration and forested rivers (our reference conditions). We aimed to determine: ("&amp;"i) the biofilm bacterial community composition affected by habitat restoration (ii) the difference in bacterial diversity in restored rivers, and (iii) correlations between environmental variables and bacterial community composition. The results showed th"&amp;"at both water quality and biofilm bacterial community structure were changed by habitat restoration. In rivers where habitat had been restored, there was an increase in dissolved oxygen, a reduction in organic pollutants, a reduction in bacterial diversit"&amp;"y and a related developing pattern of microbial communities, which is moving towards that of the reference conditions (forested rivers). River habitat management stimulated the processing of organic pollutants through the variation in microbial community "&amp;"composition, however, a big difference in bacterial structure still existed between the restored rivers and the reference forest rivers. Thus, habitat restoration is an efficient way of modifying the biofilm microbial community composition for sustainable"&amp;" freshwater management. It will, however, take a much longer time for degraded rivers to attain a similar ecosystem quality as the pristine forest sites than the seven years of restoration studied here.")</f>
        <v>Across the world, there have been increasing attempts to restore good ecological condition to degraded rivers through habitat restoration. Microbial communities developing as biofilms play an important role in river ecosystem functioning by driving organic matter decomposition and ecosystem respiration. However, little is known about the structure and function of microbial communities in riverine systems and how these change when habitat restoration is implemented. Here, we compared the biofilm bacterial community composition using 16S rRNA genes targeted high-throughput Illumina Miseq sequencing in three river types, degraded urban rivers, urban rivers undergoing habitat restoration and forested rivers (our reference conditions). We aimed to determine: (i) the biofilm bacterial community composition affected by habitat restoration (ii) the difference in bacterial diversity in restored rivers, and (iii) correlations between environmental variables and bacterial community composition. The results showed that both water quality and biofilm bacterial community structure were changed by habitat restoration. In rivers where habitat had been restored, there was an increase in dissolved oxygen, a reduction in organic pollutants, a reduction in bacterial diversity and a related developing pattern of microbial communities, which is moving towards that of the reference conditions (forested rivers). River habitat management stimulated the processing of organic pollutants through the variation in microbial community composition, however, a big difference in bacterial structure still existed between the restored rivers and the reference forest rivers. Thus, habitat restoration is an efficient way of modifying the biofilm microbial community composition for sustainable freshwater management. It will, however, take a much longer time for degraded rivers to attain a similar ecosystem quality as the pristine forest sites than the seven years of restoration studied here.</v>
      </c>
      <c r="C687" s="24" t="str">
        <f>IFERROR(__xludf.DUMMYFUNCTION("""COMPUTED_VALUE"""),"10.3390/w11061244")</f>
        <v>10.3390/w11061244</v>
      </c>
      <c r="D687" s="24" t="str">
        <f>IFERROR(__xludf.DUMMYFUNCTION("""COMPUTED_VALUE"""),"Keck et al")</f>
        <v>Keck et al</v>
      </c>
      <c r="E687" s="24" t="str">
        <f>IFERROR(__xludf.DUMMYFUNCTION("""COMPUTED_VALUE"""),"WOS:000475346300132")</f>
        <v>WOS:000475346300132</v>
      </c>
      <c r="F687" s="24" t="str">
        <f>IFERROR(__xludf.DUMMYFUNCTION("""COMPUTED_VALUE"""),"[""ELIGIBLE""]")</f>
        <v>["ELIGIBLE"]</v>
      </c>
    </row>
    <row r="688">
      <c r="A688" s="24" t="str">
        <f>IFERROR(__xludf.DUMMYFUNCTION("""COMPUTED_VALUE"""),"Comparative assessment of macroinvertebrate communities within three Afromontane headwater streams influenced by different land use patterns")</f>
        <v>Comparative assessment of macroinvertebrate communities within three Afromontane headwater streams influenced by different land use patterns</v>
      </c>
      <c r="B688" s="24" t="str">
        <f>IFERROR(__xludf.DUMMYFUNCTION("""COMPUTED_VALUE"""),"Headwater streams in Afromontane ecoregions harbour locally adapted aquatic communities. However, across many regions in Africa, these ecosystems and their unique aquatic biodiversity have been severely impacted by unsustainable land use practices. We tes"&amp;"ted the hypothesis that land use disturbances were the primary drivers of community dynamics by comparing spatial and temporal dynamics together with trait-environment relationships of macroinvertebrate communities in three headwater streams influenced by"&amp;" different land use practices. The three headwater streams were distinguished based on high conductivity, total dissolved solids and alkaline pH in the agriculture-disturbed stream, and low temperature in a stream whose riparian zone was invaded by nonnat"&amp;"ive vegetation compared to a near-natural stream. Macroinvertebrate taxonomic diversity was, nevertheless, comparable among these three streams. Constrained canonical ordination revealed that seasonality was a major driver of macroinvertebrate dynamics th"&amp;"at was reflected mostly by the abundances of six macroinvertebrate taxa (Baetis, Dicentroptelum, Afronurus, Tricorythus, Simulium and Cheumatopsyche), whereas land use contributed a small but significant difference. Trait-environment relationships reflect"&amp;"ed seasonal changes that included the importance of benthic substratum in winter, the occurrence of collector-gatherer invertebrates in spring and aerial breathing traits in summer. Land use-related traits were, nevertheless, reflected by gill respiration"&amp;" and grazer feeding traits represented by Afronurus in the near-natural stream, predator traits represented by Aeshna and Lestes in the invaded stream, and aerial respiration represented by Enithares, Orectogyrus and Rhagovelia in the agriculture-disturbe"&amp;"d stream. Our results suggest that environmental variability associated with seasonality probably played a deterministic role within which land use disturbances operated. Overall, our study suggest that importance of using multiple metrics to unpack the p"&amp;"atterns associated with land use disturbances in headwater streams.")</f>
        <v>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v>
      </c>
      <c r="C688" s="24" t="str">
        <f>IFERROR(__xludf.DUMMYFUNCTION("""COMPUTED_VALUE"""),"10.1016/j.ecolind.2021.107972")</f>
        <v>10.1016/j.ecolind.2021.107972</v>
      </c>
      <c r="D688" s="24" t="str">
        <f>IFERROR(__xludf.DUMMYFUNCTION("""COMPUTED_VALUE"""),"Keck et al")</f>
        <v>Keck et al</v>
      </c>
      <c r="E688" s="24" t="str">
        <f>IFERROR(__xludf.DUMMYFUNCTION("""COMPUTED_VALUE"""),"WOS:000681696400005")</f>
        <v>WOS:000681696400005</v>
      </c>
      <c r="F688" s="24" t="str">
        <f>IFERROR(__xludf.DUMMYFUNCTION("""COMPUTED_VALUE"""),"[""ELIGIBLE""]")</f>
        <v>["ELIGIBLE"]</v>
      </c>
    </row>
    <row r="689">
      <c r="A689" s="24" t="str">
        <f>IFERROR(__xludf.DUMMYFUNCTION("""COMPUTED_VALUE"""),"Influence of nutrient availability on phytoplankton growth and community structure in the Port Adelaide River, Australia: bioassay assessment of potential nutrient limitation")</f>
        <v>Influence of nutrient availability on phytoplankton growth and community structure in the Port Adelaide River, Australia: bioassay assessment of potential nutrient limitation</v>
      </c>
      <c r="B689" s="24" t="str">
        <f>IFERROR(__xludf.DUMMYFUNCTION("""COMPUTED_VALUE"""),"We investigated the influence of nutrient availability, specifically nitrogen, phosphorus and silicon on growth and community structure of phytoplankton from the Port Adelaide River estuary, South Australia. Two bioassay experiments were conducted. The fi"&amp;"rst, Nutrich1, involved addition of nutrients in vitro to samples of the natural phytoplankton community from a single location in the upper estuary. The second, Nutrich2, involved nutrient addition and incubation of water from five locations in the estua"&amp;"ry following inoculation with a 'standardised' phytoplankton assemblage derived from laboratory cultures. In Nutrich1, enrichment with silicon led to greatly enhanced phytoplankton biomass due to increased growth of diatoms. Addition of nitrogen or phosph"&amp;"orus had little effect on phytoplankton growth. In Nutrich2, addition of nitrogen resulted in enhanced growth of phytoplankton in water collected from near the mouth the estuary, but there were no differences in growth among nutrient treatments for the re"&amp;"maining locations. Comparison of phytoplankton growth rate among locations revealed a trend of decreasing growth in moving towards the mouth of the estuary. This trend was unaffected by enrichment with nitrate, phosphate or silicate. We suggest that spati"&amp;"al variation in growth potential within the Port Adelaide River estuary may relate to variation in the concentration of nitrogen as ammonium.")</f>
        <v>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v>
      </c>
      <c r="C689" s="24" t="str">
        <f>IFERROR(__xludf.DUMMYFUNCTION("""COMPUTED_VALUE"""),"10.1023/A:1004024630413")</f>
        <v>10.1023/A:1004024630413</v>
      </c>
      <c r="D689" s="24" t="str">
        <f>IFERROR(__xludf.DUMMYFUNCTION("""COMPUTED_VALUE"""),"Keck et al")</f>
        <v>Keck et al</v>
      </c>
      <c r="E689" s="24" t="str">
        <f>IFERROR(__xludf.DUMMYFUNCTION("""COMPUTED_VALUE"""),"WOS:000088588300008")</f>
        <v>WOS:000088588300008</v>
      </c>
      <c r="F689" s="24" t="str">
        <f>IFERROR(__xludf.DUMMYFUNCTION("""COMPUTED_VALUE"""),"[""ELIGIBLE""]")</f>
        <v>["ELIGIBLE"]</v>
      </c>
    </row>
    <row r="690">
      <c r="A690" s="24" t="str">
        <f>IFERROR(__xludf.DUMMYFUNCTION("""COMPUTED_VALUE"""),"Ostracoda (Crustacea) as indicators for surface water quality: a case study from the Ledra River basin (NE Italy)")</f>
        <v>Ostracoda (Crustacea) as indicators for surface water quality: a case study from the Ledra River basin (NE Italy)</v>
      </c>
      <c r="B690" s="24" t="str">
        <f>IFERROR(__xludf.DUMMYFUNCTION("""COMPUTED_VALUE"""),"Wastewater discharges associated with urbanisations, farming activities and industry may dramatically reduce the ecological health of river ecosystems. During the reconstruction of the Friuli Venezia Giulia region following the 1976 earthquake, a lot of r"&amp;"esources were used to build large numbers of wastewater treatment plants to minimize the impact of human activities on lotic ecosystems. Their efficiency is usually assessed through monitoring of the physical and chemical environment near the discharge po"&amp;"int. However, discontinuous monitoring of the abiotic environment may fail to detect periodic malfunctioning and do not recognize indirect effects on the ecosystem. We assessed the potential of an alternative approach to assess the impact of wastewater di"&amp;"scharges, based on the monitoring of ostracod density, richness and community composition. We repeatedly measured physical, chemical and microbial parameters and collected ostracod samples at stations up- and downstream from wastewater discharge points sc"&amp;"attered over a 21-km stretch of the Ledra River (NE Italy). The results indicate that monitoring ostracods is a potentially valuable approach, for two reasons. Communities appeared to be well differentiated even in the small spatial area of this study, in"&amp;"dicating that they can provide sufficient resolution to pick up even minor impacts. Secondly, despite the seasonal succession in species composition, spatial differentiation was consistent over time, suggesting that ostracods provide a time-integrated pic"&amp;"ture of the water quality. The traditional approach failed to detect any consistent impact of wastewater discharges, apart from an ambiguous increase in nutrient levels. The density and/or richness of the ostracod communities was altered by some wastewate"&amp;"r discharges, but not by others. We identified a general trend for wastewater discharges to systematically replace regionally rare ostracod species with common species. In particular, the species Ilyocypris inermis was very sensitive to discharges, and ma"&amp;"y be used as an indicator species for good ecosystem health.")</f>
        <v>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v>
      </c>
      <c r="C690" s="24" t="str">
        <f>IFERROR(__xludf.DUMMYFUNCTION("""COMPUTED_VALUE"""),"10.1007/s10750-010-0568-1")</f>
        <v>10.1007/s10750-010-0568-1</v>
      </c>
      <c r="D690" s="24" t="str">
        <f>IFERROR(__xludf.DUMMYFUNCTION("""COMPUTED_VALUE"""),"Keck et al")</f>
        <v>Keck et al</v>
      </c>
      <c r="E690" s="24" t="str">
        <f>IFERROR(__xludf.DUMMYFUNCTION("""COMPUTED_VALUE"""),"WOS:000303066600003")</f>
        <v>WOS:000303066600003</v>
      </c>
      <c r="F690" s="24" t="str">
        <f>IFERROR(__xludf.DUMMYFUNCTION("""COMPUTED_VALUE"""),"[""ELIGIBLE""]")</f>
        <v>["ELIGIBLE"]</v>
      </c>
    </row>
    <row r="691">
      <c r="A691" s="24" t="str">
        <f>IFERROR(__xludf.DUMMYFUNCTION("""COMPUTED_VALUE"""),"Ecological signatures of anthropogenically altered tidal exchange in estuarine ecosystems")</f>
        <v>Ecological signatures of anthropogenically altered tidal exchange in estuarine ecosystems</v>
      </c>
      <c r="B691" s="24" t="str">
        <f>IFERROR(__xludf.DUMMYFUNCTION("""COMPUTED_VALUE"""),"One of the most conspicuous anthropogenic disturbances to estuaries worldwide has been the alteration of freshwater and tidal influence through the construction of water control structures (dikes, tide gates, culverts). Few studies have rigorously compare"&amp;"d the responses of differing groups of organisms that serve as contrasting conservation targets to such anthropogenic disturbances in estuarine ecosystems. Elkhorn Slough in central California includes a spectrum of tidally restricted habitats behind wate"&amp;"r control structures and habitats experiencing full tidal exchange. To assess community composition for several different taxa in habitats with varying tidal exchange, we employed a variety of field approaches and synthesized results from several differen"&amp;"t studies. Overall, we found that communities at sites with moderately restricted tidal exchange were fairly similar to those with full tidal exchange, but those with extremely restricted tidal exchange were markedly different from other categories. These"&amp;" differences in community composition are likely the result of several factors, including restricted movement due to physical barriers, differences in water quality characteristics, and differences in habitat structure. Indeed, in this study, we found tha"&amp;"t water quality characteristics strongly vary with tidal restriction and may strongly influence patterns of species presence or absence. We also found that different conservation targets showed contrasting responses to variation in tidal exchange. Full ex"&amp;"change appears to favor native oysters, commercially valuable flatfish, migratory shorebirds, and site-level biodiversity. Minimal tidal exchange due to water control structures supports a suite of estuarine endemics (including the tidewater goby and Cali"&amp;"fornia brackish snail) not represented elsewhere and minimizes invasions by non-native marine species. Altogether, our results suggest that total estuary-wide biodiversity may be enhanced with a mosaic of tidal exchange regimes.")</f>
        <v>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v>
      </c>
      <c r="C691" s="24" t="str">
        <f>IFERROR(__xludf.DUMMYFUNCTION("""COMPUTED_VALUE"""),"10.1007/s12237-008-9044-9")</f>
        <v>10.1007/s12237-008-9044-9</v>
      </c>
      <c r="D691" s="24" t="str">
        <f>IFERROR(__xludf.DUMMYFUNCTION("""COMPUTED_VALUE"""),"Keck et al")</f>
        <v>Keck et al</v>
      </c>
      <c r="E691" s="24" t="str">
        <f>IFERROR(__xludf.DUMMYFUNCTION("""COMPUTED_VALUE"""),"WOS:000256927700008")</f>
        <v>WOS:000256927700008</v>
      </c>
      <c r="F691" s="24" t="str">
        <f>IFERROR(__xludf.DUMMYFUNCTION("""COMPUTED_VALUE"""),"[""ELIGIBLE""]")</f>
        <v>["ELIGIBLE"]</v>
      </c>
    </row>
    <row r="692">
      <c r="A692" s="24" t="str">
        <f>IFERROR(__xludf.DUMMYFUNCTION("""COMPUTED_VALUE"""),"Differences in soft-sediment macrobenthic assemblages invaded by Caulerpa taxifolia compared to uninvaded habitats")</f>
        <v>Differences in soft-sediment macrobenthic assemblages invaded by Caulerpa taxifolia compared to uninvaded habitats</v>
      </c>
      <c r="B692" s="24" t="str">
        <f>IFERROR(__xludf.DUMMYFUNCTION("""COMPUTED_VALUE"""),"Caulerpa taxifolia is a habitat-forming green alga that has invaded several temperate regions worldwide. Although C. taxifolia covers large areas of soft-sediment habitat, little is known about its effects on soft-sediment invertebrate assemblages. We com"&amp;"pared soft-sediment macroinvertebrate assemblages in 2 estuaries in Southeastern Australia invaded by C. taxifolia to examine 2 main predictions: (1) areas covered with C. taxifolia will have different assemblages compared to unvegetated sediment because "&amp;"infauna are inhibited but epifauna are facilitated, and (2) areas with C. taxifolia will have different assemblages compared to those with native seagrasses (Halophila ovalis and Zostera capricorni) because infauna are inhibited but. epifauna are not. Mul"&amp;"tidimensional scaling and ANOSIM showed differences in invertebrate assemblages between all habitats. In C. taxifolia, infauna were less abundant and epifauna were more abundant compared to unvegetated sediment. However, when compared to native seagrasses"&amp;", epifauna in C. taxifolia were more abundant than in H. ovalis in one estuary but less abundant than in Z. capricorni in another estuary, while infauna in C. taxifolia were less abundant than in both seagrass species. The consistently low infaunal abunda"&amp;"nce in C. taxifolia, irrespective of infaunal feeding mode, suggests C. taxifolia impacts infauna generally. Examination of environmental factors potentially responsible for the low abundance of infauna indicated that differences in redox potential (and a"&amp;"ssociated chemical changes) may explain patterns in abundance of infauna among habitats. Our findings indicate that invasion by C. taxifolia causes important changes to soft-sediment macroinvertebrate assemblages and suggest that infauna may be particular"&amp;"ly vulnerable to invasion because of changes to sediment chemistry.")</f>
        <v>Caulerpa taxifolia is a habitat-forming green alga that has invaded several temperate regions worldwide. Although C. taxifolia covers large areas of soft-sediment habitat, little is known about its effects on soft-sediment invertebrate assemblages. We compared soft-sediment macroinvertebrate assemblages in 2 estuaries in Southeastern Australia invaded by C. taxifolia to examine 2 main predictions: (1) areas covered with C. taxifolia will have different assemblages compared to unvegetated sediment because infauna are inhibited but epifauna are facilitated, and (2) areas with C. taxifolia will have different assemblages compared to those with native seagrasses (Halophila ovalis and Zostera capricorni) because infauna are inhibited but. epifauna are not. Multidimensional scaling and ANOSIM showed differences in invertebrate assemblages between all habitats. In C. taxifolia, infauna were less abundant and epifauna were more abundant compared to unvegetated sediment. However, when compared to native seagrasses, epifauna in C. taxifolia were more abundant than in H. ovalis in one estuary but less abundant than in Z. capricorni in another estuary, while infauna in C. taxifolia were less abundant than in both seagrass species. The consistently low infaunal abundance in C. taxifolia, irrespective of infaunal feeding mode, suggests C. taxifolia impacts infauna generally. Examination of environmental factors potentially responsible for the low abundance of infauna indicated that differences in redox potential (and associated chemical changes) may explain patterns in abundance of infauna among habitats. Our findings indicate that invasion by C. taxifolia causes important changes to soft-sediment macroinvertebrate assemblages and suggest that infauna may be particularly vulnerable to invasion because of changes to sediment chemistry.</v>
      </c>
      <c r="C692" s="24" t="str">
        <f>IFERROR(__xludf.DUMMYFUNCTION("""COMPUTED_VALUE"""),"10.3354/meps07926")</f>
        <v>10.3354/meps07926</v>
      </c>
      <c r="D692" s="24" t="str">
        <f>IFERROR(__xludf.DUMMYFUNCTION("""COMPUTED_VALUE"""),"Keck et al")</f>
        <v>Keck et al</v>
      </c>
      <c r="E692" s="24" t="str">
        <f>IFERROR(__xludf.DUMMYFUNCTION("""COMPUTED_VALUE"""),"WOS:000265907000005")</f>
        <v>WOS:000265907000005</v>
      </c>
      <c r="F692" s="24" t="str">
        <f>IFERROR(__xludf.DUMMYFUNCTION("""COMPUTED_VALUE"""),"[""ELIGIBLE""]")</f>
        <v>["ELIGIBLE"]</v>
      </c>
    </row>
    <row r="693">
      <c r="A693" s="24" t="str">
        <f>IFERROR(__xludf.DUMMYFUNCTION("""COMPUTED_VALUE"""),"Water hyacinth, Eichhornia crassipes (Pontederiaceae), reduces benthic macroinvertebrate diversity in a protected subtropical lake in South Africa")</f>
        <v>Water hyacinth, Eichhornia crassipes (Pontederiaceae), reduces benthic macroinvertebrate diversity in a protected subtropical lake in South Africa</v>
      </c>
      <c r="B693" s="24" t="str">
        <f>IFERROR(__xludf.DUMMYFUNCTION("""COMPUTED_VALUE"""),"The socio-economic impacts of the free-floating aquatic plant water hyacinth, Eichhornia crassipes (Pontederiaceae), on aquatic systems are well documented, yet the impacts on aquatic biodiversity, particularly invertebrate biodiversity, are less well und"&amp;"erstood. This study aimed to determine whether the presence of water hyacinth altered the diversity and assemblage structure of benthic macroinvertebrates in a conservation area. The benthic macroinvertebrate assemblage was sampled over 1 year at five sit"&amp;"es under water hyacinth mats and at five sites without water hyacinth at Lake Nsezi-Nseleni River in the vicinity of Richards Bay, KwaZulu-Natal, South Africa. Artificial substrates were placed beneath water hyacinth mats or in the open water to allow for"&amp;" colonization by freshwater macroinvertebrates, and left for a period of 6 weeks, repeated on seven occasions. Twenty nine families comprising 18,797 individuals were collected, 817 (13 families) individuals were from under water hyacinth mat sites compar"&amp;"ed to 17,980 (27 families) individuals from open water sites. Ninety-eight percent of individuals collected were, however, the invasive snail, Tarebia granifera. Open water samples were separated from samples beneath the water hyacinth mat by non-metric M"&amp;"ultidimensional Scaling, indicating reduced biodiversity associated with the presence of water hyacinth. Exclusion of the dominant Thiaridae from the analysis did not alter the groupings. Family richness(s) and abundance (N) were significantly higher in o"&amp;"pen water communities(S: H-3 = 21.09; P = 0.0001; N: H-3 = 22.58; P = 0.00001), while evenness (J') was higher under water hyacinth mats (H-3 = 20.13; P = 0.0002). The presence of water hyacinth had a significantly negative impact on aquatic macroinverteb"&amp;"rate biodiversity in a conservation area, and therefore the control of this invasive aquatic plant must play a major role in catchment management.")</f>
        <v>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v>
      </c>
      <c r="C693" s="24" t="str">
        <f>IFERROR(__xludf.DUMMYFUNCTION("""COMPUTED_VALUE"""),"10.1007/s10531-014-0667-9")</f>
        <v>10.1007/s10531-014-0667-9</v>
      </c>
      <c r="D693" s="24" t="str">
        <f>IFERROR(__xludf.DUMMYFUNCTION("""COMPUTED_VALUE"""),"Keck et al")</f>
        <v>Keck et al</v>
      </c>
      <c r="E693" s="24" t="str">
        <f>IFERROR(__xludf.DUMMYFUNCTION("""COMPUTED_VALUE"""),"WOS:000333898600014")</f>
        <v>WOS:000333898600014</v>
      </c>
      <c r="F693" s="24" t="str">
        <f>IFERROR(__xludf.DUMMYFUNCTION("""COMPUTED_VALUE"""),"[""ELIGIBLE""]")</f>
        <v>["ELIGIBLE"]</v>
      </c>
    </row>
    <row r="694">
      <c r="A694" s="24" t="str">
        <f>IFERROR(__xludf.DUMMYFUNCTION("""COMPUTED_VALUE"""),"FISH RESPONSE TO ANTHROPOGENIC PRESSURES IN TEMPORARY STREAMS: THE IMPORTANCE OF ENVIRONMENTAL DRIVERS")</f>
        <v>FISH RESPONSE TO ANTHROPOGENIC PRESSURES IN TEMPORARY STREAMS: THE IMPORTANCE OF ENVIRONMENTAL DRIVERS</v>
      </c>
      <c r="B694" s="24" t="str">
        <f>IFERROR(__xludf.DUMMYFUNCTION("""COMPUTED_VALUE"""),"Mediterranean temporary streams show high spatial and temporal heterogeneity. Native fish species are adapted to this natural variability, but the cumulative effect of natural and anthropogenic disturbances may compromise the stability and persistence of "&amp;"fish assemblages. This study aimed to determine if environmental drivers affect the response of fish assemblages to anthropogenic pressures in temporary streams and identify what type of fish assemblages are particularly vulnerable to anthropogenic distur"&amp;"bance. Data were collected from 22 sites located in southern Portuguese temporary streams between 1996 and 2012. The temporal pattern of fish assemblages in each site was used to examine fish assemblage stability, that is, the relative constancy of specie"&amp;"s abundance over time, quantified using the Bray-Curtis similarity coefficient. Native fish assemblage stability was positively associated with altitude, annual rainfall, percentage of riffles and habitat diversity and highly negatively related to anthrop"&amp;"ogenic pressure, particularly land use intensification, riparian degradation, sediment load and organic contamination/nutrient enrichment. Results highlighted an interaction between natural environmental and anthropogenic pressure gradients; anthropogenic"&amp;" disturbance tends to be lower in high-elevation headwater streams and increases in lowland streams, particularly in downstream reaches. In upstream reaches, especially in lowland streams, fish assemblage stability showed a steep decline with the increase"&amp;" in anthropogenic pressure. Lowland downstream reaches displayed a less steep decline of fish assemblage stability in response to degradation, despite having greater anthropogenic disturbance. The results highlight the particular vulnerability of headwate"&amp;"r streams in lowland sectors to anthropogenic disturbance. Copyright (c) 2014 John Wiley &amp; Sons, Ltd.")</f>
        <v>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v>
      </c>
      <c r="C694" s="24" t="str">
        <f>IFERROR(__xludf.DUMMYFUNCTION("""COMPUTED_VALUE"""),"10.1002/rra.2780")</f>
        <v>10.1002/rra.2780</v>
      </c>
      <c r="D694" s="24" t="str">
        <f>IFERROR(__xludf.DUMMYFUNCTION("""COMPUTED_VALUE"""),"Keck et al")</f>
        <v>Keck et al</v>
      </c>
      <c r="E694" s="24" t="str">
        <f>IFERROR(__xludf.DUMMYFUNCTION("""COMPUTED_VALUE"""),"WOS:000346657000008")</f>
        <v>WOS:000346657000008</v>
      </c>
      <c r="F694" s="24" t="str">
        <f>IFERROR(__xludf.DUMMYFUNCTION("""COMPUTED_VALUE"""),"[""ELIGIBLE""]")</f>
        <v>["ELIGIBLE"]</v>
      </c>
    </row>
    <row r="695">
      <c r="A695" s="24" t="str">
        <f>IFERROR(__xludf.DUMMYFUNCTION("""COMPUTED_VALUE"""),"A comparison of the effect of beaver and human-made impoundments on stream zooplankton")</f>
        <v>A comparison of the effect of beaver and human-made impoundments on stream zooplankton</v>
      </c>
      <c r="B695" s="24" t="str">
        <f>IFERROR(__xludf.DUMMYFUNCTION("""COMPUTED_VALUE"""),"Small human-made dams and beaver ponds cause significant changes in the environment of small streams. The decreased current velocity and increased water retention time in these impoundments favour the development of limnetic organisms, for example, zoopla"&amp;"nkton. However, small human-made reservoirs are regulated, deep and narrow, whereas beavers create relatively large impoundments with numerous shallow patches and their impact on the stream zooplankton communities can be different. We compared the effect "&amp;"of beaver ponds and small reservoirs on the zooplankton communities in streams. Three sample collection sites were established in each stream. Site 1 was approximately 100m upstream of the water impoundment formed by the dam. Site 2 was at the dam impound"&amp;"ment of the stream water. Site 3 was approximately 300m below the dam. Beaver ponds have a larger impact on the zooplankton richness and the abundance changes compared with seminatural reservoirs not maintained by people, and a much greater impact than re"&amp;"servoirs regularly cleaned and regulated. Beaver ponds create heterogeneous environment that favour the occurrence of a greater number of zooplankton species compared with small reservoirs. Moreover, the increase in organic matter in the downstream areas "&amp;"could lead to trophic changes in the stream.")</f>
        <v>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v>
      </c>
      <c r="C695" s="24" t="str">
        <f>IFERROR(__xludf.DUMMYFUNCTION("""COMPUTED_VALUE"""),"10.1002/eco.1963")</f>
        <v>10.1002/eco.1963</v>
      </c>
      <c r="D695" s="24" t="str">
        <f>IFERROR(__xludf.DUMMYFUNCTION("""COMPUTED_VALUE"""),"Keck et al")</f>
        <v>Keck et al</v>
      </c>
      <c r="E695" s="24" t="str">
        <f>IFERROR(__xludf.DUMMYFUNCTION("""COMPUTED_VALUE"""),"WOS:000437275000011")</f>
        <v>WOS:000437275000011</v>
      </c>
      <c r="F695" s="24" t="str">
        <f>IFERROR(__xludf.DUMMYFUNCTION("""COMPUTED_VALUE"""),"[""ELIGIBLE""]")</f>
        <v>["ELIGIBLE"]</v>
      </c>
    </row>
    <row r="696">
      <c r="A696" s="24" t="str">
        <f>IFERROR(__xludf.DUMMYFUNCTION("""COMPUTED_VALUE"""),"The effects of weirs on structural stream habitat and biological communities")</f>
        <v>The effects of weirs on structural stream habitat and biological communities</v>
      </c>
      <c r="B696" s="24" t="str">
        <f>IFERROR(__xludf.DUMMYFUNCTION("""COMPUTED_VALUE"""),"1. Most of the world's rivers are affected by dams and weirs. Information on the quantitative and qualitative effects of weirs across biological communities is crucial for successful management and restoration of stream ecosystems. Yet, there is a lack of"&amp;" comprehensive studies that have analysed the serial discontinuity in direct proximity of weirs including diverse taxonomic groups from algae to fish. 2. This study compared the abiotic stream habitat characteristics upstream and downstream of weirs as we"&amp;"ll as their effects on the community structure of periphyton, aquatic macrophytes, macroinvertebrates and fish at five different study rivers. 3. Physicochemical habitat characteristics discriminated strongly between upstream and downstream sides of weirs"&amp;" in terms of water depth, current speed, substratum composition and the transition between free-flowing water and interstitial zone. Accordingly, abundance, diversity, community structure and functional ecological traits of all major taxonomic groups were"&amp;" indicative of serial discontinuity, but the discriminative power of individual taxonomic groups strongly differed between rivers. 4. The simultaneous inclusion of abiotic habitat variables, taxonomic diversity and biological traits in multivariate non-me"&amp;"tric multidimensional scaling was most comprehensive and powerful for the quantification of weir effects. In some cases, the intrastream discrimination induced by weirs exceeded the variation between geographically distant rivers of different geological o"&amp;"rigin and drainage systems. Community effects were generally detectable on high levels of taxonomic resolution such as family or order level. 5. Synthesis and applications. River sections in spatial proximity to weirs are affected seriously and should be "&amp;"included in the ecological assessments of the European Water Framework Directive. Multivariate models that include several taxonomic groups and physicochemical habitat variables provide a universally applicable tool for the ecological assessment of impact"&amp;"s on serial discontinuity and other stressors on stream ecosystem health.")</f>
        <v>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v>
      </c>
      <c r="C696" s="24" t="str">
        <f>IFERROR(__xludf.DUMMYFUNCTION("""COMPUTED_VALUE"""),"10.1111/j.1365-2664.2011.02035.x")</f>
        <v>10.1111/j.1365-2664.2011.02035.x</v>
      </c>
      <c r="D696" s="24" t="str">
        <f>IFERROR(__xludf.DUMMYFUNCTION("""COMPUTED_VALUE"""),"Keck et al")</f>
        <v>Keck et al</v>
      </c>
      <c r="E696" s="24" t="str">
        <f>IFERROR(__xludf.DUMMYFUNCTION("""COMPUTED_VALUE"""),"WOS:000297416300015")</f>
        <v>WOS:000297416300015</v>
      </c>
      <c r="F696" s="24" t="str">
        <f>IFERROR(__xludf.DUMMYFUNCTION("""COMPUTED_VALUE"""),"[""ELIGIBLE""]")</f>
        <v>["ELIGIBLE"]</v>
      </c>
    </row>
    <row r="697">
      <c r="A697" s="24" t="str">
        <f>IFERROR(__xludf.DUMMYFUNCTION("""COMPUTED_VALUE"""),"Countryside biogeography of neotropical herbaceous and shrubby plants")</f>
        <v>Countryside biogeography of neotropical herbaceous and shrubby plants</v>
      </c>
      <c r="B697" s="24" t="str">
        <f>IFERROR(__xludf.DUMMYFUNCTION("""COMPUTED_VALUE"""),"As human impacts on the environment intensify, the future of plant and animal biodiversity will depend increasingly on the floras surviving in human-dominated countryside habitats. To begin to characterize these floras for the Neotropics, we investigated "&amp;"the richness and composition of herbaceous and shrubby plant communities in six forested and deforested habitats, in three replicated study areas (7.5-km in diameter), of southern Costa Rica. We chose habitat types that are common throughout the tropics, "&amp;"to begin building a general understanding of both the habitats of origin and the diversity of countryside floras. Focal forest habitats were understory, 1- to 2-year-old tree-fall gaps, and riverbanks, all in primary forest. Focal deforested habitats were"&amp;" ungrazed road verges, grazed pasture, and riverbanks in grazed pasture. Non-riverbank habitats were sampled both near and far from. forest edge. In total, we sampled 772 species from 79 families, similar to 40% of the non-tree plant diversity of the regi"&amp;"on. Only 6% of identified species are known to be exotic. In each study area, understory and pasture plots were consistently species poor, while tree-fall gaps and road verges near forest were consistently the most species-rich habitats. In each study are"&amp;"a, we found the same proportion of species restricted to forested habitats (similar to 45%) and deforested habitats (similar to 37%), and the same proportion of countryside-habitat generalists ( similar to 18%) occurring in both forested and deforested ha"&amp;"bitats. However, different forested habitats supported different proportions of country side-habitat generalists in each study area, although understory plots consistently 'supported the fewest generalists. Among forested habitats, riverbanks were the mos"&amp;"t similar floristically to deforested habitats. Pasture riverbanks and road verges near forest supported plant communities most similar to those in forested habitats. The uniqueness and richness of each habitat suggests that countrysides with diverse land"&amp;" uses can support many native herbaceous and shrubby plant species. As it becomes increasingly difficult to protect large tracts of undisturbed tropical forest, we suggest that conservation goals expand to encompass maintenance of heterogeneity in country"&amp;"side landscapes.")</f>
        <v>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similar to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(similar to 45%) and deforested habitats (similar to 37%), and the same proportion of countryside-habitat generalists ( similar to 18%) occurring in both forested and deforested habitats. However, different forested habitats supported different proportions of country 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v>
      </c>
      <c r="C697" s="24" t="str">
        <f>IFERROR(__xludf.DUMMYFUNCTION("""COMPUTED_VALUE"""),"10.1890/03-5369")</f>
        <v>10.1890/03-5369</v>
      </c>
      <c r="D697" s="24" t="str">
        <f>IFERROR(__xludf.DUMMYFUNCTION("""COMPUTED_VALUE"""),"Keck et al")</f>
        <v>Keck et al</v>
      </c>
      <c r="E697" s="24" t="str">
        <f>IFERROR(__xludf.DUMMYFUNCTION("""COMPUTED_VALUE"""),"WOS:000228059000003")</f>
        <v>WOS:000228059000003</v>
      </c>
      <c r="F697" s="24" t="str">
        <f>IFERROR(__xludf.DUMMYFUNCTION("""COMPUTED_VALUE"""),"[""ELIGIBLE""]")</f>
        <v>["ELIGIBLE"]</v>
      </c>
    </row>
    <row r="698">
      <c r="A698" s="24" t="str">
        <f>IFERROR(__xludf.DUMMYFUNCTION("""COMPUTED_VALUE"""),"Bacterial and fungal communities respond differently to varying tillage depth in agricultural soils")</f>
        <v>Bacterial and fungal communities respond differently to varying tillage depth in agricultural soils</v>
      </c>
      <c r="B698" s="24" t="str">
        <f>IFERROR(__xludf.DUMMYFUNCTION("""COMPUTED_VALUE"""),"In arable cropping systems, reduced or conservation tillage practices are linked with improved soil quality, C retention and higher microbial biomass, but most long term studies rarely focus on depths greater than 15 cm nor allow comparison of microbial c"&amp;"ommunity responses to agricultural practices. We investigated microbial community trial (12- years, Lincoln, New, structure in a long-term field Zealand) established in a silt-loam soil over four depth ranges down to 30 cm. Our objectives were to investig"&amp;"ate the degree of homogenisation of soil biological and chemical properties with depth, and to determine the main drivers of microbial community response to tillage. We hypothesised that soil microbiological responses would depend on tillage depth, observ"&amp;"ed by a homogenisation of microbial community composition within the tilled zone. Tillage treatments were mouldboard plough and disc harrow, impacting soil to similar to 20 and similar to 10 cm depth, respectively. These treatments were compared no-tillag"&amp;"e treatment and two control treatments, both permanent pasture and permanent fallow. Bacterial and fungal communities collected from the site were not impacted by the spatial location of sampling across the study area but were affected by physicochemical "&amp;"changes associated with tillage induced soil homogenisation and plant presence. Tillage treatment effects on both species richness and composition were more evident for bacterial communities. fungal communities, and were greater at than depths &lt;15 cm Horn"&amp;"ogenisation of soil. 1 and changing. land management appears to redistribute both microbiota and 1 profile while consequences nutrients deeper in the soil for soil biogeochemical functioning remain poorly understood.")</f>
        <v>In arable cropping systems, reduced or conservation tillage practices are linked with improved soil quality, C retention and higher microbial biomass, but most long term studies rarely focus on depths greater than 15 cm nor allow comparison of microbial community responses to agricultural practices. We investigated microbial community trial (12- years, Lincoln, New, structure in a long-term field Zealand) established in a silt-loam soil over four depth ranges down to 30 cm. Our objectives were to investigate the degree of homogenisation of soil biological and chemical properties with depth, and to determine the main drivers of microbial community response to tillage. We hypothesised that soil microbiological responses would depend on tillage depth, observed by a homogenisation of microbial community composition within the tilled zone. Tillage treatments were mouldboard plough and disc harrow, impacting soil to similar to 20 and similar to 10 cm depth, respectively. These treatments were compared no-tillage treatment and two control treatments, both permanent pasture and permanent fallow. Bacterial and fungal communities collected from the site were not impacted by the spatial location of sampling across the study area but were affected by physicochemical changes associated with tillage induced soil homogenisation and plant presence. Tillage treatment effects on both species richness and composition were more evident for bacterial communities. fungal communities, and were greater at than depths &lt;15 cm Hornogenisation of soil. 1 and changing. land management appears to redistribute both microbiota and 1 profile while consequences nutrients deeper in the soil for soil biogeochemical functioning remain poorly understood.</v>
      </c>
      <c r="C698" s="24" t="str">
        <f>IFERROR(__xludf.DUMMYFUNCTION("""COMPUTED_VALUE"""),"10.7717/peerj.3930")</f>
        <v>10.7717/peerj.3930</v>
      </c>
      <c r="D698" s="24" t="str">
        <f>IFERROR(__xludf.DUMMYFUNCTION("""COMPUTED_VALUE"""),"Keck et al")</f>
        <v>Keck et al</v>
      </c>
      <c r="E698" s="24" t="str">
        <f>IFERROR(__xludf.DUMMYFUNCTION("""COMPUTED_VALUE"""),"WOS:000413087500003")</f>
        <v>WOS:000413087500003</v>
      </c>
      <c r="F698" s="24" t="str">
        <f>IFERROR(__xludf.DUMMYFUNCTION("""COMPUTED_VALUE"""),"[""ELIGIBLE""]")</f>
        <v>["ELIGIBLE"]</v>
      </c>
    </row>
    <row r="699">
      <c r="A699" s="24" t="str">
        <f>IFERROR(__xludf.DUMMYFUNCTION("""COMPUTED_VALUE"""),"Nematodes as sensitive indicators of change at dredged material disposal sites")</f>
        <v>Nematodes as sensitive indicators of change at dredged material disposal sites</v>
      </c>
      <c r="B699" s="24" t="str">
        <f>IFERROR(__xludf.DUMMYFUNCTION("""COMPUTED_VALUE"""),"Demonstration of the recovery of marine habitats from perturbation, or of the effectiveness of protective measures, is dependent on the sensitivity of the target group in responding to change. This paper highlights the utility of the nematode component of"&amp;" the meiofauna as a tool for assessing disturbance from dredgings disposal. Transect surveys were conducted at three major dredged material disposal sites around the U.K. coast. Both gross effects due to the direct impact of dredgings within the disposal "&amp;"sites and lesser consequences arising from the transport of material away from the sires were evident with nematode community analyses. The same nematode species, Sabatieria pulchra group (both breviseta and punctata) and Daptonema tenuispiculum were foun"&amp;"d to dominate at all disposal sites, despite appreciable environmental differences between locations and variability in the nature of the deposited dredged material. These studies have established that nematode communities can provide a sensitive indicato"&amp;"r of change in response to dredged material disposal at a variety of locations and have introduced a new monitoring tool for a practice that has a wide significance around the U.K. coast. The implications of the findings for the future monitoring of dredg"&amp;"ed material disposal and other waste inputs are discussed.")</f>
        <v>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v>
      </c>
      <c r="C699" s="24" t="str">
        <f>IFERROR(__xludf.DUMMYFUNCTION("""COMPUTED_VALUE"""),"10.1006/ecss.2000.0722")</f>
        <v>10.1006/ecss.2000.0722</v>
      </c>
      <c r="D699" s="24" t="str">
        <f>IFERROR(__xludf.DUMMYFUNCTION("""COMPUTED_VALUE"""),"Keck et al")</f>
        <v>Keck et al</v>
      </c>
      <c r="E699" s="24" t="str">
        <f>IFERROR(__xludf.DUMMYFUNCTION("""COMPUTED_VALUE"""),"WOS:000166995500010")</f>
        <v>WOS:000166995500010</v>
      </c>
      <c r="F699" s="24" t="str">
        <f>IFERROR(__xludf.DUMMYFUNCTION("""COMPUTED_VALUE"""),"[""ELIGIBLE""]")</f>
        <v>["ELIGIBLE"]</v>
      </c>
    </row>
    <row r="700">
      <c r="A700" s="24" t="str">
        <f>IFERROR(__xludf.DUMMYFUNCTION("""COMPUTED_VALUE"""),"Subsidence from an Underground Coal Mine and Mine Wastewater Discharge Causing Water Pollution and Degradation of Aquatic Ecosystems")</f>
        <v>Subsidence from an Underground Coal Mine and Mine Wastewater Discharge Causing Water Pollution and Degradation of Aquatic Ecosystems</v>
      </c>
      <c r="B700" s="24" t="str">
        <f>IFERROR(__xludf.DUMMYFUNCTION("""COMPUTED_VALUE"""),"This study examined a single underground coal mine and investigated two aspects of its operation: the disposal of the mine waste through a discharge to a nearby river and the impact of subsidence from an underground longwall to a small waterway above. Wat"&amp;"er quality of the two waterways was monitored over a 2-year period with a monthly investigation over a 6-month period, which included collection of stream macroinvertebrates. Both mine activities modified surface water geochemistry and macroinvertebrate c"&amp;"ommunities. Mean electrical conductivity (EC) increased in surface waters below the mine discharge, rising 4.8 times from (186 mu S/cm) upstream to 1078 mu S/cm below the waste inflow. Mean EC increased in a small stream that was disturbed by subsidence f"&amp;"rom longwall mining, rising 3.8 times from (247 mu S/cm) upstream to 1195 mu S/cm below. The mineral constituents of the increased salinities were different. The coal mine wastewater discharge was enriched with sodium and bicarbonate ions compared to sodi"&amp;"um and chloride ions in the subsidence affected creek. Both the waste discharge and the subsidence caused increases in the concentrations of zinc by about four times and nickel by 20 to 30 times the background levels. The subsidence reduced dissolved oxyg"&amp;"en to ecologically stressful levels and increased iron and manganese concentrations by about 20 times the background levels. Two of the key changes in stream ecosystems were a reduction in the proportion of mayfly larvae downstream of the mine waste disch"&amp;"arge and mosquito larvae dominating (60-70 % of total abundance) the invertebrate community in the subsidence affected creek.")</f>
        <v>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v>
      </c>
      <c r="C700" s="24" t="str">
        <f>IFERROR(__xludf.DUMMYFUNCTION("""COMPUTED_VALUE"""),"10.1007/s11270-015-2598-9")</f>
        <v>10.1007/s11270-015-2598-9</v>
      </c>
      <c r="D700" s="24" t="str">
        <f>IFERROR(__xludf.DUMMYFUNCTION("""COMPUTED_VALUE"""),"Keck et al")</f>
        <v>Keck et al</v>
      </c>
      <c r="E700" s="24" t="str">
        <f>IFERROR(__xludf.DUMMYFUNCTION("""COMPUTED_VALUE"""),"WOS:000361764400027")</f>
        <v>WOS:000361764400027</v>
      </c>
      <c r="F700" s="24" t="str">
        <f>IFERROR(__xludf.DUMMYFUNCTION("""COMPUTED_VALUE"""),"[""ELIGIBLE""]")</f>
        <v>["ELIGIBLE"]</v>
      </c>
    </row>
    <row r="701">
      <c r="A701" s="24" t="str">
        <f>IFERROR(__xludf.DUMMYFUNCTION("""COMPUTED_VALUE"""),"Impacts of a novel shellfishing gear on macrobenthos in a marine protected area: pump-scoop dredging in Poole Harbour, UK")</f>
        <v>Impacts of a novel shellfishing gear on macrobenthos in a marine protected area: pump-scoop dredging in Poole Harbour, UK</v>
      </c>
      <c r="B701" s="24" t="str">
        <f>IFERROR(__xludf.DUMMYFUNCTION("""COMPUTED_VALUE"""),"Understanding the impact of bottom-fishing gears at various scales and intensities on habitats and species is necessary to inform management. In Poole Harbour, UK, a multiple use marine protected area, fishermen utilise a unique pump-scoop dredge to harve"&amp;"st the introduced Manila clam Ruditapes philippinarum. Managers need to balance the socio-economic benefits of the fishery with ecological concerns across the region, which has required a revision of by-laws that include both spatial and temporal measures"&amp;". Within an operational fishery, we used a Before-After-Control-Impact sampling design to assess the impacts of pump-scoop dredging on benthic physical characteristics and community structure in an area where there was no dredging, an area newly opened to"&amp;" dredging and an area subject to high levels of historic dredging. A sampling grid was used in each area to best capture any fishing effort in the newly opened area. Core samples were taken to a depth of 30 cm within intertidal mudflats. A significant los"&amp;"s of fine sediments was observed in the site subject to high intensity dredging and a significant change in community structure also occurred in both dredged sites throughout the study period. In the newly opened site this was characterised by a relative "&amp;"increase in species richness, including increased abundance of annelid worms, notably Hediste diversicolor and Aphelochaeta marioni and a decline in the abundance of the bivalve mollusc Abra tenuis. These changes, albeit relatively small, are attributed t"&amp;"o physical disturbance as a direct result of pump-scoop dredging, although no difference in the classification of the biotope of the site was observed. This is of particular interest to managers monitoring site condition within areas under the new bylaws "&amp;"as the Manila clam is spreading to other protected estuaries in the region.")</f>
        <v>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v>
      </c>
      <c r="C701" s="24" t="str">
        <f>IFERROR(__xludf.DUMMYFUNCTION("""COMPUTED_VALUE"""),"10.1051/alr/2017044")</f>
        <v>10.1051/alr/2017044</v>
      </c>
      <c r="D701" s="24" t="str">
        <f>IFERROR(__xludf.DUMMYFUNCTION("""COMPUTED_VALUE"""),"Keck et al")</f>
        <v>Keck et al</v>
      </c>
      <c r="E701" s="24" t="str">
        <f>IFERROR(__xludf.DUMMYFUNCTION("""COMPUTED_VALUE"""),"WOS:000417610600001")</f>
        <v>WOS:000417610600001</v>
      </c>
      <c r="F701" s="24" t="str">
        <f>IFERROR(__xludf.DUMMYFUNCTION("""COMPUTED_VALUE"""),"[""ELIGIBLE""]")</f>
        <v>["ELIGIBLE"]</v>
      </c>
    </row>
    <row r="702">
      <c r="A702" s="24" t="str">
        <f>IFERROR(__xludf.DUMMYFUNCTION("""COMPUTED_VALUE"""),"Diversity and Coding Potential of the Microbiota in the Photic and Aphotic Zones of Tropical Man-Made Lake with Intensive Aquaculture Activities: a Case Study on Temengor Lake, Malaysia")</f>
        <v>Diversity and Coding Potential of the Microbiota in the Photic and Aphotic Zones of Tropical Man-Made Lake with Intensive Aquaculture Activities: a Case Study on Temengor Lake, Malaysia</v>
      </c>
      <c r="B702" s="24" t="str">
        <f>IFERROR(__xludf.DUMMYFUNCTION("""COMPUTED_VALUE"""),"Although freshwater biomes cover less than 1% of the Earth's surface, they have disproportionate ecological significances. Attempts to study the taxonomy and function of freshwater microbiota are currently limited to samples collected from temperate lakes"&amp;". In this study, we investigated samples from the photic and aphotic of an aquaculture site (disturbed) of Temengor Lake, a tropical lake in comparison with the undisturbed site of the lake using 16S rRNA amplicon and shotgun metagenomic approaches. Verti"&amp;"cal changes in bacterial community composition and function of the Temengor Lake metagenomes were observed. The photic water layer of Temengor Lake was dominated by typical freshwater assemblages consisting of Proteobacteria, Actinobacteria, Bacteroidetes"&amp;", Verrucomicrobia, and Cyanobacteria lineages. On the other hand, the aphotic water featured in addition to Proteobacteria, Bacteroidetes, Verrucomicrobia, and two more abundant bacterial phyla that are typically ubiquitous in anoxic habitats (Chloroflexi"&amp;" and Firmicutes). The aphotic zone of Temengor Lake exhibited genetic potential for nitrogen and sulfur metabolisms for which terminal electron acceptors other than oxygen are used in the reactions. The aphotic water of the disturbed site also showed an o"&amp;"verrepresentation of genes associated with the metabolism of carbohydrates, likely driven by the enrichment of nutrient resulting from aquaculture activities at the site. The results presented in this study can serve as a basis for understanding the struc"&amp;"ture and functional capacity of the microbial communities in the photic and aphotic zones/water layers of tropical man-made lakes.")</f>
        <v>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v>
      </c>
      <c r="C702" s="24" t="str">
        <f>IFERROR(__xludf.DUMMYFUNCTION("""COMPUTED_VALUE"""),"10.1007/s00248-018-1283-0")</f>
        <v>10.1007/s00248-018-1283-0</v>
      </c>
      <c r="D702" s="24" t="str">
        <f>IFERROR(__xludf.DUMMYFUNCTION("""COMPUTED_VALUE"""),"Keck et al")</f>
        <v>Keck et al</v>
      </c>
      <c r="E702" s="24" t="str">
        <f>IFERROR(__xludf.DUMMYFUNCTION("""COMPUTED_VALUE"""),"WOS:000471204100003")</f>
        <v>WOS:000471204100003</v>
      </c>
      <c r="F702" s="24" t="str">
        <f>IFERROR(__xludf.DUMMYFUNCTION("""COMPUTED_VALUE"""),"[""ELIGIBLE""]")</f>
        <v>["ELIGIBLE"]</v>
      </c>
    </row>
    <row r="703">
      <c r="A703" s="24" t="str">
        <f>IFERROR(__xludf.DUMMYFUNCTION("""COMPUTED_VALUE"""),"Comparative Resistance and Resilience of Soil Microbial Communities and Enzyme Activities in Adjacent Native Forest and Agricultural Soils")</f>
        <v>Comparative Resistance and Resilience of Soil Microbial Communities and Enzyme Activities in Adjacent Native Forest and Agricultural Soils</v>
      </c>
      <c r="B703" s="24" t="str">
        <f>IFERROR(__xludf.DUMMYFUNCTION("""COMPUTED_VALUE"""),"Degradation of soil properties following deforestation and long-term soil cultivation may lead to decreases in soil microbial diversity and functional stability. In this study, we investigated the differences in the stability (resistance and resilience) o"&amp;"f microbial community composition and enzyme activities in adjacent soils under either native tropical forest (FST) or in agricultural cropping use for 14 years (AGR). Mineral soil samples (0 to 5 cm) from both areas were incubated at 40A degrees C, 50A d"&amp;"egrees C, 60A degrees C, or 70A degrees C for 15 min in order to successively reduce the microbial biomass. Three and 30 days after the heat shocks, fluorescein diacetate (FDA) hydrolysis, cellulase and laccase activities, and phospholipid-derived fatty a"&amp;"cids-based microbial community composition were measured. Microbial biomass was reduced up to 25% in both soils 3 days after the heat shocks. The higher initial values of microbial biomass, enzyme activity, total and particulate soil organic carbon, and a"&amp;"ggregate stability in the FST soil coincided with higher enzymatic stability after heat shocks. FDA hydrolysis activity was less affected (more resistance) and cellulase and laccase activities recovered more rapidly (more resilience) in the FST soil relat"&amp;"ive to the AGR counterpart. In the AGR soil, laccase activity did not show resilience to any heat shock level up to 30 days after the disturbance. Within each soil type, the microbial community composition did not differ between heat shock and control sam"&amp;"ples at day 3. However, at day 30, FST soil samples treated at 60A degrees C and 70A degrees C contained a microbial community significantly different from the control and with lower biomass regardless of high enzyme resilience. Results of this study show"&amp;" that deforestation followed by long-term cultivation changed microbial community composition and had differential effects on microbial functional stability. Both soils displayed similar resilience to FDA hydrolysis, a composite measure of a broad range o"&amp;"f hydrolases, supporting the concept of high functional redundancy in soil microbial communities. In contrast, the resilience of the substrate-specific activities of laccase and cellulase were lower in AGR soils, indicating a less diverse community of mic"&amp;"roorganisms capable of producing these enzymes and confirming that specific microbial functions are more sensitive measurements for evaluating change in the ecological stability of soils.")</f>
        <v>Degradation of soil properties following deforestation and long-term soil cultivation may lead to decreases in soil microbial diversity and functional stability. In this study, we investigated the differences in the stability (resistance and resilience) of microbial community composition and enzyme activities in adjacent soils under either native tropical forest (FST) or in agricultural cropping use for 14 years (AGR). Mineral soil samples (0 to 5 cm) from both areas were incubated at 40A degrees C, 50A degrees C, 60A degrees C, or 70A degrees C for 15 min in order to successively reduce the microbial biomass. Three and 30 days after the heat shocks, fluorescein diacetate (FDA) hydrolysis, cellulase and laccase activities, and phospholipid-derived fatty acids-based microbial community composition were measured. Microbial biomass was reduced up to 25% in both soils 3 days after the heat shocks. The higher initial values of microbial biomass, enzyme activity, total and particulate soil organic carbon, and aggregate stability in the FST soil coincided with higher enzymatic stability after heat shocks. FDA hydrolysis activity was less affected (more resistance) and cellulase and laccase activities recovered more rapidly (more resilience) in the FST soil relative to the AGR counterpart. In the AGR soil, laccase activity did not show resilience to any heat shock level up to 30 days after the disturbance. Within each soil type, the microbial community composition did not differ between heat shock and control samples at day 3. However, at day 30, FST soil samples treated at 60A degrees C and 70A degrees C contained a microbial community significantly different from the control and with lower biomass regardless of high enzyme resilience. Results of this study show that deforestation followed by long-term cultivation changed microbial community composition and had differential effects on microbial functional stability. Both soils displayed similar resilience to FDA hydrolysis, a composite measure of a broad range of hydrolases, supporting the concept of high functional redundancy in soil microbial communities. In contrast, the resilience of the substrate-specific activities of laccase and cellulase were lower in AGR soils, indicating a less diverse community of microorganisms capable of producing these enzymes and confirming that specific microbial functions are more sensitive measurements for evaluating change in the ecological stability of soils.</v>
      </c>
      <c r="C703" s="24" t="str">
        <f>IFERROR(__xludf.DUMMYFUNCTION("""COMPUTED_VALUE"""),"10.1007/s00248-009-9508-x")</f>
        <v>10.1007/s00248-009-9508-x</v>
      </c>
      <c r="D703" s="24" t="str">
        <f>IFERROR(__xludf.DUMMYFUNCTION("""COMPUTED_VALUE"""),"Keck et al")</f>
        <v>Keck et al</v>
      </c>
      <c r="E703" s="24" t="str">
        <f>IFERROR(__xludf.DUMMYFUNCTION("""COMPUTED_VALUE"""),"WOS:000268019000016")</f>
        <v>WOS:000268019000016</v>
      </c>
      <c r="F703" s="24" t="str">
        <f>IFERROR(__xludf.DUMMYFUNCTION("""COMPUTED_VALUE"""),"[""ELIGIBLE""]")</f>
        <v>["ELIGIBLE"]</v>
      </c>
    </row>
    <row r="704">
      <c r="A704" s="24" t="str">
        <f>IFERROR(__xludf.DUMMYFUNCTION("""COMPUTED_VALUE"""),"Effects of oil palm plantations on habitat structure and fish assemblages in Amazon streams")</f>
        <v>Effects of oil palm plantations on habitat structure and fish assemblages in Amazon streams</v>
      </c>
      <c r="B704" s="24" t="str">
        <f>IFERROR(__xludf.DUMMYFUNCTION("""COMPUTED_VALUE"""),"The aim of this research is to assess the effects of oil palm plantations on stream habitat and their fish assemblage diversity. We hypothesize that streams which drain through oil palm plantations tend to be less heterogeneous, limiting the occurrence of"&amp;" many species, than streams that drain through forest fragments, which support higher fish diversity. A total of 17 streams were sampled; eight in forest fragments and nine in oil palm plantations. Environmental and biological variables were sampled along"&amp;" 150 m stretch in each stream. Of the 242 environmental variables measured, ten were considered important to assess the condition of structural habitat, and out of these variables, four were considered relevant in the distinction between streams in oil pa"&amp;"lm plantations and forest fragments. A total of 7245 fishes were collected, belonging to 63 species. Unlike our original hypothesis, the species richness did not differ between forest fragment and oil palm plantations streams, showing that it is not a goo"&amp;"d divert measure in streams disturbance assessment. However, fish assemblages differed in species composition, and 56 species were recorded in oil palm plantation streams, while 44 species were recorded in forest fragments streams. Some species were ident"&amp;"ified as indicators of either altered (Aequidens tetramerus and Apistogramma agassizii) or undisturbed areas (Helogenes marmoratus). Overall, oil palm plantations were proven to change stream habitat structure and fish species distribution, corroborating "&amp;"other studies that have evidenced changes in patterns of biological community structure due to impacts by different land uses.")</f>
        <v>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v>
      </c>
      <c r="C704" s="24" t="str">
        <f>IFERROR(__xludf.DUMMYFUNCTION("""COMPUTED_VALUE"""),"10.1007/s10641-018-0716-4")</f>
        <v>10.1007/s10641-018-0716-4</v>
      </c>
      <c r="D704" s="24" t="str">
        <f>IFERROR(__xludf.DUMMYFUNCTION("""COMPUTED_VALUE"""),"Keck et al")</f>
        <v>Keck et al</v>
      </c>
      <c r="E704" s="24" t="str">
        <f>IFERROR(__xludf.DUMMYFUNCTION("""COMPUTED_VALUE"""),"WOS:000427174300003")</f>
        <v>WOS:000427174300003</v>
      </c>
      <c r="F704" s="24" t="str">
        <f>IFERROR(__xludf.DUMMYFUNCTION("""COMPUTED_VALUE"""),"[""ELIGIBLE""]")</f>
        <v>["ELIGIBLE"]</v>
      </c>
    </row>
    <row r="705">
      <c r="A705" s="24" t="str">
        <f>IFERROR(__xludf.DUMMYFUNCTION("""COMPUTED_VALUE"""),"Assessment of regional benthic impact of salmon mariculture within the Letang Inlet, Bay of Fundy")</f>
        <v>Assessment of regional benthic impact of salmon mariculture within the Letang Inlet, Bay of Fundy</v>
      </c>
      <c r="B705" s="24" t="str">
        <f>IFERROR(__xludf.DUMMYFUNCTION("""COMPUTED_VALUE"""),"Between 1994 and 1999, impact on the benthic fauna has been evaluated in two areas with intensive salmon net-pen aquaculture (Lime Kiln Bay, Bliss Harbour). A third embayment (Deadmans Harbour), which lacked significant aquaculture activity. served as a r"&amp;"eference site. Changes in benthic community structure were investigated using multivariate, distributional. and univariate analyses. Such changes reflect cumulative stress From various sources, including organic enrichment and chemical therapeutants. Chan"&amp;"ges at the Deadmans Harbour reference site indicated a general improvement in ecosystem quality during the study period. Lime Kiln Bay experienced an increase in aquaculture activity during the first few years. Followed by a complete cessation in 1998. An"&amp;"alyses indicated increased biological stress on the benthic community, suggesting major environmental alterations did take place in that bay. Diversity declined significantly between 1994 and 1995. with a corresponding significant increase in sediment org"&amp;"anic content. Analysis of indicator species corroborated the enrichment trend. Sedimentary microbial biomass and organic matter concentrations decreased from 1997 to 1999, reflecting the cessation of fish farming, but the benthos did not recover during th"&amp;"is period. IL is concluded that benthic impact in Lime Kiln Bay persisted until 1999 even though organic loading decreased. Enrichment levels in Bliss Harbour were elevated From the beginning of the study onwards and the impact persisted throughout the st"&amp;"udy. The observed differences in community structure within the three embayments were not attributable to differences in sediment types, temperature. salinity. or water depth. (C) 2001 International Council for the Exploration of the Sea.")</f>
        <v>Between 1994 and 1999, impact on the benthic fauna has been evaluated in two areas with intensive salmon net-pen aquaculture (Lime Kiln Bay, Bliss Harbour). A third embayment (Deadmans Harbour), which lacked significant aquaculture activity. served as a reference site. Changes in benthic community structure were investigated using multivariate, distributional. and univariate analyses. Such changes reflect cumulative stress From various sources, including organic enrichment and chemical therapeutants. Changes at the Deadmans Harbour reference site indicated a general improvement in ecosystem quality during the study period. Lime Kiln Bay experienced an increase in aquaculture activity during the first few years. Followed by a complete cessation in 1998. Analyses indicated increased biological stress on the benthic community, suggesting major environmental alterations did take place in that bay. Diversity declined significantly between 1994 and 1995. with a corresponding significant increase in sediment organic content. Analysis of indicator species corroborated the enrichment trend. Sedimentary microbial biomass and organic matter concentrations decreased from 1997 to 1999, reflecting the cessation of fish farming, but the benthos did not recover during this period. IL is concluded that benthic impact in Lime Kiln Bay persisted until 1999 even though organic loading decreased. Enrichment levels in Bliss Harbour were elevated From the beginning of the study onwards and the impact persisted throughout the study. The observed differences in community structure within the three embayments were not attributable to differences in sediment types, temperature. salinity. or water depth. (C) 2001 International Council for the Exploration of the Sea.</v>
      </c>
      <c r="C705" s="24" t="str">
        <f>IFERROR(__xludf.DUMMYFUNCTION("""COMPUTED_VALUE"""),"10.1006/jmsc.2000.1039")</f>
        <v>10.1006/jmsc.2000.1039</v>
      </c>
      <c r="D705" s="24" t="str">
        <f>IFERROR(__xludf.DUMMYFUNCTION("""COMPUTED_VALUE"""),"Keck et al")</f>
        <v>Keck et al</v>
      </c>
      <c r="E705" s="24" t="str">
        <f>IFERROR(__xludf.DUMMYFUNCTION("""COMPUTED_VALUE"""),"WOS:000169186300010")</f>
        <v>WOS:000169186300010</v>
      </c>
      <c r="F705" s="24" t="str">
        <f>IFERROR(__xludf.DUMMYFUNCTION("""COMPUTED_VALUE"""),"[""ELIGIBLE""]")</f>
        <v>["ELIGIBLE"]</v>
      </c>
    </row>
    <row r="706">
      <c r="A706" s="24" t="str">
        <f>IFERROR(__xludf.DUMMYFUNCTION("""COMPUTED_VALUE"""),"Diatom floristic change and lake paleoproduction as evidence of recent eutrophication in shallow lakes of the midwestern USA")</f>
        <v>Diatom floristic change and lake paleoproduction as evidence of recent eutrophication in shallow lakes of the midwestern USA</v>
      </c>
      <c r="B706" s="24" t="str">
        <f>IFERROR(__xludf.DUMMYFUNCTION("""COMPUTED_VALUE"""),"Intensive agricultural practices can dramatically change the landscape, thereby increasing the concentrations and rates at which nutrients are delivered to aquatic ecosystems. In the United States, concerns about accelerating rates of lake eutrophication "&amp;"related to increases in nutrient loading require a method of quantifying ecological changes that have occurred since European settlement. Because the application of traditional quantitative total phosphorus transfer functions in paleolimnology has proven "&amp;"difficult in shallow, hypereutrophic lakes, we used several approaches in this study to assess ecosystem changes associated with eutrophication of 32 natural lakes in the state of Iowa, USA. In addition to traditional transfer function methods, we estimat"&amp;"ed changes in primary productivity from the flux of biogenic silica (BSi) and organic carbon accumulation rates (OC AR). Additionally, we compared pre-disturbance diatom communities to modern diatom communities, i.e. floristic change, using non-metric mul"&amp;"ti-dimensional scaling and square chord distance. OC AR and BSi fluxes increased over time and were positively correlated with the time period of agricultural intensification in the region (post-1940). Ninety-one percent of the lakes in this study showed "&amp;"evidence for eutrophication based on geochemical proxies, and 88 % of lakes showed major floristic change in the diatom community. Whereas geochemical indicators showed consistent increases in productivity across most lakes, floristic changes reflected mo"&amp;"re complex interactions between other environmental drivers. The magnitude of floristic change did not directly correlate to nutrient-driven increases in primary production, but was driven by ecological diatom assembly related to lake depth. Transfer func"&amp;"tions consistently perform poorly, especially for shallow lakes, and other techniques that combine geochemistry and diatom ecology are recommended for reconstructions of eutrophication.")</f>
        <v>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v>
      </c>
      <c r="C706" s="24" t="str">
        <f>IFERROR(__xludf.DUMMYFUNCTION("""COMPUTED_VALUE"""),"10.1007/s10933-014-9804-4")</f>
        <v>10.1007/s10933-014-9804-4</v>
      </c>
      <c r="D706" s="24" t="str">
        <f>IFERROR(__xludf.DUMMYFUNCTION("""COMPUTED_VALUE"""),"Keck et al")</f>
        <v>Keck et al</v>
      </c>
      <c r="E706" s="24" t="str">
        <f>IFERROR(__xludf.DUMMYFUNCTION("""COMPUTED_VALUE"""),"WOS:000347293900002")</f>
        <v>WOS:000347293900002</v>
      </c>
      <c r="F706" s="24" t="str">
        <f>IFERROR(__xludf.DUMMYFUNCTION("""COMPUTED_VALUE"""),"[""ELIGIBLE""]")</f>
        <v>["ELIGIBLE"]</v>
      </c>
    </row>
    <row r="707">
      <c r="A707" s="24" t="str">
        <f>IFERROR(__xludf.DUMMYFUNCTION("""COMPUTED_VALUE"""),"Assessing the sewage discharge effects on soft-bottom macrofauna through traits-based approach")</f>
        <v>Assessing the sewage discharge effects on soft-bottom macrofauna through traits-based approach</v>
      </c>
      <c r="B707" s="24" t="str">
        <f>IFERROR(__xludf.DUMMYFUNCTION("""COMPUTED_VALUE"""),"We assessed the effect of sewage-derived materials on the structural and functional attributes of the soft-bottom macrofauna at an increasing distance from the entire diffusion area. Our results showed clear spatial changes of macrofaunal density and biom"&amp;"ass along the distance gradient from the main outfall. High values of biodiversity, species composition, and species linked to organic enrichment near the duct suggested that moderate organic stress affected this community. The traits analysis abundance-b"&amp;"ased, compared to biomass-based one, distinguished most clearly sewage contamination conditions. Functional diversity displayed spatial patterns with higher values in the less impacted sites and was significantly related to species numbers and the biotic "&amp;"indices (like M-AMBI). This approach is ideal for detecting macrofaunal functional changes due to sewage contamination. Thus, we infer that traits analyses could offer great potential for environmental assessment and monitoring of coastal areas influenced"&amp;" by human activities.")</f>
        <v>We assessed the effect of sewage-derived materials on the structural and functional attributes of the soft-bottom macrofauna at an increasing distance from the entire diffusion area. Our results showed clear spatial changes of macrofaunal density and biomass along the distance gradient from the main outfall. High values of biodiversity, species composition, and species linked to organic enrichment near the duct suggested that moderate organic stress affected this community. The traits analysis abundance-based, compared to biomass-based one, distinguished most clearly sewage contamination conditions. Functional diversity displayed spatial patterns with higher values in the less impacted sites and was significantly related to species numbers and the biotic indices (like M-AMBI). This approach is ideal for detecting macrofaunal functional changes due to sewage contamination. Thus, we infer that traits analyses could offer great potential for environmental assessment and monitoring of coastal areas influenced by human activities.</v>
      </c>
      <c r="C707" s="24" t="str">
        <f>IFERROR(__xludf.DUMMYFUNCTION("""COMPUTED_VALUE"""),"10.1016/j.marpolbul.2021.113003")</f>
        <v>10.1016/j.marpolbul.2021.113003</v>
      </c>
      <c r="D707" s="24" t="str">
        <f>IFERROR(__xludf.DUMMYFUNCTION("""COMPUTED_VALUE"""),"Keck et al")</f>
        <v>Keck et al</v>
      </c>
      <c r="E707" s="24" t="str">
        <f>IFERROR(__xludf.DUMMYFUNCTION("""COMPUTED_VALUE"""),"WOS:000706171300004")</f>
        <v>WOS:000706171300004</v>
      </c>
      <c r="F707" s="24" t="str">
        <f>IFERROR(__xludf.DUMMYFUNCTION("""COMPUTED_VALUE"""),"[""ELIGIBLE""]")</f>
        <v>["ELIGIBLE"]</v>
      </c>
    </row>
    <row r="708">
      <c r="A708" s="24" t="str">
        <f>IFERROR(__xludf.DUMMYFUNCTION("""COMPUTED_VALUE"""),"Changes in benthic sediment conditions under an Atlantic salmon farm at a deep, well-flushed coastal site")</f>
        <v>Changes in benthic sediment conditions under an Atlantic salmon farm at a deep, well-flushed coastal site</v>
      </c>
      <c r="B708" s="24" t="str">
        <f>IFERROR(__xludf.DUMMYFUNCTION("""COMPUTED_VALUE"""),"Along the Norwegian coastline, it is predicted that salmonid aquaculture will rapidly expand in the coming years, exceeding current production levels of 1.3 million t in 2012. This will result in increased interactions with both local and regional environ"&amp;"ments, thus more knowledge is urgently needed to better risk-manage a rapid expansion. We investigated changes in the benthic sediment condition in association with an Atlantic salmon farm sited at a deep, well-flushed coastal site in western Norway. Bent"&amp;"hic fluxes of O-2, total carbon dioxide (TCO2) and NH4+ intensified over the production cycle, when farming activity and the sedimentation of carbon and nitrogen was at its maximum. During the sampling campaign, benthic fluxes of O-2, TCO2 and NH4+ at the"&amp;" farming location were higher than those measured at a nearby reference location. Stimulation of benthic fluxes over the production cycle at the farming location were most likely driven by changes in benthic faunal community structure, abundance and bioma"&amp;"ss. High abundances of opportunistic species (i.e. Capitella capitata, Heteromastus filiformis, Paramphinome jeffreysii, Abra nitida and Thyasira sarsii) dominated the farming location, whilst the sediment biogeochemistry was stable throughout the study p"&amp;"eriod at both locations. However, despite differences in benthic fluxes and fauna structure over the production cycle, the input of organic carbon and nitrogen did not exceed the mineralisation capacity of a deep, well-flushed, fish farming location.")</f>
        <v>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v>
      </c>
      <c r="C708" s="24" t="str">
        <f>IFERROR(__xludf.DUMMYFUNCTION("""COMPUTED_VALUE"""),"10.3354/aei00092")</f>
        <v>10.3354/aei00092</v>
      </c>
      <c r="D708" s="24" t="str">
        <f>IFERROR(__xludf.DUMMYFUNCTION("""COMPUTED_VALUE"""),"Keck et al")</f>
        <v>Keck et al</v>
      </c>
      <c r="E708" s="24" t="str">
        <f>IFERROR(__xludf.DUMMYFUNCTION("""COMPUTED_VALUE"""),"WOS:000335583000003")</f>
        <v>WOS:000335583000003</v>
      </c>
      <c r="F708" s="24" t="str">
        <f>IFERROR(__xludf.DUMMYFUNCTION("""COMPUTED_VALUE"""),"[""ELIGIBLE""]")</f>
        <v>["ELIGIBLE"]</v>
      </c>
    </row>
    <row r="709">
      <c r="A709" s="24" t="str">
        <f>IFERROR(__xludf.DUMMYFUNCTION("""COMPUTED_VALUE"""),"The importance of biophysical context in understanding marine protected area outcomes for coral reef fish populations")</f>
        <v>The importance of biophysical context in understanding marine protected area outcomes for coral reef fish populations</v>
      </c>
      <c r="B709" s="24" t="str">
        <f>IFERROR(__xludf.DUMMYFUNCTION("""COMPUTED_VALUE"""),"Multiuse marine protected areas (MPAs) that utilize a mosaic of no-take and sustainable use zones are an increasingly common tool for promoting fish population recovery while minimizing socioeconomic conflict. However, significant gaps remain in our under"&amp;"standing of the effects of multiuse MPAs on reef-fish populations, and how protection from fishing may interact with biophysical gradients to drive ecological outcomes. Here, we examine changes in fish assemblages inside and outside of two multiuse MPAs i"&amp;"n Raja Ampat, Indonesia, over the first four to five years after their implementation. We use linear models to assess the impact of protection status, anthropogenic pressure, and biophysical gradients on changes in four biological metrics: abundance, biom"&amp;"ass, mean size, and size-spectra. In addition, we use multivariate analyses to assess whether fish assemblages in protected and unprotected reefs diverged after MPA establishment. We find that both fish abundance and biomass were driven equally or more by"&amp;" benthic characteristics than protection status and that these environmental impacts were decoupled from the effects of MPAs. Contrary to expectations, increases in abundance were more pronounced in unprotected reefs, where fish assemblages diverged from "&amp;"protected reefs through an increase of herbivorous parrotfishes (Subfamily Scarinae) likely driven by increased algal production on hard-bottom reef areas. However, mean size and size-spectra improved in sustainable use zones compared to unprotected reefs"&amp;", demonstrating that non-exclusionary management can provide ecological benefits, especially when combined with nearby no-take areas. Increased mean size was also associated with lower human population sizes, suggesting a strong influence of fishing press"&amp;"ure, which is mediated by MPAs. Our findings suggest that multiuse MPAs can quickly achieve some fisheries management objectives and that these effects are likely to increase over longer timescales. However, biophysical context can have significant impact"&amp;"s on reef-fish assemblages that are distinct from the effects of overlying fisheries management.")</f>
        <v>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v>
      </c>
      <c r="C709" s="24" t="str">
        <f>IFERROR(__xludf.DUMMYFUNCTION("""COMPUTED_VALUE"""),"10.1007/s00338-021-02085-y")</f>
        <v>10.1007/s00338-021-02085-y</v>
      </c>
      <c r="D709" s="24" t="str">
        <f>IFERROR(__xludf.DUMMYFUNCTION("""COMPUTED_VALUE"""),"Keck et al")</f>
        <v>Keck et al</v>
      </c>
      <c r="E709" s="24" t="str">
        <f>IFERROR(__xludf.DUMMYFUNCTION("""COMPUTED_VALUE"""),"WOS:000636400200002")</f>
        <v>WOS:000636400200002</v>
      </c>
      <c r="F709" s="24" t="str">
        <f>IFERROR(__xludf.DUMMYFUNCTION("""COMPUTED_VALUE"""),"[""ELIGIBLE""]")</f>
        <v>["ELIGIBLE"]</v>
      </c>
    </row>
    <row r="710">
      <c r="A710" s="24" t="str">
        <f>IFERROR(__xludf.DUMMYFUNCTION("""COMPUTED_VALUE"""),"Benthic infaunal assemblages adjacent to an ocean outfall in Australian marine waters: Impact assessment and identification of indicator taxa")</f>
        <v>Benthic infaunal assemblages adjacent to an ocean outfall in Australian marine waters: Impact assessment and identification of indicator taxa</v>
      </c>
      <c r="B710" s="24" t="str">
        <f>IFERROR(__xludf.DUMMYFUNCTION("""COMPUTED_VALUE"""),"An impact assessment of oceanic effluent releases from Belmont wastewater treatment works (WWTW) in Newcastle, Australia, was undertaken. Benthic infaunal assemblages in sandy sediments of similar to 25 m water depth were examined, at sites adjacent to th"&amp;"e release point, and at increasing distances up to 2 km in both a NE and SW direction over five consecutive years (2016-2020). Localised impacts were evident for infaunal assemblages, with sites within 20 m of the outfall (Impact site types) exhibiting lo"&amp;"wer taxa richness and Shannon diversity, higher abundances of polychaetes and/or nematodes, higher polychaete ratios, and shifts in assemblage composition in comparison to sites at greater distances during some years. Taxa with increased localised abundan"&amp;"ces at the outfall were identified as indicators for monitoring impacts, including deposit-feeding polychaetes (Families Polygordiidae, Paraonidae and Dorvilleidae) and Phylum Nematoda. Future infaunal monitoring could include molecular tools and paired s"&amp;"ediment analyses.")</f>
        <v>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v>
      </c>
      <c r="C710" s="24" t="str">
        <f>IFERROR(__xludf.DUMMYFUNCTION("""COMPUTED_VALUE"""),"10.1016/j.marpolbul.2021.113229")</f>
        <v>10.1016/j.marpolbul.2021.113229</v>
      </c>
      <c r="D710" s="24" t="str">
        <f>IFERROR(__xludf.DUMMYFUNCTION("""COMPUTED_VALUE"""),"Keck et al")</f>
        <v>Keck et al</v>
      </c>
      <c r="E710" s="24" t="str">
        <f>IFERROR(__xludf.DUMMYFUNCTION("""COMPUTED_VALUE"""),"WOS:000737263600002")</f>
        <v>WOS:000737263600002</v>
      </c>
      <c r="F710" s="24" t="str">
        <f>IFERROR(__xludf.DUMMYFUNCTION("""COMPUTED_VALUE"""),"[""ELIGIBLE""]")</f>
        <v>["ELIGIBLE"]</v>
      </c>
    </row>
    <row r="711">
      <c r="A711" s="24" t="str">
        <f>IFERROR(__xludf.DUMMYFUNCTION("""COMPUTED_VALUE"""),"Short-Term Response of Two Beneficial Invertebrate Groups to Wildfire in an Arid Grassland System, United States")</f>
        <v>Short-Term Response of Two Beneficial Invertebrate Groups to Wildfire in an Arid Grassland System, United States</v>
      </c>
      <c r="B711" s="24" t="str">
        <f>IFERROR(__xludf.DUMMYFUNCTION("""COMPUTED_VALUE"""),"Rangeland invertebrates contribute greatly to biodiversity and provide important services including pollination, pest control, and nutrient cycling. As wildfire frequency increases across these areas of the United States, it is imperative to understand ho"&amp;"w these disturbances affect beneficial invertebrate communities. We examined bee (Hymenoptera), spider (Araneae), and vegetative communities 1 yr before and 1 yr after a large wildfire swept across an intact grassland in eastern Oregon. Several sites were"&amp;" left unburned after the fire, and a before-after-control-impact study design was used to assess changes within the communities. Fire had no effect on bee or spider abundance, or spider diversity or richness; however, fire significantly increased native b"&amp;"ee diversity and richness. In addition, composition of both native bee and spider communities differed significantly between burned and unburned areas 1 yr after the fire. Sheet web spiders (Linyphiidae) and several bee species (primarily large, generalis"&amp;"t species) were associated with burned sites. Invasive annual grass and biological soil crust cover decreased significantly in burned sites, butmaximum vegetation height and litter cover did not differ significantly among treatments. Forb abundance increa"&amp;"sed in burned sites; however, species richness of forbs in burned and unburned sites did not differ significantly 1 yr after the fire. Several forbs were indicative of burned areas including non-native species, such as Douglas' knotweed (Polygonum douglas"&amp;"ii) and Russian thistle (Salsola tragus), and native species such as Canadian horseweed (Conyza canadensis), hoary tansyaster (Machaeranthera canescens), and tall willowherb (Epilobium brachycarpum). This study demonstrates that both invertebrate and plan"&amp;"t communities show strong short-term responses to wildfire, and our results can be used to inform management of rare habitat and biodiversity in rangelands impacted by wildfire in arid grasslands. (C) 2018 The Society for Range Management. Published by El"&amp;"sevier Inc. All rights reserved.")</f>
        <v>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v>
      </c>
      <c r="C711" s="24" t="str">
        <f>IFERROR(__xludf.DUMMYFUNCTION("""COMPUTED_VALUE"""),"10.1016/j.rama.2018.11.011")</f>
        <v>10.1016/j.rama.2018.11.011</v>
      </c>
      <c r="D711" s="24" t="str">
        <f>IFERROR(__xludf.DUMMYFUNCTION("""COMPUTED_VALUE"""),"Keck et al")</f>
        <v>Keck et al</v>
      </c>
      <c r="E711" s="24" t="str">
        <f>IFERROR(__xludf.DUMMYFUNCTION("""COMPUTED_VALUE"""),"WOS:000466561700018")</f>
        <v>WOS:000466561700018</v>
      </c>
      <c r="F711" s="24" t="str">
        <f>IFERROR(__xludf.DUMMYFUNCTION("""COMPUTED_VALUE"""),"[""ELIGIBLE""]")</f>
        <v>["ELIGIBLE"]</v>
      </c>
    </row>
    <row r="712">
      <c r="A712" s="24" t="str">
        <f>IFERROR(__xludf.DUMMYFUNCTION("""COMPUTED_VALUE"""),"Can the leaf-bag technique detect benthic macrofauna responses to sediment contamination by metals and metalloids in estuaries?")</f>
        <v>Can the leaf-bag technique detect benthic macrofauna responses to sediment contamination by metals and metalloids in estuaries?</v>
      </c>
      <c r="B712" s="24" t="str">
        <f>IFERROR(__xludf.DUMMYFUNCTION("""COMPUTED_VALUE"""),"The Estarreja Channel, Ria de Aveiro, Portugal, received industrial effluents for over 70 years. Despite the discharges stopped a decade ago, a recent study showed negative ecological effects still associated with the metal and metalloid contaminated sedi"&amp;"ments. In contaminated versus reference channels, this study compared the benthic macrofauna collected with corer and mesh-bags for community structure and synthesis descriptors, namely taxa richness (S), Shannon-Wiener diversity (H'), taxonomic (AMBI and"&amp;" M-AMBI) and non-taxonomic (ISS) biotic indices and functional indicators (decomposition rates). The corer infauna dominated community and the associated S, H', M-AMBI and ISS indices detected significant differences between contaminated and reference cha"&amp;"nnels, otherwise undistinguished by the decomposition rates and the mesh-bags epifauna dominated community and associated indices. This suggests that sediment contamination in the deeper layers is not being transferred to the surface layers, explaining th"&amp;"e non-affectation of the benthic macrofauna communities sampled in the leaf-bags.")</f>
        <v>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v>
      </c>
      <c r="C712" s="24" t="str">
        <f>IFERROR(__xludf.DUMMYFUNCTION("""COMPUTED_VALUE"""),"10.1016/j.marpolbul.2017.07.027")</f>
        <v>10.1016/j.marpolbul.2017.07.027</v>
      </c>
      <c r="D712" s="24" t="str">
        <f>IFERROR(__xludf.DUMMYFUNCTION("""COMPUTED_VALUE"""),"Keck et al")</f>
        <v>Keck et al</v>
      </c>
      <c r="E712" s="24" t="str">
        <f>IFERROR(__xludf.DUMMYFUNCTION("""COMPUTED_VALUE"""),"WOS:000415391200032")</f>
        <v>WOS:000415391200032</v>
      </c>
      <c r="F712" s="24" t="str">
        <f>IFERROR(__xludf.DUMMYFUNCTION("""COMPUTED_VALUE"""),"[""ELIGIBLE""]")</f>
        <v>["ELIGIBLE"]</v>
      </c>
    </row>
    <row r="713">
      <c r="A713" s="24" t="str">
        <f>IFERROR(__xludf.DUMMYFUNCTION("""COMPUTED_VALUE"""),"Long-term effects of oxytetracycline exposure in zebrafish: A multi-level perspective")</f>
        <v>Long-term effects of oxytetracycline exposure in zebrafish: A multi-level perspective</v>
      </c>
      <c r="B713" s="24" t="str">
        <f>IFERROR(__xludf.DUMMYFUNCTION("""COMPUTED_VALUE"""),"Oxytetracycline (OTC) is a broad-spectrum antibiotic widely used in livestock production. Like many other pharmaceuticals, OTC is not completely metabolized by the organism and thus, increasing amounts of the compound are being detected in the aquatic env"&amp;"ironment. The assessment of the environmental risk of pharmaceuticals is hindered by their very low concentrations and specific modes of action and thus relevant exposure scenarios and sensitive endpoints are needed. Thus, this work aimed to study the lon"&amp;"g-term effect of OTC exposure in zebrafish (at behavior and biochemical levels) and associated bacterial communities (fish gut and water bacterial communities). Results revealed that at behavioral level, boldness increase (manifested by increased explorat"&amp;"ory behavior of a new environment) was observed in fish exposed to low OTC concentrations. Moreover, changes in fish swimming pattern were observed in light periods (increased stress response: hyperactivity and freezing) probably due to photo-sensibility "&amp;"conferred by OTC exposure. Effects at biochemical level suggest that long-term exposure to OTC interfere with cellular energy allocation mainly by reducing lipids levels and increasing energy consumption. Moreover, evidences of oxidative damage were also "&amp;"observed (reduced levels of TG, GST and CAT). The analysis of water and gut microbiome revealed changes in the structure and diversity of bacterial communities potentially leading to changes in communities' biological function. Some of the effects were ob"&amp;"served at the lowest concentration tested, 0.1 mu g/L. which is a concentration already detected in the environment and thus clearly demonstrating the need of a serious ecotoxicological assessment of OTC effects on non-target organisms. (C) 2019 Elsevier "&amp;"Ltd. All rights reserved.")</f>
        <v>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v>
      </c>
      <c r="C713" s="24" t="str">
        <f>IFERROR(__xludf.DUMMYFUNCTION("""COMPUTED_VALUE"""),"10.1016/j.chemosphere.2019.01.147")</f>
        <v>10.1016/j.chemosphere.2019.01.147</v>
      </c>
      <c r="D713" s="24" t="str">
        <f>IFERROR(__xludf.DUMMYFUNCTION("""COMPUTED_VALUE"""),"Keck et al")</f>
        <v>Keck et al</v>
      </c>
      <c r="E713" s="24" t="str">
        <f>IFERROR(__xludf.DUMMYFUNCTION("""COMPUTED_VALUE"""),"WOS:000462109200039")</f>
        <v>WOS:000462109200039</v>
      </c>
      <c r="F713" s="24" t="str">
        <f>IFERROR(__xludf.DUMMYFUNCTION("""COMPUTED_VALUE"""),"[""ELIGIBLE""]")</f>
        <v>["ELIGIBLE"]</v>
      </c>
    </row>
    <row r="714">
      <c r="A714" s="24" t="str">
        <f>IFERROR(__xludf.DUMMYFUNCTION("""COMPUTED_VALUE"""),"The introduction of Littorina littorea to British Columbia, Canada: potential impacts and the importance of biotic resistance by native predators")</f>
        <v>The introduction of Littorina littorea to British Columbia, Canada: potential impacts and the importance of biotic resistance by native predators</v>
      </c>
      <c r="B714" s="24" t="str">
        <f>IFERROR(__xludf.DUMMYFUNCTION("""COMPUTED_VALUE"""),"Although the establishment and spread of non-indigenous species depends upon survival in the face of novel environmental conditions and novel biological interactions, relatively little attention has been focused on the specific role of native predators in"&amp;" limiting invasion success. The European common periwinkle, Littorina littorea, was recently introduced to the Pacific coast of Canada and provides a case study of an introduction into an area with an important predator guild (sea stars) that is functiona"&amp;"lly minor in the invader's native habitat. Here, we assess the likelihood of establishment, spread, and negative ecological impact of this introduced gastropod, with an emphasis on the role of native sea stars as agents of biotic resistance. Size frequenc"&amp;"y distributions and local market availability suggest that L. littorea was most likely introduced via the live seafood trade. Non-native hitchhikers (e.g., the trematode Cryptocotyle lingua) were found on/in both market and field specimens. Laboratory stu"&amp;"dies and field observations confirmed that L. littorea can survive seasonal low salinity in Vancouver, British Columbia. Periwinkles also readily consumed native Ulva, suggesting that periwinkles could impact native communities via herbivory or resource c"&amp;"ompetition. Unlike native gastropods, however, L. littorea lacked behavioural avoidance responses to Northeast Pacific predatory sea stars (Pisaster ochraceus and Pycnopodia helianthoides), and sea star predation rates on L. littorea were much higher than"&amp;" predation rates on native turban snails (Chlorostoma funebralis) in common garden experiments. We therefore expect periwinkle establishment in British Columbia to be limited to areas with low predator density, as is seen in its field distribution to date"&amp;". We caution that this conclusion may understate the importance of the L. littorea introduction if it also serves as a vector for additional non-indigenous species such as C. lingua.")</f>
        <v>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v>
      </c>
      <c r="C714" s="24" t="str">
        <f>IFERROR(__xludf.DUMMYFUNCTION("""COMPUTED_VALUE"""),"10.1007/s00227-013-2206-8")</f>
        <v>10.1007/s00227-013-2206-8</v>
      </c>
      <c r="D714" s="24" t="str">
        <f>IFERROR(__xludf.DUMMYFUNCTION("""COMPUTED_VALUE"""),"Keck et al")</f>
        <v>Keck et al</v>
      </c>
      <c r="E714" s="24" t="str">
        <f>IFERROR(__xludf.DUMMYFUNCTION("""COMPUTED_VALUE"""),"WOS:000320791000002")</f>
        <v>WOS:000320791000002</v>
      </c>
      <c r="F714" s="24" t="str">
        <f>IFERROR(__xludf.DUMMYFUNCTION("""COMPUTED_VALUE"""),"[""ELIGIBLE""]")</f>
        <v>["ELIGIBLE"]</v>
      </c>
    </row>
    <row r="715">
      <c r="A715" s="24" t="str">
        <f>IFERROR(__xludf.DUMMYFUNCTION("""COMPUTED_VALUE"""),"A comparison of species assemblages between drainage systems with and without floodgates: implications for coastal floodplain management")</f>
        <v>A comparison of species assemblages between drainage systems with and without floodgates: implications for coastal floodplain management</v>
      </c>
      <c r="B715" s="24" t="str">
        <f>IFERROR(__xludf.DUMMYFUNCTION("""COMPUTED_VALUE"""),"Coastal floodplains provide essential nursery habitat for a large number of fish and prawn species, many of which are commercially and recreationally important. Human activities in coastal floodplains, such as those associated with agriculture and (or) de"&amp;"velopment, can have detrimental impacts on this nursery function. We examined the potential role of flood mitigation structures, in particular tidal floodgates, in depleting estuarine and inshore fisheries stocks in eastern Australia. We compared species "&amp;"assemblages (abundance and biomass) in reference and gated drainage systems in the Clarence River floodplain (New South Wales, Australia) over a 1-year period. We subsequently determined which environmental variables were associated with the observed patt"&amp;"erns in species assemblages. Our results show that abundance, biomass, and assemblages of juvenile fishes and invertebrates differed significantly and consistently between drainage systems with and without floodgates. The major environmental variables of "&amp;"concern in systems with floodgates were (i) presence of a floodgate, (ii) elevated concentrations of nutrients, and (iii) abundance of aquatic weeds. We discuss our findings in light of potential strategies to improve coastal floodplain management for fis"&amp;"heries production purposes.")</f>
        <v>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v>
      </c>
      <c r="C715" s="24" t="str">
        <f>IFERROR(__xludf.DUMMYFUNCTION("""COMPUTED_VALUE"""),"10.1139/F06-134")</f>
        <v>10.1139/F06-134</v>
      </c>
      <c r="D715" s="24" t="str">
        <f>IFERROR(__xludf.DUMMYFUNCTION("""COMPUTED_VALUE"""),"Keck et al")</f>
        <v>Keck et al</v>
      </c>
      <c r="E715" s="24" t="str">
        <f>IFERROR(__xludf.DUMMYFUNCTION("""COMPUTED_VALUE"""),"WOS:000241965000002")</f>
        <v>WOS:000241965000002</v>
      </c>
      <c r="F715" s="24" t="str">
        <f>IFERROR(__xludf.DUMMYFUNCTION("""COMPUTED_VALUE"""),"[""ELIGIBLE""]")</f>
        <v>["ELIGIBLE"]</v>
      </c>
    </row>
    <row r="716">
      <c r="A716" s="24" t="str">
        <f>IFERROR(__xludf.DUMMYFUNCTION("""COMPUTED_VALUE"""),"Multiple stressors in agricultural streams: interactions among sediment addition, nutrient enrichment and water abstraction")</f>
        <v>Multiple stressors in agricultural streams: interactions among sediment addition, nutrient enrichment and water abstraction</v>
      </c>
      <c r="B716" s="24" t="str">
        <f>IFERROR(__xludf.DUMMYFUNCTION("""COMPUTED_VALUE"""),"P&gt;1. Many ecosystems are influenced simultaneously by multiple stressors, and the consequences of stressors are often unpredictable on the basis of knowledge of single effects. Agriculture affects streams world-wide via nutrient enrichment, elevated fine "&amp;"sediment and water abstraction for irrigation, but the combined impacts of these stressors are unknown. 2. We manipulated all three stressors simultaneously in an 18-day experiment and determined their individual and pair-wise combined effects on benthic "&amp;"invertebrates, algal biomass and leaf decay. We added nutrients (phosphorus plus nitrogen) and/or fine sediment (grain size 0 center dot 2 mm) to 18 experimental stream channels (dimensions 250 x 15 x 15 cm) supplied with water from a nearby stream. Three"&amp;" sediment and three nutrient treatments (high, intermediate, natural) were applied to each of six channels while flow was reduced by 80% in half the channels. Invertebrates (composition, abundance) and algae (chlorophyll a) were assayed using ceramic tile"&amp;" substrata and leaf decay was assayed using bundled leaves of a native shrub. Invertebrates colonizing leaf packs were also sampled. 3. Effects of sediment addition and flow reduction on biological response parameters were twice as common as nutrient enri"&amp;"chment effects. Nutrient enrichment increased total invertebrate abundance on tiles, algal biomass accrual and leaf decay rates, whereas both sediment addition (at the highest level) and flow reduction had mostly negative effects (e.g. reduced algal bioma"&amp;"ss, invertebrate abundance and/or taxonomic richness). 4. Stressors interacted often, and interactions between sediment and flow were particularly common. The negative impact of added sediment on aquatic biota was stronger at reduced flow, especially on t"&amp;"ile substrata that were more exposed to the current than leaf-pack substrata. 5. Synthesis and applications. Our key findings imply that abstracting water from a stream already subjected to high fine sediment inputs may have far worse effects on the inver"&amp;"tebrate fauna than abstraction from a similar stream with lower sediment levels. Aquatic resource managers should be aware of this important interaction between multiple stressors.")</f>
        <v>P&gt;1. Many ecosystems are influenced simultaneously by multiple stressors, and the consequences of stressors are often unpredictable on the basis of knowledge of single effects. Agriculture affects streams world-wide via nutrient enrichment, elevated fine sediment and water abstraction for irrigation, but the combined impacts of these stressors are unknown. 2. We manipulated all three stressors simultaneously in an 18-day experiment and determined their individual and pair-wise combined effects on benthic invertebrates, algal biomass and leaf decay. We added nutrients (phosphorus plus nitrogen) and/or fine sediment (grain size 0 center dot 2 mm) to 18 experimental stream channels (dimensions 250 x 15 x 15 cm) supplied with water from a nearby stream. Three sediment and three nutrient treatments (high, intermediate, natural) were applied to each of six channels while flow was reduced by 80% in half the channels. Invertebrates (composition, abundance) and algae (chlorophyll a) were assayed using ceramic tile substrata and leaf decay was assayed using bundled leaves of a native shrub. Invertebrates colonizing leaf packs were also sampled. 3. Effects of sediment addition and flow reduction on biological response parameters were twice as common as nutrient enrichment effects. Nutrient enrichment increased total invertebrate abundance on tiles, algal biomass accrual and leaf decay rates, whereas both sediment addition (at the highest level) and flow reduction had mostly negative effects (e.g. reduced algal biomass, invertebrate abundance and/or taxonomic richness). 4. Stressors interacted often, and interactions between sediment and flow were particularly common. The negative impact of added sediment on aquatic biota was stronger at reduced flow, especially on tile substrata that were more exposed to the current than leaf-pack substrata. 5. Synthesis and applications. Our key findings imply that abstracting water from a stream already subjected to high fine sediment inputs may have far worse effects on the invertebrate fauna than abstraction from a similar stream with lower sediment levels. Aquatic resource managers should be aware of this important interaction between multiple stressors.</v>
      </c>
      <c r="C716" s="24" t="str">
        <f>IFERROR(__xludf.DUMMYFUNCTION("""COMPUTED_VALUE"""),"10.1111/j.1365-2664.2010.01809.x")</f>
        <v>10.1111/j.1365-2664.2010.01809.x</v>
      </c>
      <c r="D716" s="24" t="str">
        <f>IFERROR(__xludf.DUMMYFUNCTION("""COMPUTED_VALUE"""),"Keck et al")</f>
        <v>Keck et al</v>
      </c>
      <c r="E716" s="24" t="str">
        <f>IFERROR(__xludf.DUMMYFUNCTION("""COMPUTED_VALUE"""),"WOS:000277168000016")</f>
        <v>WOS:000277168000016</v>
      </c>
      <c r="F716" s="24" t="str">
        <f>IFERROR(__xludf.DUMMYFUNCTION("""COMPUTED_VALUE"""),"[""ELIGIBLE""]")</f>
        <v>["ELIGIBLE"]</v>
      </c>
    </row>
    <row r="717">
      <c r="A717" s="24" t="str">
        <f>IFERROR(__xludf.DUMMYFUNCTION("""COMPUTED_VALUE"""),"Ocean acidification drives community shifts towards simplified non-calcified habitats in a subtropical-temperate transition zone")</f>
        <v>Ocean acidification drives community shifts towards simplified non-calcified habitats in a subtropical-temperate transition zone</v>
      </c>
      <c r="B717" s="24" t="str">
        <f>IFERROR(__xludf.DUMMYFUNCTION("""COMPUTED_VALUE"""),"Rising atmospheric concentrations of carbon dioxide are causing surface seawater pH and carbonate ion concentrations to fall in a process known as ocean acidification. To assess the likely ecological effects of ocean acidification we compared intertidal a"&amp;"nd subtidal marine communities at increasing levels of pCO(2) at recently discovered volcanic seeps off the Pacific coast of Japan (34 degrees N). This study region is of particular interest for ocean acidification research as it has naturally low levels "&amp;"of surface seawater pCO(2) (280-320 mu atm) and is located at a transition zone between temperate and sub-tropical communities. We provide the first assessment of ocean acidification effects at a biogeographic boundary. Marine communities exposed to mean "&amp;"levels of pCO(2) predicted by 2050 experienced periods of low aragonite saturation and high dissolved inorganic carbon. These two factors combined to cause marked community shifts and a major decline in biodiversity, including the loss of key habitat-form"&amp;"ing species, with even more extreme community changes expected by 2100. Our results provide empirical evidence that near-future levels of pCO(2) shift sub-tropical ecosystems from carbonate to fleshy algal dominated systems, accompanied by biodiversity lo"&amp;"ss and major simplification of the ecosystem.")</f>
        <v>Rising atmospheric concentrations of carbon dioxide are causing surface seawater pH and carbonate ion concentrations to fall in a process known as ocean acidification. To assess the likely ecological effects of ocean acidification we compared intertidal and subtidal marine communities at increasing levels of pCO(2) at recently discovered volcanic seeps off the Pacific coast of Japan (34 degrees N). This study region is of particular interest for ocean acidification research as it has naturally low levels of surface seawater pCO(2) (280-320 mu atm) and is located at a transition zone between temperate and sub-tropical communities. We provide the first assessment of ocean acidification effects at a biogeographic boundary. Marine communities exposed to mean levels of pCO(2) predicted by 2050 experienced periods of low aragonite saturation and high dissolved inorganic carbon. These two factors combined to cause marked community shifts and a major decline in biodiversity, including the loss of key habitat-forming species, with even more extreme community changes expected by 2100. Our results provide empirical evidence that near-future levels of pCO(2) shift sub-tropical ecosystems from carbonate to fleshy algal dominated systems, accompanied by biodiversity loss and major simplification of the ecosystem.</v>
      </c>
      <c r="C717" s="24" t="str">
        <f>IFERROR(__xludf.DUMMYFUNCTION("""COMPUTED_VALUE"""),"10.1038/s41598-018-29251-7")</f>
        <v>10.1038/s41598-018-29251-7</v>
      </c>
      <c r="D717" s="24" t="str">
        <f>IFERROR(__xludf.DUMMYFUNCTION("""COMPUTED_VALUE"""),"Keck et al")</f>
        <v>Keck et al</v>
      </c>
      <c r="E717" s="24" t="str">
        <f>IFERROR(__xludf.DUMMYFUNCTION("""COMPUTED_VALUE"""),"WOS:000439965800008")</f>
        <v>WOS:000439965800008</v>
      </c>
      <c r="F717" s="24" t="str">
        <f>IFERROR(__xludf.DUMMYFUNCTION("""COMPUTED_VALUE"""),"[""ELIGIBLE""]")</f>
        <v>["ELIGIBLE"]</v>
      </c>
    </row>
    <row r="718">
      <c r="A718" s="24" t="str">
        <f>IFERROR(__xludf.DUMMYFUNCTION("""COMPUTED_VALUE"""),"Bioindicators or sediment relationships: Evaluating ecological responses from sandy beach nematodes")</f>
        <v>Bioindicators or sediment relationships: Evaluating ecological responses from sandy beach nematodes</v>
      </c>
      <c r="B718" s="24" t="str">
        <f>IFERROR(__xludf.DUMMYFUNCTION("""COMPUTED_VALUE"""),"Sandy beaches from tropical countries are currently facing many challenges due to rapid urban development and its impacts on coastal areas. Despite their aesthetic, recreational and ecological importance, these environments are neglected when it comes to "&amp;"assessment and conservation measures, which can be done in several ways, including biomonitoring. Nematodes are amongst the most suitable organisms to be used as ecological indicators in sandy beaches due to their high abundance on marine sediments and it"&amp;"s rapid responses to different sorts of impacts. We analyzed the nematode assemblages and the environmental variables from seven sandy beaches under different types of pressure from Rio de Janeiro state, in Brazil, and applied the biological indexes that "&amp;"use nematodes as bioindicators in order to evaluate differences on the ecological status of these beaches. Sampling took place in the summer of 2015, during the spring low tide. Physicochemical characteristics, microbiology and granulometry were measured "&amp;"alongside human density on each of the beaches and linked to nematode distribution found on the intertidal zone. Botafogo beach, already known for being highly affected by sewage disposal, showed high values for organic matter content and the least divers"&amp;"e assemblage, with high dominance from genus Chromadorita. Despite the higher human density, most urban and touristic beaches (Barra da Tijuca and Copacabana) did not show distinct values for the diversity measures when compared to the most preserved beac"&amp;"hes (Restinga da Marambaia and Fora - Urea). While the applied biological indexes did not show clear answers concerning the ecological health of the studied sites; the sediment sorting coefficient was the variable that best explained the nematode distribu"&amp;"tion and some genera are associated to certain spectrums with this variable. For instance, opportunist genera such as Daptonema and Theristus were found on broader spectrums of sorting coefficient while predators with bigger body diameters showed a more r"&amp;"estricted distribution. As the mean grain size is still considered the main variable on nematode distribution for sandy beaches, this study reveals that the sorting coefficient also gives important answers for the nematode distribution.")</f>
        <v>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v>
      </c>
      <c r="C718" s="24" t="str">
        <f>IFERROR(__xludf.DUMMYFUNCTION("""COMPUTED_VALUE"""),"10.1016/j.ecss.2019.04.035")</f>
        <v>10.1016/j.ecss.2019.04.035</v>
      </c>
      <c r="D718" s="24" t="str">
        <f>IFERROR(__xludf.DUMMYFUNCTION("""COMPUTED_VALUE"""),"Keck et al")</f>
        <v>Keck et al</v>
      </c>
      <c r="E718" s="24" t="str">
        <f>IFERROR(__xludf.DUMMYFUNCTION("""COMPUTED_VALUE"""),"WOS:000472813500020")</f>
        <v>WOS:000472813500020</v>
      </c>
      <c r="F718" s="24" t="str">
        <f>IFERROR(__xludf.DUMMYFUNCTION("""COMPUTED_VALUE"""),"[""ELIGIBLE""]")</f>
        <v>["ELIGIBLE"]</v>
      </c>
    </row>
    <row r="719">
      <c r="A719" s="24" t="str">
        <f>IFERROR(__xludf.DUMMYFUNCTION("""COMPUTED_VALUE"""),"Coal Mine Water Pollution and Ecological Impairment of One of Australia's Most 'Protected' High Conservation-Value Rivers")</f>
        <v>Coal Mine Water Pollution and Ecological Impairment of One of Australia's Most 'Protected' High Conservation-Value Rivers</v>
      </c>
      <c r="B719" s="24" t="str">
        <f>IFERROR(__xludf.DUMMYFUNCTION("""COMPUTED_VALUE"""),"The environmental regulation of a coal mine in the greater Sydney area has failed to recognise the importance of and protect a high conservation-value river located in a World Heritage listed area. This study measured the water quality and ecological heal"&amp;"th (using macroinvertebrates) of the Wollangambe River and its tributaries near the point of the waste water discharge of a coal mine and assessed the longitudinal impact for 22 km downstream. The investigation revealed two important aspects. The first is"&amp;" the significant impact of the waste water discharge when compared to the otherwise near-pristine condition of the high conservation-value river system. The second is the spatial extent of the pollution from the mine that extends at least 22 km downstream"&amp;" from the outflow of coal mine wastes. The resulting water pollution is causing major impairment of the aquatic ecosystem, with reduced abundance, taxonomic richness and loss of pollution-sensitive macroin-vertebrate groups. Water pollution from the mine "&amp;"includes thermal pollution, increased salinity and increased concentrations of zinc and nickel. The mine's waste discharge also strongly modified the river's ionic composition. The study also highlights the failure of the regulatory and governance systems"&amp;" that enable the mine to operate in a manner that causes major environmental impacts.")</f>
        <v>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v>
      </c>
      <c r="C719" s="24" t="str">
        <f>IFERROR(__xludf.DUMMYFUNCTION("""COMPUTED_VALUE"""),"10.1007/s11270-017-3278-8")</f>
        <v>10.1007/s11270-017-3278-8</v>
      </c>
      <c r="D719" s="24" t="str">
        <f>IFERROR(__xludf.DUMMYFUNCTION("""COMPUTED_VALUE"""),"Keck et al")</f>
        <v>Keck et al</v>
      </c>
      <c r="E719" s="24" t="str">
        <f>IFERROR(__xludf.DUMMYFUNCTION("""COMPUTED_VALUE"""),"WOS:000397821100005")</f>
        <v>WOS:000397821100005</v>
      </c>
      <c r="F719" s="24" t="str">
        <f>IFERROR(__xludf.DUMMYFUNCTION("""COMPUTED_VALUE"""),"[""ELIGIBLE""]")</f>
        <v>["ELIGIBLE"]</v>
      </c>
    </row>
    <row r="720">
      <c r="A720" s="24" t="str">
        <f>IFERROR(__xludf.DUMMYFUNCTION("""COMPUTED_VALUE"""),"Distinct fungal plastisphere across different river functional zones: A watershed scale study")</f>
        <v>Distinct fungal plastisphere across different river functional zones: A watershed scale study</v>
      </c>
      <c r="B720" s="24" t="str">
        <f>IFERROR(__xludf.DUMMYFUNCTION("""COMPUTED_VALUE"""),"Fungi not only play important roles in biogeochemical processes but also can form biofilm on plastic debris. However, knowledge of structure composition and spatiotemporal pattern of fungal plastisphere on different kinds of plastic debris in river with s"&amp;"pecific usages, known as river functional zones, is still missing. In this study, we investigated the spatial distribution of the fungal plastisphere across a complete urban river with different functional zones (drinking, farm irrigation, aquaculture, an"&amp;"d tail lake). Our research was performed based on both field residual plastic debris collection and a 30-day field in situ incubation experiments. Our study revealed that plastic debris enriched distinct fungal communities (including pathogenic fungi) sig"&amp;"nificantly different from the surrounding water. Tracking the source of the fungi colonized on plastic debris suggested that the fungal taxa colonized on the different kinds of plastic debris were not from the surrounding water. Human activities had consi"&amp;"derable effects on the fungal community structure on plastic debris, and the plastisphere fungal community structure strikingly varied across different river functional zones. Plastisphere may be used as an indicator for fungi biogeography and pathogenic "&amp;"fungi pollution in river with different functional zones. These findings are essential for ecological risk assessment and management decisions for pollution control of plastic debris and maintaining ecological health. (C) 2020 Elsevier B.V. All rights res"&amp;"erved.")</f>
        <v>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v>
      </c>
      <c r="C720" s="24" t="str">
        <f>IFERROR(__xludf.DUMMYFUNCTION("""COMPUTED_VALUE"""),"10.1016/j.scitotenv.2020.141879")</f>
        <v>10.1016/j.scitotenv.2020.141879</v>
      </c>
      <c r="D720" s="24" t="str">
        <f>IFERROR(__xludf.DUMMYFUNCTION("""COMPUTED_VALUE"""),"Keck et al")</f>
        <v>Keck et al</v>
      </c>
      <c r="E720" s="24" t="str">
        <f>IFERROR(__xludf.DUMMYFUNCTION("""COMPUTED_VALUE"""),"WOS:000588243900072")</f>
        <v>WOS:000588243900072</v>
      </c>
      <c r="F720" s="24" t="str">
        <f>IFERROR(__xludf.DUMMYFUNCTION("""COMPUTED_VALUE"""),"[""ELIGIBLE""]")</f>
        <v>["ELIGIBLE"]</v>
      </c>
    </row>
    <row r="721">
      <c r="A721" s="24" t="str">
        <f>IFERROR(__xludf.DUMMYFUNCTION("""COMPUTED_VALUE"""),"Fish assemblages in habitats dominated by Caulerpa taxifolia and native seagrasses in south-eastern Australia")</f>
        <v>Fish assemblages in habitats dominated by Caulerpa taxifolia and native seagrasses in south-eastern Australia</v>
      </c>
      <c r="B721" s="24" t="str">
        <f>IFERROR(__xludf.DUMMYFUNCTION("""COMPUTED_VALUE"""),"Seagrass beds in estuaries are important habitats and nursery grounds for a great variety of fishes, including many economically important species. The introduction of the invasive green alga Caulerpa taxifolia could potentially threaten the seagrasses of"&amp;" south-eastern Australia. This study examined the implications of the spread of C. taxifolia on ichthyofauna in 2 estuaries in central New South Wales. Fish assemblages were compared among adjacent habitats of C. taxifolia and 2 seagrass species (Posidoni"&amp;"a australis and Zostera capricorni). Fish were sampled using a small beam trawl to test for differences among habitats in (1) the species composition of the fish assemblages, (2) total abundance and species richness of fishes, and (3) abundances of major "&amp;"fish families. Fish assemblages separated into 3 significantly distinct groupings based on habitat. Total abundances of fishes were similar among habitats; however, species richness was lower in C. taxifolia. The fish assemblages in C. taxifolia were larg"&amp;"ely characterised by high abundances of gobiid fishes, similar to those in Z. capricorni, and few or no syngnathid and monacanthid species when compared to seagrass fish assemblages. This suggests that if C. taxifolia competitively replaces native seagras"&amp;"s beds in the estuaries of New South Wales, the resulting change in habitat may also cause a change in fish assemblages. This could reduce the abundances of some protected and economically important fish species but may also increase abundances of other o"&amp;"pportunistic fishes.")</f>
        <v>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v>
      </c>
      <c r="C721" s="24" t="str">
        <f>IFERROR(__xludf.DUMMYFUNCTION("""COMPUTED_VALUE"""),"10.3354/meps312223")</f>
        <v>10.3354/meps312223</v>
      </c>
      <c r="D721" s="24" t="str">
        <f>IFERROR(__xludf.DUMMYFUNCTION("""COMPUTED_VALUE"""),"Keck et al")</f>
        <v>Keck et al</v>
      </c>
      <c r="E721" s="24" t="str">
        <f>IFERROR(__xludf.DUMMYFUNCTION("""COMPUTED_VALUE"""),"WOS:000237918300019")</f>
        <v>WOS:000237918300019</v>
      </c>
      <c r="F721" s="24" t="str">
        <f>IFERROR(__xludf.DUMMYFUNCTION("""COMPUTED_VALUE"""),"[""ELIGIBLE""]")</f>
        <v>["ELIGIBLE"]</v>
      </c>
    </row>
    <row r="722">
      <c r="A722" s="24" t="str">
        <f>IFERROR(__xludf.DUMMYFUNCTION("""COMPUTED_VALUE"""),"Interactions among plants, bacteria, and fungi reduce extracellular enzyme activities under long-term N fertilization")</f>
        <v>Interactions among plants, bacteria, and fungi reduce extracellular enzyme activities under long-term N fertilization</v>
      </c>
      <c r="B722" s="24" t="str">
        <f>IFERROR(__xludf.DUMMYFUNCTION("""COMPUTED_VALUE"""),"Atmospheric nitrogen (N) deposition has enhanced soil carbon (C) stocks in temperate forests. Most research has posited that these soil C gains are driven primarily by shifts in fungal community composition with elevated N leading to declines in lignin de"&amp;"grading Basidiomycetes. Recent research, however, suggests that plants and soil microbes are dynamically intertwined, whereby plants send C subsidies to rhizosphere microbes to enhance enzyme production and the mobilization of N. Thus, under elevated N, t"&amp;"rees may reduce belowground C allocation leading to cascading impacts on the ability of microbes to degrade soil organic matter through a shift in microbial species and/or a change in plant-microbe interactions. The objective of this study was to determin"&amp;"e the extent to which couplings among plant, fungal, and bacterial responses to N fertilization alter the activity of enzymes that are the primary agents of soil decomposition. We measured fungal and bacterial community composition, root-microbial interac"&amp;"tions, and extracellular enzyme activity in the rhizosphere, bulk, and organic horizon of soils sampled from a long-term (&gt; 25 years), whole-watershed, N fertilization experiment at the Fernow Experimental Forest in West Virginia, USA. We observed signifi"&amp;"cant declines in plant C investment to fine root biomass (24.7%), root morphology, and arbuscular mycorrhizal (AM) colonization (55.9%). Moreover, we found that declines in extracellular enzyme activity were significantly correlated with a shift in bacter"&amp;"ial community composition, but not fungal community composition. This bacterial community shift was also correlated with reduced AM fungal colonization indicating that declines in plant investment belowground drive the response of bacterial community stru"&amp;"cture and function to N fertilization. Collectively, we find that enzyme activity responses to N fertilization are not solely driven by fungi, but instead reflect a whole ecosystem response, whereby declines in the strength of belowground C investment to "&amp;"gain N cascade through the soil environment.")</f>
        <v>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v>
      </c>
      <c r="C722" s="24" t="str">
        <f>IFERROR(__xludf.DUMMYFUNCTION("""COMPUTED_VALUE"""),"10.1111/gcb.14081")</f>
        <v>10.1111/gcb.14081</v>
      </c>
      <c r="D722" s="24" t="str">
        <f>IFERROR(__xludf.DUMMYFUNCTION("""COMPUTED_VALUE"""),"Keck et al")</f>
        <v>Keck et al</v>
      </c>
      <c r="E722" s="24" t="str">
        <f>IFERROR(__xludf.DUMMYFUNCTION("""COMPUTED_VALUE"""),"WOS:000433717700039")</f>
        <v>WOS:000433717700039</v>
      </c>
      <c r="F722" s="24" t="str">
        <f>IFERROR(__xludf.DUMMYFUNCTION("""COMPUTED_VALUE"""),"[""ELIGIBLE""]")</f>
        <v>["ELIGIBLE"]</v>
      </c>
    </row>
    <row r="723">
      <c r="A723" s="24" t="str">
        <f>IFERROR(__xludf.DUMMYFUNCTION("""COMPUTED_VALUE"""),"Relationship between sedimentation rates and benthic impact on Maerl beds derived from fish farming in the Mediterranean")</f>
        <v>Relationship between sedimentation rates and benthic impact on Maerl beds derived from fish farming in the Mediterranean</v>
      </c>
      <c r="B723" s="24" t="str">
        <f>IFERROR(__xludf.DUMMYFUNCTION("""COMPUTED_VALUE"""),"The aim of this work was to study the dispersion of particulate wastes derived from marine fish farming and correlate the data with the impact on the seabed. Carbon and nutrients were correlated with the physico-chemical parameters of the sediment and the"&amp;" benthic community structure. The sedimentation rates in the benthic system were 1.09, 0.09 and 0.13 g m(-2) day(-1) for particulate organic carbon (POC), particulate organic nitrogen (PON) and total phosphorus (TP), respectively. TP was a reliable parame"&amp;"ter for establishing the spatial extent of the fish farm particulate wastes. Fish farming was seen to influence not only physico-chemical and biological parameters but also the functioning of the ecosystem from a trophic point of view, particularly affect"&amp;"ing the grazers and the balance among the trophic groups. POC, PON and TP sedimentation dynamics reflected the physico-chemical status of the sediment along the distance gradient studied, while their impact on the benthic community extended further. There"&amp;"fore, the level of fish farm impact on the benthic community might be underestimated if it is assessed by merely taking into account data obtained from waste dispersion rates. The benthic habitat beneath the fish farm, Maerl bed, was seen to be very sensi"&amp;"tive to aquaculture impact compared with other unvegetated benthic habitats, with an estimated POC-carrying capacity to maintain current diversity of 0.087 g C m(-2) day(-1) (only 36% greater than the basal POC input). Environmental protection agencies sh"&amp;"ould define different aquaculture waste load thresholds for different benthic communities affected by finfish farming, according to their particular degree of sensitivity, in order to maintain natural ecosystem functions. (C) 2010 Elsevier Ltd. All rights"&amp;" reserved.")</f>
        <v>The aim of this work was to study the dispersion of particulate wastes derived from marine fish farming and correlate the data with the impact on the seabed. Carbon and nutrients were correlated with the physico-chemical parameters of the sediment and the benthic community structure. The sedimentation rates in the benthic system were 1.09, 0.09 and 0.13 g m(-2) day(-1) for particulate organic carbon (POC), particulate organic nitrogen (PON) and total phosphorus (TP), respectively. TP was a reliable parameter for establishing the spatial extent of the fish farm particulate wastes. Fish farming was seen to influence not only physico-chemical and biological parameters but also the functioning of the ecosystem from a trophic point of view, particularly affecting the grazers and the balance among the trophic groups. POC, PON and TP sedimentation dynamics reflected the physico-chemical status of the sediment along the distance gradient studied, while their impact on the benthic community extended further. Therefore, the level of fish farm impact on the benthic community might be underestimated if it is assessed by merely taking into account data obtained from waste dispersion rates. The benthic habitat beneath the fish farm, Maerl bed, was seen to be very sensitive to aquaculture impact compared with other unvegetated benthic habitats, with an estimated POC-carrying capacity to maintain current diversity of 0.087 g C m(-2) day(-1) (only 36% greater than the basal POC input). Environmental protection agencies should define different aquaculture waste load thresholds for different benthic communities affected by finfish farming, according to their particular degree of sensitivity, in order to maintain natural ecosystem functions. (C) 2010 Elsevier Ltd. All rights reserved.</v>
      </c>
      <c r="C723" s="24" t="str">
        <f>IFERROR(__xludf.DUMMYFUNCTION("""COMPUTED_VALUE"""),"10.1016/j.marenvres.2010.09.005")</f>
        <v>10.1016/j.marenvres.2010.09.005</v>
      </c>
      <c r="D723" s="24" t="str">
        <f>IFERROR(__xludf.DUMMYFUNCTION("""COMPUTED_VALUE"""),"Keck et al")</f>
        <v>Keck et al</v>
      </c>
      <c r="E723" s="24" t="str">
        <f>IFERROR(__xludf.DUMMYFUNCTION("""COMPUTED_VALUE"""),"WOS:000287276100004")</f>
        <v>WOS:000287276100004</v>
      </c>
      <c r="F723" s="24" t="str">
        <f>IFERROR(__xludf.DUMMYFUNCTION("""COMPUTED_VALUE"""),"[""ELIGIBLE""]")</f>
        <v>["ELIGIBLE"]</v>
      </c>
    </row>
    <row r="724">
      <c r="A724" s="24" t="str">
        <f>IFERROR(__xludf.DUMMYFUNCTION("""COMPUTED_VALUE"""),"Downstream fish assemblage response to river impoundment varies with degree of hydrologic alteration")</f>
        <v>Downstream fish assemblage response to river impoundment varies with degree of hydrologic alteration</v>
      </c>
      <c r="B724" s="24" t="str">
        <f>IFERROR(__xludf.DUMMYFUNCTION("""COMPUTED_VALUE"""),"River impoundments can fundamentally restructure downstream fish assemblages by altering flow regimes. However, the degree of alteration and associated ecological change may depend on pre-existing hydrologic regimes. We used long-term datasets to compare "&amp;"downstream hydrological and fish assemblage responses to impoundment in two catchments classified as having intermittent and perennial-flashy natural hydrologic regimes. We observed significant shifts in fish assemblage structure at both sites after strea"&amp;"m impoundment. The historically intermittent stream shifted to a stable perennial flow regime. Changes in fish assemblage structure covaried with changes in five different components of the flow regime; most species that increased in abundance require flu"&amp;"vial habitats and likely benefited from increased flows during historically low flow seasons. Shifts in fish assemblage structure were also observed in the perennial stream, despite minimal flow alteration after impoundment; however, most species shifts w"&amp;"ere associated with lentic environments, and were more likely related to proximity of reservoirs in the drainage system rather than changes in stream flow. Findings from this study confirm that downstream fish assemblage response to river impoundment can "&amp;"be associated with high levels of hydrologic alteration, but other factors including expansion of lentic species into lotic environments also influence shifts in assemblage structure.")</f>
        <v>River impoundments can fundamentally restructure downstream fish assemblages by altering flow regimes. However, the degree of alteration and associated ecological change may depend on pre-existing hydrologic regimes. We used long-term datasets to compare downstream hydrological and fish assemblage responses to impoundment in two catchments classified as having intermittent and perennial-flashy natural hydrologic regimes. We observed significant shifts in fish assemblage structure at both sites after stream impoundment. The historically intermittent stream shifted to a stable perennial flow regime. Changes in fish assemblage structure covaried with changes in five different components of the flow regime; most species that increased in abundance require fluvial habitats and likely benefited from increased flows during historically low flow seasons. Shifts in fish assemblage structure were also observed in the perennial stream, despite minimal flow alteration after impoundment; however, most species shifts were associated with lentic environments, and were more likely related to proximity of reservoirs in the drainage system rather than changes in stream flow. Findings from this study confirm that downstream fish assemblage response to river impoundment can be associated with high levels of hydrologic alteration, but other factors including expansion of lentic species into lotic environments also influence shifts in assemblage structure.</v>
      </c>
      <c r="C724" s="24" t="str">
        <f>IFERROR(__xludf.DUMMYFUNCTION("""COMPUTED_VALUE"""),"10.1007/s10750-013-1797-x")</f>
        <v>10.1007/s10750-013-1797-x</v>
      </c>
      <c r="D724" s="24" t="str">
        <f>IFERROR(__xludf.DUMMYFUNCTION("""COMPUTED_VALUE"""),"Keck et al")</f>
        <v>Keck et al</v>
      </c>
      <c r="E724" s="24" t="str">
        <f>IFERROR(__xludf.DUMMYFUNCTION("""COMPUTED_VALUE"""),"WOS:000332745800002")</f>
        <v>WOS:000332745800002</v>
      </c>
      <c r="F724" s="24" t="str">
        <f>IFERROR(__xludf.DUMMYFUNCTION("""COMPUTED_VALUE"""),"[""ELIGIBLE""]")</f>
        <v>["ELIGIBLE"]</v>
      </c>
    </row>
    <row r="725">
      <c r="A725" s="24" t="str">
        <f>IFERROR(__xludf.DUMMYFUNCTION("""COMPUTED_VALUE"""),"Jellyfish summer distribution, diversity and impact on fish farms in a Nordic fjord")</f>
        <v>Jellyfish summer distribution, diversity and impact on fish farms in a Nordic fjord</v>
      </c>
      <c r="B725" s="24" t="str">
        <f>IFERROR(__xludf.DUMMYFUNCTION("""COMPUTED_VALUE"""),"Jellyfish can cause high mortality of farmed fish and hence significant economic losses for the aquaculture industry. Despite their socio-economic importance, distribution and diversity data on gelatinous plankton are scarce from northern Norwegian fjords"&amp;" and other Nordic systems. Intense blooms of jellyfish have repeatedly been observed in Ryggefjord, Finnmark (Norway), sometimes concurrent with severe health problems of salmon. In the present study, the jellyfish community of this fjord was studied in s"&amp;"ummer 2015. In July, at least 13 species were identified using a combination of morphological and molecular techniques. High densities of small Beroe spp. and ctenophore larvae in cydippid stage dominated the surface waters. Adult Beroe cucumis were also "&amp;"present. Molecular identification revealed the presence of juvenile Euphysa tentaculata, as well as 2 species each of Clytia and Obelia. Obelia longissima was identified from both its pelagic (medusa) and benthic (polyp) stages, indicating that some local"&amp;" populations can complete their entire life cycle in the fjord. Abundances were significantly different between inner and outer parts of the fjord, and in relation to the prevailing wind direction. A dense bloom of the hydrozoan Dipleurosoma typicum in Se"&amp;"ptember coincided with high mortalities of farmed fish, suggesting a causal relationship. We conclude that the jellyfish assemblage in Ryggefjord is dynamic on short time scales and structured by both oceanographic conditions and local reproduction. A bet"&amp;"ter understanding of seasonal population development and the relationships between hydrography, abundance and species composition is required to develop mitigation strategies for aquaculture operations.")</f>
        <v>Jellyfish can cause high mortality of farmed fish and hence significant economic losses for the aquaculture industry. Despite their socio-economic importance, distribution and diversity data on gelatinous plankton are scarce from northern Norwegian fjords and other Nordic systems. Intense blooms of jellyfish have repeatedly been observed in Ryggefjord, Finnmark (Norway), sometimes concurrent with severe health problems of salmon. In the present study, the jellyfish community of this fjord was studied in summer 2015. In July, at least 13 species were identified using a combination of morphological and molecular techniques. High densities of small Beroe spp. and ctenophore larvae in cydippid stage dominated the surface waters. Adult Beroe cucumis were also present. Molecular identification revealed the presence of juvenile Euphysa tentaculata, as well as 2 species each of Clytia and Obelia. Obelia longissima was identified from both its pelagic (medusa) and benthic (polyp) stages, indicating that some local populations can complete their entire life cycle in the fjord. Abundances were significantly different between inner and outer parts of the fjord, and in relation to the prevailing wind direction. A dense bloom of the hydrozoan Dipleurosoma typicum in September coincided with high mortalities of farmed fish, suggesting a causal relationship. We conclude that the jellyfish assemblage in Ryggefjord is dynamic on short time scales and structured by both oceanographic conditions and local reproduction. A better understanding of seasonal population development and the relationships between hydrography, abundance and species composition is required to develop mitigation strategies for aquaculture operations.</v>
      </c>
      <c r="C725" s="24" t="str">
        <f>IFERROR(__xludf.DUMMYFUNCTION("""COMPUTED_VALUE"""),"10.3354/meps12274")</f>
        <v>10.3354/meps12274</v>
      </c>
      <c r="D725" s="24" t="str">
        <f>IFERROR(__xludf.DUMMYFUNCTION("""COMPUTED_VALUE"""),"Keck et al")</f>
        <v>Keck et al</v>
      </c>
      <c r="E725" s="24" t="str">
        <f>IFERROR(__xludf.DUMMYFUNCTION("""COMPUTED_VALUE"""),"WOS:000428818100021")</f>
        <v>WOS:000428818100021</v>
      </c>
      <c r="F725" s="24" t="str">
        <f>IFERROR(__xludf.DUMMYFUNCTION("""COMPUTED_VALUE"""),"[""ELIGIBLE""]")</f>
        <v>["ELIGIBLE"]</v>
      </c>
    </row>
    <row r="726">
      <c r="A726" s="24" t="str">
        <f>IFERROR(__xludf.DUMMYFUNCTION("""COMPUTED_VALUE"""),"Relationship of bird richness, abundance and assemblage to the built environment in a small island tropical urban setting: a Suva, Fiji case study")</f>
        <v>Relationship of bird richness, abundance and assemblage to the built environment in a small island tropical urban setting: a Suva, Fiji case study</v>
      </c>
      <c r="B726" s="24" t="str">
        <f>IFERROR(__xludf.DUMMYFUNCTION("""COMPUTED_VALUE"""),"There have been few studies investigating the relationship between the built environment and the status of bird distributions in small island tropical urban areas. We present a study investigating the relationship between bird species richness, abundance "&amp;"and assemblage to the built environment in Suva, Fiji. Field surveys were taken at 54 randomly selected sites throughout the city, stratified by three building density classes and the central business district (CBD). At each site bird counts were recorded"&amp;", along with environmental data such as average building height, within a 150 m radius. Land-use information was obtained from screen digitized high-resolution satellite imagery within the same radius. Distance to undeveloped patches of land within the ur"&amp;"ban area was calculated using a GIS. Analysis of the effects of the built environment was carried out for all species, and for exotic and native species separately. Abundance of exotics was significantly higher in the central business district (CBD) than "&amp;"all other urban density classes, and significantly higher than natives in all other density classes. We found a negative relationship between native species richness and distance to undeveloped patches, but no relationship for exotics. Species assemblage "&amp;"was not related to urban density class. We conclude that the status of native and exotic bird species in Suva is similar to what has been found in urban areas in temperate climates, and conservation efforts should focus on minimizing the amount of heavily"&amp;" urbanized core areas and protecting undeveloped areas of forested vegetation to improve bird biodiversity in small tropical islands cities.")</f>
        <v>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v>
      </c>
      <c r="C726" s="24" t="str">
        <f>IFERROR(__xludf.DUMMYFUNCTION("""COMPUTED_VALUE"""),"10.1007/s11252-019-00861-x")</f>
        <v>10.1007/s11252-019-00861-x</v>
      </c>
      <c r="D726" s="24" t="str">
        <f>IFERROR(__xludf.DUMMYFUNCTION("""COMPUTED_VALUE"""),"Keck et al")</f>
        <v>Keck et al</v>
      </c>
      <c r="E726" s="24" t="str">
        <f>IFERROR(__xludf.DUMMYFUNCTION("""COMPUTED_VALUE"""),"WOS:000476523200008")</f>
        <v>WOS:000476523200008</v>
      </c>
      <c r="F726" s="24" t="str">
        <f>IFERROR(__xludf.DUMMYFUNCTION("""COMPUTED_VALUE"""),"[""ELIGIBLE""]")</f>
        <v>["ELIGIBLE"]</v>
      </c>
    </row>
    <row r="727">
      <c r="A727" s="24" t="str">
        <f>IFERROR(__xludf.DUMMYFUNCTION("""COMPUTED_VALUE"""),"Long-term effects of flow regulation by dams simplify fish functional diversity")</f>
        <v>Long-term effects of flow regulation by dams simplify fish functional diversity</v>
      </c>
      <c r="B727" s="24" t="str">
        <f>IFERROR(__xludf.DUMMYFUNCTION("""COMPUTED_VALUE"""),"The long-term impact of river regulation on fish functional diversity by a dam immediately upstream from the upper Parana River floodplain, Brazil, was evaluated. It was expected that the resulting alterations in natural flow, downstream from the dam, wou"&amp;"ld negatively impact fish species, resulting in a functional simplification of the ichthyofauna. In addition, this effect was expected to be more pronounced in the directly affected main channel of the Parana River than in its tributaries, the Baia and Iv"&amp;"inhema rivers. Fish were sampled before (pre) and after (post) dam closure (the intervention). The functional traits used were diet, habitat use, mouth position, migration, parental care, internal fertilisation and maximum total length. Differences in tra"&amp;"it composition between periods (pre and post) were tested using a PERMANOVA main-test. An indicator value analysis (IndVal) was applied to identify which traits significantly increased or decreased in abundance after the intervention. The indexes used wer"&amp;"e functional richness (FRic), Rao's quadratic entropy (FDQ) and functional redundancy (FRed). The intervention analysis based on linear models for time series was used to evaluate differences in these indexes over time. Traits most representative during p"&amp;"re-intervention were large-bodied species with long reproductive migrations, pelagic, with subterminal and superior mouths, and herbivorous. Traits most representative during the post-intervention were omnivorous species, with parental care, benthopelagic"&amp;" and insectivorous, which typically characterise fishes that inhabit stable environments. FRic decreased in Parana and Baia rivers after the construction of the dam. However, the Ivinhema River showed an increase in mean FRic in the post-intervention peri"&amp;"od. FDQ decreased substantially in all three rivers, while FRed increased. The combined results of FRic, FDQ and FRed corroborate the functional simplification hypothesis expected from flow regulation by dams on functional diversity. As expected, the most"&amp;" pronounced simplification occurred in the Parana River. Therefore, hydroelectric power plants can act as environmental filters strongly selecting functional traits of the downstream fish fauna, generating long-lasting impacts on ecosystem functioning and"&amp;" services.")</f>
        <v>The long-term impact of river regulation on fish functional diversity by a dam immediately upstream from the upper Parana River floodplain, Brazil, was evaluated. It was expected that the resulting alterations in natural flow, downstream from the dam, would negatively impact fish species, resulting in a functional simplification of the ichthyofauna. In addition, this effect was expected to be more pronounced in the directly affected main channel of the Parana River than in its tributaries, the Baia and Ivinhema rivers. Fish were sampled before (pre) and after (post) dam closure (the intervention). The functional traits used were diet, habitat use, mouth position, migration, parental care, internal fertilisation and maximum total length. Differences in trait composition between periods (pre and post) were tested using a PERMANOVA main-test. An indicator value analysis (IndVal) was applied to identify which traits significantly increased or decreased in abundance after the intervention. The indexes used were functional richness (FRic), Rao's quadratic entropy (FDQ) and functional redundancy (FRed). The intervention analysis based on linear models for time series was used to evaluate differences in these indexes over time. Traits most representative during pre-intervention were large-bodied species with long reproductive migrations, pelagic, with subterminal and superior mouths, and herbivorous. Traits most representative during the post-intervention were omnivorous species, with parental care, benthopelagic and insectivorous, which typically characterise fishes that inhabit stable environments. FRic decreased in Parana and Baia rivers after the construction of the dam. However, the Ivinhema River showed an increase in mean FRic in the post-intervention period. FDQ decreased substantially in all three rivers, while FRed increased. The combined results of FRic, FDQ and FRed corroborate the functional simplification hypothesis expected from flow regulation by dams on functional diversity. As expected, the most pronounced simplification occurred in the Parana River. Therefore, hydroelectric power plants can act as environmental filters strongly selecting functional traits of the downstream fish fauna, generating long-lasting impacts on ecosystem functioning and services.</v>
      </c>
      <c r="C727" s="24" t="str">
        <f>IFERROR(__xludf.DUMMYFUNCTION("""COMPUTED_VALUE"""),"10.1111/fwb.13064")</f>
        <v>10.1111/fwb.13064</v>
      </c>
      <c r="D727" s="24" t="str">
        <f>IFERROR(__xludf.DUMMYFUNCTION("""COMPUTED_VALUE"""),"Keck et al")</f>
        <v>Keck et al</v>
      </c>
      <c r="E727" s="24" t="str">
        <f>IFERROR(__xludf.DUMMYFUNCTION("""COMPUTED_VALUE"""),"WOS:000424133500004")</f>
        <v>WOS:000424133500004</v>
      </c>
      <c r="F727" s="24" t="str">
        <f>IFERROR(__xludf.DUMMYFUNCTION("""COMPUTED_VALUE"""),"[""ELIGIBLE""]")</f>
        <v>["ELIGIBLE"]</v>
      </c>
    </row>
    <row r="728">
      <c r="A728" s="24" t="str">
        <f>IFERROR(__xludf.DUMMYFUNCTION("""COMPUTED_VALUE"""),"Cultivating the Macroalgal Holobiont: Effects of Integrated Multi-Trophic Aquaculture on the Microbiome of Ulva rigida (Chlorophyta)")</f>
        <v>Cultivating the Macroalgal Holobiont: Effects of Integrated Multi-Trophic Aquaculture on the Microbiome of Ulva rigida (Chlorophyta)</v>
      </c>
      <c r="B728" s="24" t="str">
        <f>IFERROR(__xludf.DUMMYFUNCTION("""COMPUTED_VALUE"""),"Ulva is a ubiquitous macroalgal genus of commercial interest. Integrated Multi-Trophic Aquaculture (IMTA) systems promise large-scale production of macroalgae due to their high productivity and environmental sustainability. Complex host-microbiome interac"&amp;"tions play a decisive role in macroalgal development, especially in Ulva spp. due to algal growth- and morphogenesis-promoting factors released by associated bacteria. However, our current understanding of the microbial community assembly and structure in"&amp;" cultivated macroalgae is scant. We aimed to determine (i) to what extent IMTA settings influence the microbiome associated with U. rigida and its rearing water, (ii) to explore the dynamics of beneficial microbes to algal growth and development under IMT"&amp;"A settings, and (iii) to improve current knowledge of host-microbiome interactions. We examined the diversity and taxonomic composition of the prokaryotic communities associated with wild versus IMTA-grown Ulva rigida and surrounding seawater by using 16S"&amp;" rRNA gene amplicon sequencing. With 3141 Amplicon Sequence Variants (ASVs), the prokaryotic richness was, overall, higher in water than in association with U. rigida. Bacterial ASVs were more abundant in aquaculture water samples than water collected fro"&amp;"m the lagoon. The beta diversity analysis revealed distinct prokaryotic communities associated with Ulva collected in both aquacultures and coastal waters. Aquaculture samples (water and algae) shared 22% of ASVs, whereas natural, coastal lagoon samples o"&amp;"nly 9%. While cultivated Ulva selected 239 (8%) host-specific ASVs, wild specimens possessed more than twice host-specific ASVs (17%). Cultivated U. rigida specimens enriched the phyla Cyanobacteria, Planctomycetes, Verrucomicrobia, and Proteobacteria. Wi"&amp;"thin the Gammaproteobacteria, while Glaciecola mostly dominated the microbiome in cultivated algae, the genus Granulosicoccus characterized both Ulva microbiomes. In both wild and IMTA settings, the phylum Bacteroidetes was more abundant in the bacteriopl"&amp;"ankton than in direct association with U. rigida. However, we observed that the Saprospiraceae family within this phylum was barely present in lagoon water but very abundant in aquaculture water. Aquaculture promoted the presence of known morphogenesis-in"&amp;"ducing bacteria in water samples. Our study suggests that IMTA significantly shaped the structure and composition of the microbial community of the rearing water and cultivated U. rigida. Detailed analysis revealed the presence of previously undetected ta"&amp;"xa associated with Ulva, possessing potentially unknown functional traits.")</f>
        <v>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v>
      </c>
      <c r="C728" s="24" t="str">
        <f>IFERROR(__xludf.DUMMYFUNCTION("""COMPUTED_VALUE"""),"10.3389/fmars.2020.00052")</f>
        <v>10.3389/fmars.2020.00052</v>
      </c>
      <c r="D728" s="24" t="str">
        <f>IFERROR(__xludf.DUMMYFUNCTION("""COMPUTED_VALUE"""),"Keck et al")</f>
        <v>Keck et al</v>
      </c>
      <c r="E728" s="24" t="str">
        <f>IFERROR(__xludf.DUMMYFUNCTION("""COMPUTED_VALUE"""),"WOS:000513494900001")</f>
        <v>WOS:000513494900001</v>
      </c>
      <c r="F728" s="24" t="str">
        <f>IFERROR(__xludf.DUMMYFUNCTION("""COMPUTED_VALUE"""),"[""ELIGIBLE""]")</f>
        <v>["ELIGIBLE"]</v>
      </c>
    </row>
    <row r="729">
      <c r="A729" s="24" t="str">
        <f>IFERROR(__xludf.DUMMYFUNCTION("""COMPUTED_VALUE"""),"Invasive willows drive instream community structure")</f>
        <v>Invasive willows drive instream community structure</v>
      </c>
      <c r="B729" s="24" t="str">
        <f>IFERROR(__xludf.DUMMYFUNCTION("""COMPUTED_VALUE"""),"Exotic invasive species are known to influence taxonomic communities and ecological processes. Few studies have examined the impact on taxonomic communities across trophic levels because it is time consuming and requires a wide range of identification ski"&amp;"lls. Here, we examined the impacts of invasive willow trees (Salix spp.) on microbial and macroinvertebrate composition using a combination of high resolution ecogenomic and classical approaches. Aquatic communities were compared and contrasted between st"&amp;"ream reaches with and without willow infestation in three temperate Australian streams. Willows significantly altered in-stream fungal, algal and macroinvertebrate communities. Macroinvertebrate diversity was similar between riparian types. Willow-infeste"&amp;"d sites were characterised by lower macroinvertebrate abundance and Australian biotic index scores, indicating the presence of taxa generally more tolerant to pollution. At invaded sites, grazers were replaced by generalist collector-gatherer taxa and the"&amp;" proportions of macroinvertebrate functional-feeding groups (FFG) were altered such that the primary trophic pathway was changed from an autotrophic algal-based pathway to a heterotrophic, detrital-based pathway. Riparian invasion by willows may change th"&amp;"e primary source of energy from autotrophy to heterotrophy in small streams, with knock-on effects on community structure across trophic levels.")</f>
        <v>Exotic invasive species are known to influence taxonomic communities and ecological processes. Few studies have examined the impact on taxonomic communities across trophic levels because it is time consuming and requires a wide range of identification skills. Here, we examined the impacts of invasive willow trees (Salix spp.) on microbial and macroinvertebrate composition using a combination of high resolution ecogenomic and classical approaches. Aquatic communities were compared and contrasted between stream reaches with and without willow infestation in three temperate Australian streams. Willows significantly altered in-stream fungal, algal and macroinvertebrate communities. Macroinvertebrate diversity was similar between riparian types. Willow-infested sites were characterised by lower macroinvertebrate abundance and Australian biotic index scores, indicating the presence of taxa generally more tolerant to pollution. At invaded sites, grazers were replaced by generalist collector-gatherer taxa and the proportions of macroinvertebrate functional-feeding groups (FFG) were altered such that the primary trophic pathway was changed from an autotrophic algal-based pathway to a heterotrophic, detrital-based pathway. Riparian invasion by willows may change the primary source of energy from autotrophy to heterotrophy in small streams, with knock-on effects on community structure across trophic levels.</v>
      </c>
      <c r="C729" s="24" t="str">
        <f>IFERROR(__xludf.DUMMYFUNCTION("""COMPUTED_VALUE"""),"10.1111/fwb.12778")</f>
        <v>10.1111/fwb.12778</v>
      </c>
      <c r="D729" s="24" t="str">
        <f>IFERROR(__xludf.DUMMYFUNCTION("""COMPUTED_VALUE"""),"Keck et al")</f>
        <v>Keck et al</v>
      </c>
      <c r="E729" s="24" t="str">
        <f>IFERROR(__xludf.DUMMYFUNCTION("""COMPUTED_VALUE"""),"WOS:000380902400002")</f>
        <v>WOS:000380902400002</v>
      </c>
      <c r="F729" s="24" t="str">
        <f>IFERROR(__xludf.DUMMYFUNCTION("""COMPUTED_VALUE"""),"[""ELIGIBLE""]")</f>
        <v>["ELIGIBLE"]</v>
      </c>
    </row>
    <row r="730">
      <c r="A730" s="24" t="str">
        <f>IFERROR(__xludf.DUMMYFUNCTION("""COMPUTED_VALUE"""),"Changes in the integrated functional stability of microbial community under chemical stresses and the impacting factors in field soils")</f>
        <v>Changes in the integrated functional stability of microbial community under chemical stresses and the impacting factors in field soils</v>
      </c>
      <c r="B730" s="24" t="str">
        <f>IFERROR(__xludf.DUMMYFUNCTION("""COMPUTED_VALUE"""),"The functional stability (FS) of soil microbial communities contributes in a fundamental way to maintaining soil ecosystem functioning and services, when environmental disturbances, e.g. contamination arise. While, the mechanisms enabling soil microbial c"&amp;"ommunities to remain stable under stresses are not clear. Thus, this work aims at investigating changes in integrated microbial FS under long-term stress of heavy metals (FSHM) and subsequent herbicide siduron (FSsid). A second objective is to determine w"&amp;"hich factors affect the FS of microbial communities. The results show that the overall function, alpha diversity, and composition of microbial communities are affected significantly by the presence of heavy metals and herbicide siduron. The loss of biodiv"&amp;"ersity induced by heavy metal does not appear to impair the functions of microbial communities or their functional stability in response to the additional stress of siduron. Whereas, the change of microbial community composition, e.g., the decrease of the"&amp;" gram positive/gram negative ratio triggered by the adaption and tolerance process to the pre-disturbance of heavy metals, is the central factor governing FS. Soil organic matter content, the concentration of heavy metals and the C/N value are the dominan"&amp;"t abiotic factors affecting FS through direct effect on microbial activities involved in functional processes and indirect effect on microbial community composition. Our study highlights that the structural composition of soil microbial community is more "&amp;"important than the diversity of microbial species to explain the functional stability of microbial communities under chemical stresses, and that a number of soil properties and the disturbance history also play a decisive role. Thus, the functional stabil"&amp;"ity of soil microbial community can be used as a feasible and pragmatic indicator to assess the overarching responses to environmental stresses at ecological system level.")</f>
        <v>The functional stability (FS) of soil microbial communities contributes in a fundamental way to maintaining soil ecosystem functioning and services, when environmental disturbances, e.g. contamination arise. While, the mechanisms enabling soil microbial communities to remain stable under stresses are not clear. Thus, this work aims at investigating changes in integrated microbial FS under long-term stress of heavy metals (FSHM) and subsequent herbicide siduron (FSsid). A second objective is to determine which factors affect the FS of microbial communities. The results show that the overall function, alpha diversity, and composition of microbial communities are affected significantly by the presence of heavy metals and herbicide siduron. The loss of biodiversity induced by heavy metal does not appear to impair the functions of microbial communities or their functional stability in response to the additional stress of siduron. Whereas, the change of microbial community composition, e.g., the decrease of the gram positive/gram negative ratio triggered by the adaption and tolerance process to the pre-disturbance of heavy metals, is the central factor governing FS. Soil organic matter content, the concentration of heavy metals and the C/N value are the dominant abiotic factors affecting FS through direct effect on microbial activities involved in functional processes and indirect effect on microbial community composition. Our study highlights that the structural composition of soil microbial community is more important than the diversity of microbial species to explain the functional stability of microbial communities under chemical stresses, and that a number of soil properties and the disturbance history also play a decisive role. Thus, the functional stability of soil microbial community can be used as a feasible and pragmatic indicator to assess the overarching responses to environmental stresses at ecological system level.</v>
      </c>
      <c r="C730" s="24" t="str">
        <f>IFERROR(__xludf.DUMMYFUNCTION("""COMPUTED_VALUE"""),"10.1016/j.ecolind.2019.105919")</f>
        <v>10.1016/j.ecolind.2019.105919</v>
      </c>
      <c r="D730" s="24" t="str">
        <f>IFERROR(__xludf.DUMMYFUNCTION("""COMPUTED_VALUE"""),"Keck et al")</f>
        <v>Keck et al</v>
      </c>
      <c r="E730" s="24" t="str">
        <f>IFERROR(__xludf.DUMMYFUNCTION("""COMPUTED_VALUE"""),"WOS:000507381800069")</f>
        <v>WOS:000507381800069</v>
      </c>
      <c r="F730" s="24" t="str">
        <f>IFERROR(__xludf.DUMMYFUNCTION("""COMPUTED_VALUE"""),"[""ELIGIBLE""]")</f>
        <v>["ELIGIBLE"]</v>
      </c>
    </row>
    <row r="731">
      <c r="A731" s="24" t="str">
        <f>IFERROR(__xludf.DUMMYFUNCTION("""COMPUTED_VALUE"""),"Effects of small-scale trawling on benthic communities of estuarine vegetated and non-vegetated habitats")</f>
        <v>Effects of small-scale trawling on benthic communities of estuarine vegetated and non-vegetated habitats</v>
      </c>
      <c r="B731" s="24" t="str">
        <f>IFERROR(__xludf.DUMMYFUNCTION("""COMPUTED_VALUE"""),"The pink prawn Farfantepenaeus paulensis is one of the most valuable fishery resources in the southwest Atlantic. It is exploited along the inner shelf and inside estuarine nursery grounds. Inside the nursery grounds, mainly artisanal fisheries are respon"&amp;"sible for the capture of pink prawn juveniles. In this study, we experimentally assessed the impact of a light mini trawl, a gear extensively used for the capture of estuarine prawn along the southeast and south coast of Brazil. We simulated a single impa"&amp;"ct (represented by three consecutive trawling runs) on vegetated and non-vegetated bottom. Then we monitored changes in sediment properties and the response of the benthic fauna at the trawling and control sites at a logarithmic temporal scale in order to"&amp;" determine the initial impact and the recovery rates. Meiofauna and macrofauna, both numerically dominated by the ostracod Cyprideis multidentata, were significantly more diverse and abundant inside the submerged algal beds than in non-vegetated areas. In"&amp;" the vegetated areas, the only change caused by the mini trawl was a significant decrease in the percentages of fine sediments (silt+clay). By contrast, in the non-vegetated areas, the mini trawl caused a significant decrease of the total meiofauna, mainl"&amp;"y due to lower nematode and C. multidentata abundances. Our results show that the mini trawl does not produce a loss of benthic diversity and causes minimal damage to the estuarine benthos. The absence of a general faunal response, as well as the absence "&amp;"of significant changes in sediment properties of the non-vegetated areas suggests that meiofauna may be resuspended rather than killed during trawling. The present study highlights the need for basic studies on gear impact and environmental health of nurs"&amp;"ery grounds. Otherwise, management of small-scale fisheries will continue to be based on evidence from large-scale fisheries.")</f>
        <v>The pink prawn Farfantepenaeus paulensis is one of the most valuable fishery resources in the southwest Atlantic. It is exploited along the inner shelf and inside estuarine nursery grounds. Inside the nursery grounds, mainly artisanal fisheries are responsible for the capture of pink prawn juveniles. In this study, we experimentally assessed the impact of a light mini trawl, a gear extensively used for the capture of estuarine prawn along the southeast and south coast of Brazil. We simulated a single impact (represented by three consecutive trawling runs) on vegetated and non-vegetated bottom. Then we monitored changes in sediment properties and the response of the benthic fauna at the trawling and control sites at a logarithmic temporal scale in order to determine the initial impact and the recovery rates. Meiofauna and macrofauna, both numerically dominated by the ostracod Cyprideis multidentata, were significantly more diverse and abundant inside the submerged algal beds than in non-vegetated areas. In the vegetated areas, the only change caused by the mini trawl was a significant decrease in the percentages of fine sediments (silt+clay). By contrast, in the non-vegetated areas, the mini trawl caused a significant decrease of the total meiofauna, mainly due to lower nematode and C. multidentata abundances. Our results show that the mini trawl does not produce a loss of benthic diversity and causes minimal damage to the estuarine benthos. The absence of a general faunal response, as well as the absence of significant changes in sediment properties of the non-vegetated areas suggests that meiofauna may be resuspended rather than killed during trawling. The present study highlights the need for basic studies on gear impact and environmental health of nursery grounds. Otherwise, management of small-scale fisheries will continue to be based on evidence from large-scale fisheries.</v>
      </c>
      <c r="C731" s="24" t="str">
        <f>IFERROR(__xludf.DUMMYFUNCTION("""COMPUTED_VALUE"""),"10.1007/s10531-014-0652-3")</f>
        <v>10.1007/s10531-014-0652-3</v>
      </c>
      <c r="D731" s="24" t="str">
        <f>IFERROR(__xludf.DUMMYFUNCTION("""COMPUTED_VALUE"""),"Keck et al")</f>
        <v>Keck et al</v>
      </c>
      <c r="E731" s="24" t="str">
        <f>IFERROR(__xludf.DUMMYFUNCTION("""COMPUTED_VALUE"""),"WOS:000332739300014")</f>
        <v>WOS:000332739300014</v>
      </c>
      <c r="F731" s="24" t="str">
        <f>IFERROR(__xludf.DUMMYFUNCTION("""COMPUTED_VALUE"""),"[""ELIGIBLE""]")</f>
        <v>["ELIGIBLE"]</v>
      </c>
    </row>
    <row r="732">
      <c r="A732" s="24" t="str">
        <f>IFERROR(__xludf.DUMMYFUNCTION("""COMPUTED_VALUE"""),"Interactive effects of shading and disturbance on plant invasion in an arid shrubland: Assembly processes and CSR-strategies")</f>
        <v>Interactive effects of shading and disturbance on plant invasion in an arid shrubland: Assembly processes and CSR-strategies</v>
      </c>
      <c r="B732" s="24" t="str">
        <f>IFERROR(__xludf.DUMMYFUNCTION("""COMPUTED_VALUE"""),"Disturbance by small mammals and shrub canopies are ecological factors typical of arid ecosystems that may influence plant invasion through environmental and community changes. Whereas disturbance beneath shrub canopies may promote invasion by removing do"&amp;"minant species, disturbance in open areas may hinder plant invasion by increasing environmental harshness. However, we are unaware of studies explicitly addressing the interactive effects of disturbance by mammals and shading by shrubs on community assemb"&amp;"ly processes to understand plant invasion. In an arid shrubland, disturbance and shading were caused by the fossorial rodent Spalacopus cyanus and the shrub Flourensia thurifera, respectively. We used functional dispersion data (trait convergence vs. dive"&amp;"rgence) and Grime ' s theory (competitive, stress-tolerant and ruderal strategies, CSR) to gain insights into the underlying assembly processes. We compared environmental conditions, richness and abundance of native and exotic species, as well as function"&amp;"al dispersion and prevalence of CSR-strategies across four microsites (60 x 60 cm plots): undisturbed/open, undisturbed/shaded, disturbed/open and disturbed/shaded. We tested for functional differences between native and exotic species. Species richness w"&amp;"as similar among microsites for both native and exotic species. Shading ameliorated environmental conditions, promoted trait divergence and increased prevalence of C- and R-strategies. Disturbance increased the abundance of exotic species and removed domi"&amp;"nant species in shaded microsites. Exotic and native species were functionally different: exotics showed shorter life span, lower height, thinner stems and smaller leaves than natives. Synthesis. Disturbance, by removing plant biomass, favoured exotic spe"&amp;"cies in shaded microsites, where shrub canopy ameliorated environmental conditions and-by relaxing habitat filtering-promoted niche partitioning processes as well as C- and R-strategies. We illustrate the value of linking trait-based ecology approaches to"&amp;" micro-environmental conditions, as it may provide insights into the underlying community processes when studying plant invasions at the local and microsite scales. Disturbed microsites beneath shrub canopies could be 'hotspots' where to concentrate effor"&amp;"ts to manage plant invasions in arid ecosystems.")</f>
        <v>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v>
      </c>
      <c r="C732" s="24" t="str">
        <f>IFERROR(__xludf.DUMMYFUNCTION("""COMPUTED_VALUE"""),"10.1111/1365-2745.13650")</f>
        <v>10.1111/1365-2745.13650</v>
      </c>
      <c r="D732" s="24" t="str">
        <f>IFERROR(__xludf.DUMMYFUNCTION("""COMPUTED_VALUE"""),"Keck et al")</f>
        <v>Keck et al</v>
      </c>
      <c r="E732" s="24" t="str">
        <f>IFERROR(__xludf.DUMMYFUNCTION("""COMPUTED_VALUE"""),"WOS:000634556400001")</f>
        <v>WOS:000634556400001</v>
      </c>
      <c r="F732" s="24" t="str">
        <f>IFERROR(__xludf.DUMMYFUNCTION("""COMPUTED_VALUE"""),"[""ELIGIBLE""]")</f>
        <v>["ELIGIBLE"]</v>
      </c>
    </row>
    <row r="733">
      <c r="A733" s="24" t="str">
        <f>IFERROR(__xludf.DUMMYFUNCTION("""COMPUTED_VALUE"""),"Benthic hydrozoan assemblages as potential indicators of environmental health in a mediterranean marine protected area")</f>
        <v>Benthic hydrozoan assemblages as potential indicators of environmental health in a mediterranean marine protected area</v>
      </c>
      <c r="B733" s="24" t="str">
        <f>IFERROR(__xludf.DUMMYFUNCTION("""COMPUTED_VALUE"""),"The comparative study of marine benthic hydrozoan assemblages can improve our understanding of environmental and ecological conditions in marine protected areas (MPAs) such as the large Mediterranean MPA of Datca-Bozburun, where important prospects for fu"&amp;"ture intensive tourism development exist. The analysis of such assemblages may help managers detect changes in important parameters of ecosystem health within this MPA. In this study we compared the hydrozoan assemblages occurring on hard (rocky) and soft"&amp;" (Posidonia meadows) bottoms from stations belonging to three different conditions: i) small marinas (medium anthropogenic impact), ii) yacht stopovers (low impact), and iii) unspoiled sites (no impact) in the southern part of the Datea Peninsula during s"&amp;"ummer and winter 2015 and 2016. Significant differences in the structure, species composition and richness of benthic hydrozoans among the sampling sites were detected. In both seasons, hydroid assemblages in medium-impact sites significantly differed fro"&amp;"m little-impact and no-impact sites in terms of qualitative composition. Large structural species were widely represented in all hard-bottomed sampling sites, but small inconspicuous taxa with diverse life histories were much less abundant at the medium i"&amp;"mpacted sites. Species richness and diversity in Posidonia meadows was much higher in little- and no-impact sites, where highly specific hydroid epibionts were abundant.")</f>
        <v>The comparative study of marine benthic hydrozoan assemblages can improve our understanding of environmental and ecological conditions in marine protected areas (MPAs) such as the large Mediterranean MPA of Datca-Bozburun, where important prospects for future intensive tourism development exist. The analysis of such assemblages may help managers detect changes in important parameters of ecosystem health within this MPA. In this study we compared the hydrozoan assemblages occurring on hard (rocky) and soft (Posidonia meadows) bottoms from stations belonging to three different conditions: i) small marinas (medium anthropogenic impact), ii) yacht stopovers (low impact), and iii) unspoiled sites (no impact) in the southern part of the Datea Peninsula during summer and winter 2015 and 2016. Significant differences in the structure, species composition and richness of benthic hydrozoans among the sampling sites were detected. In both seasons, hydroid assemblages in medium-impact sites significantly differed from little-impact and no-impact sites in terms of qualitative composition. Large structural species were widely represented in all hard-bottomed sampling sites, but small inconspicuous taxa with diverse life histories were much less abundant at the medium impacted sites. Species richness and diversity in Posidonia meadows was much higher in little- and no-impact sites, where highly specific hydroid epibionts were abundant.</v>
      </c>
      <c r="C733" s="24" t="str">
        <f>IFERROR(__xludf.DUMMYFUNCTION("""COMPUTED_VALUE"""),"10.12681/mms.20593")</f>
        <v>10.12681/mms.20593</v>
      </c>
      <c r="D733" s="24" t="str">
        <f>IFERROR(__xludf.DUMMYFUNCTION("""COMPUTED_VALUE"""),"Keck et al")</f>
        <v>Keck et al</v>
      </c>
      <c r="E733" s="24" t="str">
        <f>IFERROR(__xludf.DUMMYFUNCTION("""COMPUTED_VALUE"""),"WOS:000524248700004")</f>
        <v>WOS:000524248700004</v>
      </c>
      <c r="F733" s="24" t="str">
        <f>IFERROR(__xludf.DUMMYFUNCTION("""COMPUTED_VALUE"""),"[""ELIGIBLE""]")</f>
        <v>["ELIGIBLE"]</v>
      </c>
    </row>
    <row r="734">
      <c r="A734" s="24" t="str">
        <f>IFERROR(__xludf.DUMMYFUNCTION("""COMPUTED_VALUE"""),"Biodiversity impacts of an invasive grass: ant community responses to Cenchrus ciliaris in arid Australia")</f>
        <v>Biodiversity impacts of an invasive grass: ant community responses to Cenchrus ciliaris in arid Australia</v>
      </c>
      <c r="B734" s="24" t="str">
        <f>IFERROR(__xludf.DUMMYFUNCTION("""COMPUTED_VALUE"""),"Buffel grass (Cenchrus ciliaris) is a highly invasive species that thrives in semi-arid environments and has the capacity to transform native vegetation outside its native range. However, there is limited information on the effects of buffel grass invasio"&amp;"n on native fauna. We used an experimental approach to investigate the impact of buffel grass on the native ant fauna near Alice Springs in semi-arid central Australia. A series of plots where buffel grass was removed and native vegetation had regenerated"&amp;" (B-), paired with adjacent control plots heavily invaded by buffel grass (B+), were used to assess the impact of buffel grass on ant diversity and composition, and on rates of seed dispersal by ants. Differences in ant diversity were also compared betwee"&amp;"n two microhabitat types: bare ground and under cover, to examine the extent to which any impacts were a simple function of change in vegetation cover. Ant abundance and richness were approximately 50 % higher in B- compared with B+ plots, and higher abun"&amp;"dance was especially pronounced for the very thermophilic Hot-Climate Specialists. Ant species composition varied significantly between plot types. B- plots supported more species and individuals in both bare and covered microhabitats, which suggests that"&amp;" the differences in ant diversity was not simply through changes in vegetation cover. Rates of seed removal by ants were marginally higher in B- plots. Our findings indicate that buffel grass has a major impact on a dominant faunal group of arid Australia"&amp;", and possibly reduces the delivery of an important ecosystem service. In addition, our study demonstrates the potential for ecosystem recovery following effective buffel grass management.")</f>
        <v>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v>
      </c>
      <c r="C734" s="24" t="str">
        <f>IFERROR(__xludf.DUMMYFUNCTION("""COMPUTED_VALUE"""),"10.1007/s10530-016-1263-6")</f>
        <v>10.1007/s10530-016-1263-6</v>
      </c>
      <c r="D734" s="24" t="str">
        <f>IFERROR(__xludf.DUMMYFUNCTION("""COMPUTED_VALUE"""),"Keck et al")</f>
        <v>Keck et al</v>
      </c>
      <c r="E734" s="24" t="str">
        <f>IFERROR(__xludf.DUMMYFUNCTION("""COMPUTED_VALUE"""),"WOS:000392187700006")</f>
        <v>WOS:000392187700006</v>
      </c>
      <c r="F734" s="24" t="str">
        <f>IFERROR(__xludf.DUMMYFUNCTION("""COMPUTED_VALUE"""),"[""ELIGIBLE""]")</f>
        <v>["ELIGIBLE"]</v>
      </c>
    </row>
    <row r="735">
      <c r="A735" s="24" t="str">
        <f>IFERROR(__xludf.DUMMYFUNCTION("""COMPUTED_VALUE"""),"Top-down vs. bottom-up regulation of herbaceous primary production and composition in an arid, urbanizing ecosystem")</f>
        <v>Top-down vs. bottom-up regulation of herbaceous primary production and composition in an arid, urbanizing ecosystem</v>
      </c>
      <c r="B735" s="24" t="str">
        <f>IFERROR(__xludf.DUMMYFUNCTION("""COMPUTED_VALUE"""),"Plant growth and composition are regulated by top-down (e.g., herbivory) and bottom-up factors (e.g., resource availability). The relative importance of consumers and multiple resources for net primary production (NPP) and community structure have rarely "&amp;"been studied in drylands, which cover about one third of Earth's land surface, or with respect to increasingly common environmental changes such as urbanization. Urban expansion in drylands is likely to alter both nutrient availability and consumer popula"&amp;"tions. We explored the relative roles of herbivory, precipitation, and soil nitrogen (N) availability as drivers of aboveground NPP and composition of herbaceous communities in protected native ecosystems in the Sonoran Desert within and surrounding Phoen"&amp;"ix, Arizona. Precipitation was the primary driver of production, while soil N availability had little effect on growth. Herbivory was secondarily important relative to precipitation, reducing aboveground biomass by similar to 33% regardless of proximity t"&amp;"o the city. Protected desert open space supported distinct plant communities within and surrounding the city, but these patterns were more strongly related to bottom-up resources than consumers. Together, our results suggest that urbanization does not sig"&amp;"nificantly affect the relative drivers of plant growth and structure in this arid ecosystem. (c) 2015 Elsevier Ltd. All rights reserved.")</f>
        <v>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v>
      </c>
      <c r="C735" s="24" t="str">
        <f>IFERROR(__xludf.DUMMYFUNCTION("""COMPUTED_VALUE"""),"10.1016/j.jaridenv.2015.01.018")</f>
        <v>10.1016/j.jaridenv.2015.01.018</v>
      </c>
      <c r="D735" s="24" t="str">
        <f>IFERROR(__xludf.DUMMYFUNCTION("""COMPUTED_VALUE"""),"Keck et al")</f>
        <v>Keck et al</v>
      </c>
      <c r="E735" s="24" t="str">
        <f>IFERROR(__xludf.DUMMYFUNCTION("""COMPUTED_VALUE"""),"WOS:000350840100016")</f>
        <v>WOS:000350840100016</v>
      </c>
      <c r="F735" s="24" t="str">
        <f>IFERROR(__xludf.DUMMYFUNCTION("""COMPUTED_VALUE"""),"[""ELIGIBLE""]")</f>
        <v>["ELIGIBLE"]</v>
      </c>
    </row>
    <row r="736">
      <c r="A736" s="24" t="str">
        <f>IFERROR(__xludf.DUMMYFUNCTION("""COMPUTED_VALUE"""),"One-Time Addition of Nano-TiO2 Triggers Short-Term Responses in Benthic Bacterial Communities in Artificial Streams")</f>
        <v>One-Time Addition of Nano-TiO2 Triggers Short-Term Responses in Benthic Bacterial Communities in Artificial Streams</v>
      </c>
      <c r="B736" s="24" t="str">
        <f>IFERROR(__xludf.DUMMYFUNCTION("""COMPUTED_VALUE"""),"Nano-TiO2 is an engineered nanomaterial whose production and use are increasing rapidly. Hence, aquatic habitats are at risk for nano-TiO2 contamination due to potential inputs from urban and suburban runoff and domestic wastewater. Nano-TiO2 has been sho"&amp;"wn to be toxic to a wide range of aquatic organisms, but little is known about the effects of nano-TiO2 on benthic microbial communities. This study used artificial stream mesocosms to assess the effects of a single addition of nano-TiO2 (P25 at a final c"&amp;"oncentration of 1 mg l(-1)) on the abundance, activity, and community composition of sediment-associated bacterial communities. The addition of nano-TiO2 resulted in a rapid (within 1 day) decrease in bacterial abundance in artificial stream sediments, bu"&amp;"t bacterial abundance returned to control levels within 3 weeks. Pyrosequencing of partial 16S rRNA genes did not indicate any significant changes in the relative abundance of any bacterial taxa with nano-TiO2 treatment, indicating that nano-TiO2 was toxi"&amp;"c to a broad range of bacterial taxa and that recovery of the bacterial communities was not driven by changes in community composition. Addition of nano-TiO2 also resulted in short-term increases in respiration rates and denitrification enzyme activity, w"&amp;"ith both returning to control levels within 3 weeks. The results of this study demonstrate that single-pulse additions of nano-TiO2 to aquatic habitats have the potential to significantly affect the abundance and activity of benthic microbial communities "&amp;"and suggest that interactions of TiO2 nanoparticles with environmental matrices may limit the duration of their toxicity.")</f>
        <v>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v>
      </c>
      <c r="C736" s="24" t="str">
        <f>IFERROR(__xludf.DUMMYFUNCTION("""COMPUTED_VALUE"""),"10.1007/s00248-015-0646-z")</f>
        <v>10.1007/s00248-015-0646-z</v>
      </c>
      <c r="D736" s="24" t="str">
        <f>IFERROR(__xludf.DUMMYFUNCTION("""COMPUTED_VALUE"""),"Keck et al")</f>
        <v>Keck et al</v>
      </c>
      <c r="E736" s="24" t="str">
        <f>IFERROR(__xludf.DUMMYFUNCTION("""COMPUTED_VALUE"""),"WOS:000369061400002")</f>
        <v>WOS:000369061400002</v>
      </c>
      <c r="F736" s="24" t="str">
        <f>IFERROR(__xludf.DUMMYFUNCTION("""COMPUTED_VALUE"""),"[""ELIGIBLE""]")</f>
        <v>["ELIGIBLE"]</v>
      </c>
    </row>
    <row r="737">
      <c r="A737" s="24" t="str">
        <f>IFERROR(__xludf.DUMMYFUNCTION("""COMPUTED_VALUE"""),"Direct and indirect effects of an invasive omnivore crayfish on leaf litter decomposition")</f>
        <v>Direct and indirect effects of an invasive omnivore crayfish on leaf litter decomposition</v>
      </c>
      <c r="B737" s="24" t="str">
        <f>IFERROR(__xludf.DUMMYFUNCTION("""COMPUTED_VALUE"""),"Invasive alien species (IAS) can disrupt important ecological functions in aquatic ecosystems; however, many of these effects are not quantified and remain speculative. In this study, we assessed the effects of the invasive crayfish Procambanis clarkii (G"&amp;"irard, 1852) on leaf litter decomposition (a key ecosystem process) and associated invertebrates using laboratory and field manipulative experiments. The crayfish had significant impacts on leaf decomposition due to direct consumption of leaf litter and p"&amp;"roduction of fine particulate organic matter, and indirectly due to consumption of invertebrate shredders. The invertebrate community did not appear to recognize P. clarkii as a predator, at least in the first stages after its introduction in the system; "&amp;"but this situation might change with time. Overall, results suggested that the omnivore invader P. clarkii has the potential to affect detritus-based food webs through consumption of basal resources (leaf litter) and, or consumers. Recognizing that this I"&amp;"AS is widespread in Europe, Asia and Africa, and may attain high density and biomass in aquatic ecosystems, our results are important to develop strategies for improving stream ecosystem functioning and to support management actions aiming to control the "&amp;"invasive omnivore P. clarkii. (C) 2015 Elsevier B.V. All rights reserved.")</f>
        <v>Invasive alien species (IAS) can disrupt important ecological functions in aquatic ecosystems; however, many of these effects are not quantified and remain speculative. In this study, we assessed the effects of the invasive crayfish Procambanis clarkii (Girard, 1852) on leaf litter decomposition (a key ecosystem process) and associated invertebrates using laboratory and field manipulative experiments. The crayfish had significant impacts on leaf decomposition due to direct consumption of leaf litter and production of fine particulate organic matter, and indirectly due to consumption of invertebrate shredders. The invertebrate community did not appear to recognize P. clarkii as a predator, at least in the first stages after its introduction in the system; but this situation might change with time. Overall, results suggested that the omnivore invader P. clarkii has the potential to affect detritus-based food webs through consumption of basal resources (leaf litter) and, or consumers. Recognizing that this IAS is widespread in Europe, Asia and Africa, and may attain high density and biomass in aquatic ecosystems, our results are important to develop strategies for improving stream ecosystem functioning and to support management actions aiming to control the invasive omnivore P. clarkii. (C) 2015 Elsevier B.V. All rights reserved.</v>
      </c>
      <c r="C737" s="24" t="str">
        <f>IFERROR(__xludf.DUMMYFUNCTION("""COMPUTED_VALUE"""),"10.1016/j.scitotenv.2015.09.125")</f>
        <v>10.1016/j.scitotenv.2015.09.125</v>
      </c>
      <c r="D737" s="24" t="str">
        <f>IFERROR(__xludf.DUMMYFUNCTION("""COMPUTED_VALUE"""),"Keck et al")</f>
        <v>Keck et al</v>
      </c>
      <c r="E737" s="24" t="str">
        <f>IFERROR(__xludf.DUMMYFUNCTION("""COMPUTED_VALUE"""),"WOS:000365289300076")</f>
        <v>WOS:000365289300076</v>
      </c>
      <c r="F737" s="24" t="str">
        <f>IFERROR(__xludf.DUMMYFUNCTION("""COMPUTED_VALUE"""),"[""ELIGIBLE""]")</f>
        <v>["ELIGIBLE"]</v>
      </c>
    </row>
    <row r="738">
      <c r="A738" s="24" t="str">
        <f>IFERROR(__xludf.DUMMYFUNCTION("""COMPUTED_VALUE"""),"Invasion of Ligustrum lucidum (Oleaceae) in the southern Yungas: Changes in habitat properties and decline in bird diversity")</f>
        <v>Invasion of Ligustrum lucidum (Oleaceae) in the southern Yungas: Changes in habitat properties and decline in bird diversity</v>
      </c>
      <c r="B738" s="24" t="str">
        <f>IFERROR(__xludf.DUMMYFUNCTION("""COMPUTED_VALUE"""),"Ligustrum lucidum is the major exotic tree in NW Argentina montane forests (Yungas). To assess the effects of its expanding invasion on avian communities we (1) measured different habitat properties (vertical forest structure and composition, vegetation c"&amp;"over, light availability, air temperature, air relative humidity and soil litter depth), (2) compared bird species composition and diversity in Ligustrum-dominated and native-dominated secondary forests and (3) analyzed seasonal patterns and changes in th"&amp;"ese variables between forest types. The study was conducted during 2010-2011 wet and dry seasons, at two altitudinal zones: 500-800 and 1100-1450 masl. Compared with native forests, Ligustrum dominated forests had a more homogeneous vertical forest struct"&amp;"ure and denser canopy cover (resulting in lower understory solar radiation), significantly lower understory cover and lower litter depth. Air temperature and relative humidity did not differ between forests in either season. Solar radiation was higher in "&amp;"the dry-season in both forest types, but litter depth showed opposite patterns between seasons depending on forest type. We recorded 59 bird species in 21 families. Bird species abundance, richness and diversity indexes were significantly lower in Ligustr"&amp;"um-dominated relative to native forests of similar successional age, which had almost twice as many species as the former. Avian communities differed between altitudinal zones, but the difference was stronger between Ligustrum and native-dominated forests"&amp;". Avian community composition was less variable in time and space in native forests than in Ligustrum-dominated ones. Our results suggest that L lucidum invasion generates structurally homogeneous and simpler forests that represent a less suitable habitat"&amp;" for a diverse avifauna. This illustrates the wide ecological changes (from habitat properties and ecosystem functioning to vertebrate community composition) that the subtropical mountain forests of Argentina are experiencing with this invasion. (C) 2013 "&amp;"Elsevier Masson SAS. All rights reserved.")</f>
        <v>Ligustrum lucidum is the major exotic tree in NW Argentina montane forests (Yungas). To assess the effects of its expanding invasion on avian communities we (1) measured different habitat properties (vertical forest structure and composition, vegetation cover, light availability, air temperature, air relative humidity and soil litter depth), (2) compared bird species composition and diversity in Ligustrum-dominated and native-dominated secondary forests and (3) analyzed seasonal patterns and changes in these variables between forest types. The study was conducted during 2010-2011 wet and dry seasons, at two altitudinal zones: 500-800 and 1100-1450 masl. Compared with native forests, Ligustrum dominated forests had a more homogeneous vertical forest structure and denser canopy cover (resulting in lower understory solar radiation), significantly lower understory cover and lower litter depth. Air temperature and relative humidity did not differ between forests in either season. Solar radiation was higher in the dry-season in both forest types, but litter depth showed opposite patterns between seasons depending on forest type. We recorded 59 bird species in 21 families. Bird species abundance, richness and diversity indexes were significantly lower in Ligustrum-dominated relative to native forests of similar successional age, which had almost twice as many species as the former. Avian communities differed between altitudinal zones, but the difference was stronger between Ligustrum and native-dominated forests. Avian community composition was less variable in time and space in native forests than in Ligustrum-dominated ones. Our results suggest that L lucidum invasion generates structurally homogeneous and simpler forests that represent a less suitable habitat for a diverse avifauna. This illustrates the wide ecological changes (from habitat properties and ecosystem functioning to vertebrate community composition) that the subtropical mountain forests of Argentina are experiencing with this invasion. (C) 2013 Elsevier Masson SAS. All rights reserved.</v>
      </c>
      <c r="C738" s="24" t="str">
        <f>IFERROR(__xludf.DUMMYFUNCTION("""COMPUTED_VALUE"""),"10.1016/j.actao.2013.03.006")</f>
        <v>10.1016/j.actao.2013.03.006</v>
      </c>
      <c r="D738" s="24" t="str">
        <f>IFERROR(__xludf.DUMMYFUNCTION("""COMPUTED_VALUE"""),"Keck et al")</f>
        <v>Keck et al</v>
      </c>
      <c r="E738" s="24" t="str">
        <f>IFERROR(__xludf.DUMMYFUNCTION("""COMPUTED_VALUE"""),"WOS:000331430000011")</f>
        <v>WOS:000331430000011</v>
      </c>
      <c r="F738" s="24" t="str">
        <f>IFERROR(__xludf.DUMMYFUNCTION("""COMPUTED_VALUE"""),"[""ELIGIBLE""]")</f>
        <v>["ELIGIBLE"]</v>
      </c>
    </row>
    <row r="739">
      <c r="A739" s="24" t="str">
        <f>IFERROR(__xludf.DUMMYFUNCTION("""COMPUTED_VALUE"""),"Stream Benthic Macroinvertebrate Assemblages Reveal the Importance of a Recently Established Freshwater Protected Area in a Tropical Watershed")</f>
        <v>Stream Benthic Macroinvertebrate Assemblages Reveal the Importance of a Recently Established Freshwater Protected Area in a Tropical Watershed</v>
      </c>
      <c r="B739" s="24" t="str">
        <f>IFERROR(__xludf.DUMMYFUNCTION("""COMPUTED_VALUE"""),"Unsustainable urbanization in the Indo-Pacific continues to threaten terrestrial and aquatic ecosystems due to habitat disturbances driven by human pressures. The Marikina Watershed, one of the most critical watersheds in the Philippines, has been exposed"&amp;" to economic and population growth resulting in landscape modification and water quality degradation. This led to establishment of the Upper Marikina River Basin Protected Landscape (UMRBPL) to rehabilitate the watershed ecosystem. To strengthen this cons"&amp;"ervation initiative, we aimed to assess whether the establishment of UMRBPL has been effective in conservation of benthic macroinvertebrate diversity in streams of the Marikina Watershed. Sixteen streams, eight from UMRBPL and eight from adjoining unprote"&amp;"cted areas, were monitored for benthic macroinvertebrate assemblages and their habitat environments, such as pH, water temperature, dissolved oxygen, total dissolved solids, conductivity, salinity, and canopy openness. Principal component analysis and non"&amp;"-metric multidimensional scaling based on the environmental variables and biological metrics, respectively, revealed that habitat quality and benthic macroinvertebrate assemblages significantly differed between the protected and unprotected streams, with "&amp;"the former having better environment and higher biodiversity. More precisely, protected streams have significantly higher dissolved oxygen and lower canopy openness and material loadings as compared to unprotected streams. Consequently, taxon richness was"&amp;" four-fold higher in protected streams while stream quality indices based on abundance of key invertebrate groups (EPT and EPTC) were ten-fold higher in protected streams, as compared to unprotected streams. This study demonstrates that freshwater protect"&amp;"ed areas play crucial roles in the conservation of stream ecosystems and biodiversity under rapid urbanization in developing countries, like the Philippines.")</f>
        <v>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v>
      </c>
      <c r="C739" s="24" t="str">
        <f>IFERROR(__xludf.DUMMYFUNCTION("""COMPUTED_VALUE"""),"10.2984/73.3.1")</f>
        <v>10.2984/73.3.1</v>
      </c>
      <c r="D739" s="24" t="str">
        <f>IFERROR(__xludf.DUMMYFUNCTION("""COMPUTED_VALUE"""),"Keck et al")</f>
        <v>Keck et al</v>
      </c>
      <c r="E739" s="24" t="str">
        <f>IFERROR(__xludf.DUMMYFUNCTION("""COMPUTED_VALUE"""),"WOS:000476584900001")</f>
        <v>WOS:000476584900001</v>
      </c>
      <c r="F739" s="24" t="str">
        <f>IFERROR(__xludf.DUMMYFUNCTION("""COMPUTED_VALUE"""),"[""ELIGIBLE""]")</f>
        <v>["ELIGIBLE"]</v>
      </c>
    </row>
    <row r="740">
      <c r="A740" s="24" t="str">
        <f>IFERROR(__xludf.DUMMYFUNCTION("""COMPUTED_VALUE"""),"Multiple factors influence bacterial community diversity and composition in soils with rare earth element and heavy metal co-contamination")</f>
        <v>Multiple factors influence bacterial community diversity and composition in soils with rare earth element and heavy metal co-contamination</v>
      </c>
      <c r="B740" s="24" t="str">
        <f>IFERROR(__xludf.DUMMYFUNCTION("""COMPUTED_VALUE"""),"The effects of long-term rare earth element (REE) and heavy metal (HM) contamination on soil bacterial communities remains poorly understood. In this study, soil samples co-contaminated with REEs and HMs were collected from a rare-earth tailing dam. The b"&amp;"acterial community composition and diversity were analyzed through Illumina high-throughput sequencing with 16S rRNA gene amplicons. Bacterial community richness and diversity were lower in the co-contaminated soils than in the uncontaminated soils, with "&amp;"clearly different bacterial community compositions. The results showed that total organic carbon and available potassium were the most important factors affecting bacterial community richness and diversity, followed by the REE and HM contents. Although th"&amp;"e canonical correspondence analysis results showed that an REE alone had no obvious effects on bacterial community structures, we found that the combined effects of soil physicochemical properties and REE and HM contents regulated bacterial community stru"&amp;"cture and composition. The effects of REEs and HMs on bacterial communities were similar, whereas their combined contributions were greater than the individual effects of REEs or HMs. Some bacterial taxa were worth noting. These specifically included the "&amp;"plant growth-promoting bacteria Exiguobacterium (sensitive to REEs and HMs) and oligotrophic microorganisms with metal tolerance (prevalent in contaminated soil); moreover, relative abundance of JTB255-Marine Benthic Group, Rhodobacteraceae, Erythrobacter"&amp;", and Truepera may be correlated with REEs. This study was the first to investigate the responses of bacterial communities to REE and HM co-contamination. The current results have major implications for the ecological risk assessment of environments co-co"&amp;"ntaminated with REEs and HMs.")</f>
        <v>The effects of long-term rare earth element (REE) and heavy metal (HM) contamination on soil bacterial communities remains poorly understood. In this study, soil samples co-contaminated with REEs and HMs were collected from a rare-earth tailing dam. The bacterial community composition and diversity were analyzed through Illumina high-throughput sequencing with 16S rRNA gene amplicons. Bacterial community richness and diversity were lower in the co-contaminated soils than in the uncontaminated soils, with clearly different bacterial community compositions. The results showed that total organic carbon and available potassium were the most important factors affecting bacterial community richness and diversity, followed by the REE and HM contents. Although the canonical correspondence analysis results showed that an REE alone had no obvious effects on bacterial community structures, we found that the combined effects of soil physicochemical properties and REE and HM contents regulated bacterial community structure and composition. The effects of REEs and HMs on bacterial communities were similar, whereas their combined contributions were greater than the individual effects of REEs or HMs. Some bacterial taxa were worth noting. These specifically included the plant growth-promoting bacteria Exiguobacterium (sensitive to REEs and HMs) and oligotrophic microorganisms with metal tolerance (prevalent in contaminated soil); moreover, relative abundance of JTB255-Marine Benthic Group, Rhodobacteraceae, Erythrobacter, and Truepera may be correlated with REEs. This study was the first to investigate the responses of bacterial communities to REE and HM co-contamination. The current results have major implications for the ecological risk assessment of environments co-contaminated with REEs and HMs.</v>
      </c>
      <c r="C740" s="24" t="str">
        <f>IFERROR(__xludf.DUMMYFUNCTION("""COMPUTED_VALUE"""),"10.1016/j.ecoenv.2021.112749")</f>
        <v>10.1016/j.ecoenv.2021.112749</v>
      </c>
      <c r="D740" s="24" t="str">
        <f>IFERROR(__xludf.DUMMYFUNCTION("""COMPUTED_VALUE"""),"Keck et al")</f>
        <v>Keck et al</v>
      </c>
      <c r="E740" s="24" t="str">
        <f>IFERROR(__xludf.DUMMYFUNCTION("""COMPUTED_VALUE"""),"WOS:000709369800009")</f>
        <v>WOS:000709369800009</v>
      </c>
      <c r="F740" s="24" t="str">
        <f>IFERROR(__xludf.DUMMYFUNCTION("""COMPUTED_VALUE"""),"[""ELIGIBLE""]")</f>
        <v>["ELIGIBLE"]</v>
      </c>
    </row>
    <row r="741">
      <c r="A741" s="24" t="str">
        <f>IFERROR(__xludf.DUMMYFUNCTION("""COMPUTED_VALUE"""),"The Importance of Disturbance versus Physiography in Defining Vegetation Composition and Predicting Possible Successional Trajectories")</f>
        <v>The Importance of Disturbance versus Physiography in Defining Vegetation Composition and Predicting Possible Successional Trajectories</v>
      </c>
      <c r="B741" s="24" t="str">
        <f>IFERROR(__xludf.DUMMYFUNCTION("""COMPUTED_VALUE"""),"Regional (climate/soils) and local (aspect) physiography determine plant community composition. However, changes in initial floristic composition after a disturbance may be severe enough to alter the successional trajectory predicted by physiography. We a"&amp;"ddressed the question of which is more important, disturbance or physiography, in determining vegetation composition and the consequent successional trajectory. We evaluated understory vegetation of forest communities exposed to four disturbance types (co"&amp;"ntrol, single burn, diameter-limit cut, and first-removal shelterwood) 2-5 yr postdisturbance. Study sites were located within each disturbance type on northeast and southwest aspects within the Appalachian Plateau and the Ridge and Valley provinces. Vege"&amp;"tation composition was analyzed with nonmetric-multidimensional scaling, two-way nonparametric multivariate ANOVA, and indicator species analysis. The relationship between disturbance and key environmental variables, including canopy opening and soil fert"&amp;"ility, was analyzed with generalized linear mixed models. There were 363 species in our study area. Composition differed by province and aspect. Composition also differed by disturbance but with a significant province interaction. Although physiography wa"&amp;"s more important, some species served as disturbance indicators that differed by disturbance type with two possible outcomes. First, expected successional trajectories (as defined by the regional and local environmental filters) may deviate toward recover"&amp;"y of native species (e.g., Epigaea repens) that benefit from low-level disturbance (as defined by fire as a filter). Second, successional trajectories after a relatively severe disturbance (as defined by shelterwood harvest as a filter) may deviate toward"&amp;" systems that are vulnerable to invasion by exotics or dominant native species.")</f>
        <v>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v>
      </c>
      <c r="C741" s="24" t="str">
        <f>IFERROR(__xludf.DUMMYFUNCTION("""COMPUTED_VALUE"""),"10.2179/17-139")</f>
        <v>10.2179/17-139</v>
      </c>
      <c r="D741" s="24" t="str">
        <f>IFERROR(__xludf.DUMMYFUNCTION("""COMPUTED_VALUE"""),"Keck et al")</f>
        <v>Keck et al</v>
      </c>
      <c r="E741" s="24" t="str">
        <f>IFERROR(__xludf.DUMMYFUNCTION("""COMPUTED_VALUE"""),"WOS:000431791200005")</f>
        <v>WOS:000431791200005</v>
      </c>
      <c r="F741" s="24" t="str">
        <f>IFERROR(__xludf.DUMMYFUNCTION("""COMPUTED_VALUE"""),"[""ELIGIBLE""]")</f>
        <v>["ELIGIBLE"]</v>
      </c>
    </row>
    <row r="742">
      <c r="A742" s="24" t="str">
        <f>IFERROR(__xludf.DUMMYFUNCTION("""COMPUTED_VALUE"""),"Study on the spatial distribution of ureolytic microorganisms in farmland soil around tailings with different heavy metal pollution")</f>
        <v>Study on the spatial distribution of ureolytic microorganisms in farmland soil around tailings with different heavy metal pollution</v>
      </c>
      <c r="B742" s="24" t="str">
        <f>IFERROR(__xludf.DUMMYFUNCTION("""COMPUTED_VALUE"""),"Ureolytic microorganisms, a kind of microorganism which can secrete urease and decompose urea, have great potential in remediation of soil heavy metals based on microbial induced carbonate precipitation. However, the horizontal and vertical distribution o"&amp;"f ureolytic microbial community in heavy metals contaminated soils is poorly understood. In this study, urease genes in agricultural soils surrounding tailings were first investigated using metagenomic in two dimensions: heavy metal pollution (Low-L, Midd"&amp;"le-M, High-H) and soil depth (0-20 cm, 20-40 cm, 40-60 cm, 60-80 cm, 80-100 cm). Results showed that the effect of heavy metal concentration on ureolytic microorganisms was indeed significant, while the changes of ureolytic microorganisms with increasing "&amp;"soil depth varied in the vertical direction at the same level of heavy metal contamination. H site had the highest diversity of ureolytic microorganisms except for the topsoil. And at the same heavy metal contamination level, the ureolytic microbial diver"&amp;"sity was lower in deeper soils. Proteobacteria, Actinobacteria and Thaumarchaeota (Archaea) were the dominant phyla of ureolytic microorganisms in all three sites, accounting for more than 80% of the total. However, the respond to the heavy metal concentr"&amp;"ations of three phyla were different, which were increasing, decreasing and essentially unchanged, respectively. Besides, other environmental factors such as SOM and pH had different effects on ureolytic microorganisms, with Proteobacteria being positivel"&amp;"y correlated and Actinobacteria being the opposite. Another phenomenon was that Actinobacteria and Verrucomicrobia were biomarkers of group L, which could significantly explain the difference with the other two sites. These results provided valuable infor"&amp;"mation for further research on the response mechanism and remediation of heavy metal pollution by ureolytic microbial system. (c) 2021 Published by Elsevier B.V.")</f>
        <v>Ureolytic microorganisms, a kind of microorganism which can secrete urease and decompose urea, have great potential in remediation of soil heavy metals based on microbial induced carbonate precipitation. However, the horizontal and vertical distribution of ureolytic microbial community in heavy metals contaminated soils is poorly understood. In this study, urease genes in agricultural soils surrounding tailings were first investigated using metagenomic in two dimensions: heavy metal pollution (Low-L, Middle-M, High-H) and soil depth (0-20 cm, 20-40 cm, 40-60 cm, 60-80 cm, 80-100 cm). Results showed that the effect of heavy metal concentration on ureolytic microorganisms was indeed significant, while the changes of ureolytic microorganisms with increasing soil depth varied in the vertical direction at the same level of heavy metal contamination. H site had the highest diversity of ureolytic microorganisms except for the topsoil. And at the same heavy metal contamination level, the ureolytic microbial diversity was lower in deeper soils. Proteobacteria, Actinobacteria and Thaumarchaeota (Archaea) were the dominant phyla of ureolytic microorganisms in all three sites, accounting for more than 80% of the total. However, the respond to the heavy metal concentrations of three phyla were different, which were increasing, decreasing and essentially unchanged, respectively. Besides, other environmental factors such as SOM and pH had different effects on ureolytic microorganisms, with Proteobacteria being positively correlated and Actinobacteria being the opposite. Another phenomenon was that Actinobacteria and Verrucomicrobia were biomarkers of group L, which could significantly explain the difference with the other two sites. These results provided valuable information for further research on the response mechanism and remediation of heavy metal pollution by ureolytic microbial system. (c) 2021 Published by Elsevier B.V.</v>
      </c>
      <c r="C742" s="24" t="str">
        <f>IFERROR(__xludf.DUMMYFUNCTION("""COMPUTED_VALUE"""),"10.1016/j.scitotenv.2021.144946")</f>
        <v>10.1016/j.scitotenv.2021.144946</v>
      </c>
      <c r="D742" s="24" t="str">
        <f>IFERROR(__xludf.DUMMYFUNCTION("""COMPUTED_VALUE"""),"Keck et al")</f>
        <v>Keck et al</v>
      </c>
      <c r="E742" s="24" t="str">
        <f>IFERROR(__xludf.DUMMYFUNCTION("""COMPUTED_VALUE"""),"WOS:000641610200004")</f>
        <v>WOS:000641610200004</v>
      </c>
      <c r="F742" s="24" t="str">
        <f>IFERROR(__xludf.DUMMYFUNCTION("""COMPUTED_VALUE"""),"[""ELIGIBLE""]")</f>
        <v>["ELIGIBLE"]</v>
      </c>
    </row>
    <row r="743">
      <c r="A743" s="24" t="str">
        <f>IFERROR(__xludf.DUMMYFUNCTION("""COMPUTED_VALUE"""),"Impact of wastewater on the microbial diversity of periphyton and its tolerance to micropollutants in an engineered flow-through channel system")</f>
        <v>Impact of wastewater on the microbial diversity of periphyton and its tolerance to micropollutants in an engineered flow-through channel system</v>
      </c>
      <c r="B743" s="24" t="str">
        <f>IFERROR(__xludf.DUMMYFUNCTION("""COMPUTED_VALUE"""),"Wastewater treatment plants (WWTPs) play an important role in retaining organic matter and nutrients but to a lesser extent micropollutants. Therefore, treated wastewater is recognized as a major source of multiple stressors, including complex mixtures of"&amp;" micropollutants. These can potentially affect microbial communities in the receiving water bodies and the ecological functions they provide. In this study, we evaluated in flow-through channels the consequences of an exposure to a mixture of stream water"&amp;" and different percentages of urban WWTP effluent, ranging from 0% to 80%, on the microbial diversity and function of periphyton communities. Assuming that micropollutants exert a selective pressure for tolerant microorganisms within communities, we furth"&amp;"er examined the periphyton sensitivity to a micropollutant mixture extracted from passive samplers that were immersed in the wastewater effluent. As well, micropollutants in water and in periphyton were comprehensively quantified. Our results show that mi"&amp;"cropollutants detected in periphyton differed from those found in water, both in term of concentration and composition. Especially photosystem II inhibitors accumulated in periphyton more than other pesticides. Although effects of other substances cannot "&amp;"be excluded, this accumulation may have contributed to the observed higher tolerance of phototrophic communities to micropollutants upon exposure to 30% and 80% of wastewater. On the contrary, no difference in tolerance was observed for heterotrophic comm"&amp;"unities. Exposure to the gradient of wastewater led to structural differences in both prokaryotic and eukaryotic communities. For instance, the relative abundance of cyanobacteria was higher with increasing percentage of wastewater effluent, whereas the o"&amp;"pposite was observed for diatoms. Such results could indicate that differences in community structure do not necessarily lead to higher tolerance. This highlights the need to consider other wastewater constituents such as nutrients and wastewater-derived "&amp;"microorganisms that can modulate community structure and tolerance. By using engineered flow-through channels that mimic to some extent the required field conditions for the development of tolerance in periphyton, our study constitutes a base to investiga"&amp;"te the mechanisms underlying the increased tolerance, such as the potential role of microorganisms originating from wastewater effluents, and different treatment options to reduce the micropollutant load in effluents.")</f>
        <v>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v>
      </c>
      <c r="C743" s="24" t="str">
        <f>IFERROR(__xludf.DUMMYFUNCTION("""COMPUTED_VALUE"""),"10.1016/j.watres.2021.117486")</f>
        <v>10.1016/j.watres.2021.117486</v>
      </c>
      <c r="D743" s="24" t="str">
        <f>IFERROR(__xludf.DUMMYFUNCTION("""COMPUTED_VALUE"""),"Keck et al")</f>
        <v>Keck et al</v>
      </c>
      <c r="E743" s="24" t="str">
        <f>IFERROR(__xludf.DUMMYFUNCTION("""COMPUTED_VALUE"""),"WOS:000697759000002")</f>
        <v>WOS:000697759000002</v>
      </c>
      <c r="F743" s="24" t="str">
        <f>IFERROR(__xludf.DUMMYFUNCTION("""COMPUTED_VALUE"""),"[""ELIGIBLE""]")</f>
        <v>["ELIGIBLE"]</v>
      </c>
    </row>
    <row r="744">
      <c r="A744" s="24" t="str">
        <f>IFERROR(__xludf.DUMMYFUNCTION("""COMPUTED_VALUE"""),"Contrasting alien effects on native diversity along biotic and abiotic gradients in an arid protected area")</f>
        <v>Contrasting alien effects on native diversity along biotic and abiotic gradients in an arid protected area</v>
      </c>
      <c r="B744" s="24" t="str">
        <f>IFERROR(__xludf.DUMMYFUNCTION("""COMPUTED_VALUE"""),"Alien impact on native diversity could be a function of both the relatedness of alien species to native community and resources availability. Here, we investigated whether alien plants expand or decrease the functional and phylogenetic space of native pla"&amp;"nt communities, and how this is affected by alien relatedness to natives and by resources availability. We used a trait-environment dataset of 33 alien and 130 native plants in 83 pairs of invaded and non-invaded plots, covering a gradient of soil resourc"&amp;"es (organic matter-nitrogen) in Saint-Katherine-Protectorate, Egypt. First, we compared the changes in native composition and calculated alien relatedness to natives within each pair of plots. Second, we tested the effects of resources availability and re"&amp;"latedness on the magnitude of alien impact (defined as a change in native diversity). We found that native composition was phylogenetically less but functionally more diverse in invaded plots compared to non-invaded ones. Moreover, in resources-rich plots"&amp;", dissimilar aliens to natives significantly increased native diversity, while in resource-limited ones, similar aliens to natives declined native diversity. These results suggest that the assessment of alien impacts in arid-regions is significantly linke"&amp;"d to resources-availability and relatedness to natives. Hence, future studies should test the generality of our findings in different environments.")</f>
        <v>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v>
      </c>
      <c r="C744" s="24" t="str">
        <f>IFERROR(__xludf.DUMMYFUNCTION("""COMPUTED_VALUE"""),"10.1038/s41598-021-92763-2")</f>
        <v>10.1038/s41598-021-92763-2</v>
      </c>
      <c r="D744" s="24" t="str">
        <f>IFERROR(__xludf.DUMMYFUNCTION("""COMPUTED_VALUE"""),"Keck et al")</f>
        <v>Keck et al</v>
      </c>
      <c r="E744" s="24" t="str">
        <f>IFERROR(__xludf.DUMMYFUNCTION("""COMPUTED_VALUE"""),"WOS:000671789900010")</f>
        <v>WOS:000671789900010</v>
      </c>
      <c r="F744" s="24" t="str">
        <f>IFERROR(__xludf.DUMMYFUNCTION("""COMPUTED_VALUE"""),"[""ELIGIBLE""]")</f>
        <v>["ELIGIBLE"]</v>
      </c>
    </row>
    <row r="745">
      <c r="A745" s="24" t="str">
        <f>IFERROR(__xludf.DUMMYFUNCTION("""COMPUTED_VALUE"""),"Land management impacts on tree hole invertebrate communities in a Neotropical rainforest")</f>
        <v>Land management impacts on tree hole invertebrate communities in a Neotropical rainforest</v>
      </c>
      <c r="B745" s="24" t="str">
        <f>IFERROR(__xludf.DUMMYFUNCTION("""COMPUTED_VALUE"""),"The Los Tuxtlas Biosphere Reserve in Southeastern Veracruz, Mexico represents the northernmost Neotropical lowland rainforest and has lost 84 % of its forests in the last forty years. Rich terrestrial and aquatic species communities are found throughout N"&amp;"eotropical forests, habitats increasingly threatened by land management practices. Plant-held waters, phytotelmata, are ecologically important discrete microhabitats harboring many specialist invertebrates and are abundant in tropical forests. In this stu"&amp;"dy, using artificial tree holes, we examined invertebrate tree hole communities in a mature forest of Los Tuxtlas and in a managed habitat adjacent to the Los Tuxtlas Biological Station. Based on the proximity of human and livestock communities to managed"&amp;" habitats and the dispersal limitations of some phytotelmata specialists, we expected to find community composition differences between the two habitats. We found distinct differences in chironomid colonization; Tanypodinae, a predaceous subfamily, was pr"&amp;"esent in the managed habitat and its omnivorous counterpart, Chironominae, was present in the forest. We found differences in mosquito colonization with more predaceous Toxorhychites in the managed habitat. Haemagogus mosquitoes were only present in the m"&amp;"anaged habitat. These results indicate different colonization ability across phytotelmata specialists and warn of larger community shifts and potential public health hazards with continued and intensified forest fragmentation and degradation.")</f>
        <v>The Los Tuxtlas Biosphere Reserve in Southeastern Veracruz, Mexico represents the northernmost Neotropical lowland rainforest and has lost 84 % of its forests in the last forty years. Rich terrestrial and aquatic species communities are found throughout Neotropical forests, habitats increasingly threatened by land management practices. Plant-held waters, phytotelmata, are ecologically important discrete microhabitats harboring many specialist invertebrates and are abundant in tropical forests. In this study, using artificial tree holes, we examined invertebrate tree hole communities in a mature forest of Los Tuxtlas and in a managed habitat adjacent to the Los Tuxtlas Biological Station. Based on the proximity of human and livestock communities to managed habitats and the dispersal limitations of some phytotelmata specialists, we expected to find community composition differences between the two habitats. We found distinct differences in chironomid colonization; Tanypodinae, a predaceous subfamily, was present in the managed habitat and its omnivorous counterpart, Chironominae, was present in the forest. We found differences in mosquito colonization with more predaceous Toxorhychites in the managed habitat. Haemagogus mosquitoes were only present in the managed habitat. These results indicate different colonization ability across phytotelmata specialists and warn of larger community shifts and potential public health hazards with continued and intensified forest fragmentation and degradation.</v>
      </c>
      <c r="C745" s="24" t="str">
        <f>IFERROR(__xludf.DUMMYFUNCTION("""COMPUTED_VALUE"""),"10.1007/s10841-015-9791-4")</f>
        <v>10.1007/s10841-015-9791-4</v>
      </c>
      <c r="D745" s="24" t="str">
        <f>IFERROR(__xludf.DUMMYFUNCTION("""COMPUTED_VALUE"""),"Keck et al")</f>
        <v>Keck et al</v>
      </c>
      <c r="E745" s="24" t="str">
        <f>IFERROR(__xludf.DUMMYFUNCTION("""COMPUTED_VALUE"""),"WOS:000360850000008")</f>
        <v>WOS:000360850000008</v>
      </c>
      <c r="F745" s="24" t="str">
        <f>IFERROR(__xludf.DUMMYFUNCTION("""COMPUTED_VALUE"""),"[""ELIGIBLE""]")</f>
        <v>["ELIGIBLE"]</v>
      </c>
    </row>
    <row r="746">
      <c r="A746" s="24" t="str">
        <f>IFERROR(__xludf.DUMMYFUNCTION("""COMPUTED_VALUE"""),"Recovery of lichen-dominated soil crusts in a hyper-arid desert")</f>
        <v>Recovery of lichen-dominated soil crusts in a hyper-arid desert</v>
      </c>
      <c r="B746" s="24" t="str">
        <f>IFERROR(__xludf.DUMMYFUNCTION("""COMPUTED_VALUE"""),"Soil crust lichens can be the dominant vegetation in desert regions that are unsuitable for higher plants, and are vital to soil stabilization and primary production. Biological soil crusts are vulnerable to disturbance and there is little evidence of the"&amp;" lichen components achieving full recovery following human disturbances in semi-arid to arid environments, and no records of recovery in hyper-arid deserts. Eight sites with varying anthropogenic, mechanical disturbance regimes were assessed in the hyper-"&amp;"arid Namib Desert for levels of recovery and successional convergence, based on a comparative analysis of overall lichen cover and community composition in disturbed and control locations. Recovery time estimations ranged from 5 to 530 years, with no dete"&amp;"cted linear relationship to impact gradient (low to high impact). Variables that were found to most strongly influence recovery rates were the overall cover of lichen growth and total number of lichen species in the bordering undisturbed areas, followed b"&amp;"y the extent of soil compaction in the disturbed area, altered soil surface microrelief and vitality of subsurface soil crust components. An assessment of pioneering species demonstrated a link between increased soil depressions, i.e. track ruts, and the "&amp;"occurrence of fragmenting, wind-dispersing species. Track ruts in hype-arid deserts are not as vulnerable to the water erosion found in less arid deserts, and may be advancing recovery by trapping fragments. However, the lichen community structure was sig"&amp;"nificantly different between all of the disturbed and control areas, regardless of the recovery phase, suggesting that while the lichen community composition may not. The ecological consequences of such disturbances may be far reaching in hyper-arid deser"&amp;"ts where lichens are primary heterotrophs soil stabilizers. Given the economic development occurring within coastal hyper-acid deserts of the world, these impacts undoubtedly call for conservation attention.")</f>
        <v>Soil crust lichens can be the dominant vegetation in desert regions that are unsuitable for higher plants, and are vital to soil stabilization and primary production. Biological soil crusts are vulnerable to disturbance and there is little evidence of the lichen components achieving full recovery following human disturbances in semi-arid to arid environments, and no records of recovery in hyper-arid deserts. Eight sites with varying anthropogenic, mechanical disturbance regimes were assessed in the hyper-arid Namib Desert for levels of recovery and successional convergence, based on a comparative analysis of overall lichen cover and community composition in disturbed and control locations. Recovery time estimations ranged from 5 to 530 years, with no detected linear relationship to impact gradient (low to high impact). Variables that were found to most strongly influence recovery rates were the overall cover of lichen growth and total number of lichen species in the bordering undisturbed areas, followed by the extent of soil compaction in the disturbed area, altered soil surface microrelief and vitality of subsurface soil crust components. An assessment of pioneering species demonstrated a link between increased soil depressions, i.e. track ruts, and the occurrence of fragmenting, wind-dispersing species. Track ruts in hype-arid deserts are not as vulnerable to the water erosion found in less arid deserts, and may be advancing recovery by trapping fragments. However, the lichen community structure was significantly different between all of the disturbed and control areas, regardless of the recovery phase, suggesting that while the lichen community composition may not. The ecological consequences of such disturbances may be far reaching in hyper-arid deserts where lichens are primary heterotrophs soil stabilizers. Given the economic development occurring within coastal hyper-acid deserts of the world, these impacts undoubtedly call for conservation attention.</v>
      </c>
      <c r="C746" s="24" t="str">
        <f>IFERROR(__xludf.DUMMYFUNCTION("""COMPUTED_VALUE"""),"10.1007/s10531-007-9153-y")</f>
        <v>10.1007/s10531-007-9153-y</v>
      </c>
      <c r="D746" s="24" t="str">
        <f>IFERROR(__xludf.DUMMYFUNCTION("""COMPUTED_VALUE"""),"Keck et al")</f>
        <v>Keck et al</v>
      </c>
      <c r="E746" s="24" t="str">
        <f>IFERROR(__xludf.DUMMYFUNCTION("""COMPUTED_VALUE"""),"WOS:000252302300001")</f>
        <v>WOS:000252302300001</v>
      </c>
      <c r="F746" s="24" t="str">
        <f>IFERROR(__xludf.DUMMYFUNCTION("""COMPUTED_VALUE"""),"[""ELIGIBLE""]")</f>
        <v>["ELIGIBLE"]</v>
      </c>
    </row>
    <row r="747">
      <c r="A747" s="24" t="str">
        <f>IFERROR(__xludf.DUMMYFUNCTION("""COMPUTED_VALUE"""),"Harvesting effects on functional structure and composition of tropical invertebrate assemblages")</f>
        <v>Harvesting effects on functional structure and composition of tropical invertebrate assemblages</v>
      </c>
      <c r="B747" s="24" t="str">
        <f>IFERROR(__xludf.DUMMYFUNCTION("""COMPUTED_VALUE"""),"Anthropogenic disturbances affect ecosystem structure and functioning. The quantification of their impacts on highly diverse and structurally complex ecosystems, such as coral reefs, is challenging. These communities are facing rising fishing pressure, pa"&amp;"rticularly on Pacific Islands such as New Caledonia. The main objective was to quantify harvesting effects on invertebrate assemblages across two contrasting habitats (soft-and hard-bottom), by comparing communities in marine protected areas (MPAs) with n"&amp;"on-MPAs using 10 biological and ecological traits. Patterns of trait composition were compared with those of species composition by non-metric multidimensional scaling and permutational analysis of variance analyses. Traits most responsible for difference"&amp;"s between MPAs and non-MPAs were determined using SIMPER analysis, and predictions on shellfishing effects were discussed. A total of 248 species were recorded in hard-bottom communities, mainly characterized by mobile epifauna living on corals, crawling,"&amp;" and possessing a shell (molluscs) or a cuticle (crabs and echinoderms). Soft-bottom habitats contained 166 species, dominated by burrowing and sedentary species, especially shelled (largely bivalves) and worm-like organisms. Clear differences in species "&amp;"and trait composition between MPA and non-MPAs were highlighted in both habitats. Harvesting activities have community-wide effects that change the functional composition of invertebrate assemblages, in particular in terms of living habits and mobility. T"&amp;"he observed shifts in benthic communities can affect the functioning of tropical coastal ecosystems and need to be included in small-scale fisheries management in poorly known tropical environments.")</f>
        <v>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v>
      </c>
      <c r="C747" s="24" t="str">
        <f>IFERROR(__xludf.DUMMYFUNCTION("""COMPUTED_VALUE"""),"10.1093/icesjms/fsv179")</f>
        <v>10.1093/icesjms/fsv179</v>
      </c>
      <c r="D747" s="24" t="str">
        <f>IFERROR(__xludf.DUMMYFUNCTION("""COMPUTED_VALUE"""),"Keck et al")</f>
        <v>Keck et al</v>
      </c>
      <c r="E747" s="24" t="str">
        <f>IFERROR(__xludf.DUMMYFUNCTION("""COMPUTED_VALUE"""),"WOS:000371141600023")</f>
        <v>WOS:000371141600023</v>
      </c>
      <c r="F747" s="24" t="str">
        <f>IFERROR(__xludf.DUMMYFUNCTION("""COMPUTED_VALUE"""),"[""ELIGIBLE""]")</f>
        <v>["ELIGIBLE"]</v>
      </c>
    </row>
    <row r="748">
      <c r="A748" s="24" t="str">
        <f>IFERROR(__xludf.DUMMYFUNCTION("""COMPUTED_VALUE"""),"Coral microbial community dynamics in response to anthropogenic impacts near a major city in the central Red Sea")</f>
        <v>Coral microbial community dynamics in response to anthropogenic impacts near a major city in the central Red Sea</v>
      </c>
      <c r="B748" s="24" t="str">
        <f>IFERROR(__xludf.DUMMYFUNCTION("""COMPUTED_VALUE"""),"Coral-associated bacteria play an increasingly recognized part in coral health. We investigated the effect of local anthropogenic impacts on coral microbial communities on reefs near Jeddah, the largest city on the Saudi Arabian coast of the central Red S"&amp;"ea. We analyzed the bacterial community structure of water and corals (Pocillopora verrucosa and Acropora hemprichii) at sites that were relatively unimpacted, exposed to sedimentation &amp; local sewage, or in the discharge area of municipal wastewaters. Cor"&amp;"al microbial communities were significantly different at impacted sites: in both corals the main symbiotic taxon decreased in abundance. In contrast, opportunistic bacterial families, such as e.g. Vibrionaceae and Rhodobacteraceae, were more abundant in c"&amp;"orals at impacted sites. In conclusion, microbial community response revealed a measurable footprint of anthropogenic impacts to coral ecosystems close to Jeddah, even though the corals appeared visually healthy. (C) 2015 The Authors. Published by Elsevie"&amp;"r Ltd. This is an open access article under the CC BY-NC-ND license")</f>
        <v>Coral-associated bacteria play an increasingly recognized part in coral health. We investigated the effect of local anthropogenic impacts on coral microbial communities on reefs near Jeddah, the largest city on the Saudi Arabian coast of the central Red Sea. We analyzed the bacterial community structure of water and corals (Pocillopora verrucosa and Acropora hemprichii) at sites that were relatively unimpacted, exposed to sedimentation &amp; local sewage, or in the discharge area of municipal wastewaters. Coral microbial communities were significantly different at impacted sites: in both corals the main symbiotic taxon decreased in abundance. In contrast, opportunistic bacterial families, such as e.g. Vibrionaceae and Rhodobacteraceae, were more abundant in corals at impacted sites. In conclusion, microbial community response revealed a measurable footprint of anthropogenic impacts to coral ecosystems close to Jeddah, even though the corals appeared visually healthy. (C) 2015 The Authors. Published by Elsevier Ltd. This is an open access article under the CC BY-NC-ND license</v>
      </c>
      <c r="C748" s="24" t="str">
        <f>IFERROR(__xludf.DUMMYFUNCTION("""COMPUTED_VALUE"""),"10.1016/j.marpolbul.2015.12.045")</f>
        <v>10.1016/j.marpolbul.2015.12.045</v>
      </c>
      <c r="D748" s="24" t="str">
        <f>IFERROR(__xludf.DUMMYFUNCTION("""COMPUTED_VALUE"""),"Keck et al")</f>
        <v>Keck et al</v>
      </c>
      <c r="E748" s="24" t="str">
        <f>IFERROR(__xludf.DUMMYFUNCTION("""COMPUTED_VALUE"""),"WOS:000375823900023")</f>
        <v>WOS:000375823900023</v>
      </c>
      <c r="F748" s="24" t="str">
        <f>IFERROR(__xludf.DUMMYFUNCTION("""COMPUTED_VALUE"""),"[""ELIGIBLE""]")</f>
        <v>["ELIGIBLE"]</v>
      </c>
    </row>
    <row r="749">
      <c r="A749" s="24" t="str">
        <f>IFERROR(__xludf.DUMMYFUNCTION("""COMPUTED_VALUE"""),"How do hydromorphological constraints and regulated flows govern macroinvertebrate communities along an entire lowland river?")</f>
        <v>How do hydromorphological constraints and regulated flows govern macroinvertebrate communities along an entire lowland river?</v>
      </c>
      <c r="B749" s="24" t="str">
        <f>IFERROR(__xludf.DUMMYFUNCTION("""COMPUTED_VALUE"""),"Macroinvertebrates' response to hydromorphological alterations and regulated flows along lowland rivers is still poorly known despite ecohydrology's fundamental role in river science. Along the Oglio River (Northern Italy), several water abstractions and "&amp;"dams break it into segments with varying hydraulic and morphological properties. Three types of a priori different environments were identified (dammed, downstream and free flowing sections), and macroinvertebrate communities were sampled from each zone. "&amp;"This study aimed (i) to investigate patterns of macroinvertebrate communities along a regulated lowland river by testing the a priori zones; (ii) to find macroinvertebrate taxa that served as indicators of the various hydrological conditions and (iii) to "&amp;"verify hydromorphological control over ecological macroinvertebrate traits resulting in different trait values in each identified zone. Macroinvertebrate community was characterized in a total of 63 stations by means of two quantitative approaches, each e"&amp;"xploring a surface of 0.5m(2). The lowest richness values were found in dammed sites that tended toward lentic conditions. Ecnomidae (dammed zones), Limoniidae (downstream zones) and Heptageniidae (free flowing section) were identified as the best indicat"&amp;"ors of varying hydrological conditions. As suggested by the results of 4th Corner Method, environmental constraints define communities with different ecological traits. These results highlight hydromorphological control over macroinvertebrate community st"&amp;"ructure and reflect how regulated flows affect the Oglio River in terms of biodiversity, indicator taxa and ecological traits. The authors wish to stress the importance of considering the ecological effects of dams and impoundments on river systems in ups"&amp;"tream areas as well as downstream. Copyright (c) 2012 John Wiley &amp; Sons, Ltd.")</f>
        <v>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v>
      </c>
      <c r="C749" s="24" t="str">
        <f>IFERROR(__xludf.DUMMYFUNCTION("""COMPUTED_VALUE"""),"10.1002/eco.1354")</f>
        <v>10.1002/eco.1354</v>
      </c>
      <c r="D749" s="24" t="str">
        <f>IFERROR(__xludf.DUMMYFUNCTION("""COMPUTED_VALUE"""),"Keck et al")</f>
        <v>Keck et al</v>
      </c>
      <c r="E749" s="24" t="str">
        <f>IFERROR(__xludf.DUMMYFUNCTION("""COMPUTED_VALUE"""),"WOS:000334671600015")</f>
        <v>WOS:000334671600015</v>
      </c>
      <c r="F749" s="24" t="str">
        <f>IFERROR(__xludf.DUMMYFUNCTION("""COMPUTED_VALUE"""),"[""ELIGIBLE""]")</f>
        <v>["ELIGIBLE"]</v>
      </c>
    </row>
    <row r="750">
      <c r="A750" s="24" t="str">
        <f>IFERROR(__xludf.DUMMYFUNCTION("""COMPUTED_VALUE"""),"Impacts of municipal wastewater treatment plant discharge on microbial community structure and function of the receiving river in Northwest Tibetan Plateau")</f>
        <v>Impacts of municipal wastewater treatment plant discharge on microbial community structure and function of the receiving river in Northwest Tibetan Plateau</v>
      </c>
      <c r="B750" s="24" t="str">
        <f>IFERROR(__xludf.DUMMYFUNCTION("""COMPUTED_VALUE"""),"ABSTR A C T Wastewater treatment plant (WWTP) effluents carrying plenty of nutrients and micropollutants pose serious threats to receiving rivers, however, the response of microbial community structure and function to WWTP ef-fluents discharge is still po"&amp;"orly understood. To address this knowledge gap, paired water and sediment samples from 17 sites of the Huangshui River, and effluents from 6 WWTPs were collected to investigate the effect of WWTP discharge on riverine microbial communities. Our results re"&amp;"vealed that WWTP effluents exerted signif-icant effects on planktonic rather than sedimentary microorganisms in the receiving river. Notably, lower di-versity and richness of planktonic communities were observed in the effluent-influenced section (WRW) th"&amp;"an other river sections (RW) along the urban river. Meanwhile, network analysis potentially revealed lower stability of co-occurrence patterns of microbial communities in WRW. The remarkably higher antibiotics, nitrate-nitrogen, and water temperature in W"&amp;"RW samples caused by WWTPs played essential roles in shaping the structure and function of planktonic microbial communities. This study suggested the enrichment of multiple-drug resistance genes and destruction of energy metabolisms were caused by sewage "&amp;"effluents, and high-lighted the importance of effective management strategies for protecting the ecological health of the receiving river.")</f>
        <v>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v>
      </c>
      <c r="C750" s="24" t="str">
        <f>IFERROR(__xludf.DUMMYFUNCTION("""COMPUTED_VALUE"""),"10.1016/j.jhazmat.2021.127170")</f>
        <v>10.1016/j.jhazmat.2021.127170</v>
      </c>
      <c r="D750" s="24" t="str">
        <f>IFERROR(__xludf.DUMMYFUNCTION("""COMPUTED_VALUE"""),"Keck et al")</f>
        <v>Keck et al</v>
      </c>
      <c r="E750" s="24" t="str">
        <f>IFERROR(__xludf.DUMMYFUNCTION("""COMPUTED_VALUE"""),"WOS:000697062800005")</f>
        <v>WOS:000697062800005</v>
      </c>
      <c r="F750" s="24" t="str">
        <f>IFERROR(__xludf.DUMMYFUNCTION("""COMPUTED_VALUE"""),"[""ELIGIBLE""]")</f>
        <v>["ELIGIBLE"]</v>
      </c>
    </row>
    <row r="751">
      <c r="A751" s="24" t="str">
        <f>IFERROR(__xludf.DUMMYFUNCTION("""COMPUTED_VALUE"""),"Plant-hummingbird interaction networks in urban areas: Generalization and the importance of trees with specialized flowers as a nectar resource for pollinator conservation")</f>
        <v>Plant-hummingbird interaction networks in urban areas: Generalization and the importance of trees with specialized flowers as a nectar resource for pollinator conservation</v>
      </c>
      <c r="B751" s="24" t="str">
        <f>IFERROR(__xludf.DUMMYFUNCTION("""COMPUTED_VALUE"""),"Cities harbour considerable biodiversity and there has been an increased concern about the conservation of pollinators in urban environments. Here, we evaluated how urbanization affects plant-hummingbird interactions at two spatial scales. First, in a med"&amp;"ium-sized city from southeastern Brazil ( &gt; 600,000 inhabitants), we contrasted interaction networks from urban and natural areas, and used artificial nectar feeder stations to evaluate changes in the composition of hummingbird assemblages across an urban"&amp;"ization gradient. Second, we compiled data on six urban plant-hummingbird interaction networks from south and southeastern Brazil to identify the characteristics associated with the most important plants. Locally, urbanization affected hummingbird communi"&amp;"ties by promoting higher generalization and dominance by more aggressive hummingbirds. Notably, specialized long-billed hermits were absent both in the urban interaction network and at feeder stations from more urbanized areas. Across networks, trees were"&amp;" more important for hummingbirds than shrubs/herbs as were specialized ornithophilous flowers in relation to non-ornithophilous flowers. Plant origin (native or exotic) did not matter. Our results indicate that urban plant-hummingbird communities are orga"&amp;"nized differently than their counterparts from natural areas, which usually feature key hermits and few trees. Since hermits provide important pollination services, especially for specialized ornithophilous plants, initiatives such as green corridors and "&amp;"preference for native plants with specialized hummingbird-pollinated flowers in urban landscaping may contribute to community restoration and ecosystem functioning.")</f>
        <v>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v>
      </c>
      <c r="C751" s="24" t="str">
        <f>IFERROR(__xludf.DUMMYFUNCTION("""COMPUTED_VALUE"""),"10.1016/j.biocon.2018.12.012")</f>
        <v>10.1016/j.biocon.2018.12.012</v>
      </c>
      <c r="D751" s="24" t="str">
        <f>IFERROR(__xludf.DUMMYFUNCTION("""COMPUTED_VALUE"""),"Keck et al")</f>
        <v>Keck et al</v>
      </c>
      <c r="E751" s="24" t="str">
        <f>IFERROR(__xludf.DUMMYFUNCTION("""COMPUTED_VALUE"""),"WOS:000468703700022")</f>
        <v>WOS:000468703700022</v>
      </c>
      <c r="F751" s="24" t="str">
        <f>IFERROR(__xludf.DUMMYFUNCTION("""COMPUTED_VALUE"""),"[""ELIGIBLE""]")</f>
        <v>["ELIGIBLE"]</v>
      </c>
    </row>
    <row r="752">
      <c r="A752" s="24" t="str">
        <f>IFERROR(__xludf.DUMMYFUNCTION("""COMPUTED_VALUE"""),"Impact of mining and industrial pollution on stream macroinvertebrates: importance of taxonomic resolution, water geochemistry and EPT indices for impact detection")</f>
        <v>Impact of mining and industrial pollution on stream macroinvertebrates: importance of taxonomic resolution, water geochemistry and EPT indices for impact detection</v>
      </c>
      <c r="B752" s="24" t="str">
        <f>IFERROR(__xludf.DUMMYFUNCTION("""COMPUTED_VALUE"""),"This study investigated freshwater macroinvertebrate communities in waterways contaminated by active and abandoned mining and industrial activities in order to ascertain any impact on freshwater ecosystems. We compared macroinvertebrate communities at the"&amp;" species, family and order levels of taxonomic resolution. We also collected water samples to compare ionic composition and metal concentrations from waste-affected and reference (non-affected) sites. In addition to assessing ecological impairment, the st"&amp;"udy also sought to determine whether the degree of sensitivity in detecting any impairment varied according to the taxonomic level of identification used. We calculated the biotic indices of EPT richness and taxonomic richness at the species, family and o"&amp;"rder levels, and performed multivariate analyses to measure differences in community structure at all three levels. We found significant differences in both biotic indices and macroinvertebrate community structure at each taxonomic level, indicating ecolo"&amp;"gical impairment at waste-affected sites. We also concluded that the most appropriate taxonomic level for evaluating macroinvertebrates depends on the information required. In this study, the family level provided the clearest assessment of ecological imp"&amp;"airment at waterways affected by mining and/or industrial wastes, and order-level data provided only a marginally less sensitive measure of this impairment.")</f>
        <v>This study investigated freshwater macroinvertebrate communities in waterways contaminated by active and abandoned mining and industrial activities in order to ascertain any impact on freshwater ecosystems. We compared macroinvertebrate communities at the species, family and order levels of taxonomic resolution. We also collected water samples to compare ionic composition and metal concentrations from waste-affected and reference (non-affected) sites. In addition to assessing ecological impairment, the study also sought to determine whether the degree of sensitivity in detecting any impairment varied according to the taxonomic level of identification used. We calculated the biotic indices of EPT richness and taxonomic richness at the species, family and order levels, and performed multivariate analyses to measure differences in community structure at all three levels. We found significant differences in both biotic indices and macroinvertebrate community structure at each taxonomic level, indicating ecological impairment at waste-affected sites. We also concluded that the most appropriate taxonomic level for evaluating macroinvertebrates depends on the information required. In this study, the family level provided the clearest assessment of ecological impairment at waterways affected by mining and/or industrial wastes, and order-level data provided only a marginally less sensitive measure of this impairment.</v>
      </c>
      <c r="C752" s="24" t="str">
        <f>IFERROR(__xludf.DUMMYFUNCTION("""COMPUTED_VALUE"""),"10.1007/s10750-016-2644-7")</f>
        <v>10.1007/s10750-016-2644-7</v>
      </c>
      <c r="D752" s="24" t="str">
        <f>IFERROR(__xludf.DUMMYFUNCTION("""COMPUTED_VALUE"""),"Keck et al")</f>
        <v>Keck et al</v>
      </c>
      <c r="E752" s="24" t="str">
        <f>IFERROR(__xludf.DUMMYFUNCTION("""COMPUTED_VALUE"""),"WOS:000374689000008")</f>
        <v>WOS:000374689000008</v>
      </c>
      <c r="F752" s="24" t="str">
        <f>IFERROR(__xludf.DUMMYFUNCTION("""COMPUTED_VALUE"""),"[""ELIGIBLE""]")</f>
        <v>["ELIGIBLE"]</v>
      </c>
    </row>
    <row r="753">
      <c r="A753" s="24" t="str">
        <f>IFERROR(__xludf.DUMMYFUNCTION("""COMPUTED_VALUE"""),"Benthic monitoring of oil and gas offshore platforms in the North Sea using environmental DNA metabarcoding")</f>
        <v>Benthic monitoring of oil and gas offshore platforms in the North Sea using environmental DNA metabarcoding</v>
      </c>
      <c r="B753" s="24" t="str">
        <f>IFERROR(__xludf.DUMMYFUNCTION("""COMPUTED_VALUE"""),"Since 2010, considerable efforts have been undertaken to monitor the environmental status of European marine waters and ensuring the development of methodological standards for the evaluation of this status. However, the current routine biomonitoring impl"&amp;"icates time-consuming and costly manual sorting and morphological identification of benthic macrofauna. Environmental DNA (eDNA) metabarcoding represents an alternative to the traditional monitoring method with very promising results. Here, we tested it f"&amp;"urther by performing eDNA metabarcoding of benthic eukaryotic communities in the vicinity of two offshore oil and gas platforms in the North Sea. Three different genetic markers (18S V1V2, 18S V9 and COI) were used to assess the environmental pressures in"&amp;"duced by the platforms. All markers showed patterns of alpha and beta diversity consistent with morphology-based macrofauna analyses. In particular, the communities' structure inferred from metabarcoding and morphological data significantly changed along "&amp;"distance gradients from the platforms. The impact of the operational discharges was also detected by the variation of biotic index values, AMBI index showing the best correlation between morphological and eDNA data sets. Finally, the sediment physicochemi"&amp;"cal parameters were used to build a local de novo pressure index that served as benchmark to test the potential of a taxonomy-free approach. Our study demonstrates that metabarcoding approach outperforms morphology-based approach and can be used as a cost"&amp;" and time-saving alternative solution to the traditional morphology-based monitoring in order to monitor more efficiently the impact of industrial activities on marine biodiversity.")</f>
        <v>Since 2010, considerable efforts have been undertaken to monitor the environmental status of European marine waters and ensuring the development of methodological standards for the evaluation of this status. However, the current routine biomonitoring implicates time-consuming and costly manual sorting and morphological identification of benthic macrofauna. Environmental DNA (eDNA) metabarcoding represents an alternative to the traditional monitoring method with very promising results. Here, we tested it further by performing eDNA metabarcoding of benthic eukaryotic communities in the vicinity of two offshore oil and gas platforms in the North Sea. Three different genetic markers (18S V1V2, 18S V9 and COI) were used to assess the environmental pressures induced by the platforms. All markers showed patterns of alpha and beta diversity consistent with morphology-based macrofauna analyses. In particular, the communities' structure inferred from metabarcoding and morphological data significantly changed along distance gradients from the platforms. The impact of the operational discharges was also detected by the variation of biotic index values, AMBI index showing the best correlation between morphological and eDNA data sets. Finally, the sediment physicochemical parameters were used to build a local de novo pressure index that served as benchmark to test the potential of a taxonomy-free approach. Our study demonstrates that metabarcoding approach outperforms morphology-based approach and can be used as a cost and time-saving alternative solution to the traditional morphology-based monitoring in order to monitor more efficiently the impact of industrial activities on marine biodiversity.</v>
      </c>
      <c r="C753" s="24" t="str">
        <f>IFERROR(__xludf.DUMMYFUNCTION("""COMPUTED_VALUE"""),"10.1111/mec.15698")</f>
        <v>10.1111/mec.15698</v>
      </c>
      <c r="D753" s="24" t="str">
        <f>IFERROR(__xludf.DUMMYFUNCTION("""COMPUTED_VALUE"""),"Keck et al")</f>
        <v>Keck et al</v>
      </c>
      <c r="E753" s="24" t="str">
        <f>IFERROR(__xludf.DUMMYFUNCTION("""COMPUTED_VALUE"""),"WOS:000584468900001")</f>
        <v>WOS:000584468900001</v>
      </c>
      <c r="F753" s="24" t="str">
        <f>IFERROR(__xludf.DUMMYFUNCTION("""COMPUTED_VALUE"""),"[""ELIGIBLE""]")</f>
        <v>["ELIGIBLE"]</v>
      </c>
    </row>
    <row r="754">
      <c r="A754" s="24" t="str">
        <f>IFERROR(__xludf.DUMMYFUNCTION("""COMPUTED_VALUE"""),"Mega-dams and extreme rainfall: Disentangling the drivers of extensive impacts of a large flooding event on Amazon Forests")</f>
        <v>Mega-dams and extreme rainfall: Disentangling the drivers of extensive impacts of a large flooding event on Amazon Forests</v>
      </c>
      <c r="B754" s="24" t="str">
        <f>IFERROR(__xludf.DUMMYFUNCTION("""COMPUTED_VALUE"""),"Extreme weather events and the presence of mega-hydroelectric dams, when combined, present an emerging threat to natural habitats in the Amazon region. To understand the magnitude of these impacts, we used remote sensing data to assess forest loss in area"&amp;"s affected by the extreme 2014 flood in the entire Madeira River basin, the location of two mega-dams. In addition, forest plots (26 ha) were monitored between 2011 and 2015 (14,328 trees) in order to evaluate changes in tree mortality, aboveground biomas"&amp;"s (AGB), species composition and community structure around the Jirau reservoir (distance between plots varies from 1 to 80 km). We showed that the mega-dams were the main driver of tree mortality in Madeira basin forests after the 2014 extreme flood. For"&amp;"est loss in the areas surrounding the reservoirs was 56 km(2) in Santo Antonio, 190 km(2) in Jirau (7.4-9.2% of the forest cover before flooding), and 79.9% above that predicted in environmental impact assessments. We also show that climatic anomalies, al"&amp;"beit with much smaller impact than that created by the mega-dams, resulted in forest loss along different Madeira sub-basins not affected by dams (34-173 km(2); 0.5-1.7%). The impact of flooding was greater in varzea and transitional forests, resulting in"&amp;" high rates of tree mortality (88-100%), AGB decrease (89-100%), and reduction of species richness (78-100%). Conversely, campinarana forests were more flood-tolerant with a slight decrease in species richness (6%) and similar AGB after flooding. Taking t"&amp;"ogether satellite and field measurements, we estimate that the 2014 flood event in the Madeira basin resulted in 8.81-12.47 center dot 10(6) tons of dead biomass. Environmental impact studies required for environmental licensing of mega-dams by government"&amp;"al agencies should consider the increasing trend of climatic anomalies and the high vulnerability of different habitats to minimize the serious impacts of dams on Amazonian biodiversity and carbon stocks.")</f>
        <v>Extreme weather events and the presence of mega-hydroelectric dams, when combined, present an emerging threat to natural habitats in the Amazon region. To understand the magnitude of these impacts, we used remote sensing data to assess forest loss in areas affected by the extreme 2014 flood in the entire Madeira River basin, the location of two mega-dams. In addition, forest plots (26 ha) were monitored between 2011 and 2015 (14,328 trees) in order to evaluate changes in tree mortality, aboveground biomass (AGB), species composition and community structure around the Jirau reservoir (distance between plots varies from 1 to 80 km). We showed that the mega-dams were the main driver of tree mortality in Madeira basin forests after the 2014 extreme flood. Forest loss in the areas surrounding the reservoirs was 56 km(2) in Santo Antonio, 190 km(2) in Jirau (7.4-9.2% of the forest cover before flooding), and 79.9% above that predicted in environmental impact assessments. We also show that climatic anomalies, albeit with much smaller impact than that created by the mega-dams, resulted in forest loss along different Madeira sub-basins not affected by dams (34-173 km(2); 0.5-1.7%). The impact of flooding was greater in varzea and transitional forests, resulting in high rates of tree mortality (88-100%), AGB decrease (89-100%), and reduction of species richness (78-100%). Conversely, campinarana forests were more flood-tolerant with a slight decrease in species richness (6%) and similar AGB after flooding. Taking together satellite and field measurements, we estimate that the 2014 flood event in the Madeira basin resulted in 8.81-12.47 center dot 10(6) tons of dead biomass. Environmental impact studies required for environmental licensing of mega-dams by governmental agencies should consider the increasing trend of climatic anomalies and the high vulnerability of different habitats to minimize the serious impacts of dams on Amazonian biodiversity and carbon stocks.</v>
      </c>
      <c r="C754" s="24" t="str">
        <f>IFERROR(__xludf.DUMMYFUNCTION("""COMPUTED_VALUE"""),"10.1371/journal.pone.0245991")</f>
        <v>10.1371/journal.pone.0245991</v>
      </c>
      <c r="D754" s="24" t="str">
        <f>IFERROR(__xludf.DUMMYFUNCTION("""COMPUTED_VALUE"""),"Keck et al")</f>
        <v>Keck et al</v>
      </c>
      <c r="E754" s="24" t="str">
        <f>IFERROR(__xludf.DUMMYFUNCTION("""COMPUTED_VALUE"""),"WOS:000619155900001")</f>
        <v>WOS:000619155900001</v>
      </c>
      <c r="F754" s="24" t="str">
        <f>IFERROR(__xludf.DUMMYFUNCTION("""COMPUTED_VALUE"""),"[""ELIGIBLE""]")</f>
        <v>["ELIGIBLE"]</v>
      </c>
    </row>
    <row r="755">
      <c r="A755" s="24" t="str">
        <f>IFERROR(__xludf.DUMMYFUNCTION("""COMPUTED_VALUE"""),"Response of benthic macroinvertebrates to different hydropower off-stream diversion schemes")</f>
        <v>Response of benthic macroinvertebrates to different hydropower off-stream diversion schemes</v>
      </c>
      <c r="B755" s="24" t="str">
        <f>IFERROR(__xludf.DUMMYFUNCTION("""COMPUTED_VALUE"""),"Despite significant advancement in environmental flow science, the release of minimum flows (MFs) still represents one of the main measures globally adopted to mitigate off-stream diversion in regulated rivers. In the Lake Como basin (Italy), we monitored"&amp;" water-depleted reaches below hydropower reservoirs and intakes and reaches unimpacted by water withdrawal. Our aim was to verify if the gradient in streamflow alterations resulted in detectable differences in the structure and functions of benthic assemb"&amp;"lages, possibly identifying streamflow metrics explaining the observed differences. The macroinvertebrate assemblages sampled below reservoirs showed significant differences from those from unimpacted reaches, including the reduced relative richness of Ep"&amp;"hemeroptera, Plecoptera and Trichoptera (mainly stoneflies) and the higher abundance and richness of dipterans. These differences were well explained by the corresponding streamflow pattern, characterized by a rather constant flow throughout the year, occ"&amp;"asionally interrupted by sharp peaks related to spilling episodes. In contrast, the shift from unimpacted conditions was minor for benthic assemblages collected at reaches below intakes, where the seasonal streamflow variation was partly preserved. Our re"&amp;"sults suggest that an increase of the e-flow released by hydropower dams during the seasons characterized by larger run-offs could support improved benthic assemblages. Dewatered river sections below reservoirs could thus be prioritized for updating the c"&amp;"urrent MF management, in the study area as well as in comparable contexts. At least to our knowledge, specific investigations are so far unavailable regarding the exploration of the different responses of benthic macroinvertebrates to intakes and reservoi"&amp;"rs operations.")</f>
        <v>Despite significant advancement in environmental flow science, the release of minimum flows (MFs) still represents one of the main measures globally adopted to mitigate off-stream diversion in regulated rivers. In the Lake Como basin (Italy), we monitored water-depleted reaches below hydropower reservoirs and intakes and reaches unimpacted by water withdrawal. Our aim was to verify if the gradient in streamflow alterations resulted in detectable differences in the structure and functions of benthic assemblages, possibly identifying streamflow metrics explaining the observed differences. The macroinvertebrate assemblages sampled below reservoirs showed significant differences from those from unimpacted reaches, including the reduced relative richness of Ephemeroptera, Plecoptera and Trichoptera (mainly stoneflies) and the higher abundance and richness of dipterans. These differences were well explained by the corresponding streamflow pattern, characterized by a rather constant flow throughout the year, occasionally interrupted by sharp peaks related to spilling episodes. In contrast, the shift from unimpacted conditions was minor for benthic assemblages collected at reaches below intakes, where the seasonal streamflow variation was partly preserved. Our results suggest that an increase of the e-flow released by hydropower dams during the seasons characterized by larger run-offs could support improved benthic assemblages. Dewatered river sections below reservoirs could thus be prioritized for updating the current MF management, in the study area as well as in comparable contexts. At least to our knowledge, specific investigations are so far unavailable regarding the exploration of the different responses of benthic macroinvertebrates to intakes and reservoirs operations.</v>
      </c>
      <c r="C755" s="24" t="str">
        <f>IFERROR(__xludf.DUMMYFUNCTION("""COMPUTED_VALUE"""),"10.1002/eco.2267")</f>
        <v>10.1002/eco.2267</v>
      </c>
      <c r="D755" s="24" t="str">
        <f>IFERROR(__xludf.DUMMYFUNCTION("""COMPUTED_VALUE"""),"Keck et al")</f>
        <v>Keck et al</v>
      </c>
      <c r="E755" s="24" t="str">
        <f>IFERROR(__xludf.DUMMYFUNCTION("""COMPUTED_VALUE"""),"WOS:000598308300001")</f>
        <v>WOS:000598308300001</v>
      </c>
      <c r="F755" s="24" t="str">
        <f>IFERROR(__xludf.DUMMYFUNCTION("""COMPUTED_VALUE"""),"[""ELIGIBLE""]")</f>
        <v>["ELIGIBLE"]</v>
      </c>
    </row>
    <row r="756">
      <c r="A756" s="24" t="str">
        <f>IFERROR(__xludf.DUMMYFUNCTION("""COMPUTED_VALUE"""),"Increased inheritance of structure and function of bacterial communities and pathogen propagation in plastisphere along a river with increasing antibiotics pollution gradient")</f>
        <v>Increased inheritance of structure and function of bacterial communities and pathogen propagation in plastisphere along a river with increasing antibiotics pollution gradient</v>
      </c>
      <c r="B756" s="24" t="str">
        <f>IFERROR(__xludf.DUMMYFUNCTION("""COMPUTED_VALUE"""),"Plastic debris provides a stable substrate and novel ecological niche for microorganisms in the aquatic environment, which was referred to as Plastisphere. Little is known about distribution patterns and responses of ecological function and structure of m"&amp;"icrobial communities in the plastisphere along rivers which usually have antibiotics pollution gradient. In this study, the differences in the community structure between the plastisphere and the planktonic bacteria, and their spatial variation of the com"&amp;"munity structure and function along a river with increased antibiotics pollution gradient was investigated at the watershed scale. The diversity of bacteria colonized on most plastic debris was higher than in surrounding water. Plastic debris could accumu"&amp;"late a higher abundance of some potential pathogens than surrounding water even at high antibiotics concentrations. The source tracking results showed that downstream plastisphere inherited much higher proportions of bacterial taxa from upstream than plan"&amp;"ktonic bacteria. About 92.3-99.7% of bacteria communities in downstream water were not from upstream but from the input of downstream human activities. On the contrary, high proportions of bacterial taxa in downstream plastisphere were closely connected t"&amp;"o upstream. The plastisphere possesses higher ecological functional diversity than the planktonic bacteria. Seventy nine functional groups across plastisphere were predicted using functional annotation of prokaryotic taxa and only 65 functional groups wer"&amp;"e found in the planktonic bacteria. Plastisphere also acts as hotspot for biogeochemical cycling of nutrients such as N and S. Intensive human activities of urban and downstream agriculture and aquaculture had great effects on microbial community structur"&amp;"e and functional groups of the Urumqi River. Pastisphere communities are much more resistant to human disturbance than planktonic bacteria. Compared to surrounding water, plastisphere increased inheritance from upstream microbial structure and function an"&amp;"d also increased survival and propagation of pathogens in the downstream water with high concentrations of antibiotics. (C) 2020 Elsevier Ltd. All rights reserved.")</f>
        <v>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v>
      </c>
      <c r="C756" s="24" t="str">
        <f>IFERROR(__xludf.DUMMYFUNCTION("""COMPUTED_VALUE"""),"10.1016/j.envpol.2020.114641")</f>
        <v>10.1016/j.envpol.2020.114641</v>
      </c>
      <c r="D756" s="24" t="str">
        <f>IFERROR(__xludf.DUMMYFUNCTION("""COMPUTED_VALUE"""),"Keck et al")</f>
        <v>Keck et al</v>
      </c>
      <c r="E756" s="24" t="str">
        <f>IFERROR(__xludf.DUMMYFUNCTION("""COMPUTED_VALUE"""),"WOS:000558886200004")</f>
        <v>WOS:000558886200004</v>
      </c>
      <c r="F756" s="24" t="str">
        <f>IFERROR(__xludf.DUMMYFUNCTION("""COMPUTED_VALUE"""),"[""ELIGIBLE""]")</f>
        <v>["ELIGIBLE"]</v>
      </c>
    </row>
    <row r="757">
      <c r="A757" s="24" t="str">
        <f>IFERROR(__xludf.DUMMYFUNCTION("""COMPUTED_VALUE"""),"Diatom biomonitoring of streams: Reliability of reference sites and the response of metrics to environmental variations across temporal scales")</f>
        <v>Diatom biomonitoring of streams: Reliability of reference sites and the response of metrics to environmental variations across temporal scales</v>
      </c>
      <c r="B757" s="24" t="str">
        <f>IFERROR(__xludf.DUMMYFUNCTION("""COMPUTED_VALUE"""),"Benthic diatoms are widely used indicators of human impacts on stream ecosystems because they are very responsive to changing environmental conditions. However, little research has explicitly focused on their reliability with regards to temporal variation"&amp;" in assemblage structure and environmental conditions. We examined variability in diatom-environment relationships at bi-weekly, monthly, and yearly time scales from 7 reference, 7 agricultural, and 2 acid mine drainage (AMD)-impacted streams, and how nut"&amp;"rient and pH fluctuations may affect the interpretation of diatom metrics and the Diatom Model Affinity (DMA) index. Reference streams had less bi-weekly variability in NO3-N concentrations than non-reference streams. The % eutraphentic diatoms and DMA sc"&amp;"ores were more strongly correlated with seasonal means of NO3-N and PO4-P concentrations than with same day concentrations. Most nutrient indicator metrics had strong correlations with watershed land use. All 14 non-AMD streams experienced substantial inc"&amp;"reases in NO3-N and decreases in temperature from November to May, which were associated with high species turnover, substantial changes in community structure, reduced diversity and richness, increased relative abundances of high nutrient diatoms, and de"&amp;"creases in low nutrient diatoms and DMA scores. The % acidophilic diatoms and DMA scores were significantly correlated with increased pH associated with greater precipitation at AMD sites from December to April (r=-0.77, r=0.62, respectively; P&lt;0.01). Yea"&amp;"rly, DMA scores for all reference streams were consistently in the minimally impaired category, whereas scores for non-reference streams varied among impairment categories. Reference sites serve as reliable benchmarks for diatom ecological integrity durin"&amp;"g the summer. In this region, June to October is a recommended time period for diatom sampling in monitoring programs because subsequent shifts in hydrologic regimes, nutrients, and diatom assemblages occurred, affecting all sites and masking among stream"&amp;" differences attributable to agricultural land uses. (C) 2011 Elsevier Ltd. All rights reserved.")</f>
        <v>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v>
      </c>
      <c r="C757" s="24" t="str">
        <f>IFERROR(__xludf.DUMMYFUNCTION("""COMPUTED_VALUE"""),"10.1016/j.ecolind.2011.04.011")</f>
        <v>10.1016/j.ecolind.2011.04.011</v>
      </c>
      <c r="D757" s="24" t="str">
        <f>IFERROR(__xludf.DUMMYFUNCTION("""COMPUTED_VALUE"""),"Keck et al")</f>
        <v>Keck et al</v>
      </c>
      <c r="E757" s="24" t="str">
        <f>IFERROR(__xludf.DUMMYFUNCTION("""COMPUTED_VALUE"""),"WOS:000292434100015")</f>
        <v>WOS:000292434100015</v>
      </c>
      <c r="F757" s="24" t="str">
        <f>IFERROR(__xludf.DUMMYFUNCTION("""COMPUTED_VALUE"""),"[""ELIGIBLE""]")</f>
        <v>["ELIGIBLE"]</v>
      </c>
    </row>
    <row r="758">
      <c r="A758" s="24" t="str">
        <f>IFERROR(__xludf.DUMMYFUNCTION("""COMPUTED_VALUE"""),"Richness and abundance of stream fish communities in a fragmented neotropical landscape")</f>
        <v>Richness and abundance of stream fish communities in a fragmented neotropical landscape</v>
      </c>
      <c r="B758" s="24" t="str">
        <f>IFERROR(__xludf.DUMMYFUNCTION("""COMPUTED_VALUE"""),"Environmental conditions influence ecological processes that shape stream community diversity and abundance. Deforestation has the potential to limit available particulate organic matter and raise stream temperatures. The degree to which tropical stream c"&amp;"ommunities are impacted by these changes is likely to differ between systems, but empirical data from tropical regions are lacking. This lack of baseline data hinders conservation policy as well as efforts to better understand biogeographic and anthropoge"&amp;"nic impacts on species' distributions. To fill this knowledge gap, we surveyed 27 sites in six previously unstudied streams across a gradient of deforestation in northwest Ecuador and assessed the degree to which localized deforestation predicted patterns"&amp;" of community composition of fishes. Using general linear mixed models and AICC we found that neither forest fragmentation nor canopy closure was a significant predictor of species richness and found no difference between the species richness of fragmente"&amp;"d and continuous sites. However, forest fragmentation was a strong predictor of abundance, occurring in 31 of 31 general linear mixed models, with higher abundance in fragmented forest than in continuous forest. Of 16 species found, eight occurred at five"&amp;" or more sites and one (Pseudochalceus boehlkei), numbered 200 out of 627 individuals. NMDS and SIMPER analysis suggested that community composition differed between fragmented and continuous sites. P. boehlkei, Pseudopoecilia fria, and Astroblepus cf. fi"&amp;"ssidens species presented in higher abundances in deforested sites, possibly suggesting a less functionally diverse community. This pattern is consistent with neotropical streams that have experienced partial deforestation but not total degradation of hab"&amp;"itat.")</f>
        <v>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v>
      </c>
      <c r="C758" s="24" t="str">
        <f>IFERROR(__xludf.DUMMYFUNCTION("""COMPUTED_VALUE"""),"10.1007/s10641-021-01066-y")</f>
        <v>10.1007/s10641-021-01066-y</v>
      </c>
      <c r="D758" s="24" t="str">
        <f>IFERROR(__xludf.DUMMYFUNCTION("""COMPUTED_VALUE"""),"Keck et al")</f>
        <v>Keck et al</v>
      </c>
      <c r="E758" s="24" t="str">
        <f>IFERROR(__xludf.DUMMYFUNCTION("""COMPUTED_VALUE"""),"WOS:000623693900001")</f>
        <v>WOS:000623693900001</v>
      </c>
      <c r="F758" s="24" t="str">
        <f>IFERROR(__xludf.DUMMYFUNCTION("""COMPUTED_VALUE"""),"[""ELIGIBLE""]")</f>
        <v>["ELIGIBLE"]</v>
      </c>
    </row>
    <row r="759">
      <c r="A759" s="24" t="str">
        <f>IFERROR(__xludf.DUMMYFUNCTION("""COMPUTED_VALUE"""),"Response of bacterioplankton community structure to an artificial gradient of pCO2 in the Arctic Ocean")</f>
        <v>Response of bacterioplankton community structure to an artificial gradient of pCO2 in the Arctic Ocean</v>
      </c>
      <c r="B759" s="24" t="str">
        <f>IFERROR(__xludf.DUMMYFUNCTION("""COMPUTED_VALUE"""),"In order to test the influences of ocean acidification on the ocean pelagic ecosystem, so far the largest CO2 manipulation mesocosm study (European Project on Ocean Acidification, EPOCA) was performed in Kings Bay (Kongsfjorden), Spitsbergen. During a 30 "&amp;"day incubation, bacterial diversity was investigated using DNA fingerprinting and clone library analysis of bacterioplankton samples. Terminal restriction fragment length polymorphism (T-RFLP) analysis of the PCR amplicons of the 16S rRNA genes revealed t"&amp;"hat general bacterial diversity, taxonomic richness and community structure were influenced by the variation of productivity during the time of incubation, but not the degree of ocean acidification. A BIOENV analysis suggested a complex control of bacteri"&amp;"al community structure by various biological and chemical environmental parameters. The maximum apparent diversity of bacterioplankton (i.e., the number of T-RFs) in high and low pCO(2) treatments differed significantly. A negative relationship between th"&amp;"e relative abundance of Bacteroidetes and pCO(2) levels was observed for samples at the end of the experiment by the combination of T-RFLP and clone library analysis. Our study suggests that ocean acidification affects the development of bacterial assembl"&amp;"ages and potentially impacts the ecological function of the bacterioplankton in the marine ecosystem.")</f>
        <v>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v>
      </c>
      <c r="C759" s="24" t="str">
        <f>IFERROR(__xludf.DUMMYFUNCTION("""COMPUTED_VALUE"""),"10.5194/bg-10-3679-2013")</f>
        <v>10.5194/bg-10-3679-2013</v>
      </c>
      <c r="D759" s="24" t="str">
        <f>IFERROR(__xludf.DUMMYFUNCTION("""COMPUTED_VALUE"""),"Keck et al")</f>
        <v>Keck et al</v>
      </c>
      <c r="E759" s="24" t="str">
        <f>IFERROR(__xludf.DUMMYFUNCTION("""COMPUTED_VALUE"""),"WOS:000321122700016")</f>
        <v>WOS:000321122700016</v>
      </c>
      <c r="F759" s="24" t="str">
        <f>IFERROR(__xludf.DUMMYFUNCTION("""COMPUTED_VALUE"""),"[""ELIGIBLE""]")</f>
        <v>["ELIGIBLE"]</v>
      </c>
    </row>
    <row r="760">
      <c r="A760" s="24" t="str">
        <f>IFERROR(__xludf.DUMMYFUNCTION("""COMPUTED_VALUE"""),"Long-term phytoplankton community changes in a deep subalpine lake: responses to nutrient availability and climatic fluctuations")</f>
        <v>Long-term phytoplankton community changes in a deep subalpine lake: responses to nutrient availability and climatic fluctuations</v>
      </c>
      <c r="B760" s="24" t="str">
        <f>IFERROR(__xludf.DUMMYFUNCTION("""COMPUTED_VALUE"""),"1. In natural lakes, modifications in the species composition and abundance of phytoplankton communities may ultimately be responses to changes in nutrient availability and climatic fluctuations. Phytoplankton and associated environmental factors were col"&amp;"lected at monthly intervals from the beginning of the 1990s to 2007 in the large subalpine Lake Garda (Z(max) = 350 m, V = 49 x 10(9) m(3)). In this study period, the lake showed a slight and continuous increase of total phosphorus (TP) in the water colum"&amp;"n, up to concentrations of 18-20 mu g P L-1. This increase represented the last stage of a long-term process of enrichment documented since the 1970s, when concentrations of TP were below or around 10 mu g P L-1. 2. At the community level, annual phytopla"&amp;"nkton cycles underwent a unidirectional and slow shift mainly due to changes in the species more affected by the nutrient enrichment of the lake. After a first and long period of dominance by conjugatophytes (Mougeotia) and diatoms (Fragilaria), phytoplan"&amp;"kton biomass in recent years was sustained by cyanobacteria (Planktothrix). Other important modifications in the development of phytoplankton were superimposed on this pattern due to the effects of annual climate fluctuations principally mediated by the d"&amp;"eep mixing events at spring overturn and, secondarily, by temperature and thermal stability of the water column during the growing season. 3. Interannual variations in the stability and temperature of the water column appeared to influence the development"&amp;" of a few subdominant flagellates (dinophytes and cryptophytes). Nevertheless, the major impact of climate on phytoplankton was indirect, and mediated through the effects of winter climatic conditions on deep mixing dynamics. Winter climatic fluctuations "&amp;"proved to be a key element in a linked chain of causal factors including cooling of hypolimnetic waters, deep vertical mixing and epilimnetic nutrient replenishment. The process of fertilisation was measurable both for TP and dissolved inorganic nitrogen,"&amp;" although only the first had a large effect, reinforcing the seasonal growth of a few dominant groups. The degree of nutrient replenishment further increased the spring development of large diatoms and the increase of Planktothrix in summer and autumn. 4."&amp;" Currently, changes in nutrient concentrations have the greatest effect on the phytoplankton community, while direct effects due to the interannual variations in the thermal regime are of secondary importance compared with the indirect effects mediated th"&amp;"rough deep water mixing and spring fertilisation. Overall, the results demonstrate that the consequences of climatic fluctuations and climate warming on phytoplankton communities need to be studied at different levels of complexity and integration, from t"&amp;"he direct effects of temperature and thermal regime, to the indirect effects mediated by the physiographic characteristics of water bodies.")</f>
        <v>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v>
      </c>
      <c r="C760" s="24" t="str">
        <f>IFERROR(__xludf.DUMMYFUNCTION("""COMPUTED_VALUE"""),"10.1111/j.1365-2427.2009.02325.x")</f>
        <v>10.1111/j.1365-2427.2009.02325.x</v>
      </c>
      <c r="D760" s="24" t="str">
        <f>IFERROR(__xludf.DUMMYFUNCTION("""COMPUTED_VALUE"""),"Keck et al")</f>
        <v>Keck et al</v>
      </c>
      <c r="E760" s="24" t="str">
        <f>IFERROR(__xludf.DUMMYFUNCTION("""COMPUTED_VALUE"""),"WOS:000275676700008")</f>
        <v>WOS:000275676700008</v>
      </c>
      <c r="F760" s="24" t="str">
        <f>IFERROR(__xludf.DUMMYFUNCTION("""COMPUTED_VALUE"""),"[""ELIGIBLE""]")</f>
        <v>["ELIGIBLE"]</v>
      </c>
    </row>
    <row r="761">
      <c r="A761" s="24" t="str">
        <f>IFERROR(__xludf.DUMMYFUNCTION("""COMPUTED_VALUE"""),"Monitoring of marine nematode communities through 18S rRNA metabarcoding as a sensitive alternative to morphology")</f>
        <v>Monitoring of marine nematode communities through 18S rRNA metabarcoding as a sensitive alternative to morphology</v>
      </c>
      <c r="B761" s="24" t="str">
        <f>IFERROR(__xludf.DUMMYFUNCTION("""COMPUTED_VALUE"""),"Nematodes are suitable indicators for environmental perturbations because their distribution is closely linked to sediment characteristics. To evaluate whether DNA-based approaches can complement or even outperform morphology-based monitoring, careful eva"&amp;"luation of both approaches is needed using field samples that clearly differ in environmental parameters. We compared metabarcoding, targeting the 18S rRNA and COI genes, with morphological identification of the nematode communities in three different lan"&amp;"d use areas (aquaculture, industry and nature reserve) in Vietnamese mangroves. The areas differed in heavy metal and nitrate content and granulometry. We additionally generated reference Sanger sequences from these areas in order to improve the genus and"&amp;" species level assignments of the metabarcode data. We compared nematode densities, species and genus composition and diversity estimates, and nematode specific indices in relation to the environmental differences between areas. Our results show that mult"&amp;"ivariate patterns were similar between the three approaches, while the 18S rRNA metabarcoding dataset best described changes in diversity and community composition in relation to the environmental differences in our sites. The taxonomic composition of the"&amp;" samples was strikingly different depending on the method and less taxa were detected using DNA based methods than the morphology-based method. We show that this is mainly attributed to a lack of entries in the reference databases. The 18S rRNA metabarcod"&amp;"ing approach provides a reliable and fast way to screen for environmental changes. Nevertheless, when we also want to understand those changes, the ecological and biological information linked to taxonomy remain essential. We therefore advocate that the a"&amp;"ddition of new reference sequences from vouchered specimens to reference databases should be an essential part of every metabarcoding study.")</f>
        <v>Nematodes are suitable indicators for environmental perturbations because their distribution is closely linked to sediment characteristics. To evaluate whether DNA-based approaches can complement or even outperform morphology-based monitoring, careful evaluation of both approaches is needed using field samples that clearly differ in environmental parameters. We compared metabarcoding, targeting the 18S rRNA and COI genes, with morphological identification of the nematode communities in three different land use areas (aquaculture, industry and nature reserve) in Vietnamese mangroves. The areas differed in heavy metal and nitrate content and granulometry. We additionally generated reference Sanger sequences from these areas in order to improve the genus and species level assignments of the metabarcode data. We compared nematode densities, species and genus composition and diversity estimates, and nematode specific indices in relation to the environmental differences between areas. Our results show that multivariate patterns were similar between the three approaches, while the 18S rRNA metabarcoding dataset best described changes in diversity and community composition in relation to the environmental differences in our sites. The taxonomic composition of the samples was strikingly different depending on the method and less taxa were detected using DNA based methods than the morphology-based method. We show that this is mainly attributed to a lack of entries in the reference databases. The 18S rRNA metabarcoding approach provides a reliable and fast way to screen for environmental changes. Nevertheless, when we also want to understand those changes, the ecological and biological information linked to taxonomy remain essential. We therefore advocate that the addition of new reference sequences from vouchered specimens to reference databases should be an essential part of every metabarcoding study.</v>
      </c>
      <c r="C761" s="24" t="str">
        <f>IFERROR(__xludf.DUMMYFUNCTION("""COMPUTED_VALUE"""),"10.1016/j.ecolind.2019.105554")</f>
        <v>10.1016/j.ecolind.2019.105554</v>
      </c>
      <c r="D761" s="24" t="str">
        <f>IFERROR(__xludf.DUMMYFUNCTION("""COMPUTED_VALUE"""),"Keck et al")</f>
        <v>Keck et al</v>
      </c>
      <c r="E761" s="24" t="str">
        <f>IFERROR(__xludf.DUMMYFUNCTION("""COMPUTED_VALUE"""),"WOS:000490757500018")</f>
        <v>WOS:000490757500018</v>
      </c>
      <c r="F761" s="24" t="str">
        <f>IFERROR(__xludf.DUMMYFUNCTION("""COMPUTED_VALUE"""),"[""ELIGIBLE""]")</f>
        <v>["ELIGIBLE"]</v>
      </c>
    </row>
    <row r="762">
      <c r="A762" s="24" t="str">
        <f>IFERROR(__xludf.DUMMYFUNCTION("""COMPUTED_VALUE"""),"Medium-term responses of rocky bottoms to sewage discharges from a deepwater outfall in the NE Atlantic")</f>
        <v>Medium-term responses of rocky bottoms to sewage discharges from a deepwater outfall in the NE Atlantic</v>
      </c>
      <c r="B762" s="24" t="str">
        <f>IFERROR(__xludf.DUMMYFUNCTION("""COMPUTED_VALUE"""),"An investigation on the effects of deepwater outfall discharges on the status of rocky reef communities was carried out. The sanitation system was found to be an environmentally suitable option for the protection of those habitats situated in high energy "&amp;"coastal environments. Sediments occurring between the predominating rocky substrates showed low values of the fine fraction (&lt; 63 mu m) and organic matter content. In addition, high average concentrations of Cd, Hg and Zn were found in these sediments, th"&amp;"ough these values were similar to those registered in non-affected sites, far away from the outfall. On the other hand, those assemblages typical of hard substrates that settled near the outfall showed an increase in total richness and abundance of macroi"&amp;"nvertebrates. Moreover, the average number of species of each taxonomic group, a good indicator of the maintenance of the previous trophic structure, only varied considerably over time at the rip-rap protection. In a global context, those changes were not"&amp;" directly related to the discharge disturbances, but to the natural variability or the successional processes occurring within those communities. Only communities dwelling in the rip-rap protection area were affected by the proximity of the discharges. (c"&amp;") 2007 Elsevier Ltd. All rights reserved.")</f>
        <v>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v>
      </c>
      <c r="C762" s="24" t="str">
        <f>IFERROR(__xludf.DUMMYFUNCTION("""COMPUTED_VALUE"""),"10.1016/j.marpolbul.2007.02.014")</f>
        <v>10.1016/j.marpolbul.2007.02.014</v>
      </c>
      <c r="D762" s="24" t="str">
        <f>IFERROR(__xludf.DUMMYFUNCTION("""COMPUTED_VALUE"""),"Keck et al")</f>
        <v>Keck et al</v>
      </c>
      <c r="E762" s="24" t="str">
        <f>IFERROR(__xludf.DUMMYFUNCTION("""COMPUTED_VALUE"""),"WOS:000248562500024")</f>
        <v>WOS:000248562500024</v>
      </c>
      <c r="F762" s="24" t="str">
        <f>IFERROR(__xludf.DUMMYFUNCTION("""COMPUTED_VALUE"""),"[""ELIGIBLE""]")</f>
        <v>["ELIGIBLE"]</v>
      </c>
    </row>
    <row r="763">
      <c r="A763" s="24" t="str">
        <f>IFERROR(__xludf.DUMMYFUNCTION("""COMPUTED_VALUE"""),"Historical data reveal fish assemblage shifts in an unregulated prairie river")</f>
        <v>Historical data reveal fish assemblage shifts in an unregulated prairie river</v>
      </c>
      <c r="B763" s="24" t="str">
        <f>IFERROR(__xludf.DUMMYFUNCTION("""COMPUTED_VALUE"""),"Wyoming's Powder River is considered an example of a pristine prairie river system. While the river hosts a largely native fish assemblage and remains unimpounded over its 1,146-km course to the Yellowstone River confluence, the hydrologic regime has been"&amp;" altered through water diversion for agriculture and natural gas extraction and there has been limited study of fish assemblage structure. We analyzed fish data collected from the mainstem Powder River in Wyoming between 1896 and 2008. Shifts in presence/"&amp;"absence and relative abundance of fish species, as well as fish assemblage composition, were assessed among historical and recent samples. The recent Powder River fish assemblage was characterized by increased relative abundances of sand shiner Notropis s"&amp;"tramineus and plains killifish Fundulus zebrinus, and decreases in sturgeon chub Macrhybopsis gelida. Shifts in fish species relative abundance are linked to their reproductive ecology with species with adhesive eggs generally increasing in relative abund"&amp;"ance while those with buoyant drifting eggs are decreasing. Assemblage shifts could be the result of landscape level changes, such as the loss of extreme high and low flow events and changing land use practices.")</f>
        <v>Wyoming's Powder River is considered an example of a pristine prairie river system. While the river hosts a largely native fish assemblage and remains unimpounded over its 1,146-km course to the Yellowstone River confluence, the hydrologic regime has been altered through water diversion for agriculture and natural gas extraction and there has been limited study of fish assemblage structure. We analyzed fish data collected from the mainstem Powder River in Wyoming between 1896 and 2008. Shifts in presence/absence and relative abundance of fish species, as well as fish assemblage composition, were assessed among historical and recent samples. The recent Powder River fish assemblage was characterized by increased relative abundances of sand shiner Notropis stramineus and plains killifish Fundulus zebrinus, and decreases in sturgeon chub Macrhybopsis gelida. Shifts in fish species relative abundance are linked to their reproductive ecology with species with adhesive eggs generally increasing in relative abundance while those with buoyant drifting eggs are decreasing. Assemblage shifts could be the result of landscape level changes, such as the loss of extreme high and low flow events and changing land use practices.</v>
      </c>
      <c r="C763" s="24" t="str">
        <f>IFERROR(__xludf.DUMMYFUNCTION("""COMPUTED_VALUE"""),"10.1890/ES14-00361.1")</f>
        <v>10.1890/ES14-00361.1</v>
      </c>
      <c r="D763" s="24" t="str">
        <f>IFERROR(__xludf.DUMMYFUNCTION("""COMPUTED_VALUE"""),"Keck et al")</f>
        <v>Keck et al</v>
      </c>
      <c r="E763" s="24" t="str">
        <f>IFERROR(__xludf.DUMMYFUNCTION("""COMPUTED_VALUE"""),"WOS:000367311800040")</f>
        <v>WOS:000367311800040</v>
      </c>
      <c r="F763" s="24" t="str">
        <f>IFERROR(__xludf.DUMMYFUNCTION("""COMPUTED_VALUE"""),"[""ELIGIBLE""]")</f>
        <v>["ELIGIBLE"]</v>
      </c>
    </row>
    <row r="764">
      <c r="A764" s="24" t="str">
        <f>IFERROR(__xludf.DUMMYFUNCTION("""COMPUTED_VALUE"""),"The bacterial community structure and N-cycling gene abundance in response to dam construction in a riparian zone")</f>
        <v>The bacterial community structure and N-cycling gene abundance in response to dam construction in a riparian zone</v>
      </c>
      <c r="B764" s="24" t="str">
        <f>IFERROR(__xludf.DUMMYFUNCTION("""COMPUTED_VALUE"""),"Dam construction has significantly altered riparian hydrological regime and environmental conditions in the reservoir region, yet knowledge concerning how bacterial community and N-cycling genes respond to these changes remains limited. In this study, we "&amp;"investigated the bacterial community composition, network structure and N-cycling genes in the water level fluctuation zones (WLFZs) of the Three Gorges Reservoir (TGR). Here, samples collected from five different water levels were divided into three grou"&amp;"ps: waterward sediments, interface sediments, and landward soils. Our results show that higher contents of NO2--N, SOC, DOC, NH4+-N, and TP were characterized in waterward and interface sediments whereas higherNO(3)(-)-N content was observed in landward s"&amp;"oils. The a-diversity of bacterial community decreased gradually from waterward sediments to landward soils. Compared with waterward sediments and landward soils, the interface sediments showed a unique bacterial community pattern with diverse primary pro"&amp;"ducers as well as N-cycling microbes. The interface sediments also had a much more complex co-occurrence network and a higher possible community stability. Among all of N-cycling genes, higher abundances of nrfA and AOA amoA genes were observed in interfa"&amp;"ce sediments. The dissimilarity in bacterial community composition and N-cycling gene abundance was mainly driven by water-level. Moreover, random forest model revealed that AOA amoA and nirS genes were the most sensitive indicators in response to water l"&amp;"evel fluctuations. Overall, this study suggests distinct abundance, diversity, and network structure of microbes in riparian sediments and soils across the gradient of water levels and enhances our understanding with respect to comprehensive effects of da"&amp;"m construction on nitrogen cycle.")</f>
        <v>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v>
      </c>
      <c r="C764" s="24" t="str">
        <f>IFERROR(__xludf.DUMMYFUNCTION("""COMPUTED_VALUE"""),"10.1016/j.envres.2021.110717")</f>
        <v>10.1016/j.envres.2021.110717</v>
      </c>
      <c r="D764" s="24" t="str">
        <f>IFERROR(__xludf.DUMMYFUNCTION("""COMPUTED_VALUE"""),"Keck et al")</f>
        <v>Keck et al</v>
      </c>
      <c r="E764" s="24" t="str">
        <f>IFERROR(__xludf.DUMMYFUNCTION("""COMPUTED_VALUE"""),"WOS:000632603700006")</f>
        <v>WOS:000632603700006</v>
      </c>
      <c r="F764" s="24" t="str">
        <f>IFERROR(__xludf.DUMMYFUNCTION("""COMPUTED_VALUE"""),"[""ELIGIBLE""]")</f>
        <v>["ELIGIBLE"]</v>
      </c>
    </row>
    <row r="765">
      <c r="A765" s="24" t="str">
        <f>IFERROR(__xludf.DUMMYFUNCTION("""COMPUTED_VALUE"""),"Linkages between nutrient ratio and the microbial community in rhizosphere soil following fertilizer management")</f>
        <v>Linkages between nutrient ratio and the microbial community in rhizosphere soil following fertilizer management</v>
      </c>
      <c r="B765" s="24" t="str">
        <f>IFERROR(__xludf.DUMMYFUNCTION("""COMPUTED_VALUE"""),"To unravel the linkages between ecological ratios (C:N:P) and the microbial community in rhizosphere soil in response to fertilizer management, soil samples were collected from a proso millet (Panicum miliaceum L.) field under different fertilizer managem"&amp;"ent systems, including nitrogen fertilizer (NF), phosphorus fertilizer (PF), combined N and P (NP) fertilizer, and organic fertilizer (OF); no fertilizer (CK) was used as a control. Furthermore, 16S rRNA and ITS gene sequencing were applied to represent t"&amp;"he bacterial and fungal diversity in the soil. Moreover, the elemental properties, including the carbon (C), nitrogen (N), and phosphorus (P) contents, in the microbial biomass and rhizosphere soil were evaluated. The results showed that the C, N, and P c"&amp;"ontents and microbial biomass (MBC, MBN and MBP, respectively) in the rhizosphere soil were augmented following fertilizer management. Increases in the alpha diversity indices (Shannon and Chao 1) of soil bacteria and fungi were observed in response to th"&amp;"e fertilizers, and the responses were more closely related to the soil C:N and N:P ratios than to the C:P ratio. Additionally, with high relative abundances ( &gt; 1%) across all soil samples, the composition of soil microbial phyla levels revealed different"&amp;" trends following fertilizer management. The abundances of Actinobacteria and Gemmatimonadetes increased, while the abundances of Acidobacteria and Nitrospirae decreased (P &lt; 0.05) following fertilizer management. Among the fungal taxa, the abundances of "&amp;"Ascomycota and Mortierellomycota responded positively to fertilizer. These results were largely influenced by changes in the C:N and N:P ratios in both the soil and microbial biomass. Overall, significantly increased C:N and decreased N:P ratios in the so"&amp;"il reflected the N deficiency that would limit increased microbial biomass and diversity. Together, all of these results indicated that interactions between ecological ratios (C:N:P) and microbial community composition play vital roles in resource imbalan"&amp;"ce in dynamic environments. Thus, N status should be an important factor for sustainable agricultural management. Moreover, the synergistic effects were better with the combination of C, N, and P or with organic fertilizer than with C, N and P separately.")</f>
        <v>To unravel the linkages between ecological ratios (C:N:P) and the microbial community in rhizosphere soil in response to fertilizer management, soil samples were collected from a proso millet (Panicum miliaceum L.) field under different fertilizer management systems, including nitrogen fertilizer (NF), phosphorus fertilizer (PF), combined N and P (NP) fertilizer, and organic fertilizer (OF); no fertilizer (CK) was used as a control. Furthermore, 16S rRNA and ITS gene sequencing were applied to represent the bacterial and fungal diversity in the soil. Moreover, the elemental properties, including the carbon (C), nitrogen (N), and phosphorus (P) contents, in the microbial biomass and rhizosphere soil were evaluated. The results showed that the C, N, and P contents and microbial biomass (MBC, MBN and MBP, respectively) in the rhizosphere soil were augmented following fertilizer management. Increases in the alpha diversity indices (Shannon and Chao 1) of soil bacteria and fungi were observed in response to the fertilizers, and the responses were more closely related to the soil C:N and N:P ratios than to the C:P ratio. Additionally, with high relative abundances ( &gt; 1%) across all soil samples, the composition of soil microbial phyla levels revealed different trends following fertilizer management. The abundances of Actinobacteria and Gemmatimonadetes increased, while the abundances of Acidobacteria and Nitrospirae decreased (P &lt; 0.05) following fertilizer management. Among the fungal taxa, the abundances of Ascomycota and Mortierellomycota responded positively to fertilizer. These results were largely influenced by changes in the C:N and N:P ratios in both the soil and microbial biomass. Overall, significantly increased C:N and decreased N:P ratios in the soil reflected the N deficiency that would limit increased microbial biomass and diversity. Together, all of these results indicated that interactions between ecological ratios (C:N:P) and microbial community composition play vital roles in resource imbalance in dynamic environments. Thus, N status should be an important factor for sustainable agricultural management. Moreover, the synergistic effects were better with the combination of C, N, and P or with organic fertilizer than with C, N and P separately.</v>
      </c>
      <c r="C765" s="24" t="str">
        <f>IFERROR(__xludf.DUMMYFUNCTION("""COMPUTED_VALUE"""),"10.1016/j.envres.2020.109261")</f>
        <v>10.1016/j.envres.2020.109261</v>
      </c>
      <c r="D765" s="24" t="str">
        <f>IFERROR(__xludf.DUMMYFUNCTION("""COMPUTED_VALUE"""),"Keck et al")</f>
        <v>Keck et al</v>
      </c>
      <c r="E765" s="24" t="str">
        <f>IFERROR(__xludf.DUMMYFUNCTION("""COMPUTED_VALUE"""),"WOS:000526178000065")</f>
        <v>WOS:000526178000065</v>
      </c>
      <c r="F765" s="24" t="str">
        <f>IFERROR(__xludf.DUMMYFUNCTION("""COMPUTED_VALUE"""),"[""ELIGIBLE""]")</f>
        <v>["ELIGIBLE"]</v>
      </c>
    </row>
    <row r="766">
      <c r="A766" s="24" t="str">
        <f>IFERROR(__xludf.DUMMYFUNCTION("""COMPUTED_VALUE"""),"Invasive African big-headed ants, Pheidole megacephala, on coral cays of the southern Great Barrier Reef: distribution and impacts on other ants")</f>
        <v>Invasive African big-headed ants, Pheidole megacephala, on coral cays of the southern Great Barrier Reef: distribution and impacts on other ants</v>
      </c>
      <c r="B766" s="24" t="str">
        <f>IFERROR(__xludf.DUMMYFUNCTION("""COMPUTED_VALUE"""),"Infestation of islands by exotic ants is widespread and increasing due to human activities throughout the world. Exotic ants, particularly the invasive African big-headed ant, Pheidole megacephala (Fabricius), are of great conservation concern for coral c"&amp;"ays at the southern end of the Great Barrier Reef, Australia. Little is known, however, about the distribution and ecological impacts of invasive ants in this insular system. We surveyed the ants of 14 vegetated coral cays recording a total of 24 ant spec"&amp;"ies, including at least nine exotics. Pheidole megacephala was by far the most abundant and widespread species, occurring on 11 of 14 islands, often in very large numbers. The inter-island distribution of P. megacephala was best explained by human activit"&amp;"ies, with frequently visited, and to a lesser degree disturbed islands, more likely to be infested. On large islands (a parts per thousand yen 10 ha) P. megacephala exhibited distinct habitat preferences, occurring in significantly lower abundances within"&amp;" heavily-shaded Pisonia grandis forest in the centre of islands, compared to more open, fringing woodland or shrubland. On smaller islands (&lt; 10 ha) with less extensive Pisonia stands, P. megacephala penetrated throughout the forest where its abundance wa"&amp;"s similar to that in open woodland. Despite considerable differences in biotic (floristic composition) and abiotic factors (e.g. island size) as well as the spatial configuration among islands, the severity of infestation by P. megacephala best explained "&amp;"variation in species richness, abundance and assemblage composition of other ants. We suggest a number of strategies to manage P. megacephala infestations on these islands.")</f>
        <v>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v>
      </c>
      <c r="C766" s="24" t="str">
        <f>IFERROR(__xludf.DUMMYFUNCTION("""COMPUTED_VALUE"""),"10.1007/s10841-012-9463-6")</f>
        <v>10.1007/s10841-012-9463-6</v>
      </c>
      <c r="D766" s="24" t="str">
        <f>IFERROR(__xludf.DUMMYFUNCTION("""COMPUTED_VALUE"""),"Keck et al")</f>
        <v>Keck et al</v>
      </c>
      <c r="E766" s="24" t="str">
        <f>IFERROR(__xludf.DUMMYFUNCTION("""COMPUTED_VALUE"""),"WOS:000308725900011")</f>
        <v>WOS:000308725900011</v>
      </c>
      <c r="F766" s="24" t="str">
        <f>IFERROR(__xludf.DUMMYFUNCTION("""COMPUTED_VALUE"""),"[""ELIGIBLE""]")</f>
        <v>["ELIGIBLE"]</v>
      </c>
    </row>
    <row r="767">
      <c r="A767" s="24" t="str">
        <f>IFERROR(__xludf.DUMMYFUNCTION("""COMPUTED_VALUE"""),"Combined effects of water stress and pollution on macroinvertebrate and fish assemblages in a Mediterranean intermittent river")</f>
        <v>Combined effects of water stress and pollution on macroinvertebrate and fish assemblages in a Mediterranean intermittent river</v>
      </c>
      <c r="B767" s="24" t="str">
        <f>IFERROR(__xludf.DUMMYFUNCTION("""COMPUTED_VALUE"""),"Water stress is a key stressor in Mediterranean intermittent rivers exacerbating the negative effects of other stressors, such as pollutants, with multiple effects on different river biota. The current study aimed to determine the response of macroinverte"&amp;"brate and fish assemblages to instream habitat and water chemistry, at the microhabitat scale and at different levels of water stress and pollution, in an intermittent Mediterranean river. Sampling was conducted at high and low summer discharge, at two co"&amp;"nsecutive years, and included four reaches that were targeted for their different levels of water stress and pollution. Overall, the macroinvertebrate fauna of Evrotas River indicated high resilience to intermittency, however, variation in community struc"&amp;"ture and composition occurred under acute water stress, due to habitat alteration and change in water physico-chemistry, i.e. water temperature increase. The combined effects of pollution and high water stress had, however, pronounced effects on species r"&amp;"ichness, abundance and community structure in the pollution impacted reach, where pollution sensitive taxa were almost extirpated. Fish response to drought, in reaches free of pollution, consisted of an increase in the abundance of the two small limnophil"&amp;"ic species, coupled with their shift to faster flowing riffle habitats, and a reduction in the abundance of the larger, rheophilic species. In the pollution impacted reach, however, the combination of pollution and high water stress led to hypoxic conditi"&amp;"ons assumed to be the leading cause of the almost complete elimination of the fish assemblage. In contrast, the perennial Evrotas reaches with relatively stable physicochemical conditions, though affected hydrologically by drought, appear to function as r"&amp;"efugia for fish during high water stress. When comparing the response of the two biotic groups to combined acute water stress and pollution, it is evident that macroinvertebrates were negatively impacted, but fish were virtually eliminated under the two c"&amp;"ombined stressors. (C) 2017 Published by Elsevier B.V.")</f>
        <v>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v>
      </c>
      <c r="C767" s="24" t="str">
        <f>IFERROR(__xludf.DUMMYFUNCTION("""COMPUTED_VALUE"""),"10.1016/j.scitotenv.2017.06.078")</f>
        <v>10.1016/j.scitotenv.2017.06.078</v>
      </c>
      <c r="D767" s="24" t="str">
        <f>IFERROR(__xludf.DUMMYFUNCTION("""COMPUTED_VALUE"""),"Keck et al")</f>
        <v>Keck et al</v>
      </c>
      <c r="E767" s="24" t="str">
        <f>IFERROR(__xludf.DUMMYFUNCTION("""COMPUTED_VALUE"""),"WOS:000405981500066")</f>
        <v>WOS:000405981500066</v>
      </c>
      <c r="F767" s="24" t="str">
        <f>IFERROR(__xludf.DUMMYFUNCTION("""COMPUTED_VALUE"""),"[""ELIGIBLE""]")</f>
        <v>["ELIGIBLE"]</v>
      </c>
    </row>
    <row r="768">
      <c r="A768" s="24" t="str">
        <f>IFERROR(__xludf.DUMMYFUNCTION("""COMPUTED_VALUE"""),"Soil bacterial community dynamics following bioaugmentation with Paenarthrobacter sp. W11 in atrazine-contaminated soil")</f>
        <v>Soil bacterial community dynamics following bioaugmentation with Paenarthrobacter sp. W11 in atrazine-contaminated soil</v>
      </c>
      <c r="B768" s="24" t="str">
        <f>IFERROR(__xludf.DUMMYFUNCTION("""COMPUTED_VALUE"""),"Atrazine is one of the most widely used herbicides, however it and its metabolites cause widespread contamination in soil and ground water. Bioaugmentation is an effective method for remediation of environmental organic pollutants. High-throughput sequenc"&amp;"ing provides an important tool for understanding the changes of microbial community and function in response to pollutants degradation based on bioaugmentation. In this study, the effect of biodegradation with Paenarthrobacter sp. W11 and the change of mi"&amp;"crobial community during atrazine degradation were investigated. The results showed that bioaugmentation significantly accelerated the degradation rate of atrazine in soil and reduced the toxic effect of atrazine residues on wheat growth. The extra availa"&amp;"ble NH4+ through atrazine mineralization could serve as a nitrogen source to increase microbial numbers. High-throughput sequencing further revealed that the microbial community restored a new balance. The function of microbial community predicted by PICR"&amp;"USt2 suggested that the biodegradation process of atrazine affected not only the atrazine degradation pathway, but also the nitrogen metabolism pathway. Methylobacillus and Pseudomonas were considered as the most important indigenous atrazine-degrading mi"&amp;"croorganisms, because their relative abundances were positively correlated with the relative abundance of Paenarthrobacter and atrazine degradation pathway. This study provides insight into the cooperation between indigenous microorganisms and external in"&amp;"oculums on atrazine degradation process.")</f>
        <v>Atrazine is one of the most widely used herbicides, however it and its metabolites cause widespread contamination in soil and ground water. Bioaugmentation is an effective method for remediation of environmental organic pollutants. High-throughput sequencing provides an important tool for understanding the changes of microbial community and function in response to pollutants degradation based on bioaugmentation. In this study, the effect of biodegradation with Paenarthrobacter sp. W11 and the change of microbial community during atrazine degradation were investigated. The results showed that bioaugmentation significantly accelerated the degradation rate of atrazine in soil and reduced the toxic effect of atrazine residues on wheat growth. The extra available NH4+ through atrazine mineralization could serve as a nitrogen source to increase microbial numbers. High-throughput sequencing further revealed that the microbial community restored a new balance. The function of microbial community predicted by PICRUSt2 suggested that the biodegradation process of atrazine affected not only the atrazine degradation pathway, but also the nitrogen metabolism pathway. Methylobacillus and Pseudomonas were considered as the most important indigenous atrazine-degrading microorganisms, because their relative abundances were positively correlated with the relative abundance of Paenarthrobacter and atrazine degradation pathway. This study provides insight into the cooperation between indigenous microorganisms and external inoculums on atrazine degradation process.</v>
      </c>
      <c r="C768" s="24" t="str">
        <f>IFERROR(__xludf.DUMMYFUNCTION("""COMPUTED_VALUE"""),"10.1016/j.chemosphere.2021.130976")</f>
        <v>10.1016/j.chemosphere.2021.130976</v>
      </c>
      <c r="D768" s="24" t="str">
        <f>IFERROR(__xludf.DUMMYFUNCTION("""COMPUTED_VALUE"""),"Keck et al")</f>
        <v>Keck et al</v>
      </c>
      <c r="E768" s="24" t="str">
        <f>IFERROR(__xludf.DUMMYFUNCTION("""COMPUTED_VALUE"""),"WOS:000675464000004")</f>
        <v>WOS:000675464000004</v>
      </c>
      <c r="F768" s="24" t="str">
        <f>IFERROR(__xludf.DUMMYFUNCTION("""COMPUTED_VALUE"""),"[""ELIGIBLE""]")</f>
        <v>["ELIGIBLE"]</v>
      </c>
    </row>
    <row r="769">
      <c r="A769" s="24" t="str">
        <f>IFERROR(__xludf.DUMMYFUNCTION("""COMPUTED_VALUE"""),"Short- and long-term effects of nutrient enrichment on salt marsh plant production and microbial community structure")</f>
        <v>Short- and long-term effects of nutrient enrichment on salt marsh plant production and microbial community structure</v>
      </c>
      <c r="B769" s="24" t="str">
        <f>IFERROR(__xludf.DUMMYFUNCTION("""COMPUTED_VALUE"""),"Nutrient enrichment impacts ecosystems globally. Population history, especially past resource environments, of numerically dominant plant species may affect their responses to subsequent changes in nutrient availability. Eutrophication can also alter plan"&amp;"t-microbe interactions via direct effects on associated microbial communities or indirect effects on dominant species' biomass production/allocation as a result of modified plant-soil interactions. We combined a greenhouse common garden and a field recipr"&amp;"ocal transplant of a salt marsh foundation species (Spartina alterniflora) within a long-term, whole-ecosystem, nutrient-enrichment study to determine whether enrichment affects plant production and microbial community structure differently depending on p"&amp;"lant population history. For the greenhouse portion, we collected 20 S. alterniflora genotypes-10 from an enriched creek that had received elevated nutrient inputs for 10 years and 10 from an unenriched reference creek-and reared them in a common garden f"&amp;"or 1 year. For the field portion, we conducted a 2-year, fully crossed reciprocal transplant experiment with two gardens each at the enriched and unenriched sites; we examined the effects of source site (i.e. population history), garden site and plant gen"&amp;"otype. After 2 years, plants in enriched gardens had higher above-ground biomass and altered below-ground allocation compared to plants in unenriched gardens. However, performance also depended on plant population history: plants from the enriched site ha"&amp;"d decreased above-ground and rhizome production compared to plants from the unenriched site, most notably in unenriched gardens. In addition, almost all above- and below-ground traits varied depending on plant genotypic identity. Effects of nutrient enric"&amp;"hment on the associated microbial community were also pronounced. Following 1 year in common garden, microbial community structure varied by plant population history and S. alterniflora genotypic identity. However, at the end of the reciprocal transplant,"&amp;" microbial communities differed primarily between enriched and unenriched gardens. Synthesis. Nutrient enrichment can impact plant foundation species and associated soil microbes in the short term. Most importantly, nutrient enrichment can also have long-"&amp;"lasting effects on plant populations and associated microbial communities that potentially compromise their ability to respond to changing resource conditions in the future.")</f>
        <v>Nutrient enrichment impacts ecosystems globally. Population history, especially past resource environments, of numerically dominant plant species may affect their responses to subsequent changes in nutrient availability. Eutrophication can also alter plant-microbe interactions via direct effects on associated microbial communities or indirect effects on dominant species' biomass production/allocation as a result of modified plant-soil interactions. We combined a greenhouse common garden and a field reciprocal transplant of a salt marsh foundation species (Spartina alterniflora) within a long-term, whole-ecosystem, nutrient-enrichment study to determine whether enrichment affects plant production and microbial community structure differently depending on plant population history. For the greenhouse portion, we collected 20 S. alterniflora genotypes-10 from an enriched creek that had received elevated nutrient inputs for 10 years and 10 from an unenriched reference creek-and reared them in a common garden for 1 year. For the field portion, we conducted a 2-year, fully crossed reciprocal transplant experiment with two gardens each at the enriched and unenriched sites; we examined the effects of source site (i.e. population history), garden site and plant genotype. After 2 years, plants in enriched gardens had higher above-ground biomass and altered below-ground allocation compared to plants in unenriched gardens. However, performance also depended on plant population history: plants from the enriched site had decreased above-ground and rhizome production compared to plants from the unenriched site, most notably in unenriched gardens. In addition, almost all above- and below-ground traits varied depending on plant genotypic identity. Effects of nutrient enrichment on the associated microbial community were also pronounced. Following 1 year in common garden, microbial community structure varied by plant population history and S. alterniflora genotypic identity. However, at the end of the reciprocal transplant, microbial communities differed primarily between enriched and unenriched gardens. Synthesis. Nutrient enrichment can impact plant foundation species and associated soil microbes in the short term. Most importantly, nutrient enrichment can also have long-lasting effects on plant populations and associated microbial communities that potentially compromise their ability to respond to changing resource conditions in the future.</v>
      </c>
      <c r="C769" s="24" t="str">
        <f>IFERROR(__xludf.DUMMYFUNCTION("""COMPUTED_VALUE"""),"10.1111/1365-2745.13756")</f>
        <v>10.1111/1365-2745.13756</v>
      </c>
      <c r="D769" s="24" t="str">
        <f>IFERROR(__xludf.DUMMYFUNCTION("""COMPUTED_VALUE"""),"Keck et al")</f>
        <v>Keck et al</v>
      </c>
      <c r="E769" s="24" t="str">
        <f>IFERROR(__xludf.DUMMYFUNCTION("""COMPUTED_VALUE"""),"WOS:000690681300001")</f>
        <v>WOS:000690681300001</v>
      </c>
      <c r="F769" s="24" t="str">
        <f>IFERROR(__xludf.DUMMYFUNCTION("""COMPUTED_VALUE"""),"[""ELIGIBLE""]")</f>
        <v>["ELIGIBLE"]</v>
      </c>
    </row>
    <row r="770">
      <c r="A770" s="24" t="str">
        <f>IFERROR(__xludf.DUMMYFUNCTION("""COMPUTED_VALUE"""),"The development of a preliminary rock reef fish multimetric index for assessing thermal and urban impacts in a tropical bay")</f>
        <v>The development of a preliminary rock reef fish multimetric index for assessing thermal and urban impacts in a tropical bay</v>
      </c>
      <c r="B770" s="24" t="str">
        <f>IFERROR(__xludf.DUMMYFUNCTION("""COMPUTED_VALUE"""),"We developed a multimetric index for assessing ecological conditions in rocky reefs areas to evaluate thermal and urban influences on fish community. Eight metrics were selected to assess thermal influence: (1) total number of species; (2) number of water"&amp;" column species; (3) number of transient species; (4) density of individuals with low resilience; (5) density of omnivores; (6) density of carnivores; (7) number of cryptic species; (8) density of herbivores. For urban influence, six metrics were selected"&amp;": (1) total density; (2) ratio between the number of rare species and the total number of species; (3) density of individuals with heavy fishing pressure; (4) number of resident species; (5) number of cryptic species; (6) density of herbivores. This preli"&amp;"minary index succeed in discriminating control/impacted sites and proved to be an important tool to assess impacts that alter fish community and have potential to be used in tropical rock reef coastal areas. (C) 2016 Elsevier Ltd. All rights reserved.")</f>
        <v>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v>
      </c>
      <c r="C770" s="24" t="str">
        <f>IFERROR(__xludf.DUMMYFUNCTION("""COMPUTED_VALUE"""),"10.1016/j.marpolbul.2016.05.067")</f>
        <v>10.1016/j.marpolbul.2016.05.067</v>
      </c>
      <c r="D770" s="24" t="str">
        <f>IFERROR(__xludf.DUMMYFUNCTION("""COMPUTED_VALUE"""),"Keck et al")</f>
        <v>Keck et al</v>
      </c>
      <c r="E770" s="24" t="str">
        <f>IFERROR(__xludf.DUMMYFUNCTION("""COMPUTED_VALUE"""),"WOS:000381650200044")</f>
        <v>WOS:000381650200044</v>
      </c>
      <c r="F770" s="24" t="str">
        <f>IFERROR(__xludf.DUMMYFUNCTION("""COMPUTED_VALUE"""),"[""ELIGIBLE""]")</f>
        <v>["ELIGIBLE"]</v>
      </c>
    </row>
    <row r="771">
      <c r="A771" s="24" t="str">
        <f>IFERROR(__xludf.DUMMYFUNCTION("""COMPUTED_VALUE"""),"Application of Environmental DNA Metabarcoding for Predicting Anthropogenic Pollution in Rivers")</f>
        <v>Application of Environmental DNA Metabarcoding for Predicting Anthropogenic Pollution in Rivers</v>
      </c>
      <c r="B771" s="24" t="str">
        <f>IFERROR(__xludf.DUMMYFUNCTION("""COMPUTED_VALUE"""),"Rivers are among the most threatened freshwater ecosystems, and anthropogenic activities are affecting both river structures and water quality. While assessing the organisms can provide a comprehensive measure of a river's ecological status, it is limited"&amp;" by the traditional morphotaxonomy-based biomonitoring. Recent advances in environmental DNA (eDNA) metabarcoding allow to identify prokaryotes and eukaryotes in one sequencing run, and could thus allow unprecedented resolution. Whether such eDNA-based da"&amp;"ta can be used directly to predict the pollution status of rivers as a complementation of environmental data remains unknown. Here we used eDNA metabarcoding to explore the main stressors of rivers along which community structure changes, and to identify "&amp;"the method's potential for predicting pollution status based on eDNA data. We showed that a broad range of taxa in bacterial, protistan, and metazoan communities could be profiled with eDNA. Nutrients were the main driving stressor affecting communities' "&amp;"structure, alpha diversity, and the ecological network. We specifically observed that the relative abundance of indicative OTUs was significantly correlated with nutrient levels. These OTUs data could be used to predict the nutrient status up to 79% accur"&amp;"acy on testing data sets. Thus, our study gives a novel approach to predicting the pollution status of rivers by eDNA data.")</f>
        <v>Rivers are among the most threatened freshwater ecosystems, and anthropogenic activities are affecting both river structures and water quality. While assessing the organisms can provide a comprehensive measure of a river's ecological status, it is limited by the traditional morphotaxonomy-based biomonitoring. Recent advances in environmental DNA (eDNA) metabarcoding allow to identify prokaryotes and eukaryotes in one sequencing run, and could thus allow unprecedented resolution. Whether such eDNA-based data can be used directly to predict the pollution status of rivers as a complementation of environmental data remains unknown. Here we used eDNA metabarcoding to explore the main stressors of rivers along which community structure changes, and to identify the method's potential for predicting pollution status based on eDNA data. We showed that a broad range of taxa in bacterial, protistan, and metazoan communities could be profiled with eDNA. Nutrients were the main driving stressor affecting communities' structure, alpha diversity, and the ecological network. We specifically observed that the relative abundance of indicative OTUs was significantly correlated with nutrient levels. These OTUs data could be used to predict the nutrient status up to 79% accuracy on testing data sets. Thus, our study gives a novel approach to predicting the pollution status of rivers by eDNA data.</v>
      </c>
      <c r="C771" s="24" t="str">
        <f>IFERROR(__xludf.DUMMYFUNCTION("""COMPUTED_VALUE"""),"10.1021/acs.est.8b03869")</f>
        <v>10.1021/acs.est.8b03869</v>
      </c>
      <c r="D771" s="24" t="str">
        <f>IFERROR(__xludf.DUMMYFUNCTION("""COMPUTED_VALUE"""),"Keck et al")</f>
        <v>Keck et al</v>
      </c>
      <c r="E771" s="24" t="str">
        <f>IFERROR(__xludf.DUMMYFUNCTION("""COMPUTED_VALUE"""),"WOS:000447816100028")</f>
        <v>WOS:000447816100028</v>
      </c>
      <c r="F771" s="24" t="str">
        <f>IFERROR(__xludf.DUMMYFUNCTION("""COMPUTED_VALUE"""),"[""ELIGIBLE""]")</f>
        <v>["ELIGIBLE"]</v>
      </c>
    </row>
    <row r="772">
      <c r="A772" s="24" t="str">
        <f>IFERROR(__xludf.DUMMYFUNCTION("""COMPUTED_VALUE"""),"Change in Soil Microbial Community Compositions and Diversity Following the Conversion of Tropical Forest to Rubber Plantations in Xishuangbanan, Southwest China")</f>
        <v>Change in Soil Microbial Community Compositions and Diversity Following the Conversion of Tropical Forest to Rubber Plantations in Xishuangbanan, Southwest China</v>
      </c>
      <c r="B772" s="24" t="str">
        <f>IFERROR(__xludf.DUMMYFUNCTION("""COMPUTED_VALUE"""),"The ecological consequences of converting tropical forests to rubber plantations on the soil microbial compositions and diversity remain unknown. By using an Illumina MiSeq sequencing analysis, we assessed the compositions and diversity of bacterial and f"&amp;"ungal community in soils of rubber plantation (or rubber forest, RF), secondary tropical forest (STF), and tropical seasonal rainforest (TSR) in Xishuangbanna, southwest China. Our findings revealed that (a) for bacterial composition, Bacillaceae was the "&amp;"most dominant family (13.60%) in RF soil, while it only accounted for 4.13% in STF and 6.92% in TSR. For fungal composition, the largest family in soils of RF was Basidiomycota_unclassified. However, the largest family in STF and TSR was Russulaceae. (b) "&amp;"Number of operational taxonomic units, Chao index, and Shannon index of bacterial community in soil of RF were significantly higher than those of TSR and STF. However, these diversity indices of fungal community in RF were significantly lower than those o"&amp;"f TSR and STF. (c) Soil pH and total phosphorus were very important drivers for bacterial community, whereas soil organic matter and total nitrogen were the most important factors for fungal community. (d) The microbial biomass carbon in RF was relative l"&amp;"ower than those in STF and TSR, which suggested that the total microbial biomass decreased after forest conversion. To protect the total diversity of this region, the individual farmers should use herbicides as little as possible to reserve ground vegetat"&amp;"ion. And the government could outline a land-use policy that prohibits the cultivation in areas of natural vegetation.")</f>
        <v>The ecological consequences of converting tropical forests to rubber plantations on the soil microbial compositions and diversity remain unknown. By using an Illumina MiSeq sequencing analysis, we assessed the compositions and diversity of bacterial and fungal community in soils of rubber plantation (or rubber forest, RF), secondary tropical forest (STF), and tropical seasonal rainforest (TSR) in Xishuangbanna, southwest China. Our findings revealed that (a) for bacterial composition, Bacillaceae was the most dominant family (13.60%) in RF soil, while it only accounted for 4.13% in STF and 6.92% in TSR. For fungal composition, the largest family in soils of RF was Basidiomycota_unclassified. However, the largest family in STF and TSR was Russulaceae. (b) Number of operational taxonomic units, Chao index, and Shannon index of bacterial community in soil of RF were significantly higher than those of TSR and STF. However, these diversity indices of fungal community in RF were significantly lower than those of TSR and STF. (c) Soil pH and total phosphorus were very important drivers for bacterial community, whereas soil organic matter and total nitrogen were the most important factors for fungal community. (d) The microbial biomass carbon in RF was relative lower than those in STF and TSR, which suggested that the total microbial biomass decreased after forest conversion. To protect the total diversity of this region, the individual farmers should use herbicides as little as possible to reserve ground vegetation. And the government could outline a land-use policy that prohibits the cultivation in areas of natural vegetation.</v>
      </c>
      <c r="C772" s="24" t="str">
        <f>IFERROR(__xludf.DUMMYFUNCTION("""COMPUTED_VALUE"""),"10.1177/1940082917733230")</f>
        <v>10.1177/1940082917733230</v>
      </c>
      <c r="D772" s="24" t="str">
        <f>IFERROR(__xludf.DUMMYFUNCTION("""COMPUTED_VALUE"""),"Keck et al")</f>
        <v>Keck et al</v>
      </c>
      <c r="E772" s="24" t="str">
        <f>IFERROR(__xludf.DUMMYFUNCTION("""COMPUTED_VALUE"""),"WOS:000422704700001")</f>
        <v>WOS:000422704700001</v>
      </c>
      <c r="F772" s="24" t="str">
        <f>IFERROR(__xludf.DUMMYFUNCTION("""COMPUTED_VALUE"""),"[""ELIGIBLE""]")</f>
        <v>["ELIGIBLE"]</v>
      </c>
    </row>
    <row r="773">
      <c r="A773" s="24" t="str">
        <f>IFERROR(__xludf.DUMMYFUNCTION("""COMPUTED_VALUE"""),"The impact of conifer plantation forestry on the Chydoridae (Cladocera) communities of peatland lakes")</f>
        <v>The impact of conifer plantation forestry on the Chydoridae (Cladocera) communities of peatland lakes</v>
      </c>
      <c r="B773" s="24" t="str">
        <f>IFERROR(__xludf.DUMMYFUNCTION("""COMPUTED_VALUE"""),"Conifer plantation forestry is recognised as a potential source of diffuse pollution to surface waters and represents a risk to their ecological status. In this study, the water chemistry and Chydoridae (Cladocera) communities of 26 small blanket bog lake"&amp;"s were investigated to assess the impact of plantation forestry. The study was conducted over a 12-month period in 2009-2010 by comparing lakes with three distinct catchment land uses: (i) unplanted blanket bog only present in the catchment, (ii) mature c"&amp;"onifer plantation forests only present in the catchment and (iii) catchments containing mature conifer plantation forests with recently clearfelled areas. All three catchment land uses were replicated across two geologies: sandstone and granite. Lakes wit"&amp;"h afforested catchments had very high concentrations of plant nutrients (P and N), total dissolved organic carbon (TDOC) and heavy metals (Al and Fe), the highest concentrations being recorded from the clearfelled lakes. Similarly, the chydorid communitie"&amp;"s differed between lakes of contrasting catchment land use. The dominance of Alonopsis elongata in the unplanted blanket bog lakes shifted to dominance by the smaller bodied Chydorus sphaericus, along with Alonella nana, Alonella excisa and Alonella exigu"&amp;"a, in the plantation forestry-effected lakes, consistent with a shift in lake trophy. Our findings have shown that plantation forestry can have a profound impact on the water quality of small peatland lakes, especially at the clearfell stage. The response"&amp;" of the chydorid communities is consistent with plantation forestry exerting a trophic, rather than an acidic or toxic, effect on lake ecosystems.")</f>
        <v>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v>
      </c>
      <c r="C773" s="24" t="str">
        <f>IFERROR(__xludf.DUMMYFUNCTION("""COMPUTED_VALUE"""),"10.1007/s10750-012-1230-x")</f>
        <v>10.1007/s10750-012-1230-x</v>
      </c>
      <c r="D773" s="24" t="str">
        <f>IFERROR(__xludf.DUMMYFUNCTION("""COMPUTED_VALUE"""),"Keck et al")</f>
        <v>Keck et al</v>
      </c>
      <c r="E773" s="24" t="str">
        <f>IFERROR(__xludf.DUMMYFUNCTION("""COMPUTED_VALUE"""),"WOS:000312073300017")</f>
        <v>WOS:000312073300017</v>
      </c>
      <c r="F773" s="24" t="str">
        <f>IFERROR(__xludf.DUMMYFUNCTION("""COMPUTED_VALUE"""),"[""ELIGIBLE""]")</f>
        <v>["ELIGIBLE"]</v>
      </c>
    </row>
    <row r="774">
      <c r="A774" s="24" t="str">
        <f>IFERROR(__xludf.DUMMYFUNCTION("""COMPUTED_VALUE"""),"Agricultural history drives structure and tree species composition of second growth forest over 100 years in southeastern Ohio, USA")</f>
        <v>Agricultural history drives structure and tree species composition of second growth forest over 100 years in southeastern Ohio, USA</v>
      </c>
      <c r="B774" s="24" t="str">
        <f>IFERROR(__xludf.DUMMYFUNCTION("""COMPUTED_VALUE"""),"Question: Most modern forest in eastern North America has recolonized after abandonment from agriculture. Cultivation and pasturing, historically the dominant forms of agriculture, differ in their environmental legacies and potentially influence stand dev"&amp;"elopment following abandonment. We ask how the legacy of agriculture plays out in development of second-growth stands, and whether tree community composition and structure differ between sites with contrasting land-use histories. Location: Southeast Ohio,"&amp;" USA. Methods: Thirty-five second-growth stands were sorted into a replicated chronosequence of formerly cultivated and pastured sites spanning 80yr. Stand age and land-use history were determined from historical aerial photographs and from site character"&amp;"istics including microtopography and soil profiles. In addition, a control group was selected consisting of long-established forest stands showing no signs of agricultural disturbance. At each site stand composition and structure were described using the "&amp;"point-centred quarter method. Results: Stand density declined and basal area increased through the chronosequence but neither pastured nor cultivated sites reached levels observed in the control group. Density decreased most dramatically between the 41-60"&amp;"- and 61-80-yr age classes, consistent with competitive stand thinning. Tree community composition changed through time, reflecting a shift away from light-demanding successional species and toward long-lived, shade-tolerant species characteristic of long"&amp;"-established forests. Composition and structure did not differ significantly between cultivated and pastured sites, but individual species did show significant differences, with the greatest contrast evident shortly after abandonment. Conclusions: Stand d"&amp;"evelopment following agriculture appears to be a process of convergence in species composition and density. Because most deciduous forest in eastern North America is &lt;80-yr-old, these results suggest that most forest is still accruing biomass and has yet "&amp;"to reach a stable density and composition.")</f>
        <v>Question: Most modern forest in eastern North America has recolonized after abandonment from agriculture. Cultivation and pasturing, historically the dominant forms of agriculture, differ in their environmental legacies and potentially influence stand development following abandonment. We ask how the legacy of agriculture plays out in development of second-growth stands, and whether tree community composition and structure differ between sites with contrasting land-use histories. Location: Southeast Ohio, USA. Methods: Thirty-five second-growth stands were sorted into a replicated chronosequence of formerly cultivated and pastured sites spanning 80yr. Stand age and land-use history were determined from historical aerial photographs and from site characteristics including microtopography and soil profiles. In addition, a control group was selected consisting of long-established forest stands showing no signs of agricultural disturbance. At each site stand composition and structure were described using the point-centred quarter method. Results: Stand density declined and basal area increased through the chronosequence but neither pastured nor cultivated sites reached levels observed in the control group. Density decreased most dramatically between the 41-60- and 61-80-yr age classes, consistent with competitive stand thinning. Tree community composition changed through time, reflecting a shift away from light-demanding successional species and toward long-lived, shade-tolerant species characteristic of long-established forests. Composition and structure did not differ significantly between cultivated and pastured sites, but individual species did show significant differences, with the greatest contrast evident shortly after abandonment. Conclusions: Stand development following agriculture appears to be a process of convergence in species composition and density. Because most deciduous forest in eastern North America is &lt;80-yr-old, these results suggest that most forest is still accruing biomass and has yet to reach a stable density and composition.</v>
      </c>
      <c r="C774" s="24" t="str">
        <f>IFERROR(__xludf.DUMMYFUNCTION("""COMPUTED_VALUE"""),"10.1111/jvs.12516")</f>
        <v>10.1111/jvs.12516</v>
      </c>
      <c r="D774" s="24" t="str">
        <f>IFERROR(__xludf.DUMMYFUNCTION("""COMPUTED_VALUE"""),"Keck et al")</f>
        <v>Keck et al</v>
      </c>
      <c r="E774" s="24" t="str">
        <f>IFERROR(__xludf.DUMMYFUNCTION("""COMPUTED_VALUE"""),"WOS:000405595300009")</f>
        <v>WOS:000405595300009</v>
      </c>
      <c r="F774" s="24" t="str">
        <f>IFERROR(__xludf.DUMMYFUNCTION("""COMPUTED_VALUE"""),"[""ELIGIBLE""]")</f>
        <v>["ELIGIBLE"]</v>
      </c>
    </row>
    <row r="775">
      <c r="A775" s="24" t="str">
        <f>IFERROR(__xludf.DUMMYFUNCTION("""COMPUTED_VALUE"""),"Variegated tropical landscapes conserve diverse dung beetle communities")</f>
        <v>Variegated tropical landscapes conserve diverse dung beetle communities</v>
      </c>
      <c r="B775" s="24" t="str">
        <f>IFERROR(__xludf.DUMMYFUNCTION("""COMPUTED_VALUE"""),"Background. Conserving biodiversity in tropical landscapes is a major challenge to scientists and conservationists. Current rates of deforestation, fragmentation, and land use intensification are producing variegated landscapes with undetermined values fo"&amp;"r the conservation of biological communities and ecosystem functioning. Here, we investigate the importance of tropical variegated landscapes to biodiversity conservation, using dung beetle as focal taxa. Methods. The study was carried out in 12 variegate"&amp;"d landscapes where dung beetles were sampled using six pitfall traps, 30 m apart from each other, along a transect in each studied landscape use and cover classes -LUCC (forest fragment and corridor, coffee plantation, and pasture). We baited each pitfall"&amp;" trap with 30 g of human feces and left open for a 48 h period. We also measured three environmental variables reflecting structural differences among the studied classes: canopy cover, local vegetation heterogeneity and soil sand content. Results. We col"&amp;"lected 52 species and 2,695 individuals of dung beetles. We observed significant differences in the mean species richness, abundance and biomass among classes, with forest fragments presenting the highest values, forest corridors and coffee plantations pr"&amp;"esenting intermediate values, and pastures the lowest values. Regarding community structure, we also found significant differences among classes. Canopy cover was the only variable explaining variation in dung beetle species richness, abundance, biomass, "&amp;"and community structure. The relative importance of spatial turnover was greater than nestedness-resultant component in all studied landscapes. Discussion. This study evaluated the ecological patterns of dung beetle communities in variegated tropical land"&amp;"scapes highlighting the importance of these landscapes for conservation of tropical biodiversity. However, we encourage variegation for the management of landscapes that have already been fragmented or as a complementary initiative of current conservation"&amp;" practices (e.g., protection of natural habitats and establishment of reserves).")</f>
        <v>Background. Conserving biodiversity in tropical landscapes is a major challenge to scientists and conservationists. Current rates of deforestation, fragmentation, and land use intensification are producing variegated landscapes with undetermined values for the conservation of biological communities and ecosystem functioning. Here, we investigate the importance of tropical variegated landscapes to biodiversity conservation, using dung beetle as focal taxa. Methods. The study was carried out in 12 variegated landscapes where dung beetles were sampled using six pitfall traps, 30 m apart from each other, along a transect in each studied landscape use and cover classes -LUCC (forest fragment and corridor, coffee plantation, and pasture). We baited each pitfall trap with 30 g of human feces and left open for a 48 h period. We also measured three environmental variables reflecting structural differences among the studied classes: canopy cover, local vegetation heterogeneity and soil sand content. Results. We collected 52 species and 2,695 individuals of dung beetles. We observed significant differences in the mean species richness, abundance and biomass among classes, with forest fragments presenting the highest values, forest corridors and coffee plantations presenting intermediate values, and pastures the lowest values. Regarding community structure, we also found significant differences among classes. Canopy cover was the only variable explaining variation in dung beetle species richness, abundance, biomass, and community structure. The relative importance of spatial turnover was greater than nestedness-resultant component in all studied landscapes. Discussion. This study evaluated the ecological patterns of dung beetle communities in variegated tropical landscapes highlighting the importance of these landscapes for conservation of tropical biodiversity. However, we encourage variegation for the management of landscapes that have already been fragmented or as a complementary initiative of current conservation practices (e.g., protection of natural habitats and establishment of reserves).</v>
      </c>
      <c r="C775" s="24" t="str">
        <f>IFERROR(__xludf.DUMMYFUNCTION("""COMPUTED_VALUE"""),"10.7717/peerj.3125")</f>
        <v>10.7717/peerj.3125</v>
      </c>
      <c r="D775" s="24" t="str">
        <f>IFERROR(__xludf.DUMMYFUNCTION("""COMPUTED_VALUE"""),"Keck et al")</f>
        <v>Keck et al</v>
      </c>
      <c r="E775" s="24" t="str">
        <f>IFERROR(__xludf.DUMMYFUNCTION("""COMPUTED_VALUE"""),"WOS:000398662200001")</f>
        <v>WOS:000398662200001</v>
      </c>
      <c r="F775" s="24" t="str">
        <f>IFERROR(__xludf.DUMMYFUNCTION("""COMPUTED_VALUE"""),"[""ELIGIBLE""]")</f>
        <v>["ELIGIBLE"]</v>
      </c>
    </row>
    <row r="776">
      <c r="A776" s="24" t="str">
        <f>IFERROR(__xludf.DUMMYFUNCTION("""COMPUTED_VALUE"""),"Meiofauna as an indicator for assessing the impact of fish farming at an exposed marine site")</f>
        <v>Meiofauna as an indicator for assessing the impact of fish farming at an exposed marine site</v>
      </c>
      <c r="B776" s="24" t="str">
        <f>IFERROR(__xludf.DUMMYFUNCTION("""COMPUTED_VALUE"""),"This study aimed to detect the impact of organic loads due to biodeposition from a fish farm in an exposed area of the Strait of Sicily, Mediterranean Sea. Sediment chemistry and meiofaunal assemblages were investigated on a seasonal basis at four station"&amp;"s: two from the impacted area and two control stations. The presence of the cages induced a significant accumulation of proteins, lipids and biopolymeric carbon, resulting in a reduction in meiofaunal density at the impacted stations. Changes in community"&amp;" structure were also evident, as meiofauna under the cages were characterized by increased importance of polychaetes and copepods in comparison with a much lower importance of gastrotrichs and kinorynchs. Moreover, biodiversity decreased beneath the cages"&amp;" due to the disappearance of taxa more sensitive to organic accumulation. This finding allowed us to propose the ration of nematodes to kinorynchs as a possible, potentially interesting, indicator of fish farm biodeposition. (C) 2011 Elsevier Ltd. All rig"&amp;"hts reserved.")</f>
        <v>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v>
      </c>
      <c r="C776" s="24" t="str">
        <f>IFERROR(__xludf.DUMMYFUNCTION("""COMPUTED_VALUE"""),"10.1016/j.ecolind.2011.12.015")</f>
        <v>10.1016/j.ecolind.2011.12.015</v>
      </c>
      <c r="D776" s="24" t="str">
        <f>IFERROR(__xludf.DUMMYFUNCTION("""COMPUTED_VALUE"""),"Keck et al")</f>
        <v>Keck et al</v>
      </c>
      <c r="E776" s="24" t="str">
        <f>IFERROR(__xludf.DUMMYFUNCTION("""COMPUTED_VALUE"""),"WOS:000303284500051")</f>
        <v>WOS:000303284500051</v>
      </c>
      <c r="F776" s="24" t="str">
        <f>IFERROR(__xludf.DUMMYFUNCTION("""COMPUTED_VALUE"""),"[""ELIGIBLE""]")</f>
        <v>["ELIGIBLE"]</v>
      </c>
    </row>
    <row r="777">
      <c r="A777" s="24" t="str">
        <f>IFERROR(__xludf.DUMMYFUNCTION("""COMPUTED_VALUE"""),"Community composition of the intertidal in relation to the shellfish aquaculture industry in coastal British Columbia, Canada")</f>
        <v>Community composition of the intertidal in relation to the shellfish aquaculture industry in coastal British Columbia, Canada</v>
      </c>
      <c r="B777" s="24" t="str">
        <f>IFERROR(__xludf.DUMMYFUNCTION("""COMPUTED_VALUE"""),"The intertidal region of the Pacific Northwest is under ever increasing pressure to be used exclusively for the industrial sized operations of shellfish aquaculture. In British Columbia (BC), aquaculture practices include seeding the intertidal with the n"&amp;"on-indigenous Venerupis philippinarum followed by the application of anti-predator netting. Ecological consequences of such practices applied at large scales are unknown. To assess for possible impacts 28 farm and reference sites from 3 geographically dis"&amp;"tinct regions of BC were surveyed in each of two years and their epibenthic, endobenthic and macroflora communities compared. The three regions differed in their intensity of industry from low (Barkley), medium (Desolation) to high (Baynes). Marked region"&amp;"al differences in intertidal community composition were observed. Of the three regions Baynes Sound, which has 101 tenures, was the most altered with the greatest numbers of the invasive species, Batillaria sp. and Hemigrapsus oregonensis. Barkley Sound, "&amp;"the region with the lowest industrial intensity, was characterized by Mytilus trossulus and the absence of H. oregonensis. The mid-intensity region, Desolation Sound, was characterized by Littorina scutulata and Tectura persona. Within Baynes Sound, seedi"&amp;"ng appears to be acting as an attractant for crab predators with farm sites having on average 3-fold greater numbers as compared to reference sites. Farming practices were also found to encourage growth and biofouling of the intertidal with Ulva sp. Conse"&amp;"quences of changes in community composition in this case, an increase in the abundance of a major intertidal predator, H. oregonensis, on ecosystem functioning within these sensitive coastal areas are not known. (C) 2014 Elsevier B.V. All rights reserved.")</f>
        <v>The intertidal region of the Pacific Northwest is under ever increasing pressure to be used exclusively for the industrial sized operations of shellfish aquaculture. In British Columbia (BC), aquaculture practices include seeding the intertidal with the non-indigenous Venerupis philippinarum followed by the application of anti-predator netting. Ecological consequences of such practices applied at large scales are unknown. To assess for possible impacts 28 farm and reference sites from 3 geographically distinct regions of BC were surveyed in each of two years and their epibenthic, endobenthic and macroflora communities compared. The three regions differed in their intensity of industry from low (Barkley), medium (Desolation) to high (Baynes). Marked regional differences in intertidal community composition were observed. Of the three regions Baynes Sound, which has 101 tenures, was the most altered with the greatest numbers of the invasive species, Batillaria sp. and Hemigrapsus oregonensis. Barkley Sound, the region with the lowest industrial intensity, was characterized by Mytilus trossulus and the absence of H. oregonensis. The mid-intensity region, Desolation Sound, was characterized by Littorina scutulata and Tectura persona. Within Baynes Sound, seeding appears to be acting as an attractant for crab predators with farm sites having on average 3-fold greater numbers as compared to reference sites. Farming practices were also found to encourage growth and biofouling of the intertidal with Ulva sp. Consequences of changes in community composition in this case, an increase in the abundance of a major intertidal predator, H. oregonensis, on ecosystem functioning within these sensitive coastal areas are not known. (C) 2014 Elsevier B.V. All rights reserved.</v>
      </c>
      <c r="C777" s="24" t="str">
        <f>IFERROR(__xludf.DUMMYFUNCTION("""COMPUTED_VALUE"""),"10.1016/j.aquaculture.2014.06.027")</f>
        <v>10.1016/j.aquaculture.2014.06.027</v>
      </c>
      <c r="D777" s="24" t="str">
        <f>IFERROR(__xludf.DUMMYFUNCTION("""COMPUTED_VALUE"""),"Keck et al")</f>
        <v>Keck et al</v>
      </c>
      <c r="E777" s="24" t="str">
        <f>IFERROR(__xludf.DUMMYFUNCTION("""COMPUTED_VALUE"""),"WOS:000342529400053")</f>
        <v>WOS:000342529400053</v>
      </c>
      <c r="F777" s="24" t="str">
        <f>IFERROR(__xludf.DUMMYFUNCTION("""COMPUTED_VALUE"""),"[""ELIGIBLE""]")</f>
        <v>["ELIGIBLE"]</v>
      </c>
    </row>
    <row r="778">
      <c r="A778" s="24" t="str">
        <f>IFERROR(__xludf.DUMMYFUNCTION("""COMPUTED_VALUE"""),"Seasonal variability of landuse impacts on macroinvertebrate assemblages in streams of western Georgia, USA")</f>
        <v>Seasonal variability of landuse impacts on macroinvertebrate assemblages in streams of western Georgia, USA</v>
      </c>
      <c r="B778" s="24" t="str">
        <f>IFERROR(__xludf.DUMMYFUNCTION("""COMPUTED_VALUE"""),"We examined the influence of land use/land cover (LULC) on macroinvertebrate assemblages and environmental conditions in streams draining 18 small watersheds in the Southern Outer Piedmont ecoregion in Georgia, USA, over a 24-mo period of record. Specific"&amp;"ally, we analyzed relationships among LULC categories (i.e., % impervious surface [IS], pasture, silviculture, and deciduous/evergreen forest) and hydrological, physicochemical, and benthic habitat variables, and macroinvertebrate metrics. Macroinvertebra"&amp;"te metrics were related primarily to % IS and % deciduous forest cover, with lowest biotic integrity (species diversity, taxon richness, biological stream condition index) found in high % IS watersheds. Biotic integrity declined with decreasing % forest c"&amp;"over throughout the seasons, and multiple regression models and partial correlation analysis revealed that physicochemical and benthic habitat variables explained more variation in macroinvertebrate metrics throughout the seasons than did hydrological var"&amp;"iables at most sites. Based on nonmetric multidimensional scaling, heavily urbanized sites were strongly separated from all other sites in terms of assemblage structure. Total ordination distance among seasonal samples from the same sites increased as % f"&amp;"orest cover increased. This pattern might have arisen because urbanized streams had high abundances of a few tolerant, persistent taxa and lacked many ephemeral taxa found in less disturbed systems. The influence of anthropogenic LULC on macroinvertebrate"&amp;" assemblages appears to be consistent throughout the year and reduces seasonal changes in assemblages. LULC-associated differences among assemblages are strongly associated with changes in physicochemistry and benthic habitat conditions that probably are "&amp;"mediated by hydrological alterations associated with altered LULC in the watersheds of this region.")</f>
        <v>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v>
      </c>
      <c r="C778" s="24" t="str">
        <f>IFERROR(__xludf.DUMMYFUNCTION("""COMPUTED_VALUE"""),"10.1899/08-162.1")</f>
        <v>10.1899/08-162.1</v>
      </c>
      <c r="D778" s="24" t="str">
        <f>IFERROR(__xludf.DUMMYFUNCTION("""COMPUTED_VALUE"""),"Keck et al")</f>
        <v>Keck et al</v>
      </c>
      <c r="E778" s="24" t="str">
        <f>IFERROR(__xludf.DUMMYFUNCTION("""COMPUTED_VALUE"""),"WOS:000273886000019")</f>
        <v>WOS:000273886000019</v>
      </c>
      <c r="F778" s="24" t="str">
        <f>IFERROR(__xludf.DUMMYFUNCTION("""COMPUTED_VALUE"""),"[""ELIGIBLE""]")</f>
        <v>["ELIGIBLE"]</v>
      </c>
    </row>
    <row r="779">
      <c r="A779" s="24" t="str">
        <f>IFERROR(__xludf.DUMMYFUNCTION("""COMPUTED_VALUE"""),"Warmer night-time temperature promotes microbial heterotrophic activity and modifies stream sediment community")</f>
        <v>Warmer night-time temperature promotes microbial heterotrophic activity and modifies stream sediment community</v>
      </c>
      <c r="B779" s="24" t="str">
        <f>IFERROR(__xludf.DUMMYFUNCTION("""COMPUTED_VALUE"""),"Diel temperature patterns are changing because of global warming, with higher temperatures being predicted to be more pronounced at night. Biological reactions are temperature dependent, with some occurring only during the daylight hours (e.g., light phot"&amp;"osynthesis) and other during the entire day (e.g., respiration). Consequently, we expect the modification of daily temperature cycles to alter microbial biological reactions in stream sediments. Here, we aimed to study the effect of warming and changes of"&amp;" the diel temperature patterns on stream sediment biofilm functions tied to organic carbon decomposition, as well as on biofilm meiofaunal community structure. We performed an eight-week experiment with 12 artificial streams subjected to three different d"&amp;"iel temperature patterns: warming, warmer nights and control. Significant effects of warming on biofilm function and structure were mainly detected in the long term. Our results showed that warming altered biofilm function, especially in the warmer nights"&amp;"' treatment, which enhanced beta-glucosidase enzyme activity. Interestingly, clear opposite diel patterns were observed for dissolved organic carbon and b-glucosidase activity, suggesting that, at night, sediment bacteria quickly consume the input of phot"&amp;"osynthetic dissolved organic carbon labile compounds created during light-time. The biofilm structure was also altered by warming, as both warming and warmer night treatments enhanced copepod abundance and diminished abundances of turbellaria and nematode"&amp;"s, which, in turn, controlled bacterial, algal and ciliate communities. Overall, we conclude that warming has strong effect on sediment biofilm structure and enhanced microbial organic matter degradation which might, consequently, affect higher trophic le"&amp;"vels and river carbon cycling.")</f>
        <v>Diel temperature patterns are changing because of global warming, with higher temperatures being predicted to be more pronounced at night. Biological reactions are temperature dependent, with some occurring only during the daylight hours (e.g., light photosynthesis) and other during the entire day (e.g., respiration). Consequently, we expect the modification of daily temperature cycles to alter microbial biological reactions in stream sediments. Here, we aimed to study the effect of warming and changes of the diel temperature patterns on stream sediment biofilm functions tied to organic carbon decomposition, as well as on biofilm meiofaunal community structure. We performed an eight-week experiment with 12 artificial streams subjected to three different diel temperature patterns: warming, warmer nights and control. Significant effects of warming on biofilm function and structure were mainly detected in the long term. Our results showed that warming altered biofilm function, especially in the warmer nights' treatment, which enhanced beta-glucosidase enzyme activity. Interestingly, clear opposite diel patterns were observed for dissolved organic carbon and b-glucosidase activity, suggesting that, at night, sediment bacteria quickly consume the input of photosynthetic dissolved organic carbon labile compounds created during light-time. The biofilm structure was also altered by warming, as both warming and warmer night treatments enhanced copepod abundance and diminished abundances of turbellaria and nematodes, which, in turn, controlled bacterial, algal and ciliate communities. Overall, we conclude that warming has strong effect on sediment biofilm structure and enhanced microbial organic matter degradation which might, consequently, affect higher trophic levels and river carbon cycling.</v>
      </c>
      <c r="C779" s="24" t="str">
        <f>IFERROR(__xludf.DUMMYFUNCTION("""COMPUTED_VALUE"""),"10.1111/gcb.13664")</f>
        <v>10.1111/gcb.13664</v>
      </c>
      <c r="D779" s="24" t="str">
        <f>IFERROR(__xludf.DUMMYFUNCTION("""COMPUTED_VALUE"""),"Keck et al")</f>
        <v>Keck et al</v>
      </c>
      <c r="E779" s="24" t="str">
        <f>IFERROR(__xludf.DUMMYFUNCTION("""COMPUTED_VALUE"""),"WOS:000406812100032")</f>
        <v>WOS:000406812100032</v>
      </c>
      <c r="F779" s="24" t="str">
        <f>IFERROR(__xludf.DUMMYFUNCTION("""COMPUTED_VALUE"""),"[""ELIGIBLE""]")</f>
        <v>["ELIGIBLE"]</v>
      </c>
    </row>
    <row r="780">
      <c r="A780" s="24" t="str">
        <f>IFERROR(__xludf.DUMMYFUNCTION("""COMPUTED_VALUE"""),"COMMUNITY SECONDARY PRODUCTION AS A MEASURE OF ECOSYSTEM FUNCTION: A CASE STUDY WITH AQUATIC ECOSYSTEM FRAGMENTATION")</f>
        <v>COMMUNITY SECONDARY PRODUCTION AS A MEASURE OF ECOSYSTEM FUNCTION: A CASE STUDY WITH AQUATIC ECOSYSTEM FRAGMENTATION</v>
      </c>
      <c r="B780" s="24" t="str">
        <f>IFERROR(__xludf.DUMMYFUNCTION("""COMPUTED_VALUE"""),"Secondary production is a composite measure of an animal population's density, biomass, and growth over time. Thus, secondary production converts animal abundance and biomass data into a functional measure of energy flow through an ecosystem. In the prese"&amp;"nt study, we used community secondary production as a composite measure of ecosystem functional response to anthropogenic disturbance, and applied this approach to examine effects of fragmentation on tidal creek ecosystems in The Bahamas. Community fish p"&amp;"roduction decreased from a mean of 901 g m(-2) yr(-1) in unfragmented creeks to 166 g m(-2) yr(-1) in downstream areas of fragmented creeks to 29 g m(-2) yr(-1) upstream of creek blockages in fragmented creeks. When compared with several univariate measur"&amp;"es (species richness, evenness, abundance, biomass), community composition (by ordination), and community distribution (via rank-curve analysis), community secondary production appeared to be the most consistent variable for distinguishing between three c"&amp;"reek fragmentation categories. These data suggest that small, non-significant declines in diversity or other structural metrics can yield disproportionately large declines in ecosystem function. We suggest community secondary production can be an importan"&amp;"t component of future assessments of anthropogenic impacts, especially when alterations in diversity or community structure are small, but potentially have dramatic impacts on ecosystem function.")</f>
        <v>Secondary production is a composite measure of an animal population's density, biomass, and growth over time. Thus, secondary production converts animal abundance and biomass data into a functional measure of energy flow through an ecosystem. In the present study, we used community secondary production as a composite measure of ecosystem functional response to anthropogenic disturbance, and applied this approach to examine effects of fragmentation on tidal creek ecosystems in The Bahamas. Community fish production decreased from a mean of 901 g m(-2) yr(-1) in unfragmented creeks to 166 g m(-2) yr(-1) in downstream areas of fragmented creeks to 29 g m(-2) yr(-1) upstream of creek blockages in fragmented creeks. When compared with several univariate measures (species richness, evenness, abundance, biomass), community composition (by ordination), and community distribution (via rank-curve analysis), community secondary production appeared to be the most consistent variable for distinguishing between three creek fragmentation categories. These data suggest that small, non-significant declines in diversity or other structural metrics can yield disproportionately large declines in ecosystem function. We suggest community secondary production can be an important component of future assessments of anthropogenic impacts, especially when alterations in diversity or community structure are small, but potentially have dramatic impacts on ecosystem function.</v>
      </c>
      <c r="C780" s="24" t="str">
        <f>IFERROR(__xludf.DUMMYFUNCTION("""COMPUTED_VALUE"""),"10.5343/bms.2010.1043")</f>
        <v>10.5343/bms.2010.1043</v>
      </c>
      <c r="D780" s="24" t="str">
        <f>IFERROR(__xludf.DUMMYFUNCTION("""COMPUTED_VALUE"""),"Keck et al")</f>
        <v>Keck et al</v>
      </c>
      <c r="E780" s="24" t="str">
        <f>IFERROR(__xludf.DUMMYFUNCTION("""COMPUTED_VALUE"""),"WOS:000296074600011")</f>
        <v>WOS:000296074600011</v>
      </c>
      <c r="F780" s="24" t="str">
        <f>IFERROR(__xludf.DUMMYFUNCTION("""COMPUTED_VALUE"""),"[""ELIGIBLE""]")</f>
        <v>["ELIGIBLE"]</v>
      </c>
    </row>
    <row r="781">
      <c r="A781" s="24" t="str">
        <f>IFERROR(__xludf.DUMMYFUNCTION("""COMPUTED_VALUE"""),"Grazing and. soil pH are biodiversity drivers of vascular plants and bryophytes in boreal wood-pastures")</f>
        <v>Grazing and. soil pH are biodiversity drivers of vascular plants and bryophytes in boreal wood-pastures</v>
      </c>
      <c r="B781" s="24" t="str">
        <f>IFERROR(__xludf.DUMMYFUNCTION("""COMPUTED_VALUE"""),"Wood-pastures have been formed by traditional low-intensity livestock grazing in wooded areas. They host high biodiversity values that are now threatened by both management abandonment (ceased grazing) and agricultural intensification, and therefore these"&amp;" habitats are of conservation interest in Europe. In order to explore the effects of grazing on the biodiversity of boreal wood-pastures, we studied the communities of vascular plants and bryophytes in 24 currently grazed and 24 abandoned sites. In additi"&amp;"on to the current management situation, we studied the effects of soil pH and moisture, tree density, historical land-use intensity, time since abandonment (in abandoned sites) and grazing intensity (in grazed sites). Grazed sites had higher species richn"&amp;"ess of both species groups and rare species were also slightly more numerous. Grazing impacted the community composition of vascular plants more than that of bryophytes. For both species groups soil pH (which ranged from 3 to 5) was the most important var"&amp;"iable in determining species richness, the number of rare species and the composition of communities. The responses of the two species groups varied somewhat, but generally species richness was maximized on sites with higher soil pH, moisture and grazing "&amp;"intensity, but lower tree cover. We conclude that more effort should be paid on maintaining currently grazed sites under management. If a site has been abandoned, it could be restored into a wood-pasture if it still retains some structural features such a"&amp;"s openness and typical species of a wood-pasture. Highest biological conservation values for both management and protection can be found among those sites that are naturally most fertile, but attention should also be paid on the landscape-scale versatilit"&amp;"y of managed sites. (C) 2016 Elsevier B.V. All rights reserved.")</f>
        <v>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v>
      </c>
      <c r="C781" s="24" t="str">
        <f>IFERROR(__xludf.DUMMYFUNCTION("""COMPUTED_VALUE"""),"10.1016/j.agee.2016.02.018")</f>
        <v>10.1016/j.agee.2016.02.018</v>
      </c>
      <c r="D781" s="24" t="str">
        <f>IFERROR(__xludf.DUMMYFUNCTION("""COMPUTED_VALUE"""),"Keck et al")</f>
        <v>Keck et al</v>
      </c>
      <c r="E781" s="24" t="str">
        <f>IFERROR(__xludf.DUMMYFUNCTION("""COMPUTED_VALUE"""),"WOS:000384383600018")</f>
        <v>WOS:000384383600018</v>
      </c>
      <c r="F781" s="24" t="str">
        <f>IFERROR(__xludf.DUMMYFUNCTION("""COMPUTED_VALUE"""),"[""ELIGIBLE""]")</f>
        <v>["ELIGIBLE"]</v>
      </c>
    </row>
    <row r="782">
      <c r="A782" s="24" t="str">
        <f>IFERROR(__xludf.DUMMYFUNCTION("""COMPUTED_VALUE"""),"Benthic changes during 10 years of organic enrichment by McMurdo Station, Antarctica")</f>
        <v>Benthic changes during 10 years of organic enrichment by McMurdo Station, Antarctica</v>
      </c>
      <c r="B782" s="24" t="str">
        <f>IFERROR(__xludf.DUMMYFUNCTION("""COMPUTED_VALUE"""),"A benthic habitat along the coast of McMurdo Station in the Ross Sea, Antarctica is enriched by sewage from the station and altered by hydrocarbons and heavy metals in an adjacent historic dumpsite. We report on 10 years of change in the benthic communiti"&amp;"es from 1988 to 1998 and compare enrichment effects at Australia's Casey Station, East Antarctica. Despite being 14 kin apart, reference communities upcurrent and downcurrent of McMurdo Station remained closely similar over time, dominated in all years by"&amp;" a tube building polychaete, Spiophanes teherniae. The community bordering McMurdo Station was generally a third as abundant as communities at the reference sites over the decade of sampling, although diversity was as high or higher, except in the most co"&amp;"ntaminated areas. In 1992, organic enrichment of the outfall community intensified and within the year, the opportunistic polychaetes Aphelochaeta sp., Ophryotrocha notialis, capitella perarmata, and Leitoscoloplos kerguelensis became dominant. Since 1996"&amp;", two of the three enriched communities have increased in resemblance to the reference communities. Given the observed responsiveness of the benthos to the outfall so far, further changes are anticipated within the year following implementation of sewage "&amp;"treatment in 2003. Organic enrichment by McMurdo Station has had a greater impact on benthic community structure than at Australia's Casey Station. (C) 2004 Elsevier Ltd. All rights reserved.")</f>
        <v>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v>
      </c>
      <c r="C782" s="24" t="str">
        <f>IFERROR(__xludf.DUMMYFUNCTION("""COMPUTED_VALUE"""),"10.1016/j.marpolbul.2004.01.007")</f>
        <v>10.1016/j.marpolbul.2004.01.007</v>
      </c>
      <c r="D782" s="24" t="str">
        <f>IFERROR(__xludf.DUMMYFUNCTION("""COMPUTED_VALUE"""),"Keck et al")</f>
        <v>Keck et al</v>
      </c>
      <c r="E782" s="24" t="str">
        <f>IFERROR(__xludf.DUMMYFUNCTION("""COMPUTED_VALUE"""),"WOS:000222939800017")</f>
        <v>WOS:000222939800017</v>
      </c>
      <c r="F782" s="24" t="str">
        <f>IFERROR(__xludf.DUMMYFUNCTION("""COMPUTED_VALUE"""),"[""ELIGIBLE""]")</f>
        <v>["ELIGIBLE"]</v>
      </c>
    </row>
    <row r="783">
      <c r="A783" s="24" t="str">
        <f>IFERROR(__xludf.DUMMYFUNCTION("""COMPUTED_VALUE"""),"The Plastisphere of Biodegradable Plastics Is Characterized by Specific Microbial Taxa of Alpine and Arctic Soils")</f>
        <v>The Plastisphere of Biodegradable Plastics Is Characterized by Specific Microbial Taxa of Alpine and Arctic Soils</v>
      </c>
      <c r="B783" s="24" t="str">
        <f>IFERROR(__xludf.DUMMYFUNCTION("""COMPUTED_VALUE"""),"Plastic pollution poses a threat to terrestrial ecosystems, even impacting soils from remote alpine and arctic areas. Biodegradable plastics are a promising solution to prevent long-term accumulation of plastic litter. However, little is known about the d"&amp;"ecomposition of biodegradable plastics in soils from alpine and polar ecosystems or the microorganisms involved in the process. Plastics in aquatic environments have previously been shown to form a microbial community on the surface of the plastic distinc"&amp;"t from that in the surrounding water, constituting the so-called plastisphere. Comparable studies in terrestrial environments are scarce. Here, we aimed to characterize the plastisphere microbiome of three types of plastics differing in their biodegradabi"&amp;"lity in soil using DNA metabarcoding. Polylactic acid (PLA), polybutylene adipate terephthalate (PBAT), and polyethylene (PE) were buried in two different soils, from the Swiss Alps and from Northern Greenland, at 15 degrees C for 8 weeks. While physico-c"&amp;"hemical characteristics of the polymers only showed minor (PLA, PBAT) or no (PE) changes after incubation, a considerably lower alpha-diversity was observed on the plastic surfaces and prominent shifts occurred in the bacterial and fungal community struct"&amp;"ures between the plastisphere and the adjacent bulk soil not affected by the plastic. Effects on the plastisphere microbiome increased with greater biodegradability of the plastics, from PE to PLA. Copiotrophic taxa within the phyla Proteobacteria and Act"&amp;"inobacteria benefitted the most from plastic input. Especially taxa with a known potential to degrade xenobiotics, including Burkholderiales, Caulobacterales,Pseudomonas,Rhodococcus, andStreptomyces, thrived in the plastisphere of the Alpine and Arctic so"&amp;"ils. In addition, Saccharimonadales (superphylum Patescibacteria) was identified as a key taxon associated with PLA. The association of Saccharibacteria with plastic has not been reported before, and pursuing this finding further may shed light on the lif"&amp;"estyle of this obscure candidate phylum. Plastic addition affected fungal taxa to a lesser extent since only few fungal genera such asPhlebiaandAlternariawere increased on the plastisphere. Our findings suggest that the soil microbiome can be strongly inf"&amp;"luenced by plastic pollution in terrestrial cryoenvironments. Further research is required to fully understand microbial colonization on plastic surfaces and the biodegradation of plastic in soils.")</f>
        <v>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v>
      </c>
      <c r="C783" s="24" t="str">
        <f>IFERROR(__xludf.DUMMYFUNCTION("""COMPUTED_VALUE"""),"10.3389/fenvs.2020.562263")</f>
        <v>10.3389/fenvs.2020.562263</v>
      </c>
      <c r="D783" s="24" t="str">
        <f>IFERROR(__xludf.DUMMYFUNCTION("""COMPUTED_VALUE"""),"Keck et al")</f>
        <v>Keck et al</v>
      </c>
      <c r="E783" s="24" t="str">
        <f>IFERROR(__xludf.DUMMYFUNCTION("""COMPUTED_VALUE"""),"WOS:000575916200001")</f>
        <v>WOS:000575916200001</v>
      </c>
      <c r="F783" s="24" t="str">
        <f>IFERROR(__xludf.DUMMYFUNCTION("""COMPUTED_VALUE"""),"[""ELIGIBLE""]")</f>
        <v>["ELIGIBLE"]</v>
      </c>
    </row>
    <row r="784">
      <c r="A784" s="24" t="str">
        <f>IFERROR(__xludf.DUMMYFUNCTION("""COMPUTED_VALUE"""),"Changes in Coastal Benthic Algae Succession Trajectories and Assemblages Under Contrasting Nutrient and Grazer Loads")</f>
        <v>Changes in Coastal Benthic Algae Succession Trajectories and Assemblages Under Contrasting Nutrient and Grazer Loads</v>
      </c>
      <c r="B784" s="24" t="str">
        <f>IFERROR(__xludf.DUMMYFUNCTION("""COMPUTED_VALUE"""),"Eutrophication plays a crucial role in coastal systems, driving changes in the composition and abundance of flora and fauna with consequent effects for the entire ecosystem. Sensitive to nutrient levels, micro- and macroalgal blooms serve as valuable indi"&amp;"cators of eutrophication. The San Antonio Bay (Northern Argentinean Patagonia, 40A degrees 43' S, 64A degrees 56' W) provides an appropriate system to study in situ eutrophication processes on coastal communities. In a multi-scale approach, using two diff"&amp;"erent kind of settlement substrates (micro: polyethylene terephthalate, and macro: ceramic), the present study followed benthic algal dynamics over one year, distinguishing changes in natural succession and seasonality. Strong differences were found in th"&amp;"e biofilm assemblages after three days, marked by tube dwelling diatoms and Cocconeis spp. under high nutrient-grazer conditions and needle like diatoms (e.g. Nitzschia spp., Tabularia spp.) under lower nutrient-grazer loads. The succession continued by t"&amp;"he colonization of macroalgae, with a higher recruitment rate in the nutrient and grazer rich environment with a concomitant higher diversity. Our results show that under higher nutrient-grazer conditions natural benthic succession not only differs in tra"&amp;"jectory but in its final taxa composition promoting higher biodiversity and biomass accumulation. In addition, taxa specific substrate preferences interfere with the observed eutrophication pattern, suggesting substrate dependant interrelations between th"&amp;"e bloom forming taxa. These findings provide evidence that nutrient enrichment can not only affect an established assemblage but also affect the early succession stages, changing the succession trajectory and thus the final assemblage.")</f>
        <v>Eutrophication plays a crucial role in coastal systems, driving changes in the composition and abundance of flora and fauna with consequent effects for the entire ecosystem. Sensitive to nutrient levels, micro- and macroalgal blooms serve as valuable indicators of eutrophication. The San Antonio Bay (Northern Argentinean Patagonia, 40A degrees 43' S, 64A degrees 56' W) provides an appropriate system to study in situ eutrophication processes on coastal communities. In a multi-scale approach, using two different kind of settlement substrates (micro: polyethylene terephthalate, and macro: ceramic), the present study followed benthic algal dynamics over one year, distinguishing changes in natural succession and seasonality. Strong differences were found in the biofilm assemblages after three days, marked by tube dwelling diatoms and Cocconeis spp. under high nutrient-grazer conditions and needle like diatoms (e.g. Nitzschia spp., Tabularia spp.) under lower nutrient-grazer loads. The succession continued by the colonization of macroalgae, with a higher recruitment rate in the nutrient and grazer rich environment with a concomitant higher diversity. Our results show that under higher nutrient-grazer conditions natural benthic succession not only differs in trajectory but in its final taxa composition promoting higher biodiversity and biomass accumulation. In addition, taxa specific substrate preferences interfere with the observed eutrophication pattern, suggesting substrate dependant interrelations between the bloom forming taxa. These findings provide evidence that nutrient enrichment can not only affect an established assemblage but also affect the early succession stages, changing the succession trajectory and thus the final assemblage.</v>
      </c>
      <c r="C784" s="24" t="str">
        <f>IFERROR(__xludf.DUMMYFUNCTION("""COMPUTED_VALUE"""),"10.1007/s12237-015-9999-2")</f>
        <v>10.1007/s12237-015-9999-2</v>
      </c>
      <c r="D784" s="24" t="str">
        <f>IFERROR(__xludf.DUMMYFUNCTION("""COMPUTED_VALUE"""),"Keck et al")</f>
        <v>Keck et al</v>
      </c>
      <c r="E784" s="24" t="str">
        <f>IFERROR(__xludf.DUMMYFUNCTION("""COMPUTED_VALUE"""),"WOS:000369527900012")</f>
        <v>WOS:000369527900012</v>
      </c>
      <c r="F784" s="24" t="str">
        <f>IFERROR(__xludf.DUMMYFUNCTION("""COMPUTED_VALUE"""),"[""ELIGIBLE""]")</f>
        <v>["ELIGIBLE"]</v>
      </c>
    </row>
    <row r="785">
      <c r="A785" s="24" t="str">
        <f>IFERROR(__xludf.DUMMYFUNCTION("""COMPUTED_VALUE"""),"Sheep herding in small grasslands promotes dung beetle diversity in a mountain forest landscape")</f>
        <v>Sheep herding in small grasslands promotes dung beetle diversity in a mountain forest landscape</v>
      </c>
      <c r="B785" s="24" t="str">
        <f>IFERROR(__xludf.DUMMYFUNCTION("""COMPUTED_VALUE"""),"It is assumed that the transformation of native forest into agricultural fields and grazing grasslands negatively affects biological diversity, and there are multiple cases documenting this pattern. For example, when lowland tropical forests are transform"&amp;"ed into extensive cattle pastures, dung beetle richness, abundance and diversity decrease. However, in some cases, biodiversity may respond in the opposite direction. We describe dung beetle assemblages in a mountainous landscape where small grasslands (l"&amp;"ess than 7.5 ha) with sheep pastoralism are imbedded in a pine-oak forest matrix at the Mexican Transition Zone. We captured 14 species (1058 beetles) in 10 forest sites, and 20 species (2591 beetles) in 10 grassland sites. Generalized linear mixed models"&amp;" showed significantly higher values of species richness, diversity and abundance in grazing grasslands. We found 10 shared beetle species between forests and grassland sites, and a PERMANOVA revealed significant differences in species composition between "&amp;"habitats. Generalized linear models showed that dung beetle richness, abundance and diversity are related to dung availability, soil moisture and altitude, but not to soil hardness nor land use heterogeneity. Similarly, we did not find significant correla"&amp;"tions between compositional dissimilarity (beta diversity) and dung availability nor land use heterogeneity. Our results document how traditional sheep herding in small grassland patches embedded in a forest matrix promotes the diversity of dung beetle as"&amp;"semblages, showing that biodiversity can be enhanced by human activities. Implications for insect conservation The results of this study indicate that grassland patches embedded in the forest matrix where traditional small herds of sheep graze, contribute"&amp;" to increasing landscape complexity by providing a mosaic of environmental conditions that promote a high diversity of dung beetles on a regional scale.")</f>
        <v>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v>
      </c>
      <c r="C785" s="24" t="str">
        <f>IFERROR(__xludf.DUMMYFUNCTION("""COMPUTED_VALUE"""),"10.1007/s10841-020-00277-5")</f>
        <v>10.1007/s10841-020-00277-5</v>
      </c>
      <c r="D785" s="24" t="str">
        <f>IFERROR(__xludf.DUMMYFUNCTION("""COMPUTED_VALUE"""),"Keck et al")</f>
        <v>Keck et al</v>
      </c>
      <c r="E785" s="24" t="str">
        <f>IFERROR(__xludf.DUMMYFUNCTION("""COMPUTED_VALUE"""),"WOS:000582321100001")</f>
        <v>WOS:000582321100001</v>
      </c>
      <c r="F785" s="24" t="str">
        <f>IFERROR(__xludf.DUMMYFUNCTION("""COMPUTED_VALUE"""),"[""ELIGIBLE""]")</f>
        <v>["ELIGIBLE"]</v>
      </c>
    </row>
    <row r="786">
      <c r="A786" s="24" t="str">
        <f>IFERROR(__xludf.DUMMYFUNCTION("""COMPUTED_VALUE"""),"Experimental evidence that even minor livestock trampling has severe effects on land snail communities in forest remnants")</f>
        <v>Experimental evidence that even minor livestock trampling has severe effects on land snail communities in forest remnants</v>
      </c>
      <c r="B786" s="24" t="str">
        <f>IFERROR(__xludf.DUMMYFUNCTION("""COMPUTED_VALUE"""),"Land-use intensification is increasing dramatically in production systems world-wide. Livestock production is an important component of production land use, and increases in livestock densities have had a wide range of negative consequences. The off-site "&amp;"effects of livestock grazing and trampling on native vegetation adjacent to pastoral land have received less attention than on-farm effects. Moreover, where significant ecological effects of livestock spillover have been identified, the mechanistic determ"&amp;"inants of these effects have not typically been investigated. Here, we tested the mechanistic drivers of livestock trampling effects on land snail communities in forest remnants using simulated trampling under field conditions. We used a factorial combina"&amp;"tion of leaf-litter manipulation and trampling treatments to partition different causal drivers of livestock impacts on land snail communities and related them to five environmental variables that are altered by livestock. We show that even very low frequ"&amp;"ency trampling caused severe changes to land snail communities. Land snail density, even under the lowest trampling frequency, declined by an average of 42individualsm(-2) and land snail species richness decreased by an average of 10 species per plot comp"&amp;"ared with control plots. The underlying drivers of changes in land snail communities varied, but were primarily linked to leaf-litter mass, rather than soil compaction.Synthesis and applications. Overall, these results suggest that even minimal disturbanc"&amp;"e by livestock has large effects on land snail communities, but the underlying drivers of these effects require further investigation in longer duration and more intensive studies. Our results provide strong support for livestock exclusion as an important"&amp;" management tool for native forest remnants embedded within production landscapes. Overall, these results suggest that even minimal disturbance by livestock has large effects on land snail communities, but the underlying drivers of these effects require f"&amp;"urther investigation in longer duration and more intensive studies. Our results provide strong support for livestock exclusion as an important management tool for native forest remnants embedded within production landscapes.")</f>
        <v>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v>
      </c>
      <c r="C786" s="24" t="str">
        <f>IFERROR(__xludf.DUMMYFUNCTION("""COMPUTED_VALUE"""),"10.1111/1365-2664.12370")</f>
        <v>10.1111/1365-2664.12370</v>
      </c>
      <c r="D786" s="24" t="str">
        <f>IFERROR(__xludf.DUMMYFUNCTION("""COMPUTED_VALUE"""),"Keck et al")</f>
        <v>Keck et al</v>
      </c>
      <c r="E786" s="24" t="str">
        <f>IFERROR(__xludf.DUMMYFUNCTION("""COMPUTED_VALUE"""),"WOS:000348740800018")</f>
        <v>WOS:000348740800018</v>
      </c>
      <c r="F786" s="24" t="str">
        <f>IFERROR(__xludf.DUMMYFUNCTION("""COMPUTED_VALUE"""),"[""ELIGIBLE""]")</f>
        <v>["ELIGIBLE"]</v>
      </c>
    </row>
    <row r="787">
      <c r="A787" s="24" t="str">
        <f>IFERROR(__xludf.DUMMYFUNCTION("""COMPUTED_VALUE"""),"Temporal dynamics of bacterioplankton communities in response to excessive nitrate loading in oligotrophic coastal water")</f>
        <v>Temporal dynamics of bacterioplankton communities in response to excessive nitrate loading in oligotrophic coastal water</v>
      </c>
      <c r="B787" s="24" t="str">
        <f>IFERROR(__xludf.DUMMYFUNCTION("""COMPUTED_VALUE"""),"Coastal ecosyStems are receiving elevated loads of nitrogen (N) from anthropogenic sources. Understanding how excessive N loading affects bacterioplankton communities is critical to predict the biodiversity of marine ecosystems under conditions of eutroph"&amp;"ic disturbance. In this study, oligotrophic coastal water microcosms were perturbed with nitrate in two loading modes: 1) one-off loading at the beginning of the incubation period; and 2) periodic loading every two days for 16 days. Turnover in the bacter"&amp;"ioplankton community was investigated by 16S rDNA gene amplicon sequencing. The alpha diversity of the bacterioplankton community showed great temporal variability and similar responses to the different treatments. Bacterioplankton community composition w"&amp;"as influenced remarkably by time and N loading mode. The effects of N loading on bacterioplankton community structure showed obvious temporal variation, probably because of the great temporal variation in environmental parameters. This study provides insi"&amp;"ghts into the effects of N pollution in anthropogenically perturbed marine environments. (C) 2016 Elsevier Ltd. All rights reserved.")</f>
        <v>Coastal ecosyStems are receiving elevated loads of nitrogen (N) from anthropogenic sources. Understanding how excessive N loading affects bacterioplankton communities is critical to predict the biodiversity of marine ecosystems under conditions of eutrophic disturbance. In this study, oligotrophic coastal water microcosms were perturbed with nitrate in two loading modes: 1) one-off loading at the beginning of the incubation period; and 2) periodic loading every two days for 16 days. Turnover in the bacterioplankton community was investigated by 16S rDNA gene amplicon sequencing. The alpha diversity of the bacterioplankton community showed great temporal variability and similar responses to the different treatments. Bacterioplankton community composition was influenced remarkably by time and N loading mode. The effects of N loading on bacterioplankton community structure showed obvious temporal variation, probably because of the great temporal variation in environmental parameters. This study provides insights into the effects of N pollution in anthropogenically perturbed marine environments. (C) 2016 Elsevier Ltd. All rights reserved.</v>
      </c>
      <c r="C787" s="24" t="str">
        <f>IFERROR(__xludf.DUMMYFUNCTION("""COMPUTED_VALUE"""),"10.1016/j.marpolbul.2016.10.041")</f>
        <v>10.1016/j.marpolbul.2016.10.041</v>
      </c>
      <c r="D787" s="24" t="str">
        <f>IFERROR(__xludf.DUMMYFUNCTION("""COMPUTED_VALUE"""),"Keck et al")</f>
        <v>Keck et al</v>
      </c>
      <c r="E787" s="24" t="str">
        <f>IFERROR(__xludf.DUMMYFUNCTION("""COMPUTED_VALUE"""),"WOS:000393931700003")</f>
        <v>WOS:000393931700003</v>
      </c>
      <c r="F787" s="24" t="str">
        <f>IFERROR(__xludf.DUMMYFUNCTION("""COMPUTED_VALUE"""),"[""ELIGIBLE""]")</f>
        <v>["ELIGIBLE"]</v>
      </c>
    </row>
    <row r="788">
      <c r="A788" s="24" t="str">
        <f>IFERROR(__xludf.DUMMYFUNCTION("""COMPUTED_VALUE"""),"Broad-scale effects of marine salmonid aquaculture on macrobenthos and the sediment environment in southeastern Tasmania")</f>
        <v>Broad-scale effects of marine salmonid aquaculture on macrobenthos and the sediment environment in southeastern Tasmania</v>
      </c>
      <c r="B788" s="24" t="str">
        <f>IFERROR(__xludf.DUMMYFUNCTION("""COMPUTED_VALUE"""),"A comparison of sediments and associated macrobenthos at sites sampled within 20 fish farm leases distributed across southeastern Tasmania indicated major natural changes along a regional cline. Introduced taxa were strongly represented in the fauna, comp"&amp;"rising 45% of total macrofaunal biomass. Large differences were evident between sites affected by different levels of organic farm waste. Sites located adjacent (&lt; 10 m) to farm cages possessed significantly depressed sediment redox levels, a dominance of"&amp;" capitellid and dorvilleid polychaetes, and low macrofaunal species richness. Subtle impacts extended across farm lease areas in the form of depressed redox potential at 40 mm depth and changes to the macrobenthic community, including a prevalence of the "&amp;"dogwhelk Nassarius nigellus and a paucity of the heart urchin Brissus sp. and the maldanid polychaetes Asychis sp. and Rhodine sp. Minor farm effects were also evident at sites sampled 35 m outside farm lease boundaries, most notably as elevated populatio"&amp;"n numbers of the polychaete Terrebellides sp., bivalve Mysella donaciformis and heart urchin Echinocardium cordatum. Amongst the univariate metrics examined, redox potential at 40 mm depth and the ratio of bivalves to total molluscs provided the most sens"&amp;"itive indicators of farm impacts, with the latter metric relatively insensitive to spatial variation between locations within the region studied. (c) 2005 Elsevier B.V. All rights reserved.")</f>
        <v>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v>
      </c>
      <c r="C788" s="24" t="str">
        <f>IFERROR(__xludf.DUMMYFUNCTION("""COMPUTED_VALUE"""),"10.1016/j.jembe.2005.06.003")</f>
        <v>10.1016/j.jembe.2005.06.003</v>
      </c>
      <c r="D788" s="24" t="str">
        <f>IFERROR(__xludf.DUMMYFUNCTION("""COMPUTED_VALUE"""),"Keck et al")</f>
        <v>Keck et al</v>
      </c>
      <c r="E788" s="24" t="str">
        <f>IFERROR(__xludf.DUMMYFUNCTION("""COMPUTED_VALUE"""),"WOS:000233941200006")</f>
        <v>WOS:000233941200006</v>
      </c>
      <c r="F788" s="24" t="str">
        <f>IFERROR(__xludf.DUMMYFUNCTION("""COMPUTED_VALUE"""),"[""ELIGIBLE""]")</f>
        <v>["ELIGIBLE"]</v>
      </c>
    </row>
    <row r="789">
      <c r="A789" s="24" t="str">
        <f>IFERROR(__xludf.DUMMYFUNCTION("""COMPUTED_VALUE"""),"Long-term change to fish assemblages and the flow regime in a southeastern US river system after extensive aquatic ecosystem fragmentation")</f>
        <v>Long-term change to fish assemblages and the flow regime in a southeastern US river system after extensive aquatic ecosystem fragmentation</v>
      </c>
      <c r="B789" s="24" t="str">
        <f>IFERROR(__xludf.DUMMYFUNCTION("""COMPUTED_VALUE"""),"The upper Tombigbee River in northeastern Mississippi now exists as a fragment, confluencing with and fed by an extensively modified aquatic landscape now called the Tennessee-Tombigbee Waterway (TTW). We examined the changes to fish assemblages and flow "&amp;"regime after waterway construction based on contemporary comparisons to historical fish collections and discharge data. The river's flow regime has changed markedly since TTW construction. Analysis of discharge data from two stations for 15 years, pre- an"&amp;"d post-waterway, indicated significant differences in flow regime including increased minimum and base flows, lower spring and higher late summer-autumn flows, and lower high flow durations, post-TTW. These changes corresponded to significantly reduced re"&amp;"gional and local species richness, and strong shifts in fish assemblage structure across a 20 yr time span. Post-waterway fish assemblages were related strongly to measured environmental variables characterizing local habitats. Several lentic-adapted spec"&amp;"ies increased their abundances in lower reaches of the river, including a recent invader to the TTW system, the Mississippi silverside Menidia audens. Fragmentation of river ecosystems via disruption to hydrologic regimes is a major threat to aquatic biod"&amp;"iversity worldwide. Because the flow regime of this fragmented river is in part controlled by waterway operations via five minimum flow control structures, adaptive conservation and management efforts could be implemented in order to maintain and potentia"&amp;"lly restore the natural flow regime and the ecological integrity of the system.")</f>
        <v>The upper Tombigbee River in northeastern Mississippi now exists as a fragment, confluencing with and fed by an extensively modified aquatic landscape now called the Tennessee-Tombigbee Waterway (TTW). We examined the changes to fish assemblages and flow regime after waterway construction based on contemporary comparisons to historical fish collections and discharge data. The river's flow regime has changed markedly since TTW construction. Analysis of discharge data from two stations for 15 years, pre- and post-waterway, indicated significant differences in flow regime including increased minimum and base flows, lower spring and higher late summer-autumn flows, and lower high flow durations, post-TTW. These changes corresponded to significantly reduced regional and local species richness, and strong shifts in fish assemblage structure across a 20 yr time span. Post-waterway fish assemblages were related strongly to measured environmental variables characterizing local habitats. Several lentic-adapted species increased their abundances in lower reaches of the river, including a recent invader to the TTW system, the Mississippi silverside Menidia audens. Fragmentation of river ecosystems via disruption to hydrologic regimes is a major threat to aquatic biodiversity worldwide. Because the flow regime of this fragmented river is in part controlled by waterway operations via five minimum flow control structures, adaptive conservation and management efforts could be implemented in order to maintain and potentially restore the natural flow regime and the ecological integrity of the system.</v>
      </c>
      <c r="C789" s="24" t="str">
        <f>IFERROR(__xludf.DUMMYFUNCTION("""COMPUTED_VALUE"""),"10.1111/j.1600-0587.2008.05526.x")</f>
        <v>10.1111/j.1600-0587.2008.05526.x</v>
      </c>
      <c r="D789" s="24" t="str">
        <f>IFERROR(__xludf.DUMMYFUNCTION("""COMPUTED_VALUE"""),"Keck et al")</f>
        <v>Keck et al</v>
      </c>
      <c r="E789" s="24" t="str">
        <f>IFERROR(__xludf.DUMMYFUNCTION("""COMPUTED_VALUE"""),"WOS:000262639100012")</f>
        <v>WOS:000262639100012</v>
      </c>
      <c r="F789" s="24" t="str">
        <f>IFERROR(__xludf.DUMMYFUNCTION("""COMPUTED_VALUE"""),"[""ELIGIBLE""]")</f>
        <v>["ELIGIBLE"]</v>
      </c>
    </row>
    <row r="790">
      <c r="A790" s="24" t="str">
        <f>IFERROR(__xludf.DUMMYFUNCTION("""COMPUTED_VALUE"""),"How an introduced seaweed can affect epibiota diversity in different coastal systems")</f>
        <v>How an introduced seaweed can affect epibiota diversity in different coastal systems</v>
      </c>
      <c r="B790" s="24" t="str">
        <f>IFERROR(__xludf.DUMMYFUNCTION("""COMPUTED_VALUE"""),"Invasions by non-indigenous species have the potential to alter the biodiversity of recipient systems. The magnitude of this effect often depends on the nature of the invaded communities and the ecology of the invader. We investigated the impacts of the J"&amp;"apanese seaweed Sargassum muticum (Phaeophyceae, Fucales) on biodiversity in a rocky and sedimentary environment on two islands in the North Sea. In each case, we compared the epibiota of non-indigenous S. muticum with epibiota communities on taxonomicall"&amp;"y related and structurally similar native seaweed hosts. Total and average species richness on S. muticum were similar on the rocky shore (60 species and 22 +/- 6 species, respectively) and the sandy shore (64 species and 20 +/- 3 species, respectively). "&amp;"However, community structure and species composition differed significantly between the environments. On the rocky shore, another native fucoid seaweed, Halidrys siliquosa, supported an epibiota community very similar to that of the invader. On the sandy "&amp;"shore, the only other abundant native habitat-providing algal species was Fucus vesiculosus. This species supported a different and less diverse assemblage of associated taxa. We conclude that S. muticum enhances epibiota diversity in the sedimentary envi"&amp;"ronment, probably by increasing the substratum availability and habitat heterogeneity. In contrast, it has negligible impacts on epibiota diversity in the rocky shore environment, where it does not represent a fundamentally new habitat component. We concl"&amp;"ude that even within the same region, the consequences of non-indigenous species on biodiversity cannot be generalised but depend on the composition and structural complexity of the species in the recipient community.")</f>
        <v>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v>
      </c>
      <c r="C790" s="24" t="str">
        <f>IFERROR(__xludf.DUMMYFUNCTION("""COMPUTED_VALUE"""),"10.1007/s00227-005-0128-9")</f>
        <v>10.1007/s00227-005-0128-9</v>
      </c>
      <c r="D790" s="24" t="str">
        <f>IFERROR(__xludf.DUMMYFUNCTION("""COMPUTED_VALUE"""),"Keck et al")</f>
        <v>Keck et al</v>
      </c>
      <c r="E790" s="24" t="str">
        <f>IFERROR(__xludf.DUMMYFUNCTION("""COMPUTED_VALUE"""),"WOS:000235058600005")</f>
        <v>WOS:000235058600005</v>
      </c>
      <c r="F790" s="24" t="str">
        <f>IFERROR(__xludf.DUMMYFUNCTION("""COMPUTED_VALUE"""),"[""ELIGIBLE""]")</f>
        <v>["ELIGIBLE"]</v>
      </c>
    </row>
    <row r="791">
      <c r="A791" s="24" t="str">
        <f>IFERROR(__xludf.DUMMYFUNCTION("""COMPUTED_VALUE"""),"Epiphytic Cryptogams as Bioindicators of Air Quality in a Tropical Andean City")</f>
        <v>Epiphytic Cryptogams as Bioindicators of Air Quality in a Tropical Andean City</v>
      </c>
      <c r="B791" s="24" t="str">
        <f>IFERROR(__xludf.DUMMYFUNCTION("""COMPUTED_VALUE"""),"Air pollution is one of the main environmental problems in developed and developing countries. Epiphytic cryptogams (bryophytes and lichens) are proposed as a reliable indicator to detect environmental changes, given to their sensitivity to pollutants. In"&amp;" this study we evaluated air quality in the city of Ambato using bryophytes and epiphytic lichens on three land uses (urban, peri-urban and control). In each zone we selected ten trees (a total of 90 trees) for each station (a total of nine stations), whe"&amp;"re we recorded the frequency and cover of epiphytic cryptogams in a quadrat of 10 x 50 cm that was divided into 5 x 5 cm squares. Differences in richness, index of atmospheric purity (IAP) and diversity were analyzed using a generalized linear model (GLM)"&amp;" and changes in species composition using multivariate analysis. We recorded 39 species of cryptogams (25 lichens and 14 bryophytes). Richness, diversity and index of atmospheric purity were higher in the control zone compared to the urbanized zones. Comm"&amp;"unity composition changed between the different zones, with increasing differences between the control and urban zones. The urban areas of the city of Ambato were identified with high levels of air pollution due to their lower diversity related to higher "&amp;"vehicular traffic and industrial activities (e.g., footwear and textile factories, tanneries). Thus, epiphytic cryptogams are a fast and low-cost method for air quality assessment in tropical areas.")</f>
        <v>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v>
      </c>
      <c r="C791" s="24" t="str">
        <f>IFERROR(__xludf.DUMMYFUNCTION("""COMPUTED_VALUE"""),"10.3390/su132011218")</f>
        <v>10.3390/su132011218</v>
      </c>
      <c r="D791" s="24" t="str">
        <f>IFERROR(__xludf.DUMMYFUNCTION("""COMPUTED_VALUE"""),"Keck et al")</f>
        <v>Keck et al</v>
      </c>
      <c r="E791" s="24" t="str">
        <f>IFERROR(__xludf.DUMMYFUNCTION("""COMPUTED_VALUE"""),"WOS:000712637400001")</f>
        <v>WOS:000712637400001</v>
      </c>
      <c r="F791" s="24" t="str">
        <f>IFERROR(__xludf.DUMMYFUNCTION("""COMPUTED_VALUE"""),"[""ELIGIBLE""]")</f>
        <v>["ELIGIBLE"]</v>
      </c>
    </row>
    <row r="792">
      <c r="A792" s="24" t="str">
        <f>IFERROR(__xludf.DUMMYFUNCTION("""COMPUTED_VALUE"""),"Successional changes of microalgae community in response to commercial probiotics in the intensive shrimp (Litopenaeus vannamei Boone) culture systems")</f>
        <v>Successional changes of microalgae community in response to commercial probiotics in the intensive shrimp (Litopenaeus vannamei Boone) culture systems</v>
      </c>
      <c r="B792" s="24" t="str">
        <f>IFERROR(__xludf.DUMMYFUNCTION("""COMPUTED_VALUE"""),"Probiotics with antimicrobial properties can be used to regulate the microflora, control the pathogenic algae, and improve the mineralization of organic substances in the aquaculture environment. However, the efficacy of the probiotics on the succession o"&amp;"f microalgae in the shrimp (Litopenaeus vannamei Boone) culture remains inadequate. A field experiment in mesocosm was performed to explore the impacts of probiotics on the succession of microalgae and nutrient enrichment of the shrimp culture systems. Th"&amp;"e enormous changes in the microalgae community structure (MCSs) was significantly influenced by probiotic colonization. Probiotics shifted MCSs into three seral phases and their sequential replacements of the dominant taxa were identified by cluster analy"&amp;"sis. Moreover, each seral stage of the keystone species turnover in MCSs represents distinguished ecological functions. At the final seral stage probiotics significantly constrained the succession of the most competitive species of Cyanobacteria (Oscillat"&amp;"oria and Anabaena) which was disagreed with the normal seral stage. Similarly, the probiotics increased and maintained the sequel of the nutritional value of Nannochloropsis and Chlorella from Chlorophyta and Oocystics and Navicula from the Bacillariophyt"&amp;"a. Furthermore, the probiotic-based ponds had a higher shrimp survival rate compared to the control. Nutrients concentration of nitrite (NO2-) and nitrate (NO3-) were lower in treatments than in the control. Consequently, chemical oxygen demand (COD), nit"&amp;"rite (NO2-), water temperature (WT), total ammonium nitrogen (TAN) and dissolved oxygen (DO) were strongly explanatory variables controlled the sequel of MCSs. These findings imply that the probiotics have potential in the succession, redistribution of be"&amp;"neficial microalgae, inhibit the growth of harmful Cyanobacteria and sustain the MCSs stability in shrimp aquaculture activities.")</f>
        <v>Probiotics with antimicrobial properties can be used to regulate the microflora, control the pathogenic algae, and improve the mineralization of organic substances in the aquaculture environment. However, the efficacy of the probiotics on the succession of microalgae in the shrimp (Litopenaeus vannamei Boone) culture remains inadequate. A field experiment in mesocosm was performed to explore the impacts of probiotics on the succession of microalgae and nutrient enrichment of the shrimp culture systems. The enormous changes in the microalgae community structure (MCSs) was significantly influenced by probiotic colonization. Probiotics shifted MCSs into three seral phases and their sequential replacements of the dominant taxa were identified by cluster analysis. Moreover, each seral stage of the keystone species turnover in MCSs represents distinguished ecological functions. At the final seral stage probiotics significantly constrained the succession of the most competitive species of Cyanobacteria (Oscillatoria and Anabaena) which was disagreed with the normal seral stage. Similarly, the probiotics increased and maintained the sequel of the nutritional value of Nannochloropsis and Chlorella from Chlorophyta and Oocystics and Navicula from the Bacillariophyta. Furthermore, the probiotic-based ponds had a higher shrimp survival rate compared to the control. Nutrients concentration of nitrite (NO2-) and nitrate (NO3-) were lower in treatments than in the control. Consequently, chemical oxygen demand (COD), nitrite (NO2-), water temperature (WT), total ammonium nitrogen (TAN) and dissolved oxygen (DO) were strongly explanatory variables controlled the sequel of MCSs. These findings imply that the probiotics have potential in the succession, redistribution of beneficial microalgae, inhibit the growth of harmful Cyanobacteria and sustain the MCSs stability in shrimp aquaculture activities.</v>
      </c>
      <c r="C792" s="24" t="str">
        <f>IFERROR(__xludf.DUMMYFUNCTION("""COMPUTED_VALUE"""),"10.1016/j.aquaculture.2019.734257")</f>
        <v>10.1016/j.aquaculture.2019.734257</v>
      </c>
      <c r="D792" s="24" t="str">
        <f>IFERROR(__xludf.DUMMYFUNCTION("""COMPUTED_VALUE"""),"Keck et al")</f>
        <v>Keck et al</v>
      </c>
      <c r="E792" s="24" t="str">
        <f>IFERROR(__xludf.DUMMYFUNCTION("""COMPUTED_VALUE"""),"WOS:000480233600076")</f>
        <v>WOS:000480233600076</v>
      </c>
      <c r="F792" s="24" t="str">
        <f>IFERROR(__xludf.DUMMYFUNCTION("""COMPUTED_VALUE"""),"[""ELIGIBLE""]")</f>
        <v>["ELIGIBLE"]</v>
      </c>
    </row>
    <row r="793">
      <c r="A793" s="24" t="str">
        <f>IFERROR(__xludf.DUMMYFUNCTION("""COMPUTED_VALUE"""),"Compounding Effects of Agricultural Land Use and Water Use in Free-Flowing Rivers: Confounding Issues for Environmental Flows")</f>
        <v>Compounding Effects of Agricultural Land Use and Water Use in Free-Flowing Rivers: Confounding Issues for Environmental Flows</v>
      </c>
      <c r="B793" s="24" t="str">
        <f>IFERROR(__xludf.DUMMYFUNCTION("""COMPUTED_VALUE"""),"Defining the ecological impacts of water extraction from free-flowing river systems in altered landscapes is challenging as multiple stressors (e.g., flow regime alteration, increased sedimentation) may have simultaneous effects and attributing causality "&amp;"is problematic. This multiple-stressor context has been acknowledged in environmental flows science, but is often neglected when it comes to examining flow-ecology relationships, and setting and implementing environmental flows. We examined the impacts of"&amp;" land and water use on rivers in the upper Ringarooma River catchment in Tasmania (south-east Australia), which contains intensively irrigated agriculture, to support implementation of a water management plan. Temporal and spatial and trends in river cond"&amp;"ition were assessed using benthic macroinvertebrates as bioindicators. Relationships between macroinvertebrate community structure and environmental variables were examined using univariate and multivariate analyses, focusing on the impacts of agricultura"&amp;"l land use and water use. Structural changes in macroinvertebrate communities in rivers in the catchment indicated temporal and spatial declines in the ecological condition of some stretches of river associated with agricultural land and water use. Moreov"&amp;"er, water extraction appeared to exacerbate impairment associated with agricultural land use (e.g., reduced macroinvertebrate density, more flow-avoiding taxa). The findings of our catchment-specific bioassessments will underpin decision-making during the"&amp;" implementation of the Ringarooma water management plan, and highlight the need to consider compounding impacts of land and water use in environmental flows and water planning in agricultural landscapes.")</f>
        <v>Defining the ecological impacts of water extraction from free-flowing river systems in altered landscapes is challenging as multiple stressors (e.g., flow regime alteration, increased sedimentation) may have simultaneous effects and attributing causality is problematic. This multiple-stressor context has been acknowledged in environmental flows science, but is often neglected when it comes to examining flow-ecology relationships, and setting and implementing environmental flows. We examined the impacts of land and water use on rivers in the upper Ringarooma River catchment in Tasmania (south-east Australia), which contains intensively irrigated agriculture, to support implementation of a water management plan. Temporal and spatial and trends in river condition were assessed using benthic macroinvertebrates as bioindicators. Relationships between macroinvertebrate community structure and environmental variables were examined using univariate and multivariate analyses, focusing on the impacts of agricultural land use and water use. Structural changes in macroinvertebrate communities in rivers in the catchment indicated temporal and spatial declines in the ecological condition of some stretches of river associated with agricultural land and water use. Moreover, water extraction appeared to exacerbate impairment associated with agricultural land use (e.g., reduced macroinvertebrate density, more flow-avoiding taxa). The findings of our catchment-specific bioassessments will underpin decision-making during the implementation of the Ringarooma water management plan, and highlight the need to consider compounding impacts of land and water use in environmental flows and water planning in agricultural landscapes.</v>
      </c>
      <c r="C793" s="24" t="str">
        <f>IFERROR(__xludf.DUMMYFUNCTION("""COMPUTED_VALUE"""),"10.1007/s00267-017-0836-1")</f>
        <v>10.1007/s00267-017-0836-1</v>
      </c>
      <c r="D793" s="24" t="str">
        <f>IFERROR(__xludf.DUMMYFUNCTION("""COMPUTED_VALUE"""),"Keck et al")</f>
        <v>Keck et al</v>
      </c>
      <c r="E793" s="24" t="str">
        <f>IFERROR(__xludf.DUMMYFUNCTION("""COMPUTED_VALUE"""),"WOS:000426092300008")</f>
        <v>WOS:000426092300008</v>
      </c>
      <c r="F793" s="24" t="str">
        <f>IFERROR(__xludf.DUMMYFUNCTION("""COMPUTED_VALUE"""),"[""ELIGIBLE""]")</f>
        <v>["ELIGIBLE"]</v>
      </c>
    </row>
    <row r="794">
      <c r="A794" s="24" t="str">
        <f>IFERROR(__xludf.DUMMYFUNCTION("""COMPUTED_VALUE"""),"Profiling of bacterial assemblages in the marine cage farm environment, with implications on fish, human and ecosystem health")</f>
        <v>Profiling of bacterial assemblages in the marine cage farm environment, with implications on fish, human and ecosystem health</v>
      </c>
      <c r="B794" s="24" t="str">
        <f>IFERROR(__xludf.DUMMYFUNCTION("""COMPUTED_VALUE"""),"This research presents a comprehensive study of bacterial assemblages within the water column and in the surface sediments in the zone of two European sea bass cage farms. By the application of the high-throughput amplicon sequencing of 16S rRNA gene, and"&amp;" further implementing microbial ecology tools, a bacterial segment from cage culturing systems and their respective controls were analyzed, with special reference to potential impact on animal, human and environmental health. Samples of seawater and sedim"&amp;"ents were collected seasonally, at locations situated in the central and southern Adriatic Sea. Bacterial composition was significantly different in the seawater vs. sediment. No significant differences in alpha diversity in sediments were indicated betwe"&amp;"en aquaculture and control sites, and it appears that it is not affected by farming practices. Control sediments have higher relative abundance of aerobic and facultative anaerobic bacteria, while aquaculture sediments are markedly anaerobic. Sediments la"&amp;"rgely contain functional groups for respiration of sulfate and sulfur compounds, though doubly more in aquaculture sites. Seasonal groupings of bacterial assemblages were confirmed in the seawater, with higher relative abundance of known aquaculture patho"&amp;"gens (except Photobacterium in the winter samples) detected in the winter and summer, opposed to other two seasons. Rare taxa were analyzed in the sediment and in the water column in the search for known fish pathogens, with five genera detected: Vibrio, "&amp;"Pseudomonas, Photobacterium, Tenacibaculum and Mycobacterium. Biomarkers important for the impact of aquaculture on the environment were identified, e.g. Blastopirullela, Sva0081, Suflurovum, Spirochaeta 2, etc., as well as human and fish potential pathog"&amp;"ens: Vibrio ichtyoentery, V. harvey, Acinetobacter lwoffi, A. johnsonii, Clostridium perfringens, etc. Chemoheterotrophy has emerged as the dominant functional group in both environments. Regarding priorities for aquaculture microbial management, seawater"&amp;" seems to contain a higher percentage of taxa connected to health-related functional groups.")</f>
        <v>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v>
      </c>
      <c r="C794" s="24" t="str">
        <f>IFERROR(__xludf.DUMMYFUNCTION("""COMPUTED_VALUE"""),"10.1016/j.ecolind.2020.106785")</f>
        <v>10.1016/j.ecolind.2020.106785</v>
      </c>
      <c r="D794" s="24" t="str">
        <f>IFERROR(__xludf.DUMMYFUNCTION("""COMPUTED_VALUE"""),"Keck et al")</f>
        <v>Keck et al</v>
      </c>
      <c r="E794" s="24" t="str">
        <f>IFERROR(__xludf.DUMMYFUNCTION("""COMPUTED_VALUE"""),"WOS:000578967500066")</f>
        <v>WOS:000578967500066</v>
      </c>
      <c r="F794" s="24" t="str">
        <f>IFERROR(__xludf.DUMMYFUNCTION("""COMPUTED_VALUE"""),"[""ELIGIBLE""]")</f>
        <v>["ELIGIBLE"]</v>
      </c>
    </row>
    <row r="795">
      <c r="A795" s="24" t="str">
        <f>IFERROR(__xludf.DUMMYFUNCTION("""COMPUTED_VALUE"""),"Instability of insular tree communities in an Amazonian mega-dam is driven by impaired recruitment and altered species composition")</f>
        <v>Instability of insular tree communities in an Amazonian mega-dam is driven by impaired recruitment and altered species composition</v>
      </c>
      <c r="B795" s="24" t="str">
        <f>IFERROR(__xludf.DUMMYFUNCTION("""COMPUTED_VALUE"""),"Mega-dams create highly fragmented archipelagos, affecting biodiversity and ecosystem functioning in remnant forest isolates. This study assessed the long-term impact of dam-induced fragmentation on insular tropical tree communities, with the aim of gener"&amp;"ating robust recommendations to mitigate some of the detrimental biodiversity impacts associated with future dam development. We inventoried adult and sapling trees across 89 permanent plots, located on 36 islands and in three mainland continuous forest s"&amp;"ites in the Balbina Dam, Brazilian Amazon. We examined differences in recruitment, structure, and composition of sapling and adult tree communities, in relation to plot-, patch- and landscape-scale attributes including area, isolation, and fire severity. "&amp;"Islands harboured significantly lower sapling (mean +/- 95% CI 48.6 +/- 3.8) and adult (5 +/- 0.2) tree densities per 0.01 ha, than nearby mainland continuous forest (saplings, 65.7 +/- 7.5; adults, 5.6 +/- 0.3). Insular sapling and adult tree communities"&amp;" were more dissimilar than in mainland sites, and species compositions showed a directional shift away from mainland forests, induced by fire severity, island area, and isolation. Insular sapling recruitment declined with increasing fire severity; tree co"&amp;"mmunities with higher community-weighted mean wood density showed the greatest recruitment declines. Our results suggest that insular tree communities are unstable, with rare species becoming extinction-prone due to reduced tree recruitment and density on"&amp;" islands, potentially leading to future losses in biodiversity and ecosystem functioning across Balbina's &gt;3,500 reservoir islands. Policy implications. In Balbina, fire and reduced habitat area and connectivity were drivers of tree community decay after "&amp;"only 28 years of insularization, despite strict protection provided by the similar to 940,000 ha Uatuma Biological Reserve. Given that many dams are planned for lowland, moderately undulating Amazonia, we recommend that dam development strategy explicitly"&amp;" considers (a) dam location, aiming to minimize creation of small (&lt;10 ha) and isolated islands, (b) maintaining reservoir water levels during droughts to reduce fire risk, and (c) including aggregate island area in environmental impact and offset calcula"&amp;"tions. Ideally, we recommend that alternatives to hydropower be sought in lowland tropical regions, due to the far-reaching biodiversity losses and ecosystem disruption caused by river impoundment.")</f>
        <v>Mega-dams create highly fragmented archipelagos, affecting biodiversity and ecosystem functioning in remnant forest isolates. This study assessed the long-term impact of dam-induced fragmentation on insular tropical tree communities, with the aim of generating robust recommendations to mitigate some of the detrimental biodiversity impacts associated with future dam development. We inventoried adult and sapling trees across 89 permanent plots, located on 36 islands and in three mainland continuous forest sites in the Balbina Dam, Brazilian Amazon. We examined differences in recruitment, structure, and composition of sapling and adult tree communities, in relation to plot-, patch- and landscape-scale attributes including area, isolation, and fire severity. Islands harboured significantly lower sapling (mean +/- 95% CI 48.6 +/- 3.8) and adult (5 +/- 0.2) tree densities per 0.01 ha, than nearby mainland continuous forest (saplings, 65.7 +/- 7.5; adults, 5.6 +/- 0.3). Insular sapling and adult tree communities were more dissimilar than in mainland sites, and species compositions showed a directional shift away from mainland forests, induced by fire severity, island area, and isolation. Insular sapling recruitment declined with increasing fire severity; tree communities with higher community-weighted mean wood density showed the greatest recruitment declines. Our results suggest that insular tree communities are unstable, with rare species becoming extinction-prone due to reduced tree recruitment and density on islands, potentially leading to future losses in biodiversity and ecosystem functioning across Balbina's &gt;3,500 reservoir islands. Policy implications. In Balbina, fire and reduced habitat area and connectivity were drivers of tree community decay after only 28 years of insularization, despite strict protection provided by the similar to 940,000 ha Uatuma Biological Reserve. Given that many dams are planned for lowland, moderately undulating Amazonia, we recommend that dam development strategy explicitly considers (a) dam location, aiming to minimize creation of small (&lt;10 ha) and isolated islands, (b) maintaining reservoir water levels during droughts to reduce fire risk, and (c) including aggregate island area in environmental impact and offset calculations. Ideally, we recommend that alternatives to hydropower be sought in lowland tropical regions, due to the far-reaching biodiversity losses and ecosystem disruption caused by river impoundment.</v>
      </c>
      <c r="C795" s="24" t="str">
        <f>IFERROR(__xludf.DUMMYFUNCTION("""COMPUTED_VALUE"""),"10.1111/1365-2664.13313")</f>
        <v>10.1111/1365-2664.13313</v>
      </c>
      <c r="D795" s="24" t="str">
        <f>IFERROR(__xludf.DUMMYFUNCTION("""COMPUTED_VALUE"""),"Keck et al")</f>
        <v>Keck et al</v>
      </c>
      <c r="E795" s="24" t="str">
        <f>IFERROR(__xludf.DUMMYFUNCTION("""COMPUTED_VALUE"""),"WOS:000459941400027")</f>
        <v>WOS:000459941400027</v>
      </c>
      <c r="F795" s="24" t="str">
        <f>IFERROR(__xludf.DUMMYFUNCTION("""COMPUTED_VALUE"""),"[""ELIGIBLE""]")</f>
        <v>["ELIGIBLE"]</v>
      </c>
    </row>
    <row r="796">
      <c r="A796" s="24" t="str">
        <f>IFERROR(__xludf.DUMMYFUNCTION("""COMPUTED_VALUE"""),"Persistent contaminants as potential constraints on the recovery of urban river food webs from gross pollution")</f>
        <v>Persistent contaminants as potential constraints on the recovery of urban river food webs from gross pollution</v>
      </c>
      <c r="B796" s="24" t="str">
        <f>IFERROR(__xludf.DUMMYFUNCTION("""COMPUTED_VALUE"""),"Urban areas contribute substantially to xenobiotic contaminant loads in rivers, but their effects have been investigated more for individual organisms and sensitive taxa, rather than through the emergent properties of communities. Here, we use replicated,"&amp;" catchment-scale sampling of benthic invertebrates and novel multivariate techniques to assess whether urban wastewater contaminants affected the structure and function of river food webs. We postulated that the continued occurrence of selected contaminan"&amp;"ts in river systems might explain the incomplete recovery of urban rivers from legacy gross pollution. Benthic invertebrate communities were sampled monthly over a year (2016-2017) at 18 sites across 3 river systems in South Wales (United Kingdom). Contam"&amp;"inant sources were characterised using remote sensing, water quality data from routine monitoring and measured concentrations of selected persistent xenobiotic pollutants (polychlorinated biphenyls and polybrominated diphenyl ethers). Urban wastewater dis"&amp;"charges had relatively limited effects on river water quality, with small increases in nitrate, phosphate, temperature, conductivity and total dissolved solids in urban systems. Concentrations of polychlorinated biphenyls and polybrominated diphenyl ether"&amp;"s in invertebrates, however, were significantly higher under greater urban land cover and wastewater discharge. Food webs at the most highly contaminated urban sites were characterised by: (i) reduced taxonomic and functional diversity; (ii) simplified fo"&amp;"od web structure with reduced network connectance; and (iii) reductions in the abundance of prey important for apex predators such as the Eurasian dipper (Cinclus cinclus). Although correlative and partially confounded by other effects, these data provide"&amp;" support for the hypothesis that impairment to food webs resulting from urban pollutants might explain population, community and ecosystem-level effects in urban river systems, and hence incomplete recovery from past pollution. (C) 2019 The Authors. Publi"&amp;"shed by Elsevier Ltd.")</f>
        <v>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v>
      </c>
      <c r="C796" s="24" t="str">
        <f>IFERROR(__xludf.DUMMYFUNCTION("""COMPUTED_VALUE"""),"10.1016/j.watres.2019.114858")</f>
        <v>10.1016/j.watres.2019.114858</v>
      </c>
      <c r="D796" s="24" t="str">
        <f>IFERROR(__xludf.DUMMYFUNCTION("""COMPUTED_VALUE"""),"Keck et al")</f>
        <v>Keck et al</v>
      </c>
      <c r="E796" s="24" t="str">
        <f>IFERROR(__xludf.DUMMYFUNCTION("""COMPUTED_VALUE"""),"WOS:000483006400009")</f>
        <v>WOS:000483006400009</v>
      </c>
      <c r="F796" s="24" t="str">
        <f>IFERROR(__xludf.DUMMYFUNCTION("""COMPUTED_VALUE"""),"[""ELIGIBLE""]")</f>
        <v>["ELIGIBLE"]</v>
      </c>
    </row>
    <row r="797">
      <c r="A797" s="24" t="str">
        <f>IFERROR(__xludf.DUMMYFUNCTION("""COMPUTED_VALUE"""),"Diuron environmental levels effects on marine nematodes: Assessment of ecological indices, taxonomic diversity, and functional traits")</f>
        <v>Diuron environmental levels effects on marine nematodes: Assessment of ecological indices, taxonomic diversity, and functional traits</v>
      </c>
      <c r="B797" s="24" t="str">
        <f>IFERROR(__xludf.DUMMYFUNCTION("""COMPUTED_VALUE"""),"Coastal marine systems are the most sensitive zones to emerging pollutants. The present study aims to investigate the effect of Diuron on the meiofaunal assemblages, collected from the Bizerte channel (Tunisia). Microcosm experiments were set up using fou"&amp;"r increasing Diuron concentrations [D1 (10 ng g-1 dry weight (DW)), D2 (50 ng g-1 DW), D3 (250 ng g-1 DW) and (1250 ng g-1 DW)] compared to non-contaminated sediments (controls) and all plots were incubated for 30 days. Our results show that Diuron-supple"&amp;"mented sediments provoked the significant decrease of meiofaunal abundance as well as a change in nematodes' diversity and structure composition. All univariate indices, as well as the cumulative k-dominance, were lower in the Diuron than the control plot"&amp;". Additionally, the ordination of treatments according to the two-dimensional nMDS plots analysis showed a clear structural separation of the Diuron treated replicates from the controls based on the functional groups lists. These current data emphasize th"&amp;"e utility of the use of biological traits in the detection of disturbances in the aquatic biotope.")</f>
        <v>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v>
      </c>
      <c r="C797" s="24" t="str">
        <f>IFERROR(__xludf.DUMMYFUNCTION("""COMPUTED_VALUE"""),"10.1016/j.chemosphere.2021.132262")</f>
        <v>10.1016/j.chemosphere.2021.132262</v>
      </c>
      <c r="D797" s="24" t="str">
        <f>IFERROR(__xludf.DUMMYFUNCTION("""COMPUTED_VALUE"""),"Keck et al")</f>
        <v>Keck et al</v>
      </c>
      <c r="E797" s="24" t="str">
        <f>IFERROR(__xludf.DUMMYFUNCTION("""COMPUTED_VALUE"""),"WOS:000704969600011")</f>
        <v>WOS:000704969600011</v>
      </c>
      <c r="F797" s="24" t="str">
        <f>IFERROR(__xludf.DUMMYFUNCTION("""COMPUTED_VALUE"""),"[""ELIGIBLE""]")</f>
        <v>["ELIGIBLE"]</v>
      </c>
    </row>
    <row r="798">
      <c r="A798" s="24" t="str">
        <f>IFERROR(__xludf.DUMMYFUNCTION("""COMPUTED_VALUE"""),"Quantifying acceptable levels of visitor use on Red Sea reef flats")</f>
        <v>Quantifying acceptable levels of visitor use on Red Sea reef flats</v>
      </c>
      <c r="B798" s="24" t="str">
        <f>IFERROR(__xludf.DUMMYFUNCTION("""COMPUTED_VALUE"""),"1. The effects of trampling by visitors walking over the reef flat to snorkel or swim along the reef edge were studied at Ras Um Sidd. a popular fringing reef site at Sharm El Sheikh, and in the Ras Mohammed National Park, South Sinai, Egypt. Twelve stati"&amp;"ons showed a sequences of events linked to increased frequency and extent of trampling. with the intensities of trampling ranging from 0.1 to 324 tramplers m(-2) yr(-1). 2. Heavily trampled stations had a reduced coral cover (in particular branching coral"&amp;"s), higher amounts coral damage. less old dead coral. less obligate corallivorous fishes and more herbivores. 3. Wave exposure was crucial in determining of coral communities to trampling. Exposed communities were dominated by branching corals and were me"&amp;"chanically more resistant. since wave stress had favoured stockier growth forms. 4. The applicability of the carrying capacity concept. was investigated as a management tool for determining how much use is sustainable. Examination of the relationship betw"&amp;"een hard coral cover and intensity of trampling suggested that carrying capacity could be set at approximately 50 tramplers m(-2) yr(-1). The actual amount of damage caused by trampling showed a linear increase with increasing trampling intensities. so th"&amp;"at the carrying capacity concept, as defined in this study, Was not applicable to the relationship since no threshold existed. Instead. the 'limits of acceptable change' approach would]cl be more practicable, with managers deciding, what amount Of coral d"&amp;"amage they permit before limiting access. To establish meaningful limits Of change, more knowledge is required ecological as well as social consequences (e.g. visitor satisfaction) of such limits. Copyright (C) 2007 John Wiley &amp; Sons, Ltd.")</f>
        <v>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v>
      </c>
      <c r="C798" s="24" t="str">
        <f>IFERROR(__xludf.DUMMYFUNCTION("""COMPUTED_VALUE"""),"10.1002/aqc.870")</f>
        <v>10.1002/aqc.870</v>
      </c>
      <c r="D798" s="24" t="str">
        <f>IFERROR(__xludf.DUMMYFUNCTION("""COMPUTED_VALUE"""),"Keck et al")</f>
        <v>Keck et al</v>
      </c>
      <c r="E798" s="24" t="str">
        <f>IFERROR(__xludf.DUMMYFUNCTION("""COMPUTED_VALUE"""),"WOS:000259544200012")</f>
        <v>WOS:000259544200012</v>
      </c>
      <c r="F798" s="24" t="str">
        <f>IFERROR(__xludf.DUMMYFUNCTION("""COMPUTED_VALUE"""),"[""ELIGIBLE""]")</f>
        <v>["ELIGIBLE"]</v>
      </c>
    </row>
    <row r="799">
      <c r="A799" s="24" t="str">
        <f>IFERROR(__xludf.DUMMYFUNCTION("""COMPUTED_VALUE"""),"Effective methods for assessing ecological quality in intertidal soft-sediment habitats")</f>
        <v>Effective methods for assessing ecological quality in intertidal soft-sediment habitats</v>
      </c>
      <c r="B799" s="24" t="str">
        <f>IFERROR(__xludf.DUMMYFUNCTION("""COMPUTED_VALUE"""),"Impacts of anthropogenic pollution on marine ecosystems are being addressed by legislation to protect and restore coastal and transitional waters. A range of biological measures have been investigated for their ability to indicate anthropogenic disturbanc"&amp;"e in subtidal soft-sediment habitats, but little work to date has focussed in intertidal habitats. This study investigated the sensitivity of communities, individual taxa, diversity indices and biotic indices to nutrient and organic enrichment in intertid"&amp;"al soft-sediment habitats. Variation in macrofaunal communities was more strongly associated with anthropogenic stressors than with natural environmental variation. Two multimetric indices, M-AMBI and IQI, were more closely associated with nutrient and or"&amp;"ganic pollution than the AMBI and ITI indices. Intertidal monitoring based on existing monitoring tools offers a cost effective alternative to subtidal monitoring and has potential to form the basis for an ecosystem level approach. (C) 2010 Elsevier Ltd. "&amp;"All rights reserved.")</f>
        <v>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v>
      </c>
      <c r="C799" s="24" t="str">
        <f>IFERROR(__xludf.DUMMYFUNCTION("""COMPUTED_VALUE"""),"10.1016/j.marpolbul.2010.06.027")</f>
        <v>10.1016/j.marpolbul.2010.06.027</v>
      </c>
      <c r="D799" s="24" t="str">
        <f>IFERROR(__xludf.DUMMYFUNCTION("""COMPUTED_VALUE"""),"Keck et al")</f>
        <v>Keck et al</v>
      </c>
      <c r="E799" s="24" t="str">
        <f>IFERROR(__xludf.DUMMYFUNCTION("""COMPUTED_VALUE"""),"WOS:000283899500013")</f>
        <v>WOS:000283899500013</v>
      </c>
      <c r="F799" s="24" t="str">
        <f>IFERROR(__xludf.DUMMYFUNCTION("""COMPUTED_VALUE"""),"[""ELIGIBLE""]")</f>
        <v>["ELIGIBLE"]</v>
      </c>
    </row>
    <row r="800">
      <c r="A800" s="24" t="str">
        <f>IFERROR(__xludf.DUMMYFUNCTION("""COMPUTED_VALUE"""),"Triclosan Alters Microbial Communities in Freshwater Microcosms")</f>
        <v>Triclosan Alters Microbial Communities in Freshwater Microcosms</v>
      </c>
      <c r="B800" s="24" t="str">
        <f>IFERROR(__xludf.DUMMYFUNCTION("""COMPUTED_VALUE"""),"The effect of triclosan on microbial communities that are found in soil and sediments is well documented. However, little is known regarding the possible effects of triclosan on microbial communities that are present in the column of freshwater streams as"&amp;" the antimicrobial is released from sediments or from water sewage outflow. We show that a concentration of triclosan as low as 1 ng/L decreases richness and evenness in freshwater microbial communities growing in the water column while using controlled e"&amp;"xperimental microcosms. Crucially, the decrease in evenness that was observed in the microbial communities was due to the selection of bacteria commonly associated with human activity, such as Acinetobacter, Pseudomonas, and Rhodobacter, as opposed to an "&amp;"increase in Cyanobacteria, as previously suggested. Finally, our results demonstrate that higher concentrations of triclosan comparable to heavily polluted environments can also impact the overall phylogenetic structure and community composition of microb"&amp;"ial communities. Understanding the impact of triclosan on these microbial populations is crucial from a public health perspective as human populations are more often exposed to microbial communities that are present in the water column via recreative use.")</f>
        <v>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v>
      </c>
      <c r="C800" s="24" t="str">
        <f>IFERROR(__xludf.DUMMYFUNCTION("""COMPUTED_VALUE"""),"10.3390/w11050961")</f>
        <v>10.3390/w11050961</v>
      </c>
      <c r="D800" s="24" t="str">
        <f>IFERROR(__xludf.DUMMYFUNCTION("""COMPUTED_VALUE"""),"Keck et al")</f>
        <v>Keck et al</v>
      </c>
      <c r="E800" s="24" t="str">
        <f>IFERROR(__xludf.DUMMYFUNCTION("""COMPUTED_VALUE"""),"WOS:000472680400091")</f>
        <v>WOS:000472680400091</v>
      </c>
      <c r="F800" s="24" t="str">
        <f>IFERROR(__xludf.DUMMYFUNCTION("""COMPUTED_VALUE"""),"[""ELIGIBLE""]")</f>
        <v>["ELIGIBLE"]</v>
      </c>
    </row>
    <row r="801">
      <c r="A801" s="24" t="str">
        <f>IFERROR(__xludf.DUMMYFUNCTION("""COMPUTED_VALUE"""),"Influence of tuna penning activities on soft bottom macrobenthic assemblages")</f>
        <v>Influence of tuna penning activities on soft bottom macrobenthic assemblages</v>
      </c>
      <c r="B801" s="24" t="str">
        <f>IFERROR(__xludf.DUMMYFUNCTION("""COMPUTED_VALUE"""),"The influence of tuna penning on soft bottom habitat present in the vicinity of tuna pens and at distances 200 m and 1.5 km away, was assessed by comparing attributes of macroinvertebrate assemblages and sediment quality before (November 2000, March 2001)"&amp;" and after (November 2001, April 2002) initiation of the activity. Results from November 2001 indicated a significant increase in sediment organic carbon and organic nitrogen, and a non-significant increase in the abundance of Capitellidae in the vicinity"&amp;" of the cages. Similar results were obtained 200 m from the cages but not 1.5 km away, where the only change was a significant increase in organic nitrogen in sediment. Results from April 2002 indicated no significant change in sediment organic carbon and"&amp;" organic nitrogen, however, mean sediment grain size decreased significantly in the immediate vicinity of the cages. Changes in attributes of the benthic assemblages and sediment resulted from accumulation of uneaten feed-fish on the seabed. (C) 2013 Else"&amp;"vier Ltd. All rights reserved.")</f>
        <v>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v>
      </c>
      <c r="C801" s="24" t="str">
        <f>IFERROR(__xludf.DUMMYFUNCTION("""COMPUTED_VALUE"""),"10.1016/j.marpolbul.2013.12.021")</f>
        <v>10.1016/j.marpolbul.2013.12.021</v>
      </c>
      <c r="D801" s="24" t="str">
        <f>IFERROR(__xludf.DUMMYFUNCTION("""COMPUTED_VALUE"""),"Keck et al")</f>
        <v>Keck et al</v>
      </c>
      <c r="E801" s="24" t="str">
        <f>IFERROR(__xludf.DUMMYFUNCTION("""COMPUTED_VALUE"""),"WOS:000332436300033")</f>
        <v>WOS:000332436300033</v>
      </c>
      <c r="F801" s="24" t="str">
        <f>IFERROR(__xludf.DUMMYFUNCTION("""COMPUTED_VALUE"""),"[""ELIGIBLE""]")</f>
        <v>["ELIGIBLE"]</v>
      </c>
    </row>
    <row r="802">
      <c r="A802" s="24" t="str">
        <f>IFERROR(__xludf.DUMMYFUNCTION("""COMPUTED_VALUE"""),"Geology and Topography Effects on Exotic Plant Distribution in a Semi-arid Mima Mound Prairie in Eastern Washington")</f>
        <v>Geology and Topography Effects on Exotic Plant Distribution in a Semi-arid Mima Mound Prairie in Eastern Washington</v>
      </c>
      <c r="B802" s="24" t="str">
        <f>IFERROR(__xludf.DUMMYFUNCTION("""COMPUTED_VALUE"""),"Native prairie plant communities are among the most endangered habitats due to extensive agricultural use and exotic species invasion. Understanding how species composition, particularly of exotic species, varies with environment is essential for manageme"&amp;"nt and preservation of these communities. In semi-arid prairies, plant establishment is often heterogeneous across the landscape and depends on the patchy availability of resources across environmental gradients. We studied how soil geologic substrate, to"&amp;"pography, and grazing history relate to patterns of native and exotic plant distribution in a semi-arid Mima mound prairie in eastern Washington. We analyzed the relationship between native and exotic species richness and abundance on 61 Mima mounds in a "&amp;"prairie underlain by two types of soil geologic substrate (glacial alluvium and basalt) where half of each had been grazed recently. We found that exotic species richness and cover were lowest and native species cover was highest on mounds underlain by ba"&amp;"salt bedrock that had experienced recent grazing; on sites underlain by glacial alluvium there was little difference between more and less recently grazed mounds. Moreover, we found that exotic abundance was greatest at the top of Mima mounds compared to "&amp;"the sides; the opposite was true for native species. Our findings indicate that geologic substrate and grazing history may interact to determine plant distribution in semi-arid prairie communities. This study demonstrates that land managers aiming to rest"&amp;"ore native plant communities need to consider the synergistic effects of multiple environmental factors in order to focus restoration funding and effort.")</f>
        <v>Native prairie plant communities are among the most endangered habitats due to extensive agricultural use and exotic species invasion. Understanding how species composition, particularly of exotic species, varies with environment is essential for management and preservation of these communities. In semi-arid prairies, plant establishment is often heterogeneous across the landscape and depends on the patchy availability of resources across environmental gradients. We studied how soil geologic substrate, topography, and grazing history relate to patterns of native and exotic plant distribution in a semi-arid Mima mound prairie in eastern Washington. We analyzed the relationship between native and exotic species richness and abundance on 61 Mima mounds in a prairie underlain by two types of soil geologic substrate (glacial alluvium and basalt) where half of each had been grazed recently. We found that exotic species richness and cover were lowest and native species cover was highest on mounds underlain by basalt bedrock that had experienced recent grazing; on sites underlain by glacial alluvium there was little difference between more and less recently grazed mounds. Moreover, we found that exotic abundance was greatest at the top of Mima mounds compared to the sides; the opposite was true for native species. Our findings indicate that geologic substrate and grazing history may interact to determine plant distribution in semi-arid prairie communities. This study demonstrates that land managers aiming to restore native plant communities need to consider the synergistic effects of multiple environmental factors in order to focus restoration funding and effort.</v>
      </c>
      <c r="C802" s="24" t="str">
        <f>IFERROR(__xludf.DUMMYFUNCTION("""COMPUTED_VALUE"""),"10.3955/046.087.0102")</f>
        <v>10.3955/046.087.0102</v>
      </c>
      <c r="D802" s="24" t="str">
        <f>IFERROR(__xludf.DUMMYFUNCTION("""COMPUTED_VALUE"""),"Keck et al")</f>
        <v>Keck et al</v>
      </c>
      <c r="E802" s="24" t="str">
        <f>IFERROR(__xludf.DUMMYFUNCTION("""COMPUTED_VALUE"""),"WOS:000314920600002")</f>
        <v>WOS:000314920600002</v>
      </c>
      <c r="F802" s="24" t="str">
        <f>IFERROR(__xludf.DUMMYFUNCTION("""COMPUTED_VALUE"""),"[""ELIGIBLE""]")</f>
        <v>["ELIGIBLE"]</v>
      </c>
    </row>
    <row r="803">
      <c r="A803" s="24" t="str">
        <f>IFERROR(__xludf.DUMMYFUNCTION("""COMPUTED_VALUE"""),"Using biofilm as a novel approach to assess stormwater treatment efficacy")</f>
        <v>Using biofilm as a novel approach to assess stormwater treatment efficacy</v>
      </c>
      <c r="B803" s="24" t="str">
        <f>IFERROR(__xludf.DUMMYFUNCTION("""COMPUTED_VALUE"""),"Contaminants associated with stormwater are among the leading causes of water quality impairment in urban streams. Multiple device treatment systems are commonly installed with the aim of reducing contaminant loads within stormwater discharge. However, th"&amp;"e in situ performance of such systems remains poorly understood. We investigated the efficacy of an advanced stormwater treatment system by monitoring biofilm associated metals and biofilm bacterial community composition at multiple locations through the "&amp;"treatment system (which included rain gardens, grassy swales, a stormwater filter and a wetland) and in the receiving stream above and below the stormwater discharge. Changes in bacterial community composition were assessed by Automated Ribosomal Intergen"&amp;"ic Spacer Analysis (ARISA) and concentrations of biofilm associated metals monitored by Inductively Coupled Plasma-Mass Spectrometry (ICP-MS). Significant differences in bacterial community composition were detected throughout the stormwater network. Bact"&amp;"erial communities gradually changed towards a community more similar to that within the receiving stream and the discharge of treated stormwater had little effect on the composition of bacterial communities in the receiving stream, suggesting the effectiv"&amp;"e conditioning of water quality by the treatment system. Concentrations of some biofilm-associated metals declined following sequential treatment, for example copper (73% reduction), zinc (48% reduction) and lead (46% reduction). In contrast, levels of ar"&amp;"senic, cadmium, chromium and nickel were not reduced by the treatment system. We demonstrate that biofilm bacterial community composition is a sensitive indicator of environmental changes within freshwater ecosystems and an efficient indicator to monitor "&amp;"water quality in enclosed stormwater networks where traditional biological indicators are not available. (C) 2013 Elsevier Ltd. All rights reserved.")</f>
        <v>Contaminants associated with stormwater are among the leading causes of water quality impairment in urban streams. Multiple device treatment systems are commonly installed with the aim of reducing contaminant loads within stormwater discharge. However, the in situ performance of such systems remains poorly understood. We investigated the efficacy of an advanced stormwater treatment system by monitoring biofilm associated metals and biofilm bacterial community composition at multiple locations through the treatment system (which included rain gardens, grassy swales, a stormwater filter and a wetland) and in the receiving stream above and below the stormwater discharge. Changes in bacterial community composition were assessed by Automated Ribosomal Intergenic Spacer Analysis (ARISA) and concentrations of biofilm associated metals monitored by Inductively Coupled Plasma-Mass Spectrometry (ICP-MS). Significant differences in bacterial community composition were detected throughout the stormwater network. Bacterial communities gradually changed towards a community more similar to that within the receiving stream and the discharge of treated stormwater had little effect on the composition of bacterial communities in the receiving stream, suggesting the effective conditioning of water quality by the treatment system. Concentrations of some biofilm-associated metals declined following sequential treatment, for example copper (73% reduction), zinc (48% reduction) and lead (46% reduction). In contrast, levels of arsenic, cadmium, chromium and nickel were not reduced by the treatment system. We demonstrate that biofilm bacterial community composition is a sensitive indicator of environmental changes within freshwater ecosystems and an efficient indicator to monitor water quality in enclosed stormwater networks where traditional biological indicators are not available. (C) 2013 Elsevier Ltd. All rights reserved.</v>
      </c>
      <c r="C803" s="24" t="str">
        <f>IFERROR(__xludf.DUMMYFUNCTION("""COMPUTED_VALUE"""),"10.1016/j.watres.2013.10.023")</f>
        <v>10.1016/j.watres.2013.10.023</v>
      </c>
      <c r="D803" s="24" t="str">
        <f>IFERROR(__xludf.DUMMYFUNCTION("""COMPUTED_VALUE"""),"Keck et al")</f>
        <v>Keck et al</v>
      </c>
      <c r="E803" s="24" t="str">
        <f>IFERROR(__xludf.DUMMYFUNCTION("""COMPUTED_VALUE"""),"WOS:000330601400036")</f>
        <v>WOS:000330601400036</v>
      </c>
      <c r="F803" s="24" t="str">
        <f>IFERROR(__xludf.DUMMYFUNCTION("""COMPUTED_VALUE"""),"[""ELIGIBLE""]")</f>
        <v>["ELIGIBLE"]</v>
      </c>
    </row>
    <row r="804">
      <c r="A804" s="24" t="str">
        <f>IFERROR(__xludf.DUMMYFUNCTION("""COMPUTED_VALUE"""),"Impacts of an invasive alien Proteaceae on native plant species richness and vegetation structure")</f>
        <v>Impacts of an invasive alien Proteaceae on native plant species richness and vegetation structure</v>
      </c>
      <c r="B804" s="24" t="str">
        <f>IFERROR(__xludf.DUMMYFUNCTION("""COMPUTED_VALUE"""),"The influence of invasive alien plants on plant community structure and above ground biomass in their novel range is poorly understood, as the magnitude and direction of these effects are often species and ecosystem specific. Here we compared community me"&amp;"trices of native plants and soil properties between study sites invaded by Hakea drupacea, uninvaded sites and cleared sites (sites formerly invaded by H. drupacea). A total of 129 plant species belonging to 75 genera were recorded across all study sites."&amp;" Invasive Acacia saligna, A. longifolia, A. cyclops (Fabaceae) and Leptospermum laevigatum (Myrtaceae) co-occurred with H. drupacea in the invaded sites. Overall plant species richness, which constituted higher number of native plant species, was recorded"&amp;" in uninvaded sites compared to invaded and cleared sites. Plant species composition was simi-lar between uninvaded and cleared sites, but species composition recorded in uninvaded and cleared sites were significantly different from species composition re"&amp;"corded at invaded sites. Litter depth was significantly higher in invaded sites compared to uninvaded and cleared sites. Hakea drupacea did not affect soil proper-ties in invaded sites. Here we show that H. drupacea probably reduces the diversity of nativ"&amp;"e plant species especially in invaded sites probably through the effect of litter production and canopy cover, pointing to a beneficial effect of removal of H. drupacea. We encourage active restoration of sites invaded by H. drupacea at early stages of in"&amp;"vasion before the plants become established and suppress the growth of native species. (c) 2021 SAAB. Published by Elsevier B.V. All rights reserved.")</f>
        <v>The influence of invasive alien plants on plant community structure and above ground biomass in their novel range is poorly understood, as the magnitude and direction of these effects are often species and ecosystem specific. Here we compared community metrices of native plants and soil properties between study sites invaded by Hakea drupacea, uninvaded sites and cleared sites (sites formerly invaded by H. drupacea). A total of 129 plant species belonging to 75 genera were recorded across all study sites. Invasive Acacia saligna, A. longifolia, A. cyclops (Fabaceae) and Leptospermum laevigatum (Myrtaceae) co-occurred with H. drupacea in the invaded sites. Overall plant species richness, which constituted higher number of native plant species, was recorded in uninvaded sites compared to invaded and cleared sites. Plant species composition was simi-lar between uninvaded and cleared sites, but species composition recorded in uninvaded and cleared sites were significantly different from species composition recorded at invaded sites. Litter depth was significantly higher in invaded sites compared to uninvaded and cleared sites. Hakea drupacea did not affect soil proper-ties in invaded sites. Here we show that H. drupacea probably reduces the diversity of native plant species especially in invaded sites probably through the effect of litter production and canopy cover, pointing to a beneficial effect of removal of H. drupacea. We encourage active restoration of sites invaded by H. drupacea at early stages of invasion before the plants become established and suppress the growth of native species. (c) 2021 SAAB. Published by Elsevier B.V. All rights reserved.</v>
      </c>
      <c r="C804" s="24" t="str">
        <f>IFERROR(__xludf.DUMMYFUNCTION("""COMPUTED_VALUE"""),"10.1016/j.sajb.2021.09.017")</f>
        <v>10.1016/j.sajb.2021.09.017</v>
      </c>
      <c r="D804" s="24" t="str">
        <f>IFERROR(__xludf.DUMMYFUNCTION("""COMPUTED_VALUE"""),"Keck et al")</f>
        <v>Keck et al</v>
      </c>
      <c r="E804" s="24" t="str">
        <f>IFERROR(__xludf.DUMMYFUNCTION("""COMPUTED_VALUE"""),"WOS:000709145000005")</f>
        <v>WOS:000709145000005</v>
      </c>
      <c r="F804" s="24" t="str">
        <f>IFERROR(__xludf.DUMMYFUNCTION("""COMPUTED_VALUE"""),"[""ELIGIBLE""]")</f>
        <v>["ELIGIBLE"]</v>
      </c>
    </row>
    <row r="805">
      <c r="A805" s="24" t="str">
        <f>IFERROR(__xludf.DUMMYFUNCTION("""COMPUTED_VALUE"""),"Temporal changes in taxonomic and functional diversity of fish assemblages downstream from mountaintop mining")</f>
        <v>Temporal changes in taxonomic and functional diversity of fish assemblages downstream from mountaintop mining</v>
      </c>
      <c r="B805" s="24" t="str">
        <f>IFERROR(__xludf.DUMMYFUNCTION("""COMPUTED_VALUE"""),"Mountaintop mining (MTM) affects chemical, physical, and hydrological properties of receiving streams, but the long-term consequences for fish-assemblage structure and function are poorly understood. We sampled stream fish assemblages using electrofishing"&amp;" techniques in MTM exposure sites and reference sites within the Guyandotte River basin, USA, during 2010-2011. We calculated indices of taxonomic diversity (species richness, abundance, Shannon diversity) and functional diversity (functional richness, fu"&amp;"nctional evenness, functional divergence) to compare exposure and reference assemblages between seasons (spring and autumn) and across years (1999-2011). We based temporal comparisons on 2 sites that were sampled during 1999-2001 by Stauffer and Ferreri ("&amp;"2002). Exposure assemblages had lower taxonomic and functional diversity than reference assemblages or simulated assemblages that accounted for random variation. Differences in taxonomic composition between reference and exposure assemblages were associat"&amp;"ed with conductivity and aqueous Se concentrations. Exposure assemblages had fewer species, lower abundances, and less biomass than reference assemblages across years and seasons. Green Sunfish (Lepomis cyanellus) and Creek Chub (Semotilus atromaculatus) "&amp;"became numerically dominant in exposure assemblages over time because of their persistence and losses of other taxa. In contrast, species richness increased over time in reference assemblages, a result that may indicate recovery from drought. Mean individ"&amp;"ual biomass increased as fish density decreased and most obligate invertivores were apparently extirpated at MTM exposure sites. Effects of MTM were not related to physical-habitat conditions but were associated with water-quality variables, which may lim"&amp;"it quality and availability of benthic macroinvertebrate prey. Simulations revealed effects of MTM that could not be attributed to random variation in fish assemblage structure.")</f>
        <v>Mountaintop mining (MTM) affects chemical, physical, and hydrological properties of receiving streams, but the long-term consequences for fish-assemblage structure and function are poorly understood. We sampled stream fish assemblages using electrofishing techniques in MTM exposure sites and reference sites within the Guyandotte River basin, USA, during 2010-2011. We calculated indices of taxonomic diversity (species richness, abundance, Shannon diversity) and functional diversity (functional richness, functional evenness, functional divergence) to compare exposure and reference assemblages between seasons (spring and autumn) and across years (1999-2011). We based temporal comparisons on 2 sites that were sampled during 1999-2001 by Stauffer and Ferreri (2002). Exposure assemblages had lower taxonomic and functional diversity than reference assemblages or simulated assemblages that accounted for random variation. Differences in taxonomic composition between reference and exposure assemblages were associated with conductivity and aqueous Se concentrations. Exposure assemblages had fewer species, lower abundances, and less biomass than reference assemblages across years and seasons. Green Sunfish (Lepomis cyanellus) and Creek Chub (Semotilus atromaculatus) became numerically dominant in exposure assemblages over time because of their persistence and losses of other taxa. In contrast, species richness increased over time in reference assemblages, a result that may indicate recovery from drought. Mean individual biomass increased as fish density decreased and most obligate invertivores were apparently extirpated at MTM exposure sites. Effects of MTM were not related to physical-habitat conditions but were associated with water-quality variables, which may limit quality and availability of benthic macroinvertebrate prey. Simulations revealed effects of MTM that could not be attributed to random variation in fish assemblage structure.</v>
      </c>
      <c r="C805" s="24" t="str">
        <f>IFERROR(__xludf.DUMMYFUNCTION("""COMPUTED_VALUE"""),"10.1086/676997")</f>
        <v>10.1086/676997</v>
      </c>
      <c r="D805" s="24" t="str">
        <f>IFERROR(__xludf.DUMMYFUNCTION("""COMPUTED_VALUE"""),"Keck et al")</f>
        <v>Keck et al</v>
      </c>
      <c r="E805" s="24" t="str">
        <f>IFERROR(__xludf.DUMMYFUNCTION("""COMPUTED_VALUE"""),"WOS:000340580700021")</f>
        <v>WOS:000340580700021</v>
      </c>
      <c r="F805" s="24" t="str">
        <f>IFERROR(__xludf.DUMMYFUNCTION("""COMPUTED_VALUE"""),"[""ELIGIBLE""]")</f>
        <v>["ELIGIBLE"]</v>
      </c>
    </row>
    <row r="806">
      <c r="A806" s="24" t="str">
        <f>IFERROR(__xludf.DUMMYFUNCTION("""COMPUTED_VALUE"""),"No apparent effect of invasive alien goldenrod on soil microbial communities or soil fauna feeding activity")</f>
        <v>No apparent effect of invasive alien goldenrod on soil microbial communities or soil fauna feeding activity</v>
      </c>
      <c r="B806" s="24" t="str">
        <f>IFERROR(__xludf.DUMMYFUNCTION("""COMPUTED_VALUE"""),"Invasive alien species spreading in abandoned agricultural landscape may negatively affect native organisms, including plants and soil biota. This study assessed the effects of invasion by Solidago sp. (goldenrod) in southern Poland on soil fauna feeding "&amp;"activity and on soil microorganism activity, biomass, and functional and taxonomic diversity, in a comparisons of paired plots: goldenrod-invaded plots and nearby non-invaded plots of semi-natural grassland. Goldenrod-invaded plots had fewer vascular plan"&amp;"t species (paired t-test) than non-invaded ones, and showed a distinct plant community composition (ANOSIM). Non-invaded and invaded plots did not differ in a range of measured soil physicochemical parameters. No differences were observed between noninvad"&amp;"ed and invaded plots in soil fauna feeding activity (measured in the field using bait-lamina test), nor in soil microbial activity (basal respiration rate) and biomass (substrate-induced respiration rate). Goldenrod invasion also did not affect soil bacte"&amp;"rial activity and functional diversity as assessed using Biolog (R) ECO plates, nor bacterial and eukaryotic taxonomic diversity as assessed using Illumina 16/18S rDNA gene fragment sequencing. Bacterial community functional structure (CLPP pattern) and t"&amp;"he taxonomic structure of bacteria and eukaryotes (OTUbact and OTUeuk patterns) were not observed to differ between non-invaded and invaded plots. None of the measured soil microbial indices or soil fauna feeding activity were related to the number of vas"&amp;"cular plant species (alpha diversity) as tested by simple regressions. The altered vegetation diversity and composition (beta diversity) was not reflected in the CLPP, OTUbact and OTUeuk patterns (Mantel tests). The reduced alpha and beta plant diversity "&amp;"resulting from goldenrod invasion was not reflected in soil microbial community parameters. Results of the effects of goldenrod invasion on soil organisms should be interpreted with caution, as the effects may not be so pronounced as the effects on aboveg"&amp;"round organisms.")</f>
        <v>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v>
      </c>
      <c r="C806" s="24" t="str">
        <f>IFERROR(__xludf.DUMMYFUNCTION("""COMPUTED_VALUE"""),"10.1016/j.actao.2020.103669")</f>
        <v>10.1016/j.actao.2020.103669</v>
      </c>
      <c r="D806" s="24" t="str">
        <f>IFERROR(__xludf.DUMMYFUNCTION("""COMPUTED_VALUE"""),"Keck et al")</f>
        <v>Keck et al</v>
      </c>
      <c r="E806" s="24" t="str">
        <f>IFERROR(__xludf.DUMMYFUNCTION("""COMPUTED_VALUE"""),"WOS:000592556800015")</f>
        <v>WOS:000592556800015</v>
      </c>
      <c r="F806" s="24" t="str">
        <f>IFERROR(__xludf.DUMMYFUNCTION("""COMPUTED_VALUE"""),"[""ELIGIBLE""]")</f>
        <v>["ELIGIBLE"]</v>
      </c>
    </row>
    <row r="807">
      <c r="A807" s="24" t="str">
        <f>IFERROR(__xludf.DUMMYFUNCTION("""COMPUTED_VALUE"""),"Sewage treatment level and flow rates affect polychaete assemblages")</f>
        <v>Sewage treatment level and flow rates affect polychaete assemblages</v>
      </c>
      <c r="B807" s="24" t="str">
        <f>IFERROR(__xludf.DUMMYFUNCTION("""COMPUTED_VALUE"""),"The European Water Framework Directive (WFD) and the Urban Wastewater Treatment Directive (UWWTD) aim to improve water quality and reduce the environmental impact of wastewater, by requiring member states to introduce better treatment levels. This study w"&amp;"as carried out in order to detect the most suitable treatment type or flow level for reducing benthic environmental impact. Therefore, soft-bottom polychaete assemblages affected by discharges of six treatment plants, with different treatment technologies"&amp;" and flow rates, were analysed over three consecutive years. Polychaete assemblages changed as a result of sewage discharge. These changes were related to treatment level and flow rates. Both disposal quality and quantity are important since changes in so"&amp;"ft-bottom assemblages in stations affected by pre-treated sewage with medium and high flow rates are observed. However, the location with a low-flow pre-treated effluent has similar polychaete assemblages with regard to locations with biological treatment"&amp;" or controls. (C) 2010 Elsevier Ltd. All rights reserved.")</f>
        <v>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v>
      </c>
      <c r="C807" s="24" t="str">
        <f>IFERROR(__xludf.DUMMYFUNCTION("""COMPUTED_VALUE"""),"10.1016/j.marpolbul.2010.07.037")</f>
        <v>10.1016/j.marpolbul.2010.07.037</v>
      </c>
      <c r="D807" s="24" t="str">
        <f>IFERROR(__xludf.DUMMYFUNCTION("""COMPUTED_VALUE"""),"Keck et al")</f>
        <v>Keck et al</v>
      </c>
      <c r="E807" s="24" t="str">
        <f>IFERROR(__xludf.DUMMYFUNCTION("""COMPUTED_VALUE"""),"WOS:000284662800015")</f>
        <v>WOS:000284662800015</v>
      </c>
      <c r="F807" s="24" t="str">
        <f>IFERROR(__xludf.DUMMYFUNCTION("""COMPUTED_VALUE"""),"[""ELIGIBLE""]")</f>
        <v>["ELIGIBLE"]</v>
      </c>
    </row>
    <row r="808">
      <c r="A808" s="24" t="str">
        <f>IFERROR(__xludf.DUMMYFUNCTION("""COMPUTED_VALUE"""),"Fish assemblages and biotic integrity of a highly modified floodplain river, the Upper Mississippi, and a large, relatively unimpacted tributary, the Lower Wisconsin")</f>
        <v>Fish assemblages and biotic integrity of a highly modified floodplain river, the Upper Mississippi, and a large, relatively unimpacted tributary, the Lower Wisconsin</v>
      </c>
      <c r="B808" s="24" t="str">
        <f>IFERROR(__xludf.DUMMYFUNCTION("""COMPUTED_VALUE"""),"The Upper Mississippi River is a dynamic floodplain river that has been largely transformed by navigational levees and dams since the 1930s. The pools upstream of each dam are lake-like and only about the upper third of each reach retains a riverine chara"&amp;"cter. In contrast, the Wisconsin River is not managed for commercial navigation and today its lower 149 km represent one of the least-degraded large river reaches in central North America. Riverine reaches in both the Mississippi and Wisconsin rivers have"&amp;" similar macro-habitats including numerous islands, large side channels, and connected backwaters and floodplain lakes. In this study, shoreline electrofishing samples were collected during summer 2002 and 2003 to characterize resident fish assemblages. W"&amp;"e compared fish species abundance, biomass, and biotic integrity along main and side channel borders between the Upper Mississippi River and the Lower Wisconsin River. We expected that, in the absence of environmental degradation, fish composition and str"&amp;"ucture would be similar between the Mississippi and Wisconsin rivers, and between channel types within each river. Nonmetric multidimensional scaling and redundancy analysis revealed that fish species in the Mississippi River, unlike in the Wisconsin Rive"&amp;"r, were characteristic of non-riverine habitats. We consider non-riverine fish assemblages indicative of environmental impairment. The main and side channel sites in the Mississippi River had more variable fish assemblages than the Wisconsin River. Analys"&amp;"es of fish index of biotic integrity scores showed that environmental condition was excellent for both channel types in the Wisconsin River, whereas in the Mississippi River the side channel was rated good and the main channel only fair. We conclude that "&amp;"differences between the two rivers and between channel types of the Mississippi River are consistent with direct and indirect effects of navigation. This study demonstrates the utility of a fish index of biotic integrity, an inexpensive and rapid bioasses"&amp;"sment tool, for detecting change in ecological health on one of the world's largest rivers. Copyright (c) 2006 John Wiley &amp; Sons, Ltd.")</f>
        <v>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v>
      </c>
      <c r="C808" s="24" t="str">
        <f>IFERROR(__xludf.DUMMYFUNCTION("""COMPUTED_VALUE"""),"10.1002/rra.946")</f>
        <v>10.1002/rra.946</v>
      </c>
      <c r="D808" s="24" t="str">
        <f>IFERROR(__xludf.DUMMYFUNCTION("""COMPUTED_VALUE"""),"Keck et al")</f>
        <v>Keck et al</v>
      </c>
      <c r="E808" s="24" t="str">
        <f>IFERROR(__xludf.DUMMYFUNCTION("""COMPUTED_VALUE"""),"WOS:000242011300006")</f>
        <v>WOS:000242011300006</v>
      </c>
      <c r="F808" s="24" t="str">
        <f>IFERROR(__xludf.DUMMYFUNCTION("""COMPUTED_VALUE"""),"[""ELIGIBLE""]")</f>
        <v>["ELIGIBLE"]</v>
      </c>
    </row>
    <row r="809">
      <c r="A809" s="24" t="str">
        <f>IFERROR(__xludf.DUMMYFUNCTION("""COMPUTED_VALUE"""),"Sea-ice microbial communities in the Central Arctic Ocean: Limited responses to short-term pCO2 perturbations")</f>
        <v>Sea-ice microbial communities in the Central Arctic Ocean: Limited responses to short-term pCO2 perturbations</v>
      </c>
      <c r="B809" s="24" t="str">
        <f>IFERROR(__xludf.DUMMYFUNCTION("""COMPUTED_VALUE"""),"The Arctic Ocean is more susceptible to ocean acidification than other marine environments due to its weaker buffering capacity, while its cold surface water with relatively low salinity promotes atmospheric CO2 uptake. We studied how sea-ice microbial co"&amp;"mmunities in the central Arctic Ocean may be affected by changes in the carbonate system expected as a consequence of ocean acidification. In a series of four experiments during late summer 2018 aboard the icebreaker Oden, we addressed microbial growth, p"&amp;"roduction of dissolved organic carbon (DOC) and extracellular polymeric substances (EPS), photosynthetic activity, and bacterial assemblage structure as sea-ice microbial communities were exposed to elevated partial pressures of CO2 (pCO(2)). We incubated"&amp;" intact, bottom ice-core sections and dislodged, under-ice algal aggregates (dominated by Melosira arctica) in separate experiments under approximately 400, 650, 1000, and 2000 mu atm pCO(2) for 10 d under different nutrient regimes. The results indicate "&amp;"that the growth of sea-ice algae and bacteria was unaffected by these higher pCO(2) levels, and concentrations of DOC and EPS were unaffected by a shifted inorganic C/N balance, resulting from the CO2 enrichment. These central Arctic sea-ice microbial com"&amp;"munities thus appear to be largely insensitive to short-term pCO(2) perturbations. Given the natural, seasonally driven fluctuations in the carbonate system of sea ice, its resident microorganisms may be sufficiently tolerant of large variations in pCO(2)"&amp;" and thus less vulnerable than pelagic communities to the impacts of ocean acidification, increasing the ecological importance of sea-ice microorganisms even as the loss of Arctic sea ice continues.")</f>
        <v>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v>
      </c>
      <c r="C809" s="24" t="str">
        <f>IFERROR(__xludf.DUMMYFUNCTION("""COMPUTED_VALUE"""),"10.1002/lno.11690")</f>
        <v>10.1002/lno.11690</v>
      </c>
      <c r="D809" s="24" t="str">
        <f>IFERROR(__xludf.DUMMYFUNCTION("""COMPUTED_VALUE"""),"Keck et al")</f>
        <v>Keck et al</v>
      </c>
      <c r="E809" s="24" t="str">
        <f>IFERROR(__xludf.DUMMYFUNCTION("""COMPUTED_VALUE"""),"WOS:000608979000001")</f>
        <v>WOS:000608979000001</v>
      </c>
      <c r="F809" s="24" t="str">
        <f>IFERROR(__xludf.DUMMYFUNCTION("""COMPUTED_VALUE"""),"[""ELIGIBLE""]")</f>
        <v>["ELIGIBLE"]</v>
      </c>
    </row>
    <row r="810">
      <c r="A810" s="24" t="str">
        <f>IFERROR(__xludf.DUMMYFUNCTION("""COMPUTED_VALUE"""),"Scale and season determine the magnitude of invasion impacts on plant communities")</f>
        <v>Scale and season determine the magnitude of invasion impacts on plant communities</v>
      </c>
      <c r="B810" s="24" t="str">
        <f>IFERROR(__xludf.DUMMYFUNCTION("""COMPUTED_VALUE"""),"Global synthesis of studies on impacts of invasions on plant communities is often inhibited by inconsistent results owing to plethora of methodological pitfalls. In this regard, the selection of suitable spatial scale, season of sampling and choice of div"&amp;"ersity metrics are crucial considerations. Here we report the impacts of a global invader, Leucanthemum vulgare Lam., on plant communities selected along an altitudinal gradient (landscape scale) in Kashmir Himalaya. The environmentally similar but spatia"&amp;"lly isolated invaded and uninvaded plots were selected and then sampled at multiple spatial (quadrat and plot) and temporal (spring, summer and autumn seasons) scales during years 2016-2017. Invasion by L. vulgare had a significantly negative impact on st"&amp;"ructure and composition of the invaded communities. Invasion decreased species richness at all the spatial scales due to its effects on species abundance (density), species abundance distribution and intraspecific association. However, the magnitude of th"&amp;"e effect was dependent on the spatial scale, being more severe at the larger scale. Renyi diversity profiles indicated that L. vulgare invasion decreased species diversity during all the three seasons, but the intensity of the invasion impact was dependen"&amp;"t on the season, with summer being the highest. Non-multidimensional scaling analysis showed that L. vulgare significantly altered species composition of the invaded communities with higher compositional dissimilarity during the summer season. Our study s"&amp;"uggests that the selection of suitable spatial scale and season of sampling matter in the standard measurement of magnitude of plant invasion impacts. We propose a way forward to improve methodological and analytic tools for undertaking studies on impacts"&amp;" of invasions on plant communities.")</f>
        <v>Global synthesis of studies on impacts of invasions on plant communities is often inhibited by inconsistent results owing to plethora of methodological pitfalls. In this regard, the selection of suitable spatial scale, season of sampling and choice of diversity metrics are crucial considerations. Here we report the impacts of a global invader, Leucanthemum vulgare Lam., on plant communities selected along an altitudinal gradient (landscape scale) in Kashmir Himalaya. The environmentally similar but spatially isolated invaded and uninvaded plots were selected and then sampled at multiple spatial (quadrat and plot) and temporal (spring, summer and autumn seasons) scales during years 2016-2017. Invasion by L. vulgare had a significantly negative impact on structure and composition of the invaded communities. Invasion decreased species richness at all the spatial scales due to its effects on species abundance (density), species abundance distribution and intraspecific association. However, the magnitude of the effect was dependent on the spatial scale, being more severe at the larger scale. Renyi diversity profiles indicated that L. vulgare invasion decreased species diversity during all the three seasons, but the intensity of the invasion impact was dependent on the season, with summer being the highest. Non-multidimensional scaling analysis showed that L. vulgare significantly altered species composition of the invaded communities with higher compositional dissimilarity during the summer season. Our study suggests that the selection of suitable spatial scale and season of sampling matter in the standard measurement of magnitude of plant invasion impacts. We propose a way forward to improve methodological and analytic tools for undertaking studies on impacts of invasions on plant communities.</v>
      </c>
      <c r="C810" s="24" t="str">
        <f>IFERROR(__xludf.DUMMYFUNCTION("""COMPUTED_VALUE"""),"10.1016/j.flora.2019.151481")</f>
        <v>10.1016/j.flora.2019.151481</v>
      </c>
      <c r="D810" s="24" t="str">
        <f>IFERROR(__xludf.DUMMYFUNCTION("""COMPUTED_VALUE"""),"Keck et al")</f>
        <v>Keck et al</v>
      </c>
      <c r="E810" s="24" t="str">
        <f>IFERROR(__xludf.DUMMYFUNCTION("""COMPUTED_VALUE"""),"WOS:000497966600008")</f>
        <v>WOS:000497966600008</v>
      </c>
      <c r="F810" s="24" t="str">
        <f>IFERROR(__xludf.DUMMYFUNCTION("""COMPUTED_VALUE"""),"[""ELIGIBLE""]")</f>
        <v>["ELIGIBLE"]</v>
      </c>
    </row>
    <row r="811">
      <c r="A811" s="24" t="str">
        <f>IFERROR(__xludf.DUMMYFUNCTION("""COMPUTED_VALUE"""),"Combined effects of nutrient enrichment, sedimentation and grazer loss on rock pool assemblages")</f>
        <v>Combined effects of nutrient enrichment, sedimentation and grazer loss on rock pool assemblages</v>
      </c>
      <c r="B811" s="24" t="str">
        <f>IFERROR(__xludf.DUMMYFUNCTION("""COMPUTED_VALUE"""),"Coastal areas around the world are experiencing increasing disturbance from multiple stressors caused by anthropogenic activities. Although there is good knowledge about the impacts of individual stressors, there is less understanding of the consequences "&amp;"of several stressors acting simultaneously. Eutrophication and sediment deposition are widely recognized as major problems for the functioning of coastal systems, and they are expected to increase during the next decades. In a field experiment, using rock"&amp;" pools as a model system, different levels of nutrients and sedimentation were applied in a factorial experimental design that also accounted for the influence of molluscan grazers. Sedimentation significantly changed assemblage structure, mainly owing to"&amp;" an increase in turfing and filamentous algae and a decrease in crustose algae. Nutrients also caused an increase in the cover of green filamentous algae, which in turn was synergistically magnified by the removal of grazers. Here we showed that these str"&amp;"essors can individually alter the structure of rock pools assemblages; and that in this system top-down control (by grazers) is more important than bottom-up factors (nutrients) in controlling macroalgal assemblage structure. The combined effect of grazer"&amp;"s loss and nutrients was larger than the sum of their individual effects. This study enhanced mechanistic understanding of the impacts of multiple stressors on coastal ecosystems, which will help to develop management strategies and conservation of the ma"&amp;"rine environment. (C) 2010 Elsevier B.V. All rights reserved.")</f>
        <v>Coastal areas around the world are experiencing increasing disturbance from multiple stressors caused by anthropogenic activities. Although there is good knowledge about the impacts of individual stressors, there is less understanding of the consequences of several stressors acting simultaneously. Eutrophication and sediment deposition are widely recognized as major problems for the functioning of coastal systems, and they are expected to increase during the next decades. In a field experiment, using rock pools as a model system, different levels of nutrients and sedimentation were applied in a factorial experimental design that also accounted for the influence of molluscan grazers. Sedimentation significantly changed assemblage structure, mainly owing to an increase in turfing and filamentous algae and a decrease in crustose algae. Nutrients also caused an increase in the cover of green filamentous algae, which in turn was synergistically magnified by the removal of grazers. Here we showed that these stressors can individually alter the structure of rock pools assemblages; and that in this system top-down control (by grazers) is more important than bottom-up factors (nutrients) in controlling macroalgal assemblage structure. The combined effect of grazers loss and nutrients was larger than the sum of their individual effects. This study enhanced mechanistic understanding of the impacts of multiple stressors on coastal ecosystems, which will help to develop management strategies and conservation of the marine environment. (C) 2010 Elsevier B.V. All rights reserved.</v>
      </c>
      <c r="C811" s="24" t="str">
        <f>IFERROR(__xludf.DUMMYFUNCTION("""COMPUTED_VALUE"""),"10.1016/j.jembe.2010.03.005")</f>
        <v>10.1016/j.jembe.2010.03.005</v>
      </c>
      <c r="D811" s="24" t="str">
        <f>IFERROR(__xludf.DUMMYFUNCTION("""COMPUTED_VALUE"""),"Keck et al")</f>
        <v>Keck et al</v>
      </c>
      <c r="E811" s="24" t="str">
        <f>IFERROR(__xludf.DUMMYFUNCTION("""COMPUTED_VALUE"""),"WOS:000278643300007")</f>
        <v>WOS:000278643300007</v>
      </c>
      <c r="F811" s="24" t="str">
        <f>IFERROR(__xludf.DUMMYFUNCTION("""COMPUTED_VALUE"""),"[""ELIGIBLE""]")</f>
        <v>["ELIGIBLE"]</v>
      </c>
    </row>
    <row r="812">
      <c r="A812" s="24" t="str">
        <f>IFERROR(__xludf.DUMMYFUNCTION("""COMPUTED_VALUE"""),"Limited functional redundancy in vertebrate scavenger guilds fails to compensate for the loss of raptors from urbanized sandy beaches")</f>
        <v>Limited functional redundancy in vertebrate scavenger guilds fails to compensate for the loss of raptors from urbanized sandy beaches</v>
      </c>
      <c r="B812" s="24" t="str">
        <f>IFERROR(__xludf.DUMMYFUNCTION("""COMPUTED_VALUE"""),"AimGlobally, urbanization is one of the most widespread, intense and ecologically destructive forms of landscape transformation, and it is often concentrated in coastal areas. Theoretically, species losses attributable to urbanization are predicted not to"&amp;" alter overall ecosystem function if functional redundancy (i.e. replacement of function by alternative species) compensates for such losses. Here, we test this expectation by measuring how coastal urbanization affects scavenger guilds on sandy beaches an"&amp;"d whether changes in guild composition result either in an overall loss of scavenging efficiency, or in functional compensation under alternative guild structures, maintaining net ecosystem functioning. LocationFourteen beaches along the east coast of Aus"&amp;"tralia with variable levels of urbanization. MethodsScavenging communities and rates of carrion removal were determined using motion-triggered cameras at the beach-dune interface. ResultsA substantial shift in the community structure of vertebrate scaveng"&amp;"ers was associated with gradients in urbanization. Iconic and functionally important raptors declined precipitously in abundance on urban beaches. Importantly, other vertebrates usually associated with urban settings (e.g. dogs, foxes, corvids) did not fu"&amp;"nctionally replace raptors. In areas where &lt;15% of the abutting land had been developed into urban areas, carcass removal by scavengers was often complete, but always &gt;70%. Conversely, on beaches bordering coastal cities with &lt;40% of natural vegetation re"&amp;"maining, two-thirds of fish carcasses remained uneaten by scavengers. Raptors removed 70-100% of all deployed fish carcasses from beaches with &lt;8% urban land cover, but this number dropped significantly with greater levels of urbanization and was not comp"&amp;"ensated by other scavenger species in urban settings. Main conclusionsThere is limited functional redundancy in vertebrate scavenger communities of sandy beach ecosystems, which impacts the system's capacity to mitigate the ecological consequences of detr"&amp;"imental landscape transformations.")</f>
        <v>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v>
      </c>
      <c r="C812" s="24" t="str">
        <f>IFERROR(__xludf.DUMMYFUNCTION("""COMPUTED_VALUE"""),"10.1111/ddi.12282")</f>
        <v>10.1111/ddi.12282</v>
      </c>
      <c r="D812" s="24" t="str">
        <f>IFERROR(__xludf.DUMMYFUNCTION("""COMPUTED_VALUE"""),"Keck et al")</f>
        <v>Keck et al</v>
      </c>
      <c r="E812" s="24" t="str">
        <f>IFERROR(__xludf.DUMMYFUNCTION("""COMPUTED_VALUE"""),"WOS:000346182200006")</f>
        <v>WOS:000346182200006</v>
      </c>
      <c r="F812" s="24" t="str">
        <f>IFERROR(__xludf.DUMMYFUNCTION("""COMPUTED_VALUE"""),"[""ELIGIBLE""]")</f>
        <v>["ELIGIBLE"]</v>
      </c>
    </row>
    <row r="813">
      <c r="A813" s="24" t="str">
        <f>IFERROR(__xludf.DUMMYFUNCTION("""COMPUTED_VALUE"""),"Composition of epiphytic leaf community of Posidonia oceanica as a tool for environmental biomonitoring")</f>
        <v>Composition of epiphytic leaf community of Posidonia oceanica as a tool for environmental biomonitoring</v>
      </c>
      <c r="B813" s="24" t="str">
        <f>IFERROR(__xludf.DUMMYFUNCTION("""COMPUTED_VALUE"""),"The demand for sensitive biological tools to assess the environmental quality of coastal waters at broad spatial scales is increasing. Many of the tools used are based on the taxonomic composition of biotic assemblages. They usually require a valuable tax"&amp;"onomic expertise while are unique reflecting the overall ecosystem integrity. Here, we evaluate the potential indicator value of several features of the epiphytic community (overall assemblage composition, species richness, and proportion of the main taxo"&amp;"nomic groups) growing on the seagrass Posidonia oceanica leaves. We do so by empirically examining their changes along a disturbance gradient where multiple human activities have interactive and cumulative impacts, sampling at different spatial scales and"&amp;" at two different depths (5 and 15 m). Our results show that the specific composition of the epiphytic assemblages (i.e. species composition) closely reflects, in the deep meadows, the combined effects of different anthropogenic stressors along the gradie"&amp;"nt, showing an integrative and non-specific response. Similarly, an increase in the proportion of hydrozoans, and a decrease in the proportion of rhodophytes and chlorophytes are observed in deep meadows along the gradient. In shallow meadows, grazing and"&amp;" biotic features of the seagrass seem the main forcing factors determining species composition, and therefore masking the response of epiphytes to the deterioration gradient. After address the effect of natural sources of variability (water depth, within-"&amp;" and between-meadow heterogeneity), changes in epiphyte assemblages and in the proportion of hydrozoans, rhodophytes and chlorophytes in relatively deep meadows seem promising monitoring tools for detecting coastal environmental deterioration. (C) 2010 El"&amp;"sevier Ltd. All rights reserved.")</f>
        <v>The demand for sensitive biological tools to assess the environmental quality of coastal waters at broad spatial scales is increasing. Many of the tools used are based on the taxonomic composition of biotic assemblages. They usually require a valuable taxonomic expertise while are unique reflecting the overall ecosystem integrity. Here, we evaluate the potential indicator value of several features of the epiphytic community (overall assemblage composition, species richness, and proportion of the main taxonomic groups) growing on the seagrass Posidonia oceanica leaves. We do so by empirically examining their changes along a disturbance gradient where multiple human activities have interactive and cumulative impacts, sampling at different spatial scales and at two different depths (5 and 15 m). Our results show that the specific composition of the epiphytic assemblages (i.e. species composition) closely reflects, in the deep meadows, the combined effects of different anthropogenic stressors along the gradient, showing an integrative and non-specific response. Similarly, an increase in the proportion of hydrozoans, and a decrease in the proportion of rhodophytes and chlorophytes are observed in deep meadows along the gradient. In shallow meadows, grazing and biotic features of the seagrass seem the main forcing factors determining species composition, and therefore masking the response of epiphytes to the deterioration gradient. After address the effect of natural sources of variability (water depth, within- and between-meadow heterogeneity), changes in epiphyte assemblages and in the proportion of hydrozoans, rhodophytes and chlorophytes in relatively deep meadows seem promising monitoring tools for detecting coastal environmental deterioration. (C) 2010 Elsevier Ltd. All rights reserved.</v>
      </c>
      <c r="C813" s="24" t="str">
        <f>IFERROR(__xludf.DUMMYFUNCTION("""COMPUTED_VALUE"""),"10.1016/j.ecss.2010.03.026")</f>
        <v>10.1016/j.ecss.2010.03.026</v>
      </c>
      <c r="D813" s="24" t="str">
        <f>IFERROR(__xludf.DUMMYFUNCTION("""COMPUTED_VALUE"""),"Keck et al")</f>
        <v>Keck et al</v>
      </c>
      <c r="E813" s="24" t="str">
        <f>IFERROR(__xludf.DUMMYFUNCTION("""COMPUTED_VALUE"""),"WOS:000279089400004")</f>
        <v>WOS:000279089400004</v>
      </c>
      <c r="F813" s="24" t="str">
        <f>IFERROR(__xludf.DUMMYFUNCTION("""COMPUTED_VALUE"""),"[""ELIGIBLE""]")</f>
        <v>["ELIGIBLE"]</v>
      </c>
    </row>
    <row r="814">
      <c r="A814" s="24" t="str">
        <f>IFERROR(__xludf.DUMMYFUNCTION("""COMPUTED_VALUE"""),"Effects of nutrient enrichment on epipelic diatom assemblages in a nutrient-rich lowland stream, Pampa Region, Argentina")</f>
        <v>Effects of nutrient enrichment on epipelic diatom assemblages in a nutrient-rich lowland stream, Pampa Region, Argentina</v>
      </c>
      <c r="B814" s="24" t="str">
        <f>IFERROR(__xludf.DUMMYFUNCTION("""COMPUTED_VALUE"""),"We analyzed the diatom assemblages inhabiting the epipelic biofilm of a Pampean stream, characterized by their high basal nutrient levels, when exposed to a continuous surplus of inorganic nutrients. An in situ experience was conducted, increasing concent"&amp;"rations of N and P in water 3-fold from the basal concentration. Nutrient enrichment was achieved by the use of fertilizer bags distributed along the reach. The period of exposure was of 14 months. The effects of nutrient enrichment were analyzed followin"&amp;"g a BACIPS ANOVA design. The changes in nutrient concentration were associated with a significant increase in diatom density and a decrease in species richness and diversity. The additional nutrient load also caused the change in the diatom taxa proportio"&amp;"n, favoring motile forms, Nitzschia species mainly. The fertilization in La Choza, caused a mild to moderate effect, indeed not immediate, on the diatom assemblage. These delayed responses of moderate intensity could be related with intrinsic characterist"&amp;"ics of diatom assemblages pre-adapted to nutrient-rich environments. The rising urbanization and agricultural activity in the Pampean plain, may seriously impair the biodiversity of its rivers if the entrance of nutrients to these ecosystems is not mitiga"&amp;"ted.")</f>
        <v>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v>
      </c>
      <c r="C814" s="24" t="str">
        <f>IFERROR(__xludf.DUMMYFUNCTION("""COMPUTED_VALUE"""),"10.1007/s10750-015-2450-7")</f>
        <v>10.1007/s10750-015-2450-7</v>
      </c>
      <c r="D814" s="24" t="str">
        <f>IFERROR(__xludf.DUMMYFUNCTION("""COMPUTED_VALUE"""),"Keck et al")</f>
        <v>Keck et al</v>
      </c>
      <c r="E814" s="24" t="str">
        <f>IFERROR(__xludf.DUMMYFUNCTION("""COMPUTED_VALUE"""),"WOS:000367196900010")</f>
        <v>WOS:000367196900010</v>
      </c>
      <c r="F814" s="24" t="str">
        <f>IFERROR(__xludf.DUMMYFUNCTION("""COMPUTED_VALUE"""),"[""ELIGIBLE""]")</f>
        <v>["ELIGIBLE"]</v>
      </c>
    </row>
    <row r="815">
      <c r="A815" s="24" t="str">
        <f>IFERROR(__xludf.DUMMYFUNCTION("""COMPUTED_VALUE"""),"A non-invasive method to monitor marine pollution from bacterial DNA present in fish skin mucus")</f>
        <v>A non-invasive method to monitor marine pollution from bacterial DNA present in fish skin mucus</v>
      </c>
      <c r="B815" s="24" t="str">
        <f>IFERROR(__xludf.DUMMYFUNCTION("""COMPUTED_VALUE"""),"Marine coastal contamination caused by human activity is a major issue worldwide. The implementation of effective pollution monitoring programs, especially in coastal areas, is important and urgent. The use of biological, physiological, or biochemical mea"&amp;"surements to monitor the impacts of pollution has garnered increasing interest, particularly for the development of new non-invasive tools to assess water pollution. Fish skin mucus is in direct contact with the marine environment, making it a favourable "&amp;"microenvironment for the formation of biofilm bacterial communities. In this study, we developed a non-invasive technique, sampling fish skin mucus to determine and analyse bacterial community composition using next-generation sequencing. We hypothesised "&amp;"that bacterial communities associated with the skin mucus of a common harbour benthic blennioid triplefin fish, Forsterygion capito, would reflect conditions of different marine environments. We detected clear differences in bacterial community alpha-dive"&amp;"rsity between contaminated and reference sites. Beta-diversity analysis also revealed differences in the bacterial community structure of the skin mucus of fish inhabiting different geographical areas. The relative abundance of different bacterial orders "&amp;"varied among sites, as determined by linear discriminant analysis (LDA) and effect size (LEfSe) analyses. The observed variation in bacterial community compositions correlated more strongly with variation in hydrocarbons than to various metal concentratio"&amp;"ns. Using advanced DNA sequencing technologies, we have developed a novel non-invasive, low-cost and effective tool to monitor the impacts of pollution through analysis of the bacterial communities associated with fish skin mucus. (c) 2020 Elsevier Ltd. A"&amp;"ll rights reserved.")</f>
        <v>Marine coastal contamination caused by human activity is a major issue worldwide. The implementation of effective pollution monitoring programs, especially in coastal areas, is important and urgent. The use of biological, physiological, or biochemical measurements to monitor the impacts of pollution has garnered increasing interest, particularly for the development of new non-invasive tools to assess water pollution. Fish skin mucus is in direct contact with the marine environment, making it a favourable microenvironment for the formation of biofilm bacterial communities. In this study, we developed a non-invasive technique, sampling fish skin mucus to determine and analyse bacterial community composition using next-generation sequencing. We hypothesised that bacterial communities associated with the skin mucus of a common harbour benthic blennioid triplefin fish, Forsterygion capito, would reflect conditions of different marine environments. We detected clear differences in bacterial community alpha-diversity between contaminated and reference sites. Beta-diversity analysis also revealed differences in the bacterial community structure of the skin mucus of fish inhabiting different geographical areas. The relative abundance of different bacterial orders varied among sites, as determined by linear discriminant analysis (LDA) and effect size (LEfSe) analyses. The observed variation in bacterial community compositions correlated more strongly with variation in hydrocarbons than to various metal concentrations. Using advanced DNA sequencing technologies, we have developed a novel non-invasive, low-cost and effective tool to monitor the impacts of pollution through analysis of the bacterial communities associated with fish skin mucus. (c) 2020 Elsevier Ltd. All rights reserved.</v>
      </c>
      <c r="C815" s="24" t="str">
        <f>IFERROR(__xludf.DUMMYFUNCTION("""COMPUTED_VALUE"""),"10.1016/j.envpol.2020.114438")</f>
        <v>10.1016/j.envpol.2020.114438</v>
      </c>
      <c r="D815" s="24" t="str">
        <f>IFERROR(__xludf.DUMMYFUNCTION("""COMPUTED_VALUE"""),"Keck et al")</f>
        <v>Keck et al</v>
      </c>
      <c r="E815" s="24" t="str">
        <f>IFERROR(__xludf.DUMMYFUNCTION("""COMPUTED_VALUE"""),"WOS:000539426400009")</f>
        <v>WOS:000539426400009</v>
      </c>
      <c r="F815" s="24" t="str">
        <f>IFERROR(__xludf.DUMMYFUNCTION("""COMPUTED_VALUE"""),"[""ELIGIBLE""]")</f>
        <v>["ELIGIBLE"]</v>
      </c>
    </row>
    <row r="816">
      <c r="A816" s="24" t="str">
        <f>IFERROR(__xludf.DUMMYFUNCTION("""COMPUTED_VALUE"""),"Assessing mining impacts: The influence of background geochemical conditions on diatom and macroinvertebrate communities in subarctic streams")</f>
        <v>Assessing mining impacts: The influence of background geochemical conditions on diatom and macroinvertebrate communities in subarctic streams</v>
      </c>
      <c r="B816" s="24" t="str">
        <f>IFERROR(__xludf.DUMMYFUNCTION("""COMPUTED_VALUE"""),"Mining has changed landscapes locally in northern Fennoscandia and there is an increasing pressure for exploitation of the remaining mineral deposits of the region. Mineral deposits, even if unmined, can strongly influence stream water chemistry, stream b"&amp;"iological communities and the ability of organisms to tolerate stressors. Using data sampled from six mining areas with three active (gold and chrome), two closed (gold) and one planned mine (phosphate), we examined how mineral deposits and mining influen"&amp;"ce water chemistry and diatom and macroinvertebrate communities in subarctic streams in Finnish Lapland. We supplemented the data by additional samples compiled from databases and further assessed how variation in background geological conditions influenc"&amp;"es bioassessments of the impacts arising from mining. We found that water specific conductivity was elevated in our study streams draining through catchments with a high mineral potential. Mining effects were mainly seen as increased concentration of nitr"&amp;"ogen. Influence of mineral deposits was detected in composition of diatom and macroinvertebrate communities, but communities in streams in areas with a high mineral potential were as diverse as those in streams in areas with a low mineral potential. Minin"&amp;"g impacts were better detected for diatoms using a reference condition based on sites with a high than low mineral potential, while for macroinvertebrates, the responses were generally less evident, likely because of only minor effects of mining on water "&amp;"chemistry. Community composition and frequencies of occurrence of macroinvertebrate taxa were, however, highly similar between mine-influenced streams and reference streams with a high potential for minerals indicating that the communities are strongly st"&amp;"ructured by the natural influence of mineral deposits. Incorporating geochemistry into the reference condition would likely improve bioassessments of both taxonomic groups. Replicated monitoring in potentially impacted sites and reference sites would be t"&amp;"he most efficient framework for detecting environmental impacts in streams draining through mineral-rich catchments.")</f>
        <v>Mining has changed landscapes locally in northern Fennoscandia and there is an increasing pressure for exploitation of the remaining mineral deposits of the region. Mineral deposits, even if unmined, can strongly influence stream water chemistry, stream biological communities and the ability of organisms to tolerate stressors. Using data sampled from six mining areas with three active (gold and chrome), two closed (gold) and one planned mine (phosphate), we examined how mineral deposits and mining influence water chemistry and diatom and macroinvertebrate communities in subarctic streams in Finnish Lapland. We supplemented the data by additional samples compiled from databases and further assessed how variation in background geological conditions influences bioassessments of the impacts arising from mining. We found that water specific conductivity was elevated in our study streams draining through catchments with a high mineral potential. Mining effects were mainly seen as increased concentration of nitrogen. Influence of mineral deposits was detected in composition of diatom and macroinvertebrate communities, but communities in streams in areas with a high mineral potential were as diverse as those in streams in areas with a low mineral potential. Mining impacts were better detected for diatoms using a reference condition based on sites with a high than low mineral potential, while for macroinvertebrates, the responses were generally less evident, likely because of only minor effects of mining on water chemistry. Community composition and frequencies of occurrence of macroinvertebrate taxa were, however, highly similar between mine-influenced streams and reference streams with a high potential for minerals indicating that the communities are strongly structured by the natural influence of mineral deposits. Incorporating geochemistry into the reference condition would likely improve bioassessments of both taxonomic groups. Replicated monitoring in potentially impacted sites and reference sites would be the most efficient framework for detecting environmental impacts in streams draining through mineral-rich catchments.</v>
      </c>
      <c r="C816" s="24" t="str">
        <f>IFERROR(__xludf.DUMMYFUNCTION("""COMPUTED_VALUE"""),"10.1016/j.jenvman.2020.111532")</f>
        <v>10.1016/j.jenvman.2020.111532</v>
      </c>
      <c r="D816" s="24" t="str">
        <f>IFERROR(__xludf.DUMMYFUNCTION("""COMPUTED_VALUE"""),"Keck et al")</f>
        <v>Keck et al</v>
      </c>
      <c r="E816" s="24" t="str">
        <f>IFERROR(__xludf.DUMMYFUNCTION("""COMPUTED_VALUE"""),"WOS:000599706600001")</f>
        <v>WOS:000599706600001</v>
      </c>
      <c r="F816" s="24" t="str">
        <f>IFERROR(__xludf.DUMMYFUNCTION("""COMPUTED_VALUE"""),"[""ELIGIBLE""]")</f>
        <v>["ELIGIBLE"]</v>
      </c>
    </row>
    <row r="817">
      <c r="A817" s="24" t="str">
        <f>IFERROR(__xludf.DUMMYFUNCTION("""COMPUTED_VALUE"""),"The importance of remnants of natural vegetation for maintaining ant diversity in Brazilian agricultural landscapes")</f>
        <v>The importance of remnants of natural vegetation for maintaining ant diversity in Brazilian agricultural landscapes</v>
      </c>
      <c r="B817" s="24" t="str">
        <f>IFERROR(__xludf.DUMMYFUNCTION("""COMPUTED_VALUE"""),"Brazil is one of the leading producers of soybeans and other annual crops, and in several regions landowners are required by law to maintain 20 % of their lands with natural vegetation (i.e. as legal reserves). However, there is a growing concern that som"&amp;"e of these reserves will be subject to increased levels of disturbance or even be lost as a result of the ongoing legislation reforms. In this sense, studies that evaluate the conservation potential of retaining natural habitats within agricultural areas "&amp;"are of great importance. We assessed the efficiency with which remnants of natural vegetation conserve the native ant fauna in a context of intensive agriculture. We compared the structure of ground-dwelling ant assemblages between crop fields and reserve"&amp;"s located in different farms. Ant species richness was much higher in the reserves than in the crops, and this pattern was consistent in spite of variations in the type of crop planted in each field, and in the size (39-149 ha) and vegetation (open or clo"&amp;"sed savanna) of the reserves. From 41.4 to 76.4 % of all species recorded within each farm were exclusively found in the reserves. Differences in species composition were strong not only because the reserves had much more species, but also because the spe"&amp;"cies that were present in both habitats showed contrasting patterns of abundance in each habitat. Overall, our results highlight that even small remnants of natural vegetation can have a significant potential to maintain a higher diversity of ants within "&amp;"an agriculturally dominated landscape.")</f>
        <v>Brazil is one of the leading producers of soybeans and other annual crops, and in several regions landowners are required by law to maintain 20 % of their lands with natural vegetation (i.e. as legal reserves). However, there is a growing concern that some of these reserves will be subject to increased levels of disturbance or even be lost as a result of the ongoing legislation reforms. In this sense, studies that evaluate the conservation potential of retaining natural habitats within agricultural areas are of great importance. We assessed the efficiency with which remnants of natural vegetation conserve the native ant fauna in a context of intensive agriculture. We compared the structure of ground-dwelling ant assemblages between crop fields and reserves located in different farms. Ant species richness was much higher in the reserves than in the crops, and this pattern was consistent in spite of variations in the type of crop planted in each field, and in the size (39-149 ha) and vegetation (open or closed savanna) of the reserves. From 41.4 to 76.4 % of all species recorded within each farm were exclusively found in the reserves. Differences in species composition were strong not only because the reserves had much more species, but also because the species that were present in both habitats showed contrasting patterns of abundance in each habitat. Overall, our results highlight that even small remnants of natural vegetation can have a significant potential to maintain a higher diversity of ants within an agriculturally dominated landscape.</v>
      </c>
      <c r="C817" s="24" t="str">
        <f>IFERROR(__xludf.DUMMYFUNCTION("""COMPUTED_VALUE"""),"10.1007/s10531-013-0463-y")</f>
        <v>10.1007/s10531-013-0463-y</v>
      </c>
      <c r="D817" s="24" t="str">
        <f>IFERROR(__xludf.DUMMYFUNCTION("""COMPUTED_VALUE"""),"Keck et al")</f>
        <v>Keck et al</v>
      </c>
      <c r="E817" s="24" t="str">
        <f>IFERROR(__xludf.DUMMYFUNCTION("""COMPUTED_VALUE"""),"WOS:000317011700009")</f>
        <v>WOS:000317011700009</v>
      </c>
      <c r="F817" s="24" t="str">
        <f>IFERROR(__xludf.DUMMYFUNCTION("""COMPUTED_VALUE"""),"[""ELIGIBLE""]")</f>
        <v>["ELIGIBLE"]</v>
      </c>
    </row>
    <row r="818">
      <c r="A818" s="24" t="str">
        <f>IFERROR(__xludf.DUMMYFUNCTION("""COMPUTED_VALUE"""),"Effects of sewage effluents and seasonal changes on the metabolism of three Atlantic rivers")</f>
        <v>Effects of sewage effluents and seasonal changes on the metabolism of three Atlantic rivers</v>
      </c>
      <c r="B818" s="24" t="str">
        <f>IFERROR(__xludf.DUMMYFUNCTION("""COMPUTED_VALUE"""),"Sewage inputs on fluvial ecosystems affect benthic communities and alter trophic networks resulting in changes on river functioning. Functional indicators (e.g. river metabolism) have been proposed as a valuable tool to evaluate ecosystem impairment. In t"&amp;"he present study we monitored river metabolism in spring (few days after a major flood) and in summer (after 35 days of low flow conditions) using both single-station and two-stations methods over a 24 h period up and downstream of wastewater treatment pl"&amp;"ant (WWTP) effluents on three Atlantic river reaches located in northern Spain (Europe). Concurrently with river metabolism, we characterized environmental characteristics (flow, velocity, depth, pH, water temperature, nutrients, etc.), benthic macroinver"&amp;"tebrate communities and biofilm (algae and epilithic biomass). Ecosystem Respiration (ER24) was similar at the different periods and locations, but Gross Primary Productivity (GPP) tended to decrease in impacted reaches (downstream WWTPs) and in summer (e"&amp;"xcept in the Saja River). However, the balance of the metabolic processes showed a trend towards autotrophy in the largest river, while WWTP effluents increased its autotrophy. Chlorophyll a concentration was &gt;4 times larger in spring than in summer in al"&amp;"l river reaches, while epilithic biomass followed a similar but less obvious pattern. Increase of invertebrate scraper densities (mainly, Potamopyrgus antipodarum) seems to be a plausible explanation for biofilm biomass temporal patterns in all sites (hig"&amp;"her in spring than in summer), altering GPP and ER24 patterns. Thus, metabolism rates show different responses to WWTP effluents depending on season and on the relationships among functional and structural components, with special focus on the composition"&amp;" and structure of macroinvertebrate communities. Increasing our understanding of cause-effect relationships on the impairment of aquatic ecosystems needs to account for both structural and functional components and their interactions. (C) 2017 Elsevier B."&amp;"V. All rights reserved.")</f>
        <v>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v>
      </c>
      <c r="C818" s="24" t="str">
        <f>IFERROR(__xludf.DUMMYFUNCTION("""COMPUTED_VALUE"""),"10.1016/j.scitotenv.2017.05.067")</f>
        <v>10.1016/j.scitotenv.2017.05.067</v>
      </c>
      <c r="D818" s="24" t="str">
        <f>IFERROR(__xludf.DUMMYFUNCTION("""COMPUTED_VALUE"""),"Keck et al")</f>
        <v>Keck et al</v>
      </c>
      <c r="E818" s="24" t="str">
        <f>IFERROR(__xludf.DUMMYFUNCTION("""COMPUTED_VALUE"""),"WOS:000405253500008")</f>
        <v>WOS:000405253500008</v>
      </c>
      <c r="F818" s="24" t="str">
        <f>IFERROR(__xludf.DUMMYFUNCTION("""COMPUTED_VALUE"""),"[""ELIGIBLE""]")</f>
        <v>["ELIGIBLE"]</v>
      </c>
    </row>
    <row r="819">
      <c r="A819" s="24" t="str">
        <f>IFERROR(__xludf.DUMMYFUNCTION("""COMPUTED_VALUE"""),"Biotic affinities of rocky reef fishes, invertebrates and macroalgae in different zones of the Port Davey marine protected area, south-western Tasmania")</f>
        <v>Biotic affinities of rocky reef fishes, invertebrates and macroalgae in different zones of the Port Davey marine protected area, south-western Tasmania</v>
      </c>
      <c r="B819" s="24" t="str">
        <f>IFERROR(__xludf.DUMMYFUNCTION("""COMPUTED_VALUE"""),"1. Assemblages of fishes, invertebrates, and macroalgae showed strong and predictable distributional patterns within the newly declared Port Davey marine protected area (MPA) in south-western Tasmania. Biotic assemblages in the eastern estuarine section o"&amp;"f the MPA within Bathurst Channel were extremely anomalous, both in relation to biota elsewhere in the Port Davey region and also to those present along the wider Tasmanian and Australian coasts. Much of this variation was due to the phenomenon of deepwat"&amp;"er emergence, with species in 5 m water depth in eastern Bathurst Channel possessing a mean maximum recorded depth of 200 m, compared with &lt;80 m for the same metric when calculated for sites studied elsewhere around Australia. Deepwater emergence in Bathu"&amp;"rst Channel was particularly notable for sessile organisms, although also evident among fishes and mobile macro-invertebrates. 2. Quantitative baseline surveys of reef-associated species were undertaken at sites interspersed among MPA management zone type"&amp;"s and biotic community types, thereby providing an appropriate benchmark for assessing ecological changes in different management zones within the Port Davey region through the long term. Distinctive biota present in eastern and western Bathurst Channel, "&amp;"and eastern Port Davey, are well protected within 'no-take' sanctuary zones; however, a bias in location of sanctuary zones towards areas with little fishery resources resulted in less protection for the western Port Davey biota, which also extends along "&amp;"the open coast. Although the lack of high level protection for sites with fishery resources detracts from conservation goals, the Port Davey MPA nevertheless represents a major advance in environmental protection because the ecologically unique, fully pro"&amp;"tected locations are a necessary inclusion within any comprehensive Australian MPA network. Copyright (C) 2009 John Wiley &amp; Sons, Ltd.")</f>
        <v>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v>
      </c>
      <c r="C819" s="24" t="str">
        <f>IFERROR(__xludf.DUMMYFUNCTION("""COMPUTED_VALUE"""),"10.1002/aqc.1082")</f>
        <v>10.1002/aqc.1082</v>
      </c>
      <c r="D819" s="24" t="str">
        <f>IFERROR(__xludf.DUMMYFUNCTION("""COMPUTED_VALUE"""),"Keck et al")</f>
        <v>Keck et al</v>
      </c>
      <c r="E819" s="24" t="str">
        <f>IFERROR(__xludf.DUMMYFUNCTION("""COMPUTED_VALUE"""),"WOS:000277830200006")</f>
        <v>WOS:000277830200006</v>
      </c>
      <c r="F819" s="24" t="str">
        <f>IFERROR(__xludf.DUMMYFUNCTION("""COMPUTED_VALUE"""),"[""ELIGIBLE""]")</f>
        <v>["ELIGIBLE"]</v>
      </c>
    </row>
    <row r="820">
      <c r="A820" s="24" t="str">
        <f>IFERROR(__xludf.DUMMYFUNCTION("""COMPUTED_VALUE"""),"Ecological assessment of water quality in an urban river replenished with reclaimed water: the phytoplankton functional groups approach")</f>
        <v>Ecological assessment of water quality in an urban river replenished with reclaimed water: the phytoplankton functional groups approach</v>
      </c>
      <c r="B820" s="24" t="str">
        <f>IFERROR(__xludf.DUMMYFUNCTION("""COMPUTED_VALUE"""),"Comprehensive water quality assessment plays a vital role in decision making for the sustainable management of urban rivers, and thus the exploration of integrated ecological assessment methods for water quality has become a major requirement. This study "&amp;"assessed the water quality of the North Canal River on the basis of its ecological status using the phytoplankton functional groups (PFGs) approach. The river runs through the megacities of the Beijing-Tianjin-Hebei region in China, and is mainly replenis"&amp;"hed with reclaimed water. The results showed that the PFGs approach is much better for evaluating the water quality of urban rivers than the conventional physicochemical index method and phytoplankton diversity metrics, because the PFGs approach is more s"&amp;"ensitive to the spatiotemporal variations in the water quality of urban rivers. The average Q ( r ) index, for ecological status estimation in rivers, based on the PFGs of the North Canal River was 3.30, indicating 'good' water quality. In the dry season,"&amp;" the dominant PFG upstream was group D (Cyclotella spp.), whereas the major downstream PFGs had changed to group Y (Glenodinium spp., Cryptomonas ovata, and Cryptomonas erosa) and W1 (Euglena spp. and Gonium pectoral). While the dominant PFG throughout th"&amp;"e river changed to T-B: Melosira spp. in the wet season. The Q ( r ) at each site was one to two grades lower during the wet season than the dry season, indicating that water quality was worse in the wet than the dry season.")</f>
        <v>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v>
      </c>
      <c r="C820" s="24" t="str">
        <f>IFERROR(__xludf.DUMMYFUNCTION("""COMPUTED_VALUE"""),"10.1088/2515-7620/ac3777")</f>
        <v>10.1088/2515-7620/ac3777</v>
      </c>
      <c r="D820" s="24" t="str">
        <f>IFERROR(__xludf.DUMMYFUNCTION("""COMPUTED_VALUE"""),"Keck et al")</f>
        <v>Keck et al</v>
      </c>
      <c r="E820" s="24" t="str">
        <f>IFERROR(__xludf.DUMMYFUNCTION("""COMPUTED_VALUE"""),"WOS:000719571700001")</f>
        <v>WOS:000719571700001</v>
      </c>
      <c r="F820" s="24" t="str">
        <f>IFERROR(__xludf.DUMMYFUNCTION("""COMPUTED_VALUE"""),"[""ELIGIBLE""]")</f>
        <v>["ELIGIBLE"]</v>
      </c>
    </row>
    <row r="821">
      <c r="A821" s="24" t="str">
        <f>IFERROR(__xludf.DUMMYFUNCTION("""COMPUTED_VALUE"""),"Effects of chronic anthropogenic disturbances on flesh fly (Diptera, Sarcophagidae) assemblages in areas of seasonally dry tropical forest")</f>
        <v>Effects of chronic anthropogenic disturbances on flesh fly (Diptera, Sarcophagidae) assemblages in areas of seasonally dry tropical forest</v>
      </c>
      <c r="B821" s="24" t="str">
        <f>IFERROR(__xludf.DUMMYFUNCTION("""COMPUTED_VALUE"""),"Background Seasonally dry tropical forests (SDTF) are among the most vulnerable ecosystems to chronic anthropogenic disturbances (CAD) such as agriculture, livestock and exploitation of wood and non-timber forest products which can negatively affect the l"&amp;"ocal biota. We evaluated the influence of CAD and rainfall on the diversity of flesh flies (Diptera, Sarcophagidae) in the Brazilian Caatinga. We expected that the increase in CAD would negatively affect the specialist Sarcophagidae species and promote ho"&amp;"mogenisation of the assemblage. Methods Specimens were collected using traps baited with fish, bovine spleen or human feces in six environments with different intensities of CAD-low, intermediate and high, based on land use and conservation status. Result"&amp;"s We collected 29,810 specimens (3760 males, identified to 14 genera, 32 species). We observed a positive relationship between disturbance intensity and the abundance of synanthropic flies, mainly Tricharaea occidua. The diversity of common species and do"&amp;"minant species were affected only by CAD. There was also a marked substitution of species throughout the Caatinga environments (beta SIM = 0.91), with few taxa (less than 50%) occurring indiscriminately in the areas under the three levels of impact. Discu"&amp;"ssion Chronic disturbances pose a constant threat to the conservation of flesh fly species. CAD act as a trigger for the homogenisation of Sarcophagidae assemblages, and magnify the dominance of synanthropic and generalist species. Implications for insect"&amp;" conservation Empirical data on the effect of chronic disturbances can subsidize quantitative studies addressing local extinction. Our data strengthen the use of Sarcophagidae as biological indicators of anthropogenic action and can subsidize protocols fo"&amp;"r monitoring anthropogenic impacts in dry forests.")</f>
        <v>Background Seasonally dry tropical forests (SDTF) are among the most vulnerable ecosystems to chronic anthropogenic disturbances (CAD) such as agriculture, livestock and exploitation of wood and non-timber forest products which can negatively affect the local biota. We evaluated the influence of CAD and rainfall on the diversity of flesh flies (Diptera, Sarcophagidae) in the Brazilian Caatinga. We expected that the increase in CAD would negatively affect the specialist Sarcophagidae species and promote homogenisation of the assemblage. Methods Specimens were collected using traps baited with fish, bovine spleen or human feces in six environments with different intensities of CAD-low, intermediate and high, based on land use and conservation status. Results We collected 29,810 specimens (3760 males, identified to 14 genera, 32 species). We observed a positive relationship between disturbance intensity and the abundance of synanthropic flies, mainly Tricharaea occidua. The diversity of common species and dominant species were affected only by CAD. There was also a marked substitution of species throughout the Caatinga environments (beta SIM = 0.91), with few taxa (less than 50%) occurring indiscriminately in the areas under the three levels of impact. Discussion Chronic disturbances pose a constant threat to the conservation of flesh fly species. CAD act as a trigger for the homogenisation of Sarcophagidae assemblages, and magnify the dominance of synanthropic and generalist species. Implications for insect conservation Empirical data on the effect of chronic disturbances can subsidize quantitative studies addressing local extinction. Our data strengthen the use of Sarcophagidae as biological indicators of anthropogenic action and can subsidize protocols for monitoring anthropogenic impacts in dry forests.</v>
      </c>
      <c r="C821" s="24" t="str">
        <f>IFERROR(__xludf.DUMMYFUNCTION("""COMPUTED_VALUE"""),"10.1007/s10841-021-00317-8")</f>
        <v>10.1007/s10841-021-00317-8</v>
      </c>
      <c r="D821" s="24" t="str">
        <f>IFERROR(__xludf.DUMMYFUNCTION("""COMPUTED_VALUE"""),"Keck et al")</f>
        <v>Keck et al</v>
      </c>
      <c r="E821" s="24" t="str">
        <f>IFERROR(__xludf.DUMMYFUNCTION("""COMPUTED_VALUE"""),"WOS:000648829200001")</f>
        <v>WOS:000648829200001</v>
      </c>
      <c r="F821" s="24" t="str">
        <f>IFERROR(__xludf.DUMMYFUNCTION("""COMPUTED_VALUE"""),"[""ELIGIBLE""]")</f>
        <v>["ELIGIBLE"]</v>
      </c>
    </row>
    <row r="822">
      <c r="A822" s="24" t="str">
        <f>IFERROR(__xludf.DUMMYFUNCTION("""COMPUTED_VALUE"""),"Eight years of manure fertilization favor copiotrophic traits in paddy soil microbiomes")</f>
        <v>Eight years of manure fertilization favor copiotrophic traits in paddy soil microbiomes</v>
      </c>
      <c r="B822" s="24" t="str">
        <f>IFERROR(__xludf.DUMMYFUNCTION("""COMPUTED_VALUE"""),"The application of organic matter to agricultural land is an efficient way to maintain soil eco-sustainability through the mediation of the soil-dwelling microbiome. Despite their important role in soil health, trait-based changes within cross-kingdom mic"&amp;"robial communities following organic fertilization in soils are still poorly characterized. Here, shotgun metagenomic sequencing was used to examine microbial taxonomic and functional composition when subjected to a fertilization gradient, in which increa"&amp;"sing amounts of cow manure have been continuously applied to paddy lands over 8 years. Organic fertilization did not have significant effects on the richness and diversity of soil microbial communities (bacteria, archaea, or fungi), nor the overall archae"&amp;"al or fungal community compositions. However, bacterial communities were highly responsive to the fertilization gradient, and a unidirectional and progressive shift was observed. Notably, over 95% of bacterial taxa showing significant changes in relative "&amp;"abundances could be classified as copiotrophic taxa, such as those assigned to the Proteobacteria and Actinobacteria; in contrast, those in non-fertilized soils were mostly assigned to Acidobacteria, which is an oligotrophic group. Coupled with these chan"&amp;"ges, indices such as the decreased ratios of unclassified bacterial taxa to the total taxa with fertilization provided both direct and indirect lines of evidence for shifts towards a higher proportion of microbes with a copiotrophic lifestyle in fertilize"&amp;"d soils compared with controls. Besides, the relative abundances of functional genes responsible for nutrient cycles (e.g., nitrate and sulfur reduction) as well as the degradation of complex organic compounds (e.g., lignin) were generally enriched with f"&amp;"ertilization compared with the controls, implying a potential for preferentially enhanced nutrient biogeochemical processes with the higher proportion of copiotrophic microbes in fertilized soils. The present work helps to identify trait-based shifts in c"&amp;"ross-kingdom soil microbial communities under organic fertilization, for the better evaluation of sustainable eco-agricultural management from a microbial community viewpoint.")</f>
        <v>The application of organic matter to agricultural land is an efficient way to maintain soil eco-sustainability through the mediation of the soil-dwelling microbiome. Despite their important role in soil health, trait-based changes within cross-kingdom microbial communities following organic fertilization in soils are still poorly characterized. Here, shotgun metagenomic sequencing was used to examine microbial taxonomic and functional composition when subjected to a fertilization gradient, in which increasing amounts of cow manure have been continuously applied to paddy lands over 8 years. Organic fertilization did not have significant effects on the richness and diversity of soil microbial communities (bacteria, archaea, or fungi), nor the overall archaeal or fungal community compositions. However, bacterial communities were highly responsive to the fertilization gradient, and a unidirectional and progressive shift was observed. Notably, over 95% of bacterial taxa showing significant changes in relative abundances could be classified as copiotrophic taxa, such as those assigned to the Proteobacteria and Actinobacteria; in contrast, those in non-fertilized soils were mostly assigned to Acidobacteria, which is an oligotrophic group. Coupled with these changes, indices such as the decreased ratios of unclassified bacterial taxa to the total taxa with fertilization provided both direct and indirect lines of evidence for shifts towards a higher proportion of microbes with a copiotrophic lifestyle in fertilized soils compared with controls. Besides, the relative abundances of functional genes responsible for nutrient cycles (e.g., nitrate and sulfur reduction) as well as the degradation of complex organic compounds (e.g., lignin) were generally enriched with fertilization compared with the controls, implying a potential for preferentially enhanced nutrient biogeochemical processes with the higher proportion of copiotrophic microbes in fertilized soils. The present work helps to identify trait-based shifts in cross-kingdom soil microbial communities under organic fertilization, for the better evaluation of sustainable eco-agricultural management from a microbial community viewpoint.</v>
      </c>
      <c r="C822" s="24" t="str">
        <f>IFERROR(__xludf.DUMMYFUNCTION("""COMPUTED_VALUE"""),"10.1016/j.ejsobi.2021.103352")</f>
        <v>10.1016/j.ejsobi.2021.103352</v>
      </c>
      <c r="D822" s="24" t="str">
        <f>IFERROR(__xludf.DUMMYFUNCTION("""COMPUTED_VALUE"""),"Keck et al")</f>
        <v>Keck et al</v>
      </c>
      <c r="E822" s="24" t="str">
        <f>IFERROR(__xludf.DUMMYFUNCTION("""COMPUTED_VALUE"""),"WOS:000696930400001")</f>
        <v>WOS:000696930400001</v>
      </c>
      <c r="F822" s="24" t="str">
        <f>IFERROR(__xludf.DUMMYFUNCTION("""COMPUTED_VALUE"""),"[""ELIGIBLE""]")</f>
        <v>["ELIGIBLE"]</v>
      </c>
    </row>
    <row r="823">
      <c r="A823" s="24" t="str">
        <f>IFERROR(__xludf.DUMMYFUNCTION("""COMPUTED_VALUE"""),"The effects of catchment land use on water quality and macroinvertebrate assemblages in Otara Creek, New Zealand")</f>
        <v>The effects of catchment land use on water quality and macroinvertebrate assemblages in Otara Creek, New Zealand</v>
      </c>
      <c r="B823" s="24" t="str">
        <f>IFERROR(__xludf.DUMMYFUNCTION("""COMPUTED_VALUE"""),"The effect of catchment land use on water quality and macroinvertebrate communities was examined by using data gathered during a 2004 reconnaissance of nine sites in the Otara Creek, New Zealand. Data collected included macroinvertebrate, water chemistry "&amp;"and sediments characteristics. Macroinvertebrate data were used in metric and index calculations. A total of 61 macroinvertebrate taxa, with 3032 total individuals, were identified from the macroinvertebrates samples collected from nine sites in Otara Cre"&amp;"ek. The greatest number of macroinvertebrate taxa was recorded within bush sites (mean &gt; 25), while the urban sites had the least number of taxa (mean = 10). Pasture sites were intermediate with the mean &gt; 17. Taxa number differed significantly across lan"&amp;"d use. Mean macroinvertebrates abundance varied across the sites and land uses. The highest macroinvertebrates mean abundance was recorded in urban and pasture sites, while bush sites had significantly lower mean abundance. Physico-chemical parameters dec"&amp;"reased from bush toward urban streams. Biotic indices were sensitive to changes in macroinvertebrates community structure across land uses with mean scores decreasing from bush to urban and pasture streams. Ordination of biological data showed a clear sep"&amp;"aration of bush from urban and pastures streams. Analysis of similarities revealed significant differences in macroinvertebrates between both stream groups and land-use groups. The observed macroinvertebrate assemblage pattern was best correlated with a s"&amp;"ingle variable, conductivity, temperature, turbidity, nitrate and dissolved oxygen. The combination of these environmental variables best explained the changes in the macroinvertebrate assemblages between sites. This study demonstrates that catchment land"&amp;" use may significantly affect the water quality and macroinvertebrate communities in an ecosystem.")</f>
        <v>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v>
      </c>
      <c r="C823" s="24" t="str">
        <f>IFERROR(__xludf.DUMMYFUNCTION("""COMPUTED_VALUE"""),"10.1080/02757540.2011.575374")</f>
        <v>10.1080/02757540.2011.575374</v>
      </c>
      <c r="D823" s="24" t="str">
        <f>IFERROR(__xludf.DUMMYFUNCTION("""COMPUTED_VALUE"""),"Keck et al")</f>
        <v>Keck et al</v>
      </c>
      <c r="E823" s="24" t="str">
        <f>IFERROR(__xludf.DUMMYFUNCTION("""COMPUTED_VALUE"""),"WOS:000299690700005")</f>
        <v>WOS:000299690700005</v>
      </c>
      <c r="F823" s="24" t="str">
        <f>IFERROR(__xludf.DUMMYFUNCTION("""COMPUTED_VALUE"""),"[""ELIGIBLE""]")</f>
        <v>["ELIGIBLE"]</v>
      </c>
    </row>
    <row r="824">
      <c r="A824" s="24" t="str">
        <f>IFERROR(__xludf.DUMMYFUNCTION("""COMPUTED_VALUE"""),"Impacts of Invasive Australian Acacias on Soil Bacterial Community Composition, Microbial Enzymatic Activities, and Nutrient Availability in Fynbos Soils")</f>
        <v>Impacts of Invasive Australian Acacias on Soil Bacterial Community Composition, Microbial Enzymatic Activities, and Nutrient Availability in Fynbos Soils</v>
      </c>
      <c r="B824" s="24" t="str">
        <f>IFERROR(__xludf.DUMMYFUNCTION("""COMPUTED_VALUE"""),"Invasive plants often impact soil conditions, notably through changes in soil chemistry and microbial community composition, potentially leading to altered soil functionality. We determine the impacts of invasive nitrogen-fixing Australian Acacia trees on"&amp;" soil chemistry and function (carbon, nitrogen, and phosphorus cycling) in South Africa's Core Cape Subregion, and whether any differences in soil function are linked to differences in soil chemical properties and bacterial community composition between n"&amp;"eighbouring acacia-invaded and uninvaded sites. We do so by using Illumina MiSeq sequencing data together with soil chemistry and soil enzyme activity profiles. Acacias significantly increased levels of soil nitrogen (NO3-, NH4+, and total N), C, and pH. "&amp;"Although we did not find evidence that acacias affected soil bacterial community diversity, we did find them to alter bacterial community composition. Acacias also significantly elevated microbial phosphatase activity, but not beta-glucosidase, whilst hav"&amp;"ing contrasting effects on urease. Changes in soil chemical properties under acacia invasion were found to correlate with changes in enzyme activities for urease and phosphatase. Similarly, changes in soil bacterial community composition were correlated t"&amp;"o changes in phosphatase enzymatic activity levels under acacia invasion. Whilst we found evidence for acacias altering soil function by changing soil chemical properties and bacterial community composition, these impacts appear to be specific to local si"&amp;"te conditions.")</f>
        <v>Invasive plants often impact soil conditions, notably through changes in soil chemistry and microbial community composition, potentially leading to altered soil functionality. We determine the impacts of invasive nitrogen-fixing Australian Acacia trees on soil chemistry and function (carbon, nitrogen, and phosphorus cycling) in South Africa's Core Cape Subregion, and whether any differences in soil function are linked to differences in soil chemical properties and bacterial community composition between neighbouring acacia-invaded and uninvaded sites. We do so by using Illumina MiSeq sequencing data together with soil chemistry and soil enzyme activity profiles. Acacias significantly increased levels of soil nitrogen (NO3-, NH4+, and total N), C, and pH. Although we did not find evidence that acacias affected soil bacterial community diversity, we did find them to alter bacterial community composition. Acacias also significantly elevated microbial phosphatase activity, but not beta-glucosidase, whilst having contrasting effects on urease. Changes in soil chemical properties under acacia invasion were found to correlate with changes in enzyme activities for urease and phosphatase. Similarly, changes in soil bacterial community composition were correlated to changes in phosphatase enzymatic activity levels under acacia invasion. Whilst we found evidence for acacias altering soil function by changing soil chemical properties and bacterial community composition, these impacts appear to be specific to local site conditions.</v>
      </c>
      <c r="C824" s="24" t="str">
        <f>IFERROR(__xludf.DUMMYFUNCTION("""COMPUTED_VALUE"""),"10.1007/s00248-021-01683-1")</f>
        <v>10.1007/s00248-021-01683-1</v>
      </c>
      <c r="D824" s="24" t="str">
        <f>IFERROR(__xludf.DUMMYFUNCTION("""COMPUTED_VALUE"""),"Keck et al")</f>
        <v>Keck et al</v>
      </c>
      <c r="E824" s="24" t="str">
        <f>IFERROR(__xludf.DUMMYFUNCTION("""COMPUTED_VALUE"""),"WOS:000612908100001")</f>
        <v>WOS:000612908100001</v>
      </c>
      <c r="F824" s="24" t="str">
        <f>IFERROR(__xludf.DUMMYFUNCTION("""COMPUTED_VALUE"""),"[""ELIGIBLE""]")</f>
        <v>["ELIGIBLE"]</v>
      </c>
    </row>
    <row r="825">
      <c r="A825" s="24" t="str">
        <f>IFERROR(__xludf.DUMMYFUNCTION("""COMPUTED_VALUE"""),"Impact of reservoirs on zooplankton diversity and implications for the conservation of natural aquatic environments")</f>
        <v>Impact of reservoirs on zooplankton diversity and implications for the conservation of natural aquatic environments</v>
      </c>
      <c r="B825" s="24" t="str">
        <f>IFERROR(__xludf.DUMMYFUNCTION("""COMPUTED_VALUE"""),"Reservoirs are intermediate ecosystems between rivers and lakes. These ecosystems break up the landscape by forming artificial lakes connected by rivers and change important ecological processes of lotic ecosystems (e.g. organic matter production and nutr"&amp;"ient cycling) and thus have direct effects on aquatic biodiversity. We test the hypothesis that damming water courses exerts a negative effect on the zooplankton community by decreasing the alpha diversity. Samplings were conducted in 30 reservoirs and 29"&amp;" natural lakes in the Neotropics, during two hydrological periods (dry and rainy) in 2001. The study analysed differences in alpha diversity, the number of rare, accessory and constant species, and species composition between the types of lakes. Alpha div"&amp;"ersity was significantly higher in natural lakes and species composition differed between natural lakes and reservoirs. Zooplankton alpha diversity was positively related to total phosphorus (best model), indicating that productive environments (natural l"&amp;"akes) gather more species. Our results suggest that reservoirs have negative effect on community structure, whereas natural lakes have an important ecological function for biodiversity conservation because they are refuges for biodiversity.")</f>
        <v>Reservoirs are intermediate ecosystems between rivers and lakes. These ecosystems break up the landscape by forming artificial lakes connected by rivers and change important ecological processes of lotic ecosystems (e.g. organic matter production and nutrient cycling) and thus have direct effects on aquatic biodiversity. We test the hypothesis that damming water courses exerts a negative effect on the zooplankton community by decreasing the alpha diversity. Samplings were conducted in 30 reservoirs and 29 natural lakes in the Neotropics, during two hydrological periods (dry and rainy) in 2001. The study analysed differences in alpha diversity, the number of rare, accessory and constant species, and species composition between the types of lakes. Alpha diversity was significantly higher in natural lakes and species composition differed between natural lakes and reservoirs. Zooplankton alpha diversity was positively related to total phosphorus (best model), indicating that productive environments (natural lakes) gather more species. Our results suggest that reservoirs have negative effect on community structure, whereas natural lakes have an important ecological function for biodiversity conservation because they are refuges for biodiversity.</v>
      </c>
      <c r="C825" s="24" t="str">
        <f>IFERROR(__xludf.DUMMYFUNCTION("""COMPUTED_VALUE"""),"10.1007/s10750-015-2260-y")</f>
        <v>10.1007/s10750-015-2260-y</v>
      </c>
      <c r="D825" s="24" t="str">
        <f>IFERROR(__xludf.DUMMYFUNCTION("""COMPUTED_VALUE"""),"Keck et al")</f>
        <v>Keck et al</v>
      </c>
      <c r="E825" s="24" t="str">
        <f>IFERROR(__xludf.DUMMYFUNCTION("""COMPUTED_VALUE"""),"WOS:000359400700002")</f>
        <v>WOS:000359400700002</v>
      </c>
      <c r="F825" s="24" t="str">
        <f>IFERROR(__xludf.DUMMYFUNCTION("""COMPUTED_VALUE"""),"[""ELIGIBLE""]")</f>
        <v>["ELIGIBLE"]</v>
      </c>
    </row>
    <row r="826">
      <c r="A826" s="24" t="str">
        <f>IFERROR(__xludf.DUMMYFUNCTION("""COMPUTED_VALUE"""),"Experimental evaluation of the impacts of the invasive catfish Hoplosternum littorale (Hancock, 1828) on aquatic macroinvertebrates")</f>
        <v>Experimental evaluation of the impacts of the invasive catfish Hoplosternum littorale (Hancock, 1828) on aquatic macroinvertebrates</v>
      </c>
      <c r="B826" s="24" t="str">
        <f>IFERROR(__xludf.DUMMYFUNCTION("""COMPUTED_VALUE"""),"The hoplo catfish [Hoplosternum littorale (Hancock, 1828)] is a callichthyid catfish native to South America. It was first recorded in Florida in 1995. It has now dispersed throughout much of Florida. It is thought that this fish has had little or no impa"&amp;"cts to native fish. However, it is unknown if the introduction of this fish can cause other ecological impacts, such as alteration of aquatic invertebrates assemblages. We conducted a cage experiment to evaluate the effects of the hoplo catfish on macroin"&amp;"vertebrates. Results showed that macroinvertebrate abundance and taxa on artificial substrates (MAS) were reduced by 31 and 50% in the fish treatments, respectively. The entire macroinvertebrate assemblage structure was significantly different between fis"&amp;"h and no-fish treatments. This difference was driven primarily by reductions in amphipods, and chironomids. Macroinvertebrates were also identified from fish stomachs and these were compared to assemblages on the MAS. We found a smaller subset of taxa in "&amp;"the stomachs, as compared to the MAS. These results suggest that this fish could alter the macroinvertebrate assemblage structure. This could have implications for environmental monitoring programs that use macroinvertebrates to assess water quality.")</f>
        <v>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v>
      </c>
      <c r="C826" s="24" t="str">
        <f>IFERROR(__xludf.DUMMYFUNCTION("""COMPUTED_VALUE"""),"10.3391/ai.2010.5.1.11")</f>
        <v>10.3391/ai.2010.5.1.11</v>
      </c>
      <c r="D826" s="24" t="str">
        <f>IFERROR(__xludf.DUMMYFUNCTION("""COMPUTED_VALUE"""),"Keck et al")</f>
        <v>Keck et al</v>
      </c>
      <c r="E826" s="24" t="str">
        <f>IFERROR(__xludf.DUMMYFUNCTION("""COMPUTED_VALUE"""),"WOS:000208389700011")</f>
        <v>WOS:000208389700011</v>
      </c>
      <c r="F826" s="24" t="str">
        <f>IFERROR(__xludf.DUMMYFUNCTION("""COMPUTED_VALUE"""),"[""ELIGIBLE""]")</f>
        <v>["ELIGIBLE"]</v>
      </c>
    </row>
    <row r="827">
      <c r="A827" s="24" t="str">
        <f>IFERROR(__xludf.DUMMYFUNCTION("""COMPUTED_VALUE"""),"Abrupt species loss of the Amazonian dung beetle in pastures adjacent to species-rich forests")</f>
        <v>Abrupt species loss of the Amazonian dung beetle in pastures adjacent to species-rich forests</v>
      </c>
      <c r="B827" s="24" t="str">
        <f>IFERROR(__xludf.DUMMYFUNCTION("""COMPUTED_VALUE"""),"Anthropogenic disturbances, such as conversion of forests to pastures, are considered one of the major causes of Amazonian biodiversity loss. Pastures are hostile environments for forest species that are not adapted to the adverse conditions of open areas"&amp;". The aim of this study was to analyze the effects of forest replacement by cattle pastures in the north-eastern part of the Amazonian rainforest using dung beetles (Scarabaeidae: Scarabaeinae) as indicators. Therefore, we determined edge effects and diff"&amp;"erences in dung beetle species richness, composition, and abundance between forest and neighbouring cattle pastures. A total of 6723 individuals of 63 species of dung beetle were collected. In comparison to forests, adjacent pastures were sharply less ric"&amp;"h and abundant in dung beetles. The forests had 6604 individuals and 59 species, while the pastures had 119 individuals and 12 species. The replacement of forests by pastures results in an increase of dung beetle species turnover. Only 12% of dung beetle "&amp;"species were shared by both forest and pasture environments. We highlight that most Amazonian dung beetles are forest species sensitive to abrupt human-driven modification of habitats and are only moderately affected by edge effects.")</f>
        <v>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v>
      </c>
      <c r="C827" s="24" t="str">
        <f>IFERROR(__xludf.DUMMYFUNCTION("""COMPUTED_VALUE"""),"10.1007/s10841-017-9988-9")</f>
        <v>10.1007/s10841-017-9988-9</v>
      </c>
      <c r="D827" s="24" t="str">
        <f>IFERROR(__xludf.DUMMYFUNCTION("""COMPUTED_VALUE"""),"Keck et al")</f>
        <v>Keck et al</v>
      </c>
      <c r="E827" s="24" t="str">
        <f>IFERROR(__xludf.DUMMYFUNCTION("""COMPUTED_VALUE"""),"WOS:000404178700012")</f>
        <v>WOS:000404178700012</v>
      </c>
      <c r="F827" s="24" t="str">
        <f>IFERROR(__xludf.DUMMYFUNCTION("""COMPUTED_VALUE"""),"[""ELIGIBLE""]")</f>
        <v>["ELIGIBLE"]</v>
      </c>
    </row>
    <row r="828">
      <c r="A828" s="24" t="str">
        <f>IFERROR(__xludf.DUMMYFUNCTION("""COMPUTED_VALUE"""),"Changes in carabid beetle assemblages along an urbanisation gradient in the city of Debrecen, Hungary")</f>
        <v>Changes in carabid beetle assemblages along an urbanisation gradient in the city of Debrecen, Hungary</v>
      </c>
      <c r="B828" s="24" t="str">
        <f>IFERROR(__xludf.DUMMYFUNCTION("""COMPUTED_VALUE"""),"Responses of carabid beetles (Coleoptera: Carabidae) to urbanisation were studied along an urban-suburban-rural gradient representing decreasing intensities of human disturbance. Carabids were collected by pitfall trapping during their activity period in "&amp;"lowland oak forest patches in the city of Debrecen, Eastern Hungary. The average number of carabid species was significantly higher in the rural and urban areas compared to the suburban one. The high overall species richness in the urban area was due to t"&amp;"he presence of species preferring open habitats. The species richness of forest specialist carabids significantly increased along the urban-rural gradient. The overall carabid abundance was significantly higher in the rural than the other two areas. The r"&amp;"esults did not support the hypothesis that overall diversity should decrease in response to habitat disturbance. They also contradicted the intermediate disturbance hypothesis: species richness was not the highest in the moderately disturbed suburban area"&amp;". In the urban area, opportunistic species dominated. The average carabid body size was significantly larger in the rural and suburban areas than in the more disturbed urban area. Multivariate methods detected changes in species composition and abundance "&amp;"structure along the urban-rural gradient. Significant proportion of the variation in abundance and species richness was explained by the heterogeneity of environmental variables (ground temperature, surface temperature, humidity, cover of decaying wood ma"&amp;"terial, herbs, canopy layer, and by the amount of prey).")</f>
        <v>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v>
      </c>
      <c r="C828" s="24" t="str">
        <f>IFERROR(__xludf.DUMMYFUNCTION("""COMPUTED_VALUE"""),"10.1007/s10980-005-1128-4")</f>
        <v>10.1007/s10980-005-1128-4</v>
      </c>
      <c r="D828" s="24" t="str">
        <f>IFERROR(__xludf.DUMMYFUNCTION("""COMPUTED_VALUE"""),"Keck et al")</f>
        <v>Keck et al</v>
      </c>
      <c r="E828" s="24" t="str">
        <f>IFERROR(__xludf.DUMMYFUNCTION("""COMPUTED_VALUE"""),"WOS:000226384000004")</f>
        <v>WOS:000226384000004</v>
      </c>
      <c r="F828" s="24" t="str">
        <f>IFERROR(__xludf.DUMMYFUNCTION("""COMPUTED_VALUE"""),"[""ELIGIBLE""]")</f>
        <v>["ELIGIBLE"]</v>
      </c>
    </row>
    <row r="829">
      <c r="A829" s="24" t="str">
        <f>IFERROR(__xludf.DUMMYFUNCTION("""COMPUTED_VALUE"""),"Effects of trout farms on stream macroinvertebrates: linking farm-scale disturbance to ecological impact")</f>
        <v>Effects of trout farms on stream macroinvertebrates: linking farm-scale disturbance to ecological impact</v>
      </c>
      <c r="B829" s="24" t="str">
        <f>IFERROR(__xludf.DUMMYFUNCTION("""COMPUTED_VALUE"""),"Trout farms are a significant component of the Australian aquaculture industry, but there have been no studies on the ecological impacts of Australian trout farms. I analysed biological monitoring data from 5 trout farms in the Goulburn Valley, Victoria, "&amp;"Australia. Using multivariate ordination and a Bayesian hierarchical model, I compared macroinvertebrate assemblages from upstream of the farms to those downstream, and related upstream-downstream differences in invertebrate assemblage condition to 5 farm"&amp;"-scale indices of disturbance. I found clear, but small, ecological impacts of individual farms (i.e. upstream to downstream differences in invertebrates), with between-farm variation in impacts largely explained by the indices of disturbance. The greates"&amp;"t impacts were seen for farms with high production intensity that utilise a high proportion of stream discharge, export a high relative load of nitrogen to the stream and are in areas of good biological condition. Recent research has explored operational "&amp;"and engineering solutions that reduce the downstream ecological impacts of trout farms. Adoption of such practices may help such farms to minimise impacts on streams.")</f>
        <v>Trout farms are a significant component of the Australian aquaculture industry, but there have been no studies on the ecological impacts of Australian trout farms. I analysed biological monitoring data from 5 trout farms in the Goulburn Valley, Victoria, Australia. Using multivariate ordination and a Bayesian hierarchical model, I compared macroinvertebrate assemblages from upstream of the farms to those downstream, and related upstream-downstream differences in invertebrate assemblage condition to 5 farm-scale indices of disturbance. I found clear, but small, ecological impacts of individual farms (i.e. upstream to downstream differences in invertebrates), with between-farm variation in impacts largely explained by the indices of disturbance. The greatest impacts were seen for farms with high production intensity that utilise a high proportion of stream discharge, export a high relative load of nitrogen to the stream and are in areas of good biological condition. Recent research has explored operational and engineering solutions that reduce the downstream ecological impacts of trout farms. Adoption of such practices may help such farms to minimise impacts on streams.</v>
      </c>
      <c r="C829" s="24" t="str">
        <f>IFERROR(__xludf.DUMMYFUNCTION("""COMPUTED_VALUE"""),"10.3354/aei00048")</f>
        <v>10.3354/aei00048</v>
      </c>
      <c r="D829" s="24" t="str">
        <f>IFERROR(__xludf.DUMMYFUNCTION("""COMPUTED_VALUE"""),"Keck et al")</f>
        <v>Keck et al</v>
      </c>
      <c r="E829" s="24" t="str">
        <f>IFERROR(__xludf.DUMMYFUNCTION("""COMPUTED_VALUE"""),"WOS:000312783800003")</f>
        <v>WOS:000312783800003</v>
      </c>
      <c r="F829" s="24" t="str">
        <f>IFERROR(__xludf.DUMMYFUNCTION("""COMPUTED_VALUE"""),"[""ELIGIBLE""]")</f>
        <v>["ELIGIBLE"]</v>
      </c>
    </row>
    <row r="830">
      <c r="A830" s="24" t="str">
        <f>IFERROR(__xludf.DUMMYFUNCTION("""COMPUTED_VALUE"""),"The impact of cattle access on ecological water quality in streams: Examples from agricultural catchments within Ireland")</f>
        <v>The impact of cattle access on ecological water quality in streams: Examples from agricultural catchments within Ireland</v>
      </c>
      <c r="B830" s="24" t="str">
        <f>IFERROR(__xludf.DUMMYFUNCTION("""COMPUTED_VALUE"""),"Unrestricted cattle access to rivers and streams represent a potentially significant localised pressure on freshwater systems. However there is no consensus in the literature on the occurrence and extent of impact and limited research has examined the eff"&amp;"ects on aquatic biota in the humid temperate environment examined in the present study. Furthermore, this is one of the first times that research consider the potential for cattle access impacts in streams of varying water quality in Northern Europe. We i"&amp;"nvestigated the effects of cattle access on macroinvertebrate communities and deposited fine sediment levels, in four rivers of high/good and four rivers of moderate water quality status which drain, low gradient, calcareous grassland catchments in Irelan"&amp;"d. We assessed the temporal variability in macroinvertebrates communities across two seasons, spring and autumn. Site specific impacts were evident which appeared to be influenced by water quality status and season. All four high/goodwater status rivers r"&amp;"evealed significant downstreamchanges in community structure and at least two univariate metrics ( total richness and EPT richness together with taxon, E and EPT abundance). Two of the four moderate water status rivers showed significant changes in commun"&amp;"ity structure, abundance and richness metrics and functional feeding groups driven in the main by downstream increases in collectors/gatherers, shredders and burrowing taxa. These two moderate water status rivers had high or prolonged livestock activity. "&amp;"In view of these findings, the potential for some of these sites to achieve at least high/good water quality status, as set out in the EU Water Framework Directive, may be compromised. The results presented highlight the need for additional research to fu"&amp;"rther define the site specific factors and livestock management practices, under different discharge conditions, that increase the risk of impact on aquatic ecology due to these cattle-river interactions. (C) 2015 Elsevier B.V. All rights reserved.")</f>
        <v>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v>
      </c>
      <c r="C830" s="24" t="str">
        <f>IFERROR(__xludf.DUMMYFUNCTION("""COMPUTED_VALUE"""),"10.1016/j.scitotenv.2015.12.120")</f>
        <v>10.1016/j.scitotenv.2015.12.120</v>
      </c>
      <c r="D830" s="24" t="str">
        <f>IFERROR(__xludf.DUMMYFUNCTION("""COMPUTED_VALUE"""),"Keck et al")</f>
        <v>Keck et al</v>
      </c>
      <c r="E830" s="24" t="str">
        <f>IFERROR(__xludf.DUMMYFUNCTION("""COMPUTED_VALUE"""),"WOS:000369630600003")</f>
        <v>WOS:000369630600003</v>
      </c>
      <c r="F830" s="24" t="str">
        <f>IFERROR(__xludf.DUMMYFUNCTION("""COMPUTED_VALUE"""),"[""ELIGIBLE""]")</f>
        <v>["ELIGIBLE"]</v>
      </c>
    </row>
    <row r="831">
      <c r="A831" s="24" t="str">
        <f>IFERROR(__xludf.DUMMYFUNCTION("""COMPUTED_VALUE"""),"Catastrophic decline in mollusc diversity in eastern Tasmania and its concurrence with shellfish fisheries")</f>
        <v>Catastrophic decline in mollusc diversity in eastern Tasmania and its concurrence with shellfish fisheries</v>
      </c>
      <c r="B831" s="24" t="str">
        <f>IFERROR(__xludf.DUMMYFUNCTION("""COMPUTED_VALUE"""),"We used historical patterns of deposition of mollusc shells to infer changes to inshore benthic assemblages in the southeastern Tasmanian region over the past 120 years. We identified and counted shells in slices embedded within 1m long (210)-Pb-dated sed"&amp;"iment cores were collected at 13 sites in water depths of 8-16 m. Declines in mollusc species richness and shell production occurred during the past century at all sites studied, with a mean decline per 5-cm sediment slice from 21 species in 1890 to 7 spe"&amp;"cies in 1990 and in shell abundance from 150 to 30 individuals over the same period. The time course of decline notably corresponded with the history of the scallop dredge fishery, presumably either because scallop dredging caused general declines in popu"&amp;"lations of the mollusc species or because other factors caused a catastrophic regional decline in molluscs that included scallops. As a consequence, the fishery was forced to close. Of major concern is that losses had not previously been recognized but ex"&amp;"tended throughout the 100-km coastal span of the study. Given that fishing and other anthropogenic impacts, as well as a lack of observational data, are virtually ubiquitous for the coastal zone, major recent losses in mollusc biodiversity may be globally"&amp;" widespread but have gone unnoticed.")</f>
        <v>We used historical patterns of deposition of mollusc shells to infer changes to inshore benthic assemblages in the southeastern Tasmanian region over the past 120 years. We identified and counted shells in slices embedded within 1m long (210)-Pb-dated sediment cores were collected at 13 sites in water depths of 8-16 m. Declines in mollusc species richness and shell production occurred during the past century at all sites studied, with a mean decline per 5-cm sediment slice from 21 species in 1890 to 7 species in 1990 and in shell abundance from 150 to 30 individuals over the same period. The time course of decline notably corresponded with the history of the scallop dredge fishery, presumably either because scallop dredging caused general declines in populations of the mollusc species or because other factors caused a catastrophic regional decline in molluscs that included scallops. As a consequence, the fishery was forced to close. Of major concern is that losses had not previously been recognized but extended throughout the 100-km coastal span of the study. Given that fishing and other anthropogenic impacts, as well as a lack of observational data, are virtually ubiquitous for the coastal zone, major recent losses in mollusc biodiversity may be globally widespread but have gone unnoticed.</v>
      </c>
      <c r="C831" s="24" t="str">
        <f>IFERROR(__xludf.DUMMYFUNCTION("""COMPUTED_VALUE"""),"10.1111/j.1523-1739.2004.00191.x")</f>
        <v>10.1111/j.1523-1739.2004.00191.x</v>
      </c>
      <c r="D831" s="24" t="str">
        <f>IFERROR(__xludf.DUMMYFUNCTION("""COMPUTED_VALUE"""),"Keck et al")</f>
        <v>Keck et al</v>
      </c>
      <c r="E831" s="24" t="str">
        <f>IFERROR(__xludf.DUMMYFUNCTION("""COMPUTED_VALUE"""),"WOS:000225737300021")</f>
        <v>WOS:000225737300021</v>
      </c>
      <c r="F831" s="24" t="str">
        <f>IFERROR(__xludf.DUMMYFUNCTION("""COMPUTED_VALUE"""),"[""ELIGIBLE""]")</f>
        <v>["ELIGIBLE"]</v>
      </c>
    </row>
    <row r="832">
      <c r="A832" s="24" t="str">
        <f>IFERROR(__xludf.DUMMYFUNCTION("""COMPUTED_VALUE"""),"How deforestation pattern in the Amazon influences vertebrate richness and community composition")</f>
        <v>How deforestation pattern in the Amazon influences vertebrate richness and community composition</v>
      </c>
      <c r="B832" s="24" t="str">
        <f>IFERROR(__xludf.DUMMYFUNCTION("""COMPUTED_VALUE"""),"The effects of habitat configuration on species persistence are predicted to be most apparent when remaining habitat cover is below 30%. We tested this prediction by comparing vertebrate communities in 21 landscapes located in the southern Amazonia, inclu"&amp;"ding 7 control landscapes (similar to 100% of forest cover) and 14 fragmented landscapes (4 x 4 km). The fragmented landscapes retained similar proportions of forest (similar to 25%), but had contrasting configurations, resulting from two different defore"&amp;"station patterns: the fish-bone pattern common in small properties, and the large-property pattern generally used by large ranchers. Vertebrates were surveyed in all landscapes in February-July 2009 with interviews (n = 150). We found a significant differ"&amp;"ence in reported species richness among the fish-bone, large-property, and control areas (mean = 29.3, 38.8 and 43.5 respectively). Control areas and large-properties tended to have a higher number of specialist species (mean = 13.7, and 11.7, respectivel"&amp;"y), when compared with the fish-bone pattern (5.1). Vertebrate community composition in the control and large-properties was more similar to one another than to those of the fish-bone landscapes. The number of fragments was the main factor affecting the p"&amp;"ersistence of species, being negatively associated with specialist species richness. Species richness was also positively related with the size of the largest fragment structurally connected to the studied landscapes (i.e., a regional scale effect). Our r"&amp;"esults demonstrated that the large-property pattern, which results in less fragmented landscapes, can maintain a more diverse community of large vertebrates, including top predators, which are considered fundamental for maintaining ecosystem integrity. Th"&amp;"ese results support the hypothesis that landscape configuration contributes to the persistence and/or extirpation of species.")</f>
        <v>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v>
      </c>
      <c r="C832" s="24" t="str">
        <f>IFERROR(__xludf.DUMMYFUNCTION("""COMPUTED_VALUE"""),"10.1007/s10980-012-9729-0")</f>
        <v>10.1007/s10980-012-9729-0</v>
      </c>
      <c r="D832" s="24" t="str">
        <f>IFERROR(__xludf.DUMMYFUNCTION("""COMPUTED_VALUE"""),"Keck et al")</f>
        <v>Keck et al</v>
      </c>
      <c r="E832" s="24" t="str">
        <f>IFERROR(__xludf.DUMMYFUNCTION("""COMPUTED_VALUE"""),"WOS:000305218000002")</f>
        <v>WOS:000305218000002</v>
      </c>
      <c r="F832" s="24" t="str">
        <f>IFERROR(__xludf.DUMMYFUNCTION("""COMPUTED_VALUE"""),"[""ELIGIBLE""]")</f>
        <v>["ELIGIBLE"]</v>
      </c>
    </row>
    <row r="833">
      <c r="A833" s="24" t="str">
        <f>IFERROR(__xludf.DUMMYFUNCTION("""COMPUTED_VALUE"""),"Elevated nutrients change bacterial community composition and connectivity: high throughput sequencing of young marine biofilms")</f>
        <v>Elevated nutrients change bacterial community composition and connectivity: high throughput sequencing of young marine biofilms</v>
      </c>
      <c r="B833" s="24" t="str">
        <f>IFERROR(__xludf.DUMMYFUNCTION("""COMPUTED_VALUE"""),"Biofilms are integral to many marine processes but their formation and function may be affected by anthropogenic inputs that alter environmental conditions, including fertilisers that increase nutrients. Density composition and connectivity of biofilms de"&amp;"veloped in situ (under ambient and elevated nutrients) were compared using 454-pyrosequencing of the 16S gene. Elevated nutrients shifted community composition from bacteria involved in higher processes (eg Pseudoalteromonas spp. invertebrate recruitment)"&amp;" towards more nutrient-tolerant bacterial species (eg Terendinibacter sp.). This may enable the persistence of biofilm communities by increasing resistance to nutrient inputs. A core biofilm microbiome was identified (predominantly Alteromonadales and Oce"&amp;"anospirillales) and revealed shifts in abundances of core microbes that could indicate enrichment by fertilisers. Fertiliser decreased density and connectivity within biofilms indicating that associations were disrupted perhaps via changes to energetic al"&amp;"locations within the core microbiome. Density composition and connectivity changes suggest nutrients can affect the stability and function of these important marine communities.")</f>
        <v>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v>
      </c>
      <c r="C833" s="24" t="str">
        <f>IFERROR(__xludf.DUMMYFUNCTION("""COMPUTED_VALUE"""),"10.1080/08927014.2015.1126581")</f>
        <v>10.1080/08927014.2015.1126581</v>
      </c>
      <c r="D833" s="24" t="str">
        <f>IFERROR(__xludf.DUMMYFUNCTION("""COMPUTED_VALUE"""),"Keck et al")</f>
        <v>Keck et al</v>
      </c>
      <c r="E833" s="24" t="str">
        <f>IFERROR(__xludf.DUMMYFUNCTION("""COMPUTED_VALUE"""),"WOS:000368561300007")</f>
        <v>WOS:000368561300007</v>
      </c>
      <c r="F833" s="24" t="str">
        <f>IFERROR(__xludf.DUMMYFUNCTION("""COMPUTED_VALUE"""),"[""ELIGIBLE""]")</f>
        <v>["ELIGIBLE"]</v>
      </c>
    </row>
    <row r="834">
      <c r="A834" s="24" t="str">
        <f>IFERROR(__xludf.DUMMYFUNCTION("""COMPUTED_VALUE"""),"Benthic indicators of sediment quality associated with run-of-river reservoirs")</f>
        <v>Benthic indicators of sediment quality associated with run-of-river reservoirs</v>
      </c>
      <c r="B834" s="24" t="str">
        <f>IFERROR(__xludf.DUMMYFUNCTION("""COMPUTED_VALUE"""),"Freshwater ecosystems have been fragmented by the construction of large numbers of dams. In addition to disruption of ecological continuity and physical disturbance downstream, accumulation of large amounts of sediment within run-of-river reservoirs const"&amp;"itutes a latent ecotoxic risk to aquatic communities. To date, run-of-river reservoirs and ecotoxic risks associated with contaminated sediment to the biodiversity and functioning of such systems are little studied. Therefore, the main objective of this s"&amp;"tudy was to describe macroinvertebrate assemblages, and the functioning of these systems, and to propose indicators of sediment contamination to integrate in in-situ risk assessment methodology. To identify specific assemblages of run-of-river reservoirs,"&amp;" we first compared macroinvertebrate assemblages and their biotrait profiles (i.e. from a database of biological and ecological traits) in reservoirs (n = 6) and associated river sites (upstream and downstream of dams). Then, we compared responses of asse"&amp;"mblages and biotrait profiles to sediment contamination of the banks and channels of reservoirs to select the most useful spatial scale to identify sediment contamination. Nineteen indicator taxa were observed to be specifically associated with channel ha"&amp;"bitats of reservoirs. Among these, the abundance of three taxa (Tanypodinae (Diptera), Ephemerella (Ephemeroptera) and Atherix (Diptera)) revealed the effect of metal sediment contamination. Between-reservoirs differences in their biotrait profile were fo"&amp;"und along the contamination gradient, with a shift of communities' composition and functionality, and an increase in functional similarity. Many traits (response traits), for example maximum size, transverse distribution, substrate preferences, saprobity,"&amp;" temperature, resistance forms, and locomotion, were specifically linked to contamination of sediments by metals. This study indicates how sediment contamination can change the structural and functional composition of run-of-river reservoir assemblages. I"&amp;"ndicator taxa and response traits identified in this study could improve current risk assessment methodology and potentially enable prediction of the risks of contaminated sediments stored in reservoirs in downstream ecosystems.")</f>
        <v>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v>
      </c>
      <c r="C834" s="24" t="str">
        <f>IFERROR(__xludf.DUMMYFUNCTION("""COMPUTED_VALUE"""),"10.1007/s10750-012-1355-y")</f>
        <v>10.1007/s10750-012-1355-y</v>
      </c>
      <c r="D834" s="24" t="str">
        <f>IFERROR(__xludf.DUMMYFUNCTION("""COMPUTED_VALUE"""),"Keck et al")</f>
        <v>Keck et al</v>
      </c>
      <c r="E834" s="24" t="str">
        <f>IFERROR(__xludf.DUMMYFUNCTION("""COMPUTED_VALUE"""),"WOS:000312782000011")</f>
        <v>WOS:000312782000011</v>
      </c>
      <c r="F834" s="24" t="str">
        <f>IFERROR(__xludf.DUMMYFUNCTION("""COMPUTED_VALUE"""),"[""ELIGIBLE""]")</f>
        <v>["ELIGIBLE"]</v>
      </c>
    </row>
    <row r="835">
      <c r="A835" s="24" t="str">
        <f>IFERROR(__xludf.DUMMYFUNCTION("""COMPUTED_VALUE"""),"Composition of fungal soil communities varies with plant abundance and geographic origin")</f>
        <v>Composition of fungal soil communities varies with plant abundance and geographic origin</v>
      </c>
      <c r="B835" s="24" t="str">
        <f>IFERROR(__xludf.DUMMYFUNCTION("""COMPUTED_VALUE"""),"Interactions of belowground fungal communities with exotic and native plant species may be important drivers of plant community structure in invaded grasslands. However, field surveys linking plant community structure with belowground fungal communities a"&amp;"re missing. We investigated whether a selected number of abundant and relatively rare plants, either native or exotic, from an old-field site associate with different fungal communities. We also assessed whether these plants showed different symbiotic rel"&amp;"ationships with soil biota through their roots. We characterized the plant community and collected roots to investigate fungal communities using 454 pyrosequencing and assessed arbuscular mycorrhizal colonization and enemy-induced lesions. Differences in "&amp;"fungal communities were considered based on the assessment of alpha- and beta diversity depending on plant 'abundance' and 'origin'. Plant abundance and origin determined the fungal community. Fungal richness was higher for native abundant as opposed to r"&amp;"elatively rare native plant species. However, this was not observed for exotics of contrasting abundance. Regardless of their origin, beta diversity was higher for rare than for abundant species. Abundant exotics in the community, which happen to be grass"&amp;"es, were the least mycorrhizal whereas rare natives were most susceptible to enemy attack. Our results suggest that compared with exotics, the relative abundance of remnant native plant species in our old-field site is still linked to the structure of bel"&amp;"owground fungal communities. In contrast, exotic species may act as a disturbing agent contributing towards the homogenization of soil fungal communities, potentially changing feedback interactions.")</f>
        <v>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v>
      </c>
      <c r="C835" s="24" t="str">
        <f>IFERROR(__xludf.DUMMYFUNCTION("""COMPUTED_VALUE"""),"10.1093/aobpla/plv110")</f>
        <v>10.1093/aobpla/plv110</v>
      </c>
      <c r="D835" s="24" t="str">
        <f>IFERROR(__xludf.DUMMYFUNCTION("""COMPUTED_VALUE"""),"Keck et al")</f>
        <v>Keck et al</v>
      </c>
      <c r="E835" s="24" t="str">
        <f>IFERROR(__xludf.DUMMYFUNCTION("""COMPUTED_VALUE"""),"WOS:000369027200001")</f>
        <v>WOS:000369027200001</v>
      </c>
      <c r="F835" s="24" t="str">
        <f>IFERROR(__xludf.DUMMYFUNCTION("""COMPUTED_VALUE"""),"[""ELIGIBLE""]")</f>
        <v>["ELIGIBLE"]</v>
      </c>
    </row>
    <row r="836">
      <c r="A836" s="24" t="str">
        <f>IFERROR(__xludf.DUMMYFUNCTION("""COMPUTED_VALUE"""),"Weed species structural and functional composition of okra fields and field periphery under different management intensities along the rural-urban gradient of two West African cities")</f>
        <v>Weed species structural and functional composition of okra fields and field periphery under different management intensities along the rural-urban gradient of two West African cities</v>
      </c>
      <c r="B836" s="24" t="str">
        <f>IFERROR(__xludf.DUMMYFUNCTION("""COMPUTED_VALUE"""),"In urban and peri-urban agricultural production systems of Sub-Saharan African cities, diverse and functional complex weed communities may help to maintain biodiversity and ecosystem services and therefore indirectly support crop performance. However, eff"&amp;"ects of agricultural intensification and urbanisation on important weed diversity in the West African region had received so far little attention, although in Burkina Faso and Ghana up to 90 per cent of the population depends on agriculture as a main sour"&amp;"ce of income generation. Hence, our research focussed on the analysis of changes in weed assemblages' structure and function of okra fields that were cultivated under different management intensities and were embedded into the rural, peri-urban and urban "&amp;"environment of two West African cities: Ouagadougou (Burkina Faso) and Tamale (Ghana). We found a strong relationship between gender and market orientation of okra cultivation. Market orientation of okra farmers was also a major driver in shaping weed spe"&amp;"cies assemblages and led to the development of a distinct weed assemblage in urban areas that even showed higher diversity in weeds' function. Morphological plant traits (life form, seed properties) were most affected by agricultural practises; distributi"&amp;"on pattern of ecological traits (seed dispersal mode, pollination vector) seemed to be influenced additionally by environmental characteristics with less entomophilous but more ornithochorous weed species on okra fields within urban areas. Our results rev"&amp;"ealed that the management of okra was highly variable and that this variation was influenced by fariners' socioeconomic background leading to changes in soil properties. These in turn may alter the functional diversity of beneficial weed communities beyon"&amp;"d changes in species richness by potentially harming the provisioning of ecosystem services such as pest control and pollination. (C) 2017 Elsevier B.V. All rights reserved.")</f>
        <v>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v>
      </c>
      <c r="C836" s="24" t="str">
        <f>IFERROR(__xludf.DUMMYFUNCTION("""COMPUTED_VALUE"""),"10.1016/j.agee.2016.12.028")</f>
        <v>10.1016/j.agee.2016.12.028</v>
      </c>
      <c r="D836" s="24" t="str">
        <f>IFERROR(__xludf.DUMMYFUNCTION("""COMPUTED_VALUE"""),"Keck et al")</f>
        <v>Keck et al</v>
      </c>
      <c r="E836" s="24" t="str">
        <f>IFERROR(__xludf.DUMMYFUNCTION("""COMPUTED_VALUE"""),"WOS:000393252200021")</f>
        <v>WOS:000393252200021</v>
      </c>
      <c r="F836" s="24" t="str">
        <f>IFERROR(__xludf.DUMMYFUNCTION("""COMPUTED_VALUE"""),"[""ELIGIBLE""]")</f>
        <v>["ELIGIBLE"]</v>
      </c>
    </row>
    <row r="837">
      <c r="A837" s="24" t="str">
        <f>IFERROR(__xludf.DUMMYFUNCTION("""COMPUTED_VALUE"""),"Taxonomic resolution needed to describe invertebrate assemblages and to detect harvesting effects on coral reef ecosystems")</f>
        <v>Taxonomic resolution needed to describe invertebrate assemblages and to detect harvesting effects on coral reef ecosystems</v>
      </c>
      <c r="B837" s="24" t="str">
        <f>IFERROR(__xludf.DUMMYFUNCTION("""COMPUTED_VALUE"""),"Due to the cost and time required for species identification, the taxonomic sufficiency approach has been developed in order to detect community response to a disturbance, using high taxonomic level without great loss of information. This concept has been"&amp;" widely applied to pollution monitoring studies but rarely to other forms of perturbations such as anthropogenic exploitation of marine resources. We applied this method both to soft-bottom (seagrasses) and hard-bottom (coralline) tropical invertebrate co"&amp;"mmunities in New Caledonia, South Pacific. The objective was to test whether intermediate or high taxonomic levels (genus, family, class or phylum instead of species) are good descriptors of community patterns and changes in assemblages related to harvest"&amp;"ing, by comparing harvested to non-harvested areas for the 2 habitats. We pooled species data into coarser taxonomic categories (from genus to phylum) and showed that matrices at different taxonomic resolutions were highly correlated, particularly for gen"&amp;"us and family level for both habitats. Differences between harvested and non-harvested locations appeared to be clearly habitat-dependent; for soft habitats, genus and family resolution allowed the detection of changes between exploited and protected asse"&amp;"mblages, while for hard habitats, the separation between harvested and non-harvested areas was less clear at high taxonomic level and required species-level identifications. These results suggest that the taxonomic sufficiency approach could be carefully "&amp;"applied to poorly known environments. Family level is a good descriptor of community composition for tropical reef invertebrates. Detecting changes due to anthropogenic exploitation requires different taxonomic resolutions depending on the considered habi"&amp;"tat.")</f>
        <v>Due to the cost and time required for species identification, the taxonomic sufficiency approach has been developed in order to detect community response to a disturbance, using high taxonomic level without great loss of information. This concept has been widely applied to pollution monitoring studies but rarely to other forms of perturbations such as anthropogenic exploitation of marine resources. We applied this method both to soft-bottom (seagrasses) and hard-bottom (coralline) tropical invertebrate communities in New Caledonia, South Pacific. The objective was to test whether intermediate or high taxonomic levels (genus, family, class or phylum instead of species) are good descriptors of community patterns and changes in assemblages related to harvesting, by comparing harvested to non-harvested areas for the 2 habitats. We pooled species data into coarser taxonomic categories (from genus to phylum) and showed that matrices at different taxonomic resolutions were highly correlated, particularly for genus and family level for both habitats. Differences between harvested and non-harvested locations appeared to be clearly habitat-dependent; for soft habitats, genus and family resolution allowed the detection of changes between exploited and protected assemblages, while for hard habitats, the separation between harvested and non-harvested areas was less clear at high taxonomic level and required species-level identifications. These results suggest that the taxonomic sufficiency approach could be carefully applied to poorly known environments. Family level is a good descriptor of community composition for tropical reef invertebrates. Detecting changes due to anthropogenic exploitation requires different taxonomic resolutions depending on the considered habitat.</v>
      </c>
      <c r="C837" s="24" t="str">
        <f>IFERROR(__xludf.DUMMYFUNCTION("""COMPUTED_VALUE"""),"10.3354/meps08521")</f>
        <v>10.3354/meps08521</v>
      </c>
      <c r="D837" s="24" t="str">
        <f>IFERROR(__xludf.DUMMYFUNCTION("""COMPUTED_VALUE"""),"Keck et al")</f>
        <v>Keck et al</v>
      </c>
      <c r="E837" s="24" t="str">
        <f>IFERROR(__xludf.DUMMYFUNCTION("""COMPUTED_VALUE"""),"WOS:000278441200017")</f>
        <v>WOS:000278441200017</v>
      </c>
      <c r="F837" s="24" t="str">
        <f>IFERROR(__xludf.DUMMYFUNCTION("""COMPUTED_VALUE"""),"[""ELIGIBLE""]")</f>
        <v>["ELIGIBLE"]</v>
      </c>
    </row>
    <row r="838">
      <c r="A838" s="24" t="str">
        <f>IFERROR(__xludf.DUMMYFUNCTION("""COMPUTED_VALUE"""),"Effects of salinity gradients on benthic invertebrate and diatom communities in a German lowland river")</f>
        <v>Effects of salinity gradients on benthic invertebrate and diatom communities in a German lowland river</v>
      </c>
      <c r="B838" s="24" t="str">
        <f>IFERROR(__xludf.DUMMYFUNCTION("""COMPUTED_VALUE"""),"The Lippe is a lowland river located in the Western part of Germany and has been heavily impacted by coal mining activities ever since. Although mining activities significantly decreased during the last decades, the associated discharge of salt-enriched m"&amp;"ine water into the river still poses a persistent threat to the local benthic invertebrate and diatom communities. To analyze the effect of salt pollution on invertebrate and diatom species, biological and chemical data were compiled for this study from a"&amp;" publicly available database. Changes in the community composition due to increased salt concentrations were explored by Non-Metrical-Multidimensional Scaling. Indicator species and salinity thresholds for single species and communities were identified us"&amp;"ing the method TITAN (Threshold Indicator Taxa Analysis). The method is an analytical approach to detect changes in frequency and abundance of species along an environmental gradient by combining the methods of change point analysis (nCPA) and indicator s"&amp;"pecies analysis, The obtained salinity preferences and individual and community thresholds were compared to the literature and existing salinity classifications. For both diatoms and benthic invertebrates. Non-Metrical-Multidimensional Scaling showed a cl"&amp;"ear split between samples of high and low salinities. Significant salinity thresholds were determined for 50 invertebrate and 58 diatom species of which 23 respectively 18 species were described as 'reliable' indicators according to the specifications giv"&amp;"en by Baker and King (2010). A majority of salt-tolerant indicator organisms were invasive species. For both organism groups, major changes in community composition were detected at a conductivity value exceeding 900 mu S/cm. A reduction of the average sa"&amp;"linity to below this threshold may have positive effects on the overall species richness and the persistence of sensitive taxa in the river Lippe. Individual and community thresholds may however be data-dependent to a certain degree and subjected to fluct"&amp;"uations considering the potential interdependencies between salinity and additional physico-chemical and environmental parameters (e.g. water temperature, lime content). (C) 2015 Published by Elsevier Ltd.")</f>
        <v>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v>
      </c>
      <c r="C838" s="24" t="str">
        <f>IFERROR(__xludf.DUMMYFUNCTION("""COMPUTED_VALUE"""),"10.1016/j.ecolind.2015.04.038")</f>
        <v>10.1016/j.ecolind.2015.04.038</v>
      </c>
      <c r="D838" s="24" t="str">
        <f>IFERROR(__xludf.DUMMYFUNCTION("""COMPUTED_VALUE"""),"Keck et al")</f>
        <v>Keck et al</v>
      </c>
      <c r="E838" s="24" t="str">
        <f>IFERROR(__xludf.DUMMYFUNCTION("""COMPUTED_VALUE"""),"WOS:000358091800029")</f>
        <v>WOS:000358091800029</v>
      </c>
      <c r="F838" s="24" t="str">
        <f>IFERROR(__xludf.DUMMYFUNCTION("""COMPUTED_VALUE"""),"[""ELIGIBLE""]")</f>
        <v>["ELIGIBLE"]</v>
      </c>
    </row>
    <row r="839">
      <c r="A839" s="24" t="str">
        <f>IFERROR(__xludf.DUMMYFUNCTION("""COMPUTED_VALUE"""),"Effects of pine invasion on anurans assemblage in southern Brazil coastal ponds")</f>
        <v>Effects of pine invasion on anurans assemblage in southern Brazil coastal ponds</v>
      </c>
      <c r="B839" s="24" t="str">
        <f>IFERROR(__xludf.DUMMYFUNCTION("""COMPUTED_VALUE"""),"The destruction of wetlands due to afforestation areas is a common activity in temperate and subtropical regions in Southern America. The expansion of pine in the Coastal Plain of Southern Brazil is out of control and its impacts on aquatic biodiversity a"&amp;"re little known. We tested the following hypotheses: the pine occurrence diminishes the anuran richness and abundance in ponds and it changes the anuran composition; the beta-diversity between pine and native grassland matrix ponds (natural ponds) is dete"&amp;"rmined mainly by nestedness. Sampling was carried out from 2007 to 2009 in five ponds in pine invasion matrix and five ponds in native grassland matrix. The natural ponds showed a greater richness of tadpoles (10 species) than pine ponds (5 species). The "&amp;"mean richness of adults was higher in natural ponds than pine ponds throughout the entire study. The species composition was different between natural and pine ponds, for both adults and tadpoles. Comparing natural ponds with each other and the pine ponds"&amp;" with each other, our results showed that neither nestedness nor turnover was determinant for beta-diversity. However, when natural ponds were compared with pine ones, we found that the contribution of nestedness was higher for the anurans beta-diversity "&amp;"than turnover. Increases in the nestedness mechanism indicated that the pine occurrence results in species loss in Southern Brazil ponds. Since 90% of its wetland has been already affected, the removal of Pinus in the conservation areas in southern Brazil"&amp;" is important to minimize their impacts on aquatic biodiversity.")</f>
        <v>The destruction of wetlands due to afforestation areas is a common activity in temperate and subtropical regions in Southern America. The expansion of pine in the Coastal Plain of Southern Brazil is out of control and its impacts on aquatic biodiversity are little known. We tested the following hypotheses: the pine occurrence diminishes the anuran richness and abundance in ponds and it changes the anuran composition; the beta-diversity between pine and native grassland matrix ponds (natural ponds) is determined mainly by nestedness. Sampling was carried out from 2007 to 2009 in five ponds in pine invasion matrix and five ponds in native grassland matrix. The natural ponds showed a greater richness of tadpoles (10 species) than pine ponds (5 species). The mean richness of adults was higher in natural ponds than pine ponds throughout the entire study. The species composition was different between natural and pine ponds, for both adults and tadpoles. Comparing natural ponds with each other and the pine ponds with each other, our results showed that neither nestedness nor turnover was determinant for beta-diversity. However, when natural ponds were compared with pine ones, we found that the contribution of nestedness was higher for the anurans beta-diversity than turnover. Increases in the nestedness mechanism indicated that the pine occurrence results in species loss in Southern Brazil ponds. Since 90% of its wetland has been already affected, the removal of Pinus in the conservation areas in southern Brazil is important to minimize their impacts on aquatic biodiversity.</v>
      </c>
      <c r="C839" s="24" t="str">
        <f>IFERROR(__xludf.DUMMYFUNCTION("""COMPUTED_VALUE"""),"10.1163/156853812X638518")</f>
        <v>10.1163/156853812X638518</v>
      </c>
      <c r="D839" s="24" t="str">
        <f>IFERROR(__xludf.DUMMYFUNCTION("""COMPUTED_VALUE"""),"Keck et al")</f>
        <v>Keck et al</v>
      </c>
      <c r="E839" s="24" t="str">
        <f>IFERROR(__xludf.DUMMYFUNCTION("""COMPUTED_VALUE"""),"WOS:000305270600007")</f>
        <v>WOS:000305270600007</v>
      </c>
      <c r="F839" s="24" t="str">
        <f>IFERROR(__xludf.DUMMYFUNCTION("""COMPUTED_VALUE"""),"[""ELIGIBLE""]")</f>
        <v>["ELIGIBLE"]</v>
      </c>
    </row>
    <row r="840">
      <c r="A840" s="24" t="str">
        <f>IFERROR(__xludf.DUMMYFUNCTION("""COMPUTED_VALUE"""),"Assessing sewage impact in a South-West Atlantic rocky shore intertidal algal community")</f>
        <v>Assessing sewage impact in a South-West Atlantic rocky shore intertidal algal community</v>
      </c>
      <c r="B840" s="24" t="str">
        <f>IFERROR(__xludf.DUMMYFUNCTION("""COMPUTED_VALUE"""),"The spatial and seasonal variation of the specific composition and community parameters (abundance, diversity, richness and evenness) of the intertidal algal assemblages was studied at four coastal sampling sites, distributed along an environmental gradie"&amp;"nt from the sewage water outfall of Mar del Plata, Buenos Aires, Argentina. Two of them were located close to the sewage outfall (&lt;800 m) (impacted area) and the two other were 8 and 9 km distant (non-impacted area). The algal abundance was monthly analyz"&amp;"ed from October 2008 to May 2009. The algal assemblages varied according to the pollution gradient in spring, summer and autumn, being autumn the season when the highest difference was observed. Ceramium uruguayense was recognized as an indicator species "&amp;"for the non-impacted areas, while Berkeleya sp. represented an indicator species for the sewage outfall impact. Ulva spp. did not reflect the typical pattern observed for other sewage pollution areas. (C) 2016 Elsevier Ltd. All rights reserved.")</f>
        <v>The spatial and seasonal variation of the specific composition and community parameters (abundance, diversity, richness and evenness) of the intertidal algal assemblages was studied at four coastal sampling sites, distributed along an environmental gradient from the sewage water outfall of Mar del Plata, Buenos Aires, Argentina. Two of them were located close to the sewage outfall (&lt;800 m) (impacted area) and the two other were 8 and 9 km distant (non-impacted area). The algal abundance was monthly analyzed from October 2008 to May 2009. The algal assemblages varied according to the pollution gradient in spring, summer and autumn, being autumn the season when the highest difference was observed. Ceramium uruguayense was recognized as an indicator species for the non-impacted areas, while Berkeleya sp. represented an indicator species for the sewage outfall impact. Ulva spp. did not reflect the typical pattern observed for other sewage pollution areas. (C) 2016 Elsevier Ltd. All rights reserved.</v>
      </c>
      <c r="C840" s="24" t="str">
        <f>IFERROR(__xludf.DUMMYFUNCTION("""COMPUTED_VALUE"""),"10.1016/j.marpolbul.2016.02.038")</f>
        <v>10.1016/j.marpolbul.2016.02.038</v>
      </c>
      <c r="D840" s="24" t="str">
        <f>IFERROR(__xludf.DUMMYFUNCTION("""COMPUTED_VALUE"""),"Keck et al")</f>
        <v>Keck et al</v>
      </c>
      <c r="E840" s="24" t="str">
        <f>IFERROR(__xludf.DUMMYFUNCTION("""COMPUTED_VALUE"""),"WOS:000376545900059")</f>
        <v>WOS:000376545900059</v>
      </c>
      <c r="F840" s="24" t="str">
        <f>IFERROR(__xludf.DUMMYFUNCTION("""COMPUTED_VALUE"""),"[""ELIGIBLE""]")</f>
        <v>["ELIGIBLE"]</v>
      </c>
    </row>
    <row r="841">
      <c r="A841" s="24" t="str">
        <f>IFERROR(__xludf.DUMMYFUNCTION("""COMPUTED_VALUE"""),"The ecology of Indo-Pacific grouper (Serranidae) species and the effects of a small scale no take area on grouper assemblage, abundance and size frequency distribution")</f>
        <v>The ecology of Indo-Pacific grouper (Serranidae) species and the effects of a small scale no take area on grouper assemblage, abundance and size frequency distribution</v>
      </c>
      <c r="B841" s="24" t="str">
        <f>IFERROR(__xludf.DUMMYFUNCTION("""COMPUTED_VALUE"""),"This paper used the case study of the Wakatobi Marine National Park, Indonesia to examine changes in the diversity, density and maturity of grouper species over a 5-year period following the establishment of a small-scale no-take area (NTA). This work was"&amp;" carried out to investigate whether small NTAs could be effective management strategies over a time scale that is relevant to local fishery communities and their perception of management success. Our research also documents the ecology of these species, i"&amp;"nformation essential if we are to understand how management practises are to affect coral reef fish species. Designation of this small NTA increased the density of groupers by 30% over a 5-year period of protected status. After 5 years of protection, grou"&amp;"per populations within this NTA were more mature and double the density of those within the adjacent lightly fished sites and nearly five times those of a heavily fished site. During this time all other nearby fished sites underwent large declines in grou"&amp;"per density. The nearby lightly fished Kaledupa site decreased by up to 50% year(1). Such drastic declines are considered the impact of the exponential development of ever efficient and unsustainable methods of fishing within the study region. This NTA wa"&amp;"s not of benefit to all grouper species; the reasons for which are not clear. Such questions require further detailed research about the life history, population and behavioural ecology of Indo-Pacific grouper species. Such information is critical for urg"&amp;"ently needed fisheries management. The present study found that a small scale NTA of 500 m length was large enough to increase the population of top predatory fish. In conjunction with other socially acceptable small scale NTAs it could help maintain and "&amp;"increase important fish stocks over a larger area. The use of small NTAs within networks of reserves should become a useful tool in the management of the locally exploited coral reefs.")</f>
        <v>This paper used the case study of the Wakatobi Marine National Park, Indonesia to examine changes in the diversity, density and maturity of grouper species over a 5-year period following the establishment of a small-scale no-take area (NTA). This work was carried out to investigate whether small NTAs could be effective management strategies over a time scale that is relevant to local fishery communities and their perception of management success. Our research also documents the ecology of these species, information essential if we are to understand how management practises are to affect coral reef fish species. Designation of this small NTA increased the density of groupers by 30% over a 5-year period of protected status. After 5 years of protection, grouper populations within this NTA were more mature and double the density of those within the adjacent lightly fished sites and nearly five times those of a heavily fished site. During this time all other nearby fished sites underwent large declines in grouper density. The nearby lightly fished Kaledupa site decreased by up to 50% year(1). Such drastic declines are considered the impact of the exponential development of ever efficient and unsustainable methods of fishing within the study region. This NTA was not of benefit to all grouper species; the reasons for which are not clear. Such questions require further detailed research about the life history, population and behavioural ecology of Indo-Pacific grouper species. Such information is critical for urgently needed fisheries management. The present study found that a small scale NTA of 500 m length was large enough to increase the population of top predatory fish. In conjunction with other socially acceptable small scale NTAs it could help maintain and increase important fish stocks over a larger area. The use of small NTAs within networks of reserves should become a useful tool in the management of the locally exploited coral reefs.</v>
      </c>
      <c r="C841" s="24" t="str">
        <f>IFERROR(__xludf.DUMMYFUNCTION("""COMPUTED_VALUE"""),"10.1007/s00227-007-0675-3")</f>
        <v>10.1007/s00227-007-0675-3</v>
      </c>
      <c r="D841" s="24" t="str">
        <f>IFERROR(__xludf.DUMMYFUNCTION("""COMPUTED_VALUE"""),"Keck et al")</f>
        <v>Keck et al</v>
      </c>
      <c r="E841" s="24" t="str">
        <f>IFERROR(__xludf.DUMMYFUNCTION("""COMPUTED_VALUE"""),"WOS:000248189300003")</f>
        <v>WOS:000248189300003</v>
      </c>
      <c r="F841" s="24" t="str">
        <f>IFERROR(__xludf.DUMMYFUNCTION("""COMPUTED_VALUE"""),"[""ELIGIBLE""]")</f>
        <v>["ELIGIBLE"]</v>
      </c>
    </row>
    <row r="842">
      <c r="A842" s="24" t="str">
        <f>IFERROR(__xludf.DUMMYFUNCTION("""COMPUTED_VALUE"""),"Flow variability maintains the structure and composition of in-channel riparian vegetation")</f>
        <v>Flow variability maintains the structure and composition of in-channel riparian vegetation</v>
      </c>
      <c r="B842" s="24" t="str">
        <f>IFERROR(__xludf.DUMMYFUNCTION("""COMPUTED_VALUE"""),"1. Naturally variable river flows are considered to be important for structuring riparian vegetation. However, while the importance of floods for the ecology of riparian vegetation is well recognised, much less is known about the importance of small fluct"&amp;"uations in river flows. 2. We investigated the effect of water supply diversion weirs on the riparian vegetation of upland streams. These weirs remove within-channel fluctuations in flow but do not prevent large floods downstream. We surveyed the in-chann"&amp;"el and banktop vegetation of five streams, three of which were regulated by weirs and two of which acted as controls. 3. Unexpectedly, we observed greater species richness within the channel downstream of the weirs. This was because of increased numbers o"&amp;"f exotic and terrestrial ('dry') plant species. Grass cover was also greater downstream of the weirs. There were no significant differences in the banktop vegetation between the upstream and downstream sites of the regulated streams. 4. Our results highli"&amp;"ght the role of within-channel flow variability in maintaining the composition of vegetation within the stream channel. We suggest that greater species richness does not necessarily indicate a less-disturbed environment. Rather, a greater number of 'dry' "&amp;"species is indicative of the impacts of flow regulation. 5. Small fluctuations in river flows are probably necessary to protect the ecosystem structure and function of regulated streams. It is recommended that variable within-channel flows be provided in "&amp;"regulated streams.")</f>
        <v>1. Naturally variable river flows are considered to be important for structuring riparian vegetation. However, while the importance of floods for the ecology of riparian vegetation is well recognised, much less is known about the importance of small fluctuations in river flows. 2. We investigated the effect of water supply diversion weirs on the riparian vegetation of upland streams. These weirs remove within-channel fluctuations in flow but do not prevent large floods downstream. We surveyed the in-channel and banktop vegetation of five streams, three of which were regulated by weirs and two of which acted as controls. 3. Unexpectedly, we observed greater species richness within the channel downstream of the weirs. This was because of increased numbers of exotic and terrestrial ('dry') plant species. Grass cover was also greater downstream of the weirs. There were no significant differences in the banktop vegetation between the upstream and downstream sites of the regulated streams. 4. Our results highlight the role of within-channel flow variability in maintaining the composition of vegetation within the stream channel. We suggest that greater species richness does not necessarily indicate a less-disturbed environment. Rather, a greater number of 'dry' species is indicative of the impacts of flow regulation. 5. Small fluctuations in river flows are probably necessary to protect the ecosystem structure and function of regulated streams. It is recommended that variable within-channel flows be provided in regulated streams.</v>
      </c>
      <c r="C842" s="24" t="str">
        <f>IFERROR(__xludf.DUMMYFUNCTION("""COMPUTED_VALUE"""),"10.1111/j.1365-2427.2011.02676.x")</f>
        <v>10.1111/j.1365-2427.2011.02676.x</v>
      </c>
      <c r="D842" s="24" t="str">
        <f>IFERROR(__xludf.DUMMYFUNCTION("""COMPUTED_VALUE"""),"Keck et al")</f>
        <v>Keck et al</v>
      </c>
      <c r="E842" s="24" t="str">
        <f>IFERROR(__xludf.DUMMYFUNCTION("""COMPUTED_VALUE"""),"WOS:000296502000008")</f>
        <v>WOS:000296502000008</v>
      </c>
      <c r="F842" s="24" t="str">
        <f>IFERROR(__xludf.DUMMYFUNCTION("""COMPUTED_VALUE"""),"[""ELIGIBLE""]")</f>
        <v>["ELIGIBLE"]</v>
      </c>
    </row>
    <row r="843">
      <c r="A843" s="24" t="str">
        <f>IFERROR(__xludf.DUMMYFUNCTION("""COMPUTED_VALUE"""),"Abundant and Rare Bacterioplankton in Freshwater Lakes Subjected to Different Levels of Tourism Disturbances")</f>
        <v>Abundant and Rare Bacterioplankton in Freshwater Lakes Subjected to Different Levels of Tourism Disturbances</v>
      </c>
      <c r="B843" s="24" t="str">
        <f>IFERROR(__xludf.DUMMYFUNCTION("""COMPUTED_VALUE"""),"Anthropogenic disturbances have a negative impact on lake ecosystems, such as water environmental degradation. Bacterioplankton communities are essential components in lakes and consist of a few abundant species and several rare taxa. However, little is k"&amp;"nown about the community diversity and composition of abundant and rare bacterioplankton subjected to different levels of anthropogenic disturbances. In this study, water samples were collected from twelve freshwater lakes located around the city of Nanji"&amp;"ng, China. Both Illumina MiSeq sequencing and multivariate statistical analysis were employed to determine the bacterioplankton community composition and its relation to environmental variables. The results indicated that tourism disturbances (mostly sewa"&amp;"ge discharge and tourist activities) altered the community structure of both abundant and rare bacterioplankton by changing water physicochemical characteristics. Alpha diversity of both abundant and rare taxa did not differ among different anthropogenic "&amp;"disturbance lakes (p &gt; 0.05). Rare bacterial taxa possessed higher alpha diversity than abundant taxa, though rare taxa occupied a tiny portion of abundance (4.5%). Redundancy analysis demonstrated that dissolved organic carbon (DOC) was the most signific"&amp;"ant correlation variable for constraining the variation of abundant taxa, whereas total phosphorus (TP), ammonium nitrogen (NH4+-N), and chlorophyll-a (Chl-a) were the most dominant environmental factors constraining the rare taxa, indicating abundant and"&amp;" rare taxa may have different ecological niches.")</f>
        <v>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v>
      </c>
      <c r="C843" s="24" t="str">
        <f>IFERROR(__xludf.DUMMYFUNCTION("""COMPUTED_VALUE"""),"10.3390/w10081075")</f>
        <v>10.3390/w10081075</v>
      </c>
      <c r="D843" s="24" t="str">
        <f>IFERROR(__xludf.DUMMYFUNCTION("""COMPUTED_VALUE"""),"Keck et al")</f>
        <v>Keck et al</v>
      </c>
      <c r="E843" s="24" t="str">
        <f>IFERROR(__xludf.DUMMYFUNCTION("""COMPUTED_VALUE"""),"WOS:000448462700109")</f>
        <v>WOS:000448462700109</v>
      </c>
      <c r="F843" s="24" t="str">
        <f>IFERROR(__xludf.DUMMYFUNCTION("""COMPUTED_VALUE"""),"[""ELIGIBLE""]")</f>
        <v>["ELIGIBLE"]</v>
      </c>
    </row>
    <row r="844">
      <c r="A844" s="24" t="str">
        <f>IFERROR(__xludf.DUMMYFUNCTION("""COMPUTED_VALUE"""),"Dredging impact on the benthic community of an unaltered inlet in southern Spain")</f>
        <v>Dredging impact on the benthic community of an unaltered inlet in southern Spain</v>
      </c>
      <c r="B844" s="24" t="str">
        <f>IFERROR(__xludf.DUMMYFUNCTION("""COMPUTED_VALUE"""),"The impact of dredging on macrobenthic communities was studied in an unaltered zone, the Getares inlet of Algeciras Bay (SW Spain). The data obtained before, during and after dredging in a time series spanning 5 years revealed the re-establishment of dire"&amp;"ctly affected communities and of physicochemical substrate characteristics within 1 month of the end of dredging, although 2 years later there was a confusing biological impoverishment of the whole inlet. After 4 years, there was a high degree of populati"&amp;"on re-establishment, both on the bottoms directly affected by the works and on neighbouring areas, that was partly due to the hydrodynamic conditions. Before this type of activity is undertaken, each case should be studied regarding viability, the environ"&amp;"mental medium where it will take place, the best time of year, and the type of dredging to be used.")</f>
        <v>The impact of dredging on macrobenthic communities was studied in an unaltered zone, the Getares inlet of Algeciras Bay (SW Spain). The data obtained before, during and after dredging in a time series spanning 5 years revealed the re-establishment of directly affected communities and of physicochemical substrate characteristics within 1 month of the end of dredging, although 2 years later there was a confusing biological impoverishment of the whole inlet. After 4 years, there was a high degree of population re-establishment, both on the bottoms directly affected by the works and on neighbouring areas, that was partly due to the hydrodynamic conditions. Before this type of activity is undertaken, each case should be studied regarding viability, the environmental medium where it will take place, the best time of year, and the type of dredging to be used.</v>
      </c>
      <c r="C844" s="24" t="str">
        <f>IFERROR(__xludf.DUMMYFUNCTION("""COMPUTED_VALUE"""),"10.1007/s10152-003-0166-y")</f>
        <v>10.1007/s10152-003-0166-y</v>
      </c>
      <c r="D844" s="24" t="str">
        <f>IFERROR(__xludf.DUMMYFUNCTION("""COMPUTED_VALUE"""),"Keck et al")</f>
        <v>Keck et al</v>
      </c>
      <c r="E844" s="24" t="str">
        <f>IFERROR(__xludf.DUMMYFUNCTION("""COMPUTED_VALUE"""),"WOS:000188607600006")</f>
        <v>WOS:000188607600006</v>
      </c>
      <c r="F844" s="24" t="str">
        <f>IFERROR(__xludf.DUMMYFUNCTION("""COMPUTED_VALUE"""),"[""ELIGIBLE""]")</f>
        <v>["ELIGIBLE"]</v>
      </c>
    </row>
    <row r="845">
      <c r="A845" s="24" t="str">
        <f>IFERROR(__xludf.DUMMYFUNCTION("""COMPUTED_VALUE"""),"Anthropogenic activities destabilized riverine bacterial communities by increasing synchrony between taxa")</f>
        <v>Anthropogenic activities destabilized riverine bacterial communities by increasing synchrony between taxa</v>
      </c>
      <c r="B845" s="24" t="str">
        <f>IFERROR(__xludf.DUMMYFUNCTION("""COMPUTED_VALUE"""),"Previous studies suggested that strong positive correlations between microbial taxa destabilized the microbial communities, because high synchrony between taxa caused different taxa responded in tandem to the changes of environmental conditions. In this s"&amp;"tudy, we used nutrient concentrations (nitrogen and phosphorus) as indicators for anthropogenic activities, and explored the effects of anthropogenic activities on the stability of bacterial communities in a subtropical river, Xiyuan River. We also used c"&amp;"o-occurrence networks to indicate the synchrony between bacterial taxa. The nutrient concentrations were higher in the midstream and downstream areas than in the upstream area of Xiyuan River. As a result, the average proportion and correlation coefficien"&amp;"t of positive correlations were higher in the midstream and downstream networks than in the upstream networks. This indicates that frequent anthropogenic activities increased the synchrony between taxa in the midstream and downstream communities, and ther"&amp;"efore destabilized the bacterial communities. To further explore the mechanisms, we found that the changes of community stabilities associated with the changes of bacterial functions. Anthropogenic activity tolerant bacteria (e.g., nutrient removal, aroma"&amp;"tic degradation and pathogen bacteria) and their linked bacterial taxa formed large and strong positive modules in the midstream and downstream networks, and thus destabilized the communities. Based on the perspective of microbial correlations, our result"&amp;"s provide a new insight in the mechanisms of how anthropogenic activities alter riverine microbial communities.")</f>
        <v>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v>
      </c>
      <c r="C845" s="24" t="str">
        <f>IFERROR(__xludf.DUMMYFUNCTION("""COMPUTED_VALUE"""),"10.1007/s00027-021-00818-3")</f>
        <v>10.1007/s00027-021-00818-3</v>
      </c>
      <c r="D845" s="24" t="str">
        <f>IFERROR(__xludf.DUMMYFUNCTION("""COMPUTED_VALUE"""),"Keck et al")</f>
        <v>Keck et al</v>
      </c>
      <c r="E845" s="24" t="str">
        <f>IFERROR(__xludf.DUMMYFUNCTION("""COMPUTED_VALUE"""),"WOS:000691269000001")</f>
        <v>WOS:000691269000001</v>
      </c>
      <c r="F845" s="24" t="str">
        <f>IFERROR(__xludf.DUMMYFUNCTION("""COMPUTED_VALUE"""),"[""ELIGIBLE""]")</f>
        <v>["ELIGIBLE"]</v>
      </c>
    </row>
    <row r="846">
      <c r="A846" s="24" t="str">
        <f>IFERROR(__xludf.DUMMYFUNCTION("""COMPUTED_VALUE"""),"Effects of livestock grazing on aboveground insect communities in semi-arid grasslands of southeastern Arizona")</f>
        <v>Effects of livestock grazing on aboveground insect communities in semi-arid grasslands of southeastern Arizona</v>
      </c>
      <c r="B846" s="24" t="str">
        <f>IFERROR(__xludf.DUMMYFUNCTION("""COMPUTED_VALUE"""),"Despite the importance of invertebrates in grassland ecosystems, few studies have examined how grassland invertebrates have been impacted by disturbances in the southwestern United States. These grasslands may be particularly sensitive to one common distu"&amp;"rbance, livestock grazing, because they have not recently evolved in the presence of large herds of bison, an important mammalian herbivore. This study examined how livestock grazing influenced vegetation-associated insect communities in southeastern Ariz"&amp;"ona. Insect abundance, richness, diversity, community composition, and key environmental variables were compared between sites on active cattle ranches and sites on a 3160 ha sanctuary that has not been grazed by cattle for over 25 years. Vegetation-assoc"&amp;"iated insect communities were found to be sensitive to livestock grazing. Overall abundance of these insects was lower on grazed grasslands, and certain insect orders appeared to be negatively affected by livestock grazing; beetles were less rich, flies w"&amp;"ere less diverse, and Hymenoptera were less rich and diverse on grazed sites. Conversely, Hemiptera were more diverse on grazed sites. Species composition of vegetation-associated insect communities also differed and was significantly correlated with perc"&amp;"ent vegetation cover and number of shrubs. Insect species responsible for these differences were taxonomically diverse, and included herbivores and predators/parasites. When compared to other studies conducted in areas of the United States that fall withi"&amp;"n the historic range of bison, this study suggests that invertebrates in areas outside this range may be more sensitive to grazing pressure.")</f>
        <v>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v>
      </c>
      <c r="C846" s="24" t="str">
        <f>IFERROR(__xludf.DUMMYFUNCTION("""COMPUTED_VALUE"""),"10.1007/s10531-005-2786-9")</f>
        <v>10.1007/s10531-005-2786-9</v>
      </c>
      <c r="D846" s="24" t="str">
        <f>IFERROR(__xludf.DUMMYFUNCTION("""COMPUTED_VALUE"""),"Keck et al")</f>
        <v>Keck et al</v>
      </c>
      <c r="E846" s="24" t="str">
        <f>IFERROR(__xludf.DUMMYFUNCTION("""COMPUTED_VALUE"""),"WOS:000241168900012")</f>
        <v>WOS:000241168900012</v>
      </c>
      <c r="F846" s="24" t="str">
        <f>IFERROR(__xludf.DUMMYFUNCTION("""COMPUTED_VALUE"""),"[""ELIGIBLE""]")</f>
        <v>["ELIGIBLE"]</v>
      </c>
    </row>
    <row r="847">
      <c r="A847" s="24" t="str">
        <f>IFERROR(__xludf.DUMMYFUNCTION("""COMPUTED_VALUE"""),"Open oakwoods facing modern threats: Will they survive the next fifty years?")</f>
        <v>Open oakwoods facing modern threats: Will they survive the next fifty years?</v>
      </c>
      <c r="B847" s="24" t="str">
        <f>IFERROR(__xludf.DUMMYFUNCTION("""COMPUTED_VALUE"""),"Open oakwoods are ancient but currently vanishing plant communities of high conservation value. We studied the vegetation of Eurasian steppic oalcwoods in the Czech Republic where they are at the westernmost outcrop of their potential distribution to unde"&amp;"rstand ecosystem changes and their drivers in the period of modern environmental change. In 2012, we resampled a set of semi-permanent plots established in 1965. Long-term compositional shifts and biotic homogenization were linked mainly to eutrophication"&amp;" and canopy closure. Ecological groups of nitrophytes and neophytes increased, while assemblages of species characteristic for open woodlands declined. This process can be attributed to several factors including changes in forest management, the rise of t"&amp;"he native woody species Tilia cordata, airborne nitrogen input to generally nutrient-poor substrates and subsequent increase of invasive plant species, and finally to increased wildboar density. The decline of the unique communities of open steppic oakwoo"&amp;"ds will likely continue under the current management, increased nitrogen availability and canopy closure. Although reintroducing the wide range of historical forest uses is not realistic, the removal of Tilia individuals, reduction of the wild boar popula"&amp;"tion and the promotion of Quercus to maintain the open-canopy structure may moderate the shift towards novel communities and help to restore open oakwoods.")</f>
        <v>Open oakwoods are ancient but currently vanishing plant communities of high conservation value. We studied the vegetation of Eurasian steppic oalcwoods in the Czech Republic where they are at the westernmost outcrop of their potential distribution to understand ecosystem changes and their drivers in the period of modern environmental change. In 2012, we resampled a set of semi-permanent plots established in 1965. Long-term compositional shifts and biotic homogenization were linked mainly to eutrophication and canopy closure. Ecological groups of nitrophytes and neophytes increased, while assemblages of species characteristic for open woodlands declined. This process can be attributed to several factors including changes in forest management, the rise of the native woody species Tilia cordata, airborne nitrogen input to generally nutrient-poor substrates and subsequent increase of invasive plant species, and finally to increased wildboar density. The decline of the unique communities of open steppic oakwoods will likely continue under the current management, increased nitrogen availability and canopy closure. Although reintroducing the wide range of historical forest uses is not realistic, the removal of Tilia individuals, reduction of the wild boar population and the promotion of Quercus to maintain the open-canopy structure may moderate the shift towards novel communities and help to restore open oakwoods.</v>
      </c>
      <c r="C847" s="24" t="str">
        <f>IFERROR(__xludf.DUMMYFUNCTION("""COMPUTED_VALUE"""),"10.1016/j.biocon.2017.04.017")</f>
        <v>10.1016/j.biocon.2017.04.017</v>
      </c>
      <c r="D847" s="24" t="str">
        <f>IFERROR(__xludf.DUMMYFUNCTION("""COMPUTED_VALUE"""),"Keck et al")</f>
        <v>Keck et al</v>
      </c>
      <c r="E847" s="24" t="str">
        <f>IFERROR(__xludf.DUMMYFUNCTION("""COMPUTED_VALUE"""),"WOS:000405881600019")</f>
        <v>WOS:000405881600019</v>
      </c>
      <c r="F847" s="24" t="str">
        <f>IFERROR(__xludf.DUMMYFUNCTION("""COMPUTED_VALUE"""),"[""ELIGIBLE""]")</f>
        <v>["ELIGIBLE"]</v>
      </c>
    </row>
    <row r="848">
      <c r="A848" s="24" t="str">
        <f>IFERROR(__xludf.DUMMYFUNCTION("""COMPUTED_VALUE"""),"Effects of Fertilization Methods on Chemical Properties, Enzyme Activity, and Fungal Community Structure of Black Soil in Northeast China")</f>
        <v>Effects of Fertilization Methods on Chemical Properties, Enzyme Activity, and Fungal Community Structure of Black Soil in Northeast China</v>
      </c>
      <c r="B848" s="24" t="str">
        <f>IFERROR(__xludf.DUMMYFUNCTION("""COMPUTED_VALUE"""),"Understanding the influence of fertilizer on soil quality is vital to agricultural management, yet there are few studies, particularly in black soil. In this study, soils under various treatments, namely no fertilizer, bio-organic + humic acid, bio-organi"&amp;"c + chemical, and chemical fertilizer, were sampled to identify their major physiochemical properties, and to investigate the fungal community structure using environmental sequencing techniques. Physiochemical properties and fungal community structure we"&amp;"re examined at four important stages of the maize life cycle: seedling, jointing, heading period, and maturity. We found that chemical fertilizer in the mature stage increased the soil available phosphorous (AP) content. Organic matter content was greatly"&amp;" affected by bio-organic + chemical fertilizer during the mature stage. Bio-organic + humic acid significantly increased soil phosphatase activity in maturing maize, whilst chemical fertilizers reduced invertase activity. Taken together, our results clear"&amp;"ly illustrated that bio-organic + humic and chemical fertilization indirectly alter fungal community structure via changing soil properties (especially AP). Chemical fertilizer markedly heightened the AP content, thereby decreasing specific fungal taxa, p"&amp;"articularly Guehomyces. OM was of positive connection with bio-organic + humic acid and Mortierella abundance, respectively, through RDA analysis, which are in agreement with our result that bio-organic + humic acid fertilization to some extent increased "&amp;"Mortierella abundance. Additionally, bio-organic + humic acid decreased the abundance of Fusarium and Humicola, suggesting that bio-organic + humic acid possibly could help control crop disease. These results help to inform our fundamental understanding o"&amp;"f the interactions between fertilizers, soil properties, and fungal communities.")</f>
        <v>Understanding the influence of fertilizer on soil quality is vital to agricultural management, yet there are few studies, particularly in black soil. In this study, soils under various treatments, namely no fertilizer, bio-organic + humic acid, bio-organic + chemical, and chemical fertilizer, were sampled to identify their major physiochemical properties, and to investigate the fungal community structure using environmental sequencing techniques. Physiochemical properties and fungal community structure were examined at four important stages of the maize life cycle: seedling, jointing, heading period, and maturity. We found that chemical fertilizer in the mature stage increased the soil available phosphorous (AP) content. Organic matter content was greatly affected by bio-organic + chemical fertilizer during the mature stage. Bio-organic + humic acid significantly increased soil phosphatase activity in maturing maize, whilst chemical fertilizers reduced invertase activity. Taken together, our results clearly illustrated that bio-organic + humic and chemical fertilization indirectly alter fungal community structure via changing soil properties (especially AP). Chemical fertilizer markedly heightened the AP content, thereby decreasing specific fungal taxa, particularly Guehomyces. OM was of positive connection with bio-organic + humic acid and Mortierella abundance, respectively, through RDA analysis, which are in agreement with our result that bio-organic + humic acid fertilization to some extent increased Mortierella abundance. Additionally, bio-organic + humic acid decreased the abundance of Fusarium and Humicola, suggesting that bio-organic + humic acid possibly could help control crop disease. These results help to inform our fundamental understanding of the interactions between fertilizers, soil properties, and fungal communities.</v>
      </c>
      <c r="C848" s="24" t="str">
        <f>IFERROR(__xludf.DUMMYFUNCTION("""COMPUTED_VALUE"""),"10.3390/d12120476")</f>
        <v>10.3390/d12120476</v>
      </c>
      <c r="D848" s="24" t="str">
        <f>IFERROR(__xludf.DUMMYFUNCTION("""COMPUTED_VALUE"""),"Keck et al")</f>
        <v>Keck et al</v>
      </c>
      <c r="E848" s="24" t="str">
        <f>IFERROR(__xludf.DUMMYFUNCTION("""COMPUTED_VALUE"""),"WOS:000601940800001")</f>
        <v>WOS:000601940800001</v>
      </c>
      <c r="F848" s="24" t="str">
        <f>IFERROR(__xludf.DUMMYFUNCTION("""COMPUTED_VALUE"""),"[""ELIGIBLE""]")</f>
        <v>["ELIGIBLE"]</v>
      </c>
    </row>
    <row r="849">
      <c r="A849" s="24" t="str">
        <f>IFERROR(__xludf.DUMMYFUNCTION("""COMPUTED_VALUE"""),"Are neotropical cave-bats good landscape integrity indicators? Some clues when exploring the cross-scale interactions between underground and above-ground ecosystems")</f>
        <v>Are neotropical cave-bats good landscape integrity indicators? Some clues when exploring the cross-scale interactions between underground and above-ground ecosystems</v>
      </c>
      <c r="B849" s="24" t="str">
        <f>IFERROR(__xludf.DUMMYFUNCTION("""COMPUTED_VALUE"""),"Neotropical caves located in pristine ecosystems harbor high biodiversity but face functional shifts and degradation interlinked with aboveground changes. Cave-roosting bats have been proposed as integrity indicators of karst landscapes considering their "&amp;"sensitive to both the underground and aboveground characteristics and resources. In the present study, the selection of caves by bats in karst areas across a landscape gradient in the Brazilian Amazon was investigated. We envisioned that taxonomic and gui"&amp;"ld diversity should respond dissimilarly to disturbance at different scales, namely by a selective offsetting of the bat community. To test our hypothesis, we accordingly selected caves spanning a gradient of disturbance, located in old growth forests, se"&amp;"condary forests, forest fragments, agricultural landscapes, and pastures. Species and traits showing responses to the gradient of caves and aboveground ecosystems were identified. On the basis of patterns of occurrence, we determined those communities uni"&amp;"que to or primarily associated with undisturbed caves located in pristine ecosystems and landscapes. Disturbed caves, which are generally located in areas of agriculture and pastures, were found to have detrimental effects on specialized species and funct"&amp;"ional guilds diversity. Our preliminary results reveal that bat communities are particularly sensitive to gradients of cave and ecosystem disturbance, and consequently might add ecological information to the currently used indicators for assessing the eco"&amp;"logical status of landscapes in the Neotropics.")</f>
        <v>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v>
      </c>
      <c r="C849" s="24" t="str">
        <f>IFERROR(__xludf.DUMMYFUNCTION("""COMPUTED_VALUE"""),"10.1016/j.ecolind.2020.107258")</f>
        <v>10.1016/j.ecolind.2020.107258</v>
      </c>
      <c r="D849" s="24" t="str">
        <f>IFERROR(__xludf.DUMMYFUNCTION("""COMPUTED_VALUE"""),"Keck et al")</f>
        <v>Keck et al</v>
      </c>
      <c r="E849" s="24" t="str">
        <f>IFERROR(__xludf.DUMMYFUNCTION("""COMPUTED_VALUE"""),"WOS:000613232500004")</f>
        <v>WOS:000613232500004</v>
      </c>
      <c r="F849" s="24" t="str">
        <f>IFERROR(__xludf.DUMMYFUNCTION("""COMPUTED_VALUE"""),"[""ELIGIBLE""]")</f>
        <v>["ELIGIBLE"]</v>
      </c>
    </row>
    <row r="850">
      <c r="A850" s="24" t="str">
        <f>IFERROR(__xludf.DUMMYFUNCTION("""COMPUTED_VALUE"""),"Bioassessment in a harsh environment: A comparison of macroinvertebrate assemblages at reference and assessment sites in an Australian inland river system")</f>
        <v>Bioassessment in a harsh environment: A comparison of macroinvertebrate assemblages at reference and assessment sites in an Australian inland river system</v>
      </c>
      <c r="B850" s="24" t="str">
        <f>IFERROR(__xludf.DUMMYFUNCTION("""COMPUTED_VALUE"""),"The Lachlan River system of inland New South Wales, which extends into semi-arid areas, is prone to natural extremes of climate and water quality and has been almost entirely modified since European settlement in Australia. We used this system as a provin"&amp;"g ground for the mainly qualitative bioassessment metrics for river macroinvertebrates that are used widely in Australia - the EPT (Ephemeroptera, Plecoptera and Trichoptera) index, the SIGNAL (Stream Invertebrate Grade Number Average Level) biotic index "&amp;"and the AUSRIVAS O/E (Australian River Assessment System Observed over Expected) index - plus a recently developed qualitative index, the observed proportion of potential taxa (OPP). We tested these metrics on their ability to discriminate between sites j"&amp;"udged to be less disturbed by human activities (reference sites) and sites selected by a semi-random process and therefore expected to have a higher average level of human disturbance (assessment sites). All metrics except the AUSRIVAS O/E index differed "&amp;"significantly between the two types of sites at higher attitudes, with SIGNAL showing the greatest discrimination. Assessment at these altitudes was more effective if based on composite data from multiple mesohabitats rather than data from single mesohabi"&amp;"tats. No metric differentiated the two types of sites in the more arid, lowland, floodplain region of the river system. We suggest that Australia relies too heavily on bioassessment concepts developed to assess water pollution in well-watered regions of t"&amp;"he Northern Hemisphere. Effective assessment of human impacts on macroinvertebrates in the rivers of inland Australia requires a better understanding of the roles of flow regimes, including flood and drought sequences, and of microhabitat structure and in"&amp;"vasive alien species. Quantitative approaches may also be required.")</f>
        <v>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v>
      </c>
      <c r="C850" s="24" t="str">
        <f>IFERROR(__xludf.DUMMYFUNCTION("""COMPUTED_VALUE"""),"10.1007/s10661-005-9027-2")</f>
        <v>10.1007/s10661-005-9027-2</v>
      </c>
      <c r="D850" s="24" t="str">
        <f>IFERROR(__xludf.DUMMYFUNCTION("""COMPUTED_VALUE"""),"Keck et al")</f>
        <v>Keck et al</v>
      </c>
      <c r="E850" s="24" t="str">
        <f>IFERROR(__xludf.DUMMYFUNCTION("""COMPUTED_VALUE"""),"WOS:000241170900018")</f>
        <v>WOS:000241170900018</v>
      </c>
      <c r="F850" s="24" t="str">
        <f>IFERROR(__xludf.DUMMYFUNCTION("""COMPUTED_VALUE"""),"[""ELIGIBLE""]")</f>
        <v>["ELIGIBLE"]</v>
      </c>
    </row>
    <row r="851">
      <c r="A851" s="24" t="str">
        <f>IFERROR(__xludf.DUMMYFUNCTION("""COMPUTED_VALUE"""),"Countryside biogeography of Neotropical reptiles and amphibians")</f>
        <v>Countryside biogeography of Neotropical reptiles and amphibians</v>
      </c>
      <c r="B851" s="24" t="str">
        <f>IFERROR(__xludf.DUMMYFUNCTION("""COMPUTED_VALUE"""),"The future of biodiversity and ecosystem services depends largely on the capacity of human-dominated ecosystems to support them, yet this capacity remains largely unknown. Using the framework of countryside biogeography, and working in the Las Cruces syst"&amp;"em of Coto Brus, Costa Rica, we assessed reptile and amphibian assemblages within four habitats that typify much of the Neotropics: sun coffee plantations (12 sites), pasture (12 sites), remnant forest elements (12 sites), and a larger, contiguous protect"&amp;"ed forest (3 sites in one forest). Through analysis of 1678 captures of 67 species, we draw four primary conclusions. First, we found that the majority of reptile (60%) and amphibian (70%) species in this study used an array of habitat types, including co"&amp;"ffee plantations and actively grazed pastures. Second, we found that coffee plantations and pastures hosted rich, albeit different and less dense, reptile and amphibian biodiversity relative to the 326-ha Las Cruces Forest Reserve and neighboring forest e"&amp;"lements. Third, we found that the small ribbons of countryside forest elements weaving through farmland collectively increased the effective size of a 326-ha local forest reserve 16-fold for reptiles and 14-fold for amphibians within our 236-km(2) study a"&amp;"rea. Therefore, countryside forest elements, often too small for most remote sensing techniques to identify, are contributing similar to 95% of the available habitat for forest-dependent reptiles and amphibians in our largely human-dominated study region."&amp;" Fourth, we found large and pond-reproducing amphibians to prefer human-made habitats, whereas small, stream-reproducing, and directly developing species are more dependent on forest elements. Our investigation demonstrates that tropical farming landscape"&amp;"s can support substantial reptile and amphibian biodiversity. Our approach provides a framework for estimating the conservation value of the complex working landscapes that constitute roughly half of the global land surface, and which are experiencing int"&amp;"ensification pressure worldwide.")</f>
        <v>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v>
      </c>
      <c r="C851" s="24" t="str">
        <f>IFERROR(__xludf.DUMMYFUNCTION("""COMPUTED_VALUE"""),"10.1890/12-2017.1")</f>
        <v>10.1890/12-2017.1</v>
      </c>
      <c r="D851" s="24" t="str">
        <f>IFERROR(__xludf.DUMMYFUNCTION("""COMPUTED_VALUE"""),"Keck et al")</f>
        <v>Keck et al</v>
      </c>
      <c r="E851" s="24" t="str">
        <f>IFERROR(__xludf.DUMMYFUNCTION("""COMPUTED_VALUE"""),"WOS:000334573600007")</f>
        <v>WOS:000334573600007</v>
      </c>
      <c r="F851" s="24" t="str">
        <f>IFERROR(__xludf.DUMMYFUNCTION("""COMPUTED_VALUE"""),"[""ELIGIBLE""]")</f>
        <v>["ELIGIBLE"]</v>
      </c>
    </row>
    <row r="852">
      <c r="A852" s="24" t="str">
        <f>IFERROR(__xludf.DUMMYFUNCTION("""COMPUTED_VALUE"""),"The effect of altered flow regimes on aquatic primary producer communities: Diatoms and macrophytes")</f>
        <v>The effect of altered flow regimes on aquatic primary producer communities: Diatoms and macrophytes</v>
      </c>
      <c r="B852" s="24" t="str">
        <f>IFERROR(__xludf.DUMMYFUNCTION("""COMPUTED_VALUE"""),"Rivers are intensively managed worldwide through unprecedented flow regime alterations on a global scale. This has led to an increasing interest in the development of quantitative tools to assess the ecological response of organisms to flow alteration. To"&amp;" date, studies reflect a large diversity of responses that make the intensity and prevalence of effects difficult to generalize. The present study analysed how flow alterations caused by dams affect the structure, composition and traits of diatoms and mac"&amp;"rophytes in three Spanish river basins (Cantabric, Ebro and Duero). By using a control-impact design based mainly in hydrological similarity, our results showed consistent patterns of change in diatom and macrophyte communities. Our study showed a shift f"&amp;"rom resistant traits such as non-colonial diatom forms and crust-forming algae, which are adapted to the extreme events and natural dynamism of unregulated rivers, towards planktonic diatoms, free-floating algae and the mass development of aquatic plants "&amp;"in hydrological altered sites. Both communities shared common thresholds of response to altered hydrological attributes that could be considered in a flow management context. The hydrological indices that impacted diatom and macrophyte communities the mos"&amp;"t were related with the magnitude and duration of minimum flows. However, our results also show that it is important to consider the interrelationships between the different hydrological attributes such as the seasonal variability of monthly flows, the ma"&amp;"gnitude of maximum annual extremes, the timing of flow events, and the frequency and rate of flow changes.")</f>
        <v>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v>
      </c>
      <c r="C852" s="24" t="str">
        <f>IFERROR(__xludf.DUMMYFUNCTION("""COMPUTED_VALUE"""),"10.1002/eco.2353")</f>
        <v>10.1002/eco.2353</v>
      </c>
      <c r="D852" s="24" t="str">
        <f>IFERROR(__xludf.DUMMYFUNCTION("""COMPUTED_VALUE"""),"Keck et al")</f>
        <v>Keck et al</v>
      </c>
      <c r="E852" s="24" t="str">
        <f>IFERROR(__xludf.DUMMYFUNCTION("""COMPUTED_VALUE"""),"WOS:000703745700001")</f>
        <v>WOS:000703745700001</v>
      </c>
      <c r="F852" s="24" t="str">
        <f>IFERROR(__xludf.DUMMYFUNCTION("""COMPUTED_VALUE"""),"[""ELIGIBLE""]")</f>
        <v>["ELIGIBLE"]</v>
      </c>
    </row>
    <row r="853">
      <c r="A853" s="24" t="str">
        <f>IFERROR(__xludf.DUMMYFUNCTION("""COMPUTED_VALUE"""),"Polar Ecosystem Dynamics: Recovery of Communities from Organic Enrichment in McMurdo Sound, Antarctica")</f>
        <v>Polar Ecosystem Dynamics: Recovery of Communities from Organic Enrichment in McMurdo Sound, Antarctica</v>
      </c>
      <c r="B853" s="24" t="str">
        <f>IFERROR(__xludf.DUMMYFUNCTION("""COMPUTED_VALUE"""),"Community structure and diversity are influenced by patterns of disturbance and input of food. In Antarctica, the marine ecosystem undergoes highly seasonal changes in availability of light and in primary production. Near research stations, organic input "&amp;"from human activities can disturb the regular productivity regime with a consistent input of sewage. McMurdo Sound has both high-productivity and low-productivity habitats, thereby providing an ideal test bed for community recovery dynamics under polar co"&amp;"nditions. We used experimental manipulations of the subtidal communities to test the hypotheses that (1) benthic communities respond differently to disturbance from organic enrichment versus burial and (2) community response also varies in areas with diff"&amp;"erent natural patterns of food supply. Both in low- and high-food habitats, the strongest community response was to organic enrichment and resulted in dominance of typical organic-enrichment specialists. In habitats with highly seasonal productivity, comm"&amp;"unity response was predictable and recovery was rapid. In habitats with low productivity, community variability was high and caging treatments suggested that inconsistencies were due to patchy impacts by scavengers. In areas normally subject to regular or"&amp;"ganic enrichment, either from primary production or from further up the food web (defecation by marine mammals), recovery of benthic communities takes only years even in a polar system. However, a low-productivity regime is as common in near shore habitat"&amp;"s around the continent; under these conditions, recovery of benthic communities from disturbance is likely to be much slower and follow a variable ecological trajectory.")</f>
        <v>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v>
      </c>
      <c r="C853" s="24" t="str">
        <f>IFERROR(__xludf.DUMMYFUNCTION("""COMPUTED_VALUE"""),"10.1093/icb/icq058")</f>
        <v>10.1093/icb/icq058</v>
      </c>
      <c r="D853" s="24" t="str">
        <f>IFERROR(__xludf.DUMMYFUNCTION("""COMPUTED_VALUE"""),"Keck et al")</f>
        <v>Keck et al</v>
      </c>
      <c r="E853" s="24" t="str">
        <f>IFERROR(__xludf.DUMMYFUNCTION("""COMPUTED_VALUE"""),"WOS:000284430400011")</f>
        <v>WOS:000284430400011</v>
      </c>
      <c r="F853" s="24" t="str">
        <f>IFERROR(__xludf.DUMMYFUNCTION("""COMPUTED_VALUE"""),"[""ELIGIBLE""]")</f>
        <v>["ELIGIBLE"]</v>
      </c>
    </row>
    <row r="854">
      <c r="A854" s="24" t="str">
        <f>IFERROR(__xludf.DUMMYFUNCTION("""COMPUTED_VALUE"""),"Comparing stressor-specific indices and general measures of taxonomic composition for assessing the status of boreal lacustrine macrophyte communities")</f>
        <v>Comparing stressor-specific indices and general measures of taxonomic composition for assessing the status of boreal lacustrine macrophyte communities</v>
      </c>
      <c r="B854" s="24" t="str">
        <f>IFERROR(__xludf.DUMMYFUNCTION("""COMPUTED_VALUE"""),"Biotic communities are increasingly used to assess and monitor aquatic ecosystems with two fundamentally contrasting approaches: (i) responses sensitive to, and indicative of specific stressors; and (ii) general measures of community change. For assessmen"&amp;"t of lacustrine macrophyte communities, we compared three trophy-related and one water level fluctuation-related stressor-specific indices (SSIs) with three general measures of taxonomic composition (MTC), using data from 48 reference, 33 eutrophicated an"&amp;"d 24 water level regulated boreal lakes. Our hypothesis was that MTCs would yield robust ecological quality estimates across these differing stress-gradients, while the SSIs would only react to the specific pressures they are calibrated against. Judged by"&amp;" the criteria of accuracy, precision and sensitivity, most trophy-specific SSIs performed well with respect to eutrophication and even showed some sensitivity to regulation, whereas the water-level fluctuation index reacted only to heavy regulation amplit"&amp;"ude. Metric performance was not significantly affected by inclusion or exclusion of emergent taxa or by the use of abundance instead of occurrence alone. As expected, MTCs responded to both eutrophication and regulation and the best performing MTC - incor"&amp;"porating both taxa loss and gain - indicated impairment almost as often as any one (minimum) of the SSIs. We argue that non-stressor-specific MTCs - with the demonstrated unifying response of biotic community to different stressors - should primarily be u"&amp;"sed in the assessment of changes in the status of aquatic biota, whereas using SSIs a posteriori might help in identifying the likely causes of these changes. (C) 2012 Elsevier Ltd. All rights reserved.")</f>
        <v>Biotic communities are increasingly used to assess and monitor aquatic ecosystems with two fundamentally contrasting approaches: (i) responses sensitive to, and indicative of specific stressors; and (ii) general measures of community change. For assessment of lacustrine macrophyte communities, we compared three trophy-related and one water level fluctuation-related stressor-specific indices (SSIs) with three general measures of taxonomic composition (MTC), using data from 48 reference, 33 eutrophicated and 24 water level regulated boreal lakes. Our hypothesis was that MTCs would yield robust ecological quality estimates across these differing stress-gradients, while the SSIs would only react to the specific pressures they are calibrated against. Judged by the criteria of accuracy, precision and sensitivity, most trophy-specific SSIs performed well with respect to eutrophication and even showed some sensitivity to regulation, whereas the water-level fluctuation index reacted only to heavy regulation amplitude. Metric performance was not significantly affected by inclusion or exclusion of emergent taxa or by the use of abundance instead of occurrence alone. As expected, MTCs responded to both eutrophication and regulation and the best performing MTC - incorporating both taxa loss and gain - indicated impairment almost as often as any one (minimum) of the SSIs. We argue that non-stressor-specific MTCs - with the demonstrated unifying response of biotic community to different stressors - should primarily be used in the assessment of changes in the status of aquatic biota, whereas using SSIs a posteriori might help in identifying the likely causes of these changes. (C) 2012 Elsevier Ltd. All rights reserved.</v>
      </c>
      <c r="C854" s="24" t="str">
        <f>IFERROR(__xludf.DUMMYFUNCTION("""COMPUTED_VALUE"""),"10.1016/j.ecolind.2012.11.012")</f>
        <v>10.1016/j.ecolind.2012.11.012</v>
      </c>
      <c r="D854" s="24" t="str">
        <f>IFERROR(__xludf.DUMMYFUNCTION("""COMPUTED_VALUE"""),"Keck et al")</f>
        <v>Keck et al</v>
      </c>
      <c r="E854" s="24" t="str">
        <f>IFERROR(__xludf.DUMMYFUNCTION("""COMPUTED_VALUE"""),"WOS:000314201700004")</f>
        <v>WOS:000314201700004</v>
      </c>
      <c r="F854" s="24" t="str">
        <f>IFERROR(__xludf.DUMMYFUNCTION("""COMPUTED_VALUE"""),"[""ELIGIBLE""]")</f>
        <v>["ELIGIBLE"]</v>
      </c>
    </row>
    <row r="855">
      <c r="A855" s="24" t="str">
        <f>IFERROR(__xludf.DUMMYFUNCTION("""COMPUTED_VALUE"""),"Dung beetles as indicators of tropical forest restoration success: Is it possible to recover species and functional diversity?")</f>
        <v>Dung beetles as indicators of tropical forest restoration success: Is it possible to recover species and functional diversity?</v>
      </c>
      <c r="B855" s="24" t="str">
        <f>IFERROR(__xludf.DUMMYFUNCTION("""COMPUTED_VALUE"""),"Tropical forest restoration is becoming increasingly more applied to offset biodiversity loss and maintain ecosystem processes, but knowledge about its efficacy is still limited. We evaluated the success of tropical forest active restoration using dung be"&amp;"etles (Coleoptera: Scarabaeinae) as bioindicators and combining measures of species diversity, composition and functional diversity. We assessed patterns of dung beetles community assembly along a restoration chronosequence and also compared restoration a"&amp;"reas with reference (primary and old secondary forest) and degraded (pasture) ecosystems. Species composition in the restoration areas was clearly progressing towards the preserved forests and deviating from the pasture with increasing restoration age. We"&amp;" also found a turnover of open environment specialists and habitat generalists to forest generalists and forest specialist species along the restoration chronosequence. However, the majority of individuals in the older restored habitats were typically for"&amp;"est generalists. Biomass was the only variable that increased with restoration age. Species richness, number of individuals, biomass and functional richness in the restored areas were similar to, or even smaller, than in pastures and substantially lower t"&amp;"han forest reference sites. Rarefied richness, functional evenness and functional dispersion did not vary between the habitats. We found that while restored areas have the capacity to host forest-restricted species, 18 years since active restoration has n"&amp;"ot been long enough to recover a stable and diverse dung beetle assemblage. Our study also demonstrates that measures of composition, species diversity and functional diversity can complement each other and contribute to a better understanding of the effi"&amp;"cacy of restoration practices. (C) 2013 Elsevier Ltd. All rights reserved.")</f>
        <v>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v>
      </c>
      <c r="C855" s="24" t="str">
        <f>IFERROR(__xludf.DUMMYFUNCTION("""COMPUTED_VALUE"""),"10.1016/j.biocon.2013.11.023")</f>
        <v>10.1016/j.biocon.2013.11.023</v>
      </c>
      <c r="D855" s="24" t="str">
        <f>IFERROR(__xludf.DUMMYFUNCTION("""COMPUTED_VALUE"""),"Keck et al")</f>
        <v>Keck et al</v>
      </c>
      <c r="E855" s="24" t="str">
        <f>IFERROR(__xludf.DUMMYFUNCTION("""COMPUTED_VALUE"""),"WOS:000333574400028")</f>
        <v>WOS:000333574400028</v>
      </c>
      <c r="F855" s="24" t="str">
        <f>IFERROR(__xludf.DUMMYFUNCTION("""COMPUTED_VALUE"""),"[""ELIGIBLE""]")</f>
        <v>["ELIGIBLE"]</v>
      </c>
    </row>
    <row r="856">
      <c r="A856" s="24" t="str">
        <f>IFERROR(__xludf.DUMMYFUNCTION("""COMPUTED_VALUE"""),"Disentangling urban habitat and matrix effects on wild bee species")</f>
        <v>Disentangling urban habitat and matrix effects on wild bee species</v>
      </c>
      <c r="B856" s="24" t="str">
        <f>IFERROR(__xludf.DUMMYFUNCTION("""COMPUTED_VALUE"""),"In face of a dramatic decline of wild bee species in many rural landscapes, potential conservation functions of urban areas gain importance. Yet effects of urbanization on pollinators, and in particular on wild bees remain ambiguous and not comprehensivel"&amp;"y understood. This is especially true for amenity grassland and extensively managed wastelands within large-scale residential housing areas. Using Berlin as a study region we aimed to investigate (a) if these greenspaces are accepted by wild bee assemblag"&amp;"es as foraging habitats; (b) how assemblage structure of bees and individual bee species are affected by different habitat (e.g., management, flower density) and urban matrix variables (e.g., isolation, urbanization); and (c) to what extent grassland rest"&amp;"oration can promote bees in urban environments. In summer 2012, we collected 62 bee species belonging to more than 20% of the taxa known for Berlin. Urbanization significantly affected species composition of bees; 18 species were affiliated to different l"&amp;"evels of urbanization. Most bee species were not affected by any of the environmental variables tested, and urbanization had a negative effect only for one bee species. Further, we determined that restoration of diverse grasslands positively affected bee "&amp;"species richnesss in urban environments. We conclude that differently structured and managed greenspaces in large-scale housing areas can provide additional foraging habitats and refuges for pollinators. This supports approaches towards a biodiversity fri"&amp;"endly management within urban regions and may be of particular importance given that anthropogenic pressure is increasing in many rural landscapes.")</f>
        <v>In face of a dramatic decline of wild bee species in many rural landscapes, potential conservation functions of urban areas gain importance. Yet effects of urbanization on pollinators, and in particular on wild bees remain ambiguous and not comprehensively understood. This is especially true for amenity grassland and extensively managed wastelands within large-scale residential housing areas. Using Berlin as a study region we aimed to investigate (a) if these greenspaces are accepted by wild bee assemblages as foraging habitats; (b) how assemblage structure of bees and individual bee species are affected by different habitat (e.g., management, flower density) and urban matrix variables (e.g., isolation, urbanization); and (c) to what extent grassland restoration can promote bees in urban environments. In summer 2012, we collected 62 bee species belonging to more than 20% of the taxa known for Berlin. Urbanization significantly affected species composition of bees; 18 species were affiliated to different levels of urbanization. Most bee species were not affected by any of the environmental variables tested, and urbanization had a negative effect only for one bee species. Further, we determined that restoration of diverse grasslands positively affected bee species richnesss in urban environments. We conclude that differently structured and managed greenspaces in large-scale housing areas can provide additional foraging habitats and refuges for pollinators. This supports approaches towards a biodiversity friendly management within urban regions and may be of particular importance given that anthropogenic pressure is increasing in many rural landscapes.</v>
      </c>
      <c r="C856" s="24" t="str">
        <f>IFERROR(__xludf.DUMMYFUNCTION("""COMPUTED_VALUE"""),"10.7717/peerj.2729")</f>
        <v>10.7717/peerj.2729</v>
      </c>
      <c r="D856" s="24" t="str">
        <f>IFERROR(__xludf.DUMMYFUNCTION("""COMPUTED_VALUE"""),"Keck et al")</f>
        <v>Keck et al</v>
      </c>
      <c r="E856" s="24" t="str">
        <f>IFERROR(__xludf.DUMMYFUNCTION("""COMPUTED_VALUE"""),"WOS:000389149900007")</f>
        <v>WOS:000389149900007</v>
      </c>
      <c r="F856" s="24" t="str">
        <f>IFERROR(__xludf.DUMMYFUNCTION("""COMPUTED_VALUE"""),"[""ELIGIBLE""]")</f>
        <v>["ELIGIBLE"]</v>
      </c>
    </row>
    <row r="857">
      <c r="A857" s="24" t="str">
        <f>IFERROR(__xludf.DUMMYFUNCTION("""COMPUTED_VALUE"""),"Long-term change in the copepod community in the southern German Bight")</f>
        <v>Long-term change in the copepod community in the southern German Bight</v>
      </c>
      <c r="B857" s="24" t="str">
        <f>IFERROR(__xludf.DUMMYFUNCTION("""COMPUTED_VALUE"""),"The North Sea has undergone considerable change in recent years, with several reported regime shifts in the last, decades, the most recent of which is thought to have occurred in the final years of the last century. As biological evidence corroborating th"&amp;"is most recent regime shift is still rare, we investigated the reaction of the copepod community of the Helgoland Roads sampling site to this perceived shift. We observed that the densities of calanoid copepods have declined to values which are roughly 25"&amp;"% of the peak densities in the mid 1980s and link the decrease to the decreasing nutrient inputs into the North Sea. The initial increase in the densities of non-calanoid copepods seems to have reversed, and currently most of the copepods of the community"&amp;" in the southern North Sea are below their long-term average. These strong declines in densities could have major consequences for recruitment of higher trophic levels. We expect a stronger dependence of copepod densities to the larger oceanographic pheno"&amp;"mena such as inflows of Atlantic water into the North Sea, as now that the large anthropogenic riverine inputs of nitrogen and phosphorus have decreased and these inflows were the main source of nutrients into the North Sea. (C) 2014 Elsevier B.V. All rig"&amp;"hts reserved.")</f>
        <v>The North Sea has undergone considerable change in recent years, with several reported regime shifts in the last, decades, the most recent of which is thought to have occurred in the final years of the last century. As biological evidence corroborating this most recent regime shift is still rare, we investigated the reaction of the copepod community of the Helgoland Roads sampling site to this perceived shift. We observed that the densities of calanoid copepods have declined to values which are roughly 25% of the peak densities in the mid 1980s and link the decrease to the decreasing nutrient inputs into the North Sea. The initial increase in the densities of non-calanoid copepods seems to have reversed, and currently most of the copepods of the community in the southern North Sea are below their long-term average. These strong declines in densities could have major consequences for recruitment of higher trophic levels. We expect a stronger dependence of copepod densities to the larger oceanographic phenomena such as inflows of Atlantic water into the North Sea, as now that the large anthropogenic riverine inputs of nitrogen and phosphorus have decreased and these inflows were the main source of nutrients into the North Sea. (C) 2014 Elsevier B.V. All rights reserved.</v>
      </c>
      <c r="C857" s="24" t="str">
        <f>IFERROR(__xludf.DUMMYFUNCTION("""COMPUTED_VALUE"""),"10.1016/j.seares.2014.12.004")</f>
        <v>10.1016/j.seares.2014.12.004</v>
      </c>
      <c r="D857" s="24" t="str">
        <f>IFERROR(__xludf.DUMMYFUNCTION("""COMPUTED_VALUE"""),"Keck et al")</f>
        <v>Keck et al</v>
      </c>
      <c r="E857" s="24" t="str">
        <f>IFERROR(__xludf.DUMMYFUNCTION("""COMPUTED_VALUE"""),"WOS:000357908600005")</f>
        <v>WOS:000357908600005</v>
      </c>
      <c r="F857" s="24" t="str">
        <f>IFERROR(__xludf.DUMMYFUNCTION("""COMPUTED_VALUE"""),"[""ELIGIBLE""]")</f>
        <v>["ELIGIBLE"]</v>
      </c>
    </row>
    <row r="858">
      <c r="A858" s="24" t="str">
        <f>IFERROR(__xludf.DUMMYFUNCTION("""COMPUTED_VALUE"""),"Beta-diversity and stressor specific index reveal patterns of macroinvertebrate community response to sediment flushing")</f>
        <v>Beta-diversity and stressor specific index reveal patterns of macroinvertebrate community response to sediment flushing</v>
      </c>
      <c r="B858" s="24" t="str">
        <f>IFERROR(__xludf.DUMMYFUNCTION("""COMPUTED_VALUE"""),"Anthropogenic increase of fine sediment loading is one of the main pressures for rivers worldwide. Particularly, Alpine streams are increasingly facing this issue due to sediment flushing operations from hydropower reservoirs, aimed at recovering storage "&amp;"for preserving electricity generation. Although Controlled Sediment Flushing Operations (CSFOs) are becoming increasingly frequent, ecological indicators to adequately assess and monitor their impact on the stream ecosystem have been poorly developed. In "&amp;"this work, we aimed to perform a screening of currently available biomonitoring tools to evaluate the CSFO effects on the riverine biota and adequately assess its recovery, starting from the recognition of the main ecological mechanisms triggered by the m"&amp;"entioned activities on benthic macroinvertebrate communities. We used two independent datasets concerning two reservoirs in the central Italian Alps to investigate the temporal effects of CSFOs repeated for four consecutive years (case-study I), and the i"&amp;"mpact of a single CSFO at a seasonal scale through a before/after-control/impact approach (case-study II). Initially, we quantified the CSFO impact on the richness and beta-diversity of macroinvertebrate communities by combining multivariate and univariat"&amp;"e statistical techniques. Then, we compared the performance of the Siltation Index for LoTic EcoSystems (SILTES), recently developed for detecting siltation impact in Alpine streams, with that of the generic index currently adopted to assess the ecologica"&amp;"l status (sensu Water Framework Directive) of the Italian rivers, and of another sediment-specific index, but developed for a different bio-geographical area. The analysis of the two case-studies demonstrated that the nestedness (i.e. taxa loss) is the pr"&amp;"imary source of biological impairment caused by CSFOs. Moreover, we found that SILTES was more effective than the other indices because of its strong correlation with the nestedness, and since it properly discriminated impaired and pristine conditions, at"&amp;" both multi-annual and seasonal scale. In the first case-study, a threshold in the temporal trend of this index was detected, indicating a recovery within three months. In the second one, SILTES showed a recovery to pre-event seasonal values after nine mo"&amp;"nths from the CSFO, due to larger and more persistent sediment deposition. This study demonstrates that SILTES could be adopted as a benchmark to improve the management of CSFOs from an ecological viewpoint. Our findings can be extended to the management "&amp;"of other sediment-related activities affecting mountainous streams worldwide, and, more generally, the adopted approach can be replicated for developing new ecological tools to manage other disturbances to river environments.")</f>
        <v>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v>
      </c>
      <c r="C858" s="24" t="str">
        <f>IFERROR(__xludf.DUMMYFUNCTION("""COMPUTED_VALUE"""),"10.1016/j.ecolind.2020.107256")</f>
        <v>10.1016/j.ecolind.2020.107256</v>
      </c>
      <c r="D858" s="24" t="str">
        <f>IFERROR(__xludf.DUMMYFUNCTION("""COMPUTED_VALUE"""),"Keck et al")</f>
        <v>Keck et al</v>
      </c>
      <c r="E858" s="24" t="str">
        <f>IFERROR(__xludf.DUMMYFUNCTION("""COMPUTED_VALUE"""),"WOS:000613220400005")</f>
        <v>WOS:000613220400005</v>
      </c>
      <c r="F858" s="24" t="str">
        <f>IFERROR(__xludf.DUMMYFUNCTION("""COMPUTED_VALUE"""),"[""ELIGIBLE""]")</f>
        <v>["ELIGIBLE"]</v>
      </c>
    </row>
    <row r="859">
      <c r="A859" s="24" t="str">
        <f>IFERROR(__xludf.DUMMYFUNCTION("""COMPUTED_VALUE"""),"Recovery of woody plant diversity in tropical rain forests in southern China after logging and shifting cultivation")</f>
        <v>Recovery of woody plant diversity in tropical rain forests in southern China after logging and shifting cultivation</v>
      </c>
      <c r="B859" s="24" t="str">
        <f>IFERROR(__xludf.DUMMYFUNCTION("""COMPUTED_VALUE"""),"Logging and intense shifting cultivation have caused major degradation of tropical forests and loss of biodiversity. Understanding the direct and indirect effects of those land uses on plant biodiversity is essential to the restoration of tropical forests"&amp;". We compared the species diversity, community composition and basal area of all stems &gt;= 1 cm dbh among 18 1-ha tropical lowland and montane rain forest plots with a well-recorded long-term history of shifting cultivation and logging on Hainan Island, so"&amp;"uth China. We also explored the relative importance of disturbance and environmental factors in determining forest recovery. We found that the species density and diversity in old growth forests were higher than in shifting cultivation fallows (55 years o"&amp;"ld) but lower than in logged forests (35-40 years since logging). The species composition of shifting cultivation fallows was distinct from other forest types but logged forests were similar to old growth forests, especially in lowland forests. Disturbanc"&amp;"e intensity was the most frequently important factor in determining species composition, species density, diversity, and basal area accumulation. Soil nutrient availability explained some of the variation in species composition and diversity. Stem density"&amp;" was related to multiple factors including disturbance history, soil nutrients, and distance to old-growth forest. In general, we found that disturbance intensity was a better predictor of forest structure and diversity than edaphic environmental variable"&amp;"s, highlighting the importance of human impacts in shaping tropical forest successional pathways. (C) 2011 Elsevier Ltd. All rights reserved.")</f>
        <v>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v>
      </c>
      <c r="C859" s="24" t="str">
        <f>IFERROR(__xludf.DUMMYFUNCTION("""COMPUTED_VALUE"""),"10.1016/j.biocon.2011.11.009")</f>
        <v>10.1016/j.biocon.2011.11.009</v>
      </c>
      <c r="D859" s="24" t="str">
        <f>IFERROR(__xludf.DUMMYFUNCTION("""COMPUTED_VALUE"""),"Keck et al")</f>
        <v>Keck et al</v>
      </c>
      <c r="E859" s="24" t="str">
        <f>IFERROR(__xludf.DUMMYFUNCTION("""COMPUTED_VALUE"""),"WOS:000301092400029")</f>
        <v>WOS:000301092400029</v>
      </c>
      <c r="F859" s="24" t="str">
        <f>IFERROR(__xludf.DUMMYFUNCTION("""COMPUTED_VALUE"""),"[""ELIGIBLE""]")</f>
        <v>["ELIGIBLE"]</v>
      </c>
    </row>
    <row r="860">
      <c r="A860" s="24" t="str">
        <f>IFERROR(__xludf.DUMMYFUNCTION("""COMPUTED_VALUE"""),"Patterns of distribution of macro-fauna in different types of estuarine, soft sediment habitats adjacent to urban and non-urban areas")</f>
        <v>Patterns of distribution of macro-fauna in different types of estuarine, soft sediment habitats adjacent to urban and non-urban areas</v>
      </c>
      <c r="B860" s="24" t="str">
        <f>IFERROR(__xludf.DUMMYFUNCTION("""COMPUTED_VALUE"""),"Urban development typically creates a large number of potentially interacting disturbances that may cause impacts on assemblages of animals and plans in estuarine habitats. We tested predictions from the general model that intertidal areas exposed to diff"&amp;"erent types of disturbances have different types of assemblages of benthic macrofauna. Different parts of the Port Hacking Estuary (New South Wales, Australia) are exposed to varying degrees of disturbance by human activities. We predicted that the averag"&amp;"e structure of assemblages of intertidal animals, and patterns of variability would differ between urban and non-urban areas of Port Hacking. Consistent with previous observations from the literature, there were differences in average structure between ur"&amp;"ban and non-urban sandy areas. Qualitative differences between abundances of individual taxa in urban and non-urban areas were generally not consistent with previous observations. Differences between assemblages in urban and non-urban areas were not obser"&amp;"ved in muddy sediments, nor in sediments among mangroves and seagrass. No significant differences in variability was observed between urban and non-urban areas. Two general models may be proposed to explain the observed differences in response to urbaniza"&amp;"tion in different habitats: (1) animals are exposed to different levels or combinations of disturbances in different habitats; or (2) assemblages of animals differ in sensitivity to disturbances among habitats. (C) 2001 Academic Press.")</f>
        <v>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v>
      </c>
      <c r="C860" s="24" t="str">
        <f>IFERROR(__xludf.DUMMYFUNCTION("""COMPUTED_VALUE"""),"10.1006/ecss.2000.0741")</f>
        <v>10.1006/ecss.2000.0741</v>
      </c>
      <c r="D860" s="24" t="str">
        <f>IFERROR(__xludf.DUMMYFUNCTION("""COMPUTED_VALUE"""),"Keck et al")</f>
        <v>Keck et al</v>
      </c>
      <c r="E860" s="24" t="str">
        <f>IFERROR(__xludf.DUMMYFUNCTION("""COMPUTED_VALUE"""),"WOS:000167531000008")</f>
        <v>WOS:000167531000008</v>
      </c>
      <c r="F860" s="24" t="str">
        <f>IFERROR(__xludf.DUMMYFUNCTION("""COMPUTED_VALUE"""),"[""ELIGIBLE""]")</f>
        <v>["ELIGIBLE"]</v>
      </c>
    </row>
    <row r="861">
      <c r="A861" s="24" t="str">
        <f>IFERROR(__xludf.DUMMYFUNCTION("""COMPUTED_VALUE"""),"Ecosystem effects of the world's largest invasive animal")</f>
        <v>Ecosystem effects of the world's largest invasive animal</v>
      </c>
      <c r="B861" s="24" t="str">
        <f>IFERROR(__xludf.DUMMYFUNCTION("""COMPUTED_VALUE"""),"The keystone roles of mega-fauna in many terrestrial ecosystems have been lost to defaunation. Large predators and herbivores often play keystone roles in their native ranges, and some have established invasive populations in new biogeographic regions. Ho"&amp;"wever, few empirical examples are available to guide expectations about how mega-fauna affect ecosystems in novel environmental and evolutionary contexts. We examined the impacts on aquatic ecosystems of an emerging population of hippopotamus (Hippopotamu"&amp;"s amphibus) that has been growing in Colombia over the last 25 yr. Hippos in Africa fertilize lakes and rivers by grazing on land and excreting wastes in the water. Stable isotopes indicate that terrestrial sources contribute more carbon in Colombian lake"&amp;"s containing hippo populations, and daily dissolved oxygen cycles suggest that their presence stimulates ecosystem metabolism. Phytoplankton communities were more dominated by cyanobacteria in lakes with hippos, and bacteria, zooplankton, and benthic inve"&amp;"rtebrate communities were similar regardless of hippo presence. Our results suggest that hippos recapitulate their role as ecosystem engineers in Colombia, importing terrestrial organic matter and nutrients with detectable impacts on ecosystem metabolism "&amp;"and community structure in the early stages of invasion. Ongoing range expansion may pose a threat to water resources.")</f>
        <v>The keystone roles of mega-fauna in many terrestrial ecosystems have been lost to defaunation. Large predators and herbivores often play keystone roles in their native ranges, and some have established invasive populations in new biogeographic regions. However, few empirical examples are available to guide expectations about how mega-fauna affect ecosystems in novel environmental and evolutionary contexts. We examined the impacts on aquatic ecosystems of an emerging population of hippopotamus (Hippopotamus amphibus) that has been growing in Colombia over the last 25 yr. Hippos in Africa fertilize lakes and rivers by grazing on land and excreting wastes in the water. Stable isotopes indicate that terrestrial sources contribute more carbon in Colombian lakes containing hippo populations, and daily dissolved oxygen cycles suggest that their presence stimulates ecosystem metabolism. Phytoplankton communities were more dominated by cyanobacteria in lakes with hippos, and bacteria, zooplankton, and benthic invertebrate communities were similar regardless of hippo presence. Our results suggest that hippos recapitulate their role as ecosystem engineers in Colombia, importing terrestrial organic matter and nutrients with detectable impacts on ecosystem metabolism and community structure in the early stages of invasion. Ongoing range expansion may pose a threat to water resources.</v>
      </c>
      <c r="C861" s="24" t="str">
        <f>IFERROR(__xludf.DUMMYFUNCTION("""COMPUTED_VALUE"""),"10.1002/ecy.2991")</f>
        <v>10.1002/ecy.2991</v>
      </c>
      <c r="D861" s="24" t="str">
        <f>IFERROR(__xludf.DUMMYFUNCTION("""COMPUTED_VALUE"""),"Keck et al")</f>
        <v>Keck et al</v>
      </c>
      <c r="E861" s="24" t="str">
        <f>IFERROR(__xludf.DUMMYFUNCTION("""COMPUTED_VALUE"""),"WOS:000514046800001")</f>
        <v>WOS:000514046800001</v>
      </c>
      <c r="F861" s="24" t="str">
        <f>IFERROR(__xludf.DUMMYFUNCTION("""COMPUTED_VALUE"""),"[""ELIGIBLE""]")</f>
        <v>["ELIGIBLE"]</v>
      </c>
    </row>
    <row r="862">
      <c r="A862" s="24" t="str">
        <f>IFERROR(__xludf.DUMMYFUNCTION("""COMPUTED_VALUE"""),"Patterns of distribution of macro-fauna in different types of estuarine, soft sediment habitats adjacent to urban and non-urban areas")</f>
        <v>Patterns of distribution of macro-fauna in different types of estuarine, soft sediment habitats adjacent to urban and non-urban areas</v>
      </c>
      <c r="B862" s="24" t="str">
        <f>IFERROR(__xludf.DUMMYFUNCTION("""COMPUTED_VALUE"""),"Urban development typically creates a large number of potentially interacting disturbances that may cause impacts on assemblages of animals and plans in estuarine habitats. We tested predictions from the general model that intertidal areas exposed to diff"&amp;"erent types of disturbances have different types of assemblages of benthic macrofauna. Different parts of the Port Hacking Estuary (New South Wales, Australia) are exposed to varying degrees of disturbance by human activities. We predicted that the averag"&amp;"e structure of assemblages of intertidal animals, and patterns of variability would differ between urban and non-urban areas of Port Hacking. Consistent with previous observations from the literature, there were differences in average structure between ur"&amp;"ban and non-urban sandy areas. Qualitative differences between abundances of individual taxa in urban and non-urban areas were generally not consistent with previous observations. Differences between assemblages in urban and non-urban areas were not obser"&amp;"ved in muddy sediments, nor in sediments among mangroves and seagrass. No significant differences in variability was observed between urban and non-urban areas. Two general models may be proposed to explain the observed differences in response to urbaniza"&amp;"tion in different habitats: (1) animals are exposed to different levels or combinations of disturbances in different habitats; or (2) assemblages of animals differ in sensitivity to disturbances among habitats. (C) 2001 Academic Press.")</f>
        <v>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v>
      </c>
      <c r="C862" s="24" t="str">
        <f>IFERROR(__xludf.DUMMYFUNCTION("""COMPUTED_VALUE"""),"10.1006/ecss.2000.0741")</f>
        <v>10.1006/ecss.2000.0741</v>
      </c>
      <c r="D862" s="24" t="str">
        <f>IFERROR(__xludf.DUMMYFUNCTION("""COMPUTED_VALUE"""),"Keck et al")</f>
        <v>Keck et al</v>
      </c>
      <c r="E862" s="24" t="str">
        <f>IFERROR(__xludf.DUMMYFUNCTION("""COMPUTED_VALUE"""),"WOS:000168695300007")</f>
        <v>WOS:000168695300007</v>
      </c>
      <c r="F862" s="24" t="str">
        <f>IFERROR(__xludf.DUMMYFUNCTION("""COMPUTED_VALUE"""),"[""ELIGIBLE""]")</f>
        <v>["ELIGIBLE"]</v>
      </c>
    </row>
    <row r="863">
      <c r="A863" s="24" t="str">
        <f>IFERROR(__xludf.DUMMYFUNCTION("""COMPUTED_VALUE"""),"Changes in benthic algal communities following construction of a run-of-river dam")</f>
        <v>Changes in benthic algal communities following construction of a run-of-river dam</v>
      </c>
      <c r="B863" s="24" t="str">
        <f>IFERROR(__xludf.DUMMYFUNCTION("""COMPUTED_VALUE"""),"Ecological responses to dam construction are poorly understood, especially for downstream benthic algal communities. We examined the responses of benthic algal communities in downstream reaches of a tributary of the Xiangxi River, China, to the constructi"&amp;"on of a small run-of-river dam. From February 2003 to August 2006, benthic algae, chemical factors, and habitat characteristics were monitored upstream and downstream of the dam site. This period spanned 6 mo before dam construction and 37 mo after dam co"&amp;"nstruction. Benthic algal sampling yielded 199 taxa in 59 genera that belonged to Bacillariophyta, Chlorophyta, and Cyanophyta. Some physical factors (flow velocity, water depth, and channel width) and 3 algal metrics (diatom species richness, Margalef di"&amp;"versity, and % erect individuals) were significantly affected by the dam construction, whereas chemical factors (e.g., NH4-N, total N, SiO2) were not. Nonmetric multidimensional scaling (NMS) ordinations showed that overall algal assemblage structure down"&amp;"stream of the dam sites was similar to that of upstream control sites before dam construction and for 1 year after dam construction (p &gt; 0.05). However, sites belonging to upstream and downstream reaches were well separated on NMS axis 1 during the 2(nd) "&amp;"and 3(rd) years after dam construction. Our results suggest that impacts of dam construction on benthic algal communities took 2 to 3 y to emerge. Further development of a complete set of indicators is needed to address the impact of small-dam constructio"&amp;"n. Our observations underscore the need for additional studies that quantify ecological responses to dam construction over longer time spans.")</f>
        <v>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v>
      </c>
      <c r="C863" s="24" t="str">
        <f>IFERROR(__xludf.DUMMYFUNCTION("""COMPUTED_VALUE"""),"10.1899/08-047.1")</f>
        <v>10.1899/08-047.1</v>
      </c>
      <c r="D863" s="24" t="str">
        <f>IFERROR(__xludf.DUMMYFUNCTION("""COMPUTED_VALUE"""),"Keck et al")</f>
        <v>Keck et al</v>
      </c>
      <c r="E863" s="24" t="str">
        <f>IFERROR(__xludf.DUMMYFUNCTION("""COMPUTED_VALUE"""),"WOS:000263481300007")</f>
        <v>WOS:000263481300007</v>
      </c>
      <c r="F863" s="24" t="str">
        <f>IFERROR(__xludf.DUMMYFUNCTION("""COMPUTED_VALUE"""),"[""ELIGIBLE""]")</f>
        <v>["ELIGIBLE"]</v>
      </c>
    </row>
    <row r="864">
      <c r="A864" s="24" t="str">
        <f>IFERROR(__xludf.DUMMYFUNCTION("""COMPUTED_VALUE"""),"Spatial and temporal variation of fish assemblages and their associations to habitat variables in a mountain stream of north Tiaoxi River, China")</f>
        <v>Spatial and temporal variation of fish assemblages and their associations to habitat variables in a mountain stream of north Tiaoxi River, China</v>
      </c>
      <c r="B864" s="24" t="str">
        <f>IFERROR(__xludf.DUMMYFUNCTION("""COMPUTED_VALUE"""),"The spatial and temporal variations of the fish assemblages in mountain streams of China are poorly understood. The relationships between the fish assemblage and selected habitat features were examined in the North Tiaoxi River, one of headwaters of Taihu"&amp;" Lake. A total of 3,348 individuals belonging to 5 orders, 11 families, 25 genera and 34 species were collected including 33 native species and one invasive species. Among those, about 20 species were endemic to China. Non-metric Multidimensional Scaling "&amp;"(NMDS) was applied to compare fish assemblage structures from upstream to downstream during four seasons. Species assemblages differed along the stream continuum, but there was little apparent change associated with the seasons. Species richness and Shann"&amp;"on-Weaver index (H') tended to increase along the stream continuum from the upstream to downstream and the proportion of invertivorous fish tended to significantly decrease along the continuum with a parallel significant increase in the percentage of omni"&amp;"vores. Fish assemblages were significantly related to both water quality and habitat structure variables. Canonical Correspondence Analysis ordinations (CCA) revealed that 6 of the 14 selected environmental variables had significant relationships with the"&amp;" fish assemblage such as distance to source, stream width, altitude, pH, water depth, and water velocity and different sampling sites were associated with different environmental variables in different seasons. The main differences in fish assemblage stru"&amp;"cture and diversity within the whole watercourse are probably related to large-scale factors such distance to source, altitude and stream width. Differences of instream characteristics are likely to be caused by natural variability of the ecosystems but a"&amp;"lso, in some case, by anthropogenic influence like human settlements, agriculture and river embankment and pollution from small factory.")</f>
        <v>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v>
      </c>
      <c r="C864" s="24" t="str">
        <f>IFERROR(__xludf.DUMMYFUNCTION("""COMPUTED_VALUE"""),"10.1007/s10641-011-9928-6")</f>
        <v>10.1007/s10641-011-9928-6</v>
      </c>
      <c r="D864" s="24" t="str">
        <f>IFERROR(__xludf.DUMMYFUNCTION("""COMPUTED_VALUE"""),"Keck et al")</f>
        <v>Keck et al</v>
      </c>
      <c r="E864" s="24" t="str">
        <f>IFERROR(__xludf.DUMMYFUNCTION("""COMPUTED_VALUE"""),"WOS:000299768600009")</f>
        <v>WOS:000299768600009</v>
      </c>
      <c r="F864" s="24" t="str">
        <f>IFERROR(__xludf.DUMMYFUNCTION("""COMPUTED_VALUE"""),"[""ELIGIBLE""]")</f>
        <v>["ELIGIBLE"]</v>
      </c>
    </row>
    <row r="865">
      <c r="A865" s="24" t="str">
        <f>IFERROR(__xludf.DUMMYFUNCTION("""COMPUTED_VALUE"""),"Changes of community composition at multiple trophic levels due to hunting in Nigerian tropical forests")</f>
        <v>Changes of community composition at multiple trophic levels due to hunting in Nigerian tropical forests</v>
      </c>
      <c r="B865" s="24" t="str">
        <f>IFERROR(__xludf.DUMMYFUNCTION("""COMPUTED_VALUE"""),"Hunting in tropical forests decimates large mammals, and this may have direct and indirect effects on other trophic levels and lead to trophic cascades. We compared replicated sites of hunted and protected forests in southeastern Nigeria, with respect to "&amp;"community composition of primates, other mammals, birds, plant seedlings, and mature trees. We make predictions regarding the community composition at the different trophic levels. In forests where large primates are rare, we hypothesize that their ecolog"&amp;"ical role will not be fully compensated for by small frugivores. We apply multivariate methods to assess changes in community composition of mammals, birds, and seedlings, controlling for any differences between sites in the other groups, including mature"&amp;" trees. Medium and large (4-180 kg) primates were much rarer in hunted sites, while porcupine and rock hyrax increased in abundance with hunting. In contrast, the community composition of birds was similar in both types of forests. Seedling communities we"&amp;"re significantly related to the community composition of mammals, and thus strongly affected by hunting. In protected forests primate dispersed plant seedling species dominated, whereas in hunted forests the seedling community was shifted towards one domi"&amp;"nated by abiotically dispersed species. This was probably both a consequence of reduced seed dispersal by primates, and increased seed predation by rodents and hyrax. Hence we found no evidence for buffering effects on tree regeneration through functional"&amp;" compensation by non-hunted animals (such as birds). Our results highlight how seedling communities are changed by the complex plant-animal intera ctions, triggered by the loss of seed dispersers. The results predict a rarity of primate-dispersed trees in"&amp;" future tropical forest canopies; a forest less diverse in timber and non-timber resources.")</f>
        <v>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v>
      </c>
      <c r="C865" s="24" t="str">
        <f>IFERROR(__xludf.DUMMYFUNCTION("""COMPUTED_VALUE"""),"10.1111/j.1600-0587.2013.00359.x")</f>
        <v>10.1111/j.1600-0587.2013.00359.x</v>
      </c>
      <c r="D865" s="24" t="str">
        <f>IFERROR(__xludf.DUMMYFUNCTION("""COMPUTED_VALUE"""),"Keck et al")</f>
        <v>Keck et al</v>
      </c>
      <c r="E865" s="24" t="str">
        <f>IFERROR(__xludf.DUMMYFUNCTION("""COMPUTED_VALUE"""),"WOS:000333608400007")</f>
        <v>WOS:000333608400007</v>
      </c>
      <c r="F865" s="24" t="str">
        <f>IFERROR(__xludf.DUMMYFUNCTION("""COMPUTED_VALUE"""),"[""ELIGIBLE""]")</f>
        <v>["ELIGIBLE"]</v>
      </c>
    </row>
    <row r="866">
      <c r="A866" s="24" t="str">
        <f>IFERROR(__xludf.DUMMYFUNCTION("""COMPUTED_VALUE"""),"The effects of sediment deposits from Namibian diamond mines on intertidal and subtidal reefs and rock lobster populations")</f>
        <v>The effects of sediment deposits from Namibian diamond mines on intertidal and subtidal reefs and rock lobster populations</v>
      </c>
      <c r="B866" s="24" t="str">
        <f>IFERROR(__xludf.DUMMYFUNCTION("""COMPUTED_VALUE"""),"1. Extensive diamond mining occurs on land and in the sea on the west coasts of South Africa and Namibia, raising fears that diamond-mining activities may impact commercial rock lobster fisheries and benthic communities. To explore this possibility, the e"&amp;"ffects of the diamond-mining fines-discharge on intertidal and subtidal rocky-shore communities and on the population structure of the rock lobster Jasus lalandii were assessed at Elizabeth Bay. 2. Sampling over six years at sites covering a range of wave"&amp;" exposures compared impacted sites with comparable reference sites never exposed to the fines. Percentage cover and densities of benthic organisms were recorded on both intertidal and subtidal reefs. Rock lobster abundance was estimated from counts and ca"&amp;"tch-per-unit-effort, and their length frequencies and sex ratios compared in impacted and reference areas. 3. The deposition of fines had no effect at wave-exposed sites, but did impact intertidal and subtidal communities at sheltered localities where fin"&amp;"es accumulated because wave action was insufficient to disperse them. Reductions of grazers, proliferation of algae and increased dominance by filter-feeders were recorded at the impacted sites and persisted throughout the monitoring programme. Difference"&amp;"s in community structure associated with different levels of wave exposure were, however, greater than those produced by depositing fines. The detected effects of fines-deposits on the benthos were local and likely to be reversible after cessation of mini"&amp;"ng. 4. The fines-deposit had no detectable effects on the sex-ratio, size or abundance of rock lobsters, indicating that there is no conflict between the deposition of fines and the fishery for rock lobsters, although substantial inter-site variability ma"&amp;"kes it difficult to regard the results as definitive. Copyright (C) 2002 John Wiley Sons, Ltd.")</f>
        <v>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v>
      </c>
      <c r="C866" s="24" t="str">
        <f>IFERROR(__xludf.DUMMYFUNCTION("""COMPUTED_VALUE"""),"10.1002/aqc.543")</f>
        <v>10.1002/aqc.543</v>
      </c>
      <c r="D866" s="24" t="str">
        <f>IFERROR(__xludf.DUMMYFUNCTION("""COMPUTED_VALUE"""),"Keck et al")</f>
        <v>Keck et al</v>
      </c>
      <c r="E866" s="24" t="str">
        <f>IFERROR(__xludf.DUMMYFUNCTION("""COMPUTED_VALUE"""),"WOS:000183046200006")</f>
        <v>WOS:000183046200006</v>
      </c>
      <c r="F866" s="24" t="str">
        <f>IFERROR(__xludf.DUMMYFUNCTION("""COMPUTED_VALUE"""),"[""ELIGIBLE""]")</f>
        <v>["ELIGIBLE"]</v>
      </c>
    </row>
    <row r="867">
      <c r="A867" s="24" t="str">
        <f>IFERROR(__xludf.DUMMYFUNCTION("""COMPUTED_VALUE"""),"Sponge-microbe partnerships are stable under eutrophication pressure from mariculture")</f>
        <v>Sponge-microbe partnerships are stable under eutrophication pressure from mariculture</v>
      </c>
      <c r="B867" s="24" t="str">
        <f>IFERROR(__xludf.DUMMYFUNCTION("""COMPUTED_VALUE"""),"Sponges harbor a great diversity of symbiotic microorganisms. However, environmental stresses can affect this partnership and influence the health and abundance of the host sponges. In Bolinao, Pangasinan, Philippines, chronic input of organic materials f"&amp;"rom mariculture activities contributes to a eutrophic coastal environment. To understand how these conditions might affect sponge-microbial partnerships, transplantation experiments were conducted with the marine sponge Gelliodes obtusa. High-throughput s"&amp;"equencing of 16S rRNA revealed that the associated microbial community of the sponges did not exhibit significant shifts after six weeks of transplantation at a eutrophic fish farm site compared to sponges grown at a coral reef or a seagrass area. However"&amp;", sponges at the fish farm revealed higher abundance of the amoA gene, suggesting that microbiome members are responsive to increased ammonium levels at the site. The stable association between G. obtusa and its microbiome indicates that the sponge holobi"&amp;"ont can withstand eutrophication pressure from mariculture.")</f>
        <v>Sponges harbor a great diversity of symbiotic microorganisms. However, environmental stresses can affect this partnership and influence the health and abundance of the host sponges. In Bolinao, Pangasinan, Philippines, chronic input of organic materials from mariculture activities contributes to a eutrophic coastal environment. To understand how these conditions might affect sponge-microbial partnerships, transplantation experiments were conducted with the marine sponge Gelliodes obtusa. High-throughput sequencing of 16S rRNA revealed that the associated microbial community of the sponges did not exhibit significant shifts after six weeks of transplantation at a eutrophic fish farm site compared to sponges grown at a coral reef or a seagrass area. However, sponges at the fish farm revealed higher abundance of the amoA gene, suggesting that microbiome members are responsive to increased ammonium levels at the site. The stable association between G. obtusa and its microbiome indicates that the sponge holobiont can withstand eutrophication pressure from mariculture.</v>
      </c>
      <c r="C867" s="24" t="str">
        <f>IFERROR(__xludf.DUMMYFUNCTION("""COMPUTED_VALUE"""),"10.1016/j.marpolbul.2018.09.011")</f>
        <v>10.1016/j.marpolbul.2018.09.011</v>
      </c>
      <c r="D867" s="24" t="str">
        <f>IFERROR(__xludf.DUMMYFUNCTION("""COMPUTED_VALUE"""),"Keck et al")</f>
        <v>Keck et al</v>
      </c>
      <c r="E867" s="24" t="str">
        <f>IFERROR(__xludf.DUMMYFUNCTION("""COMPUTED_VALUE"""),"WOS:000450382900015")</f>
        <v>WOS:000450382900015</v>
      </c>
      <c r="F867" s="24" t="str">
        <f>IFERROR(__xludf.DUMMYFUNCTION("""COMPUTED_VALUE"""),"[""ELIGIBLE""]")</f>
        <v>["ELIGIBLE"]</v>
      </c>
    </row>
    <row r="868">
      <c r="A868" s="24" t="str">
        <f>IFERROR(__xludf.DUMMYFUNCTION("""COMPUTED_VALUE"""),"Nutrient limitation of benthic algae in Lake Baikal, Russia")</f>
        <v>Nutrient limitation of benthic algae in Lake Baikal, Russia</v>
      </c>
      <c r="B868" s="24" t="str">
        <f>IFERROR(__xludf.DUMMYFUNCTION("""COMPUTED_VALUE"""),"Lake Baikal, one of the world's largest and most biologically diverse lakes, has recently begun to experience uncharacteristic nuisance blooms of filamentous benthic algae. To contribute to understanding the causes of these blooms, we deployed nutrient-di"&amp;"ffusing substrata (NDS) at 10 sites varying in shoreline land use in the southwestern portion of the lake. Our objectives were to assess the nature of nutrient limitation of benthic algae in Lake Baikal, the relationship between land use and limitation st"&amp;"atus, and the effect of enrichment on algal community composition. Algal biomass measured as chlorophyll a (Chl a) responded strongly to nutrient enrichment and showed serial limitation by N and P at all sites. Chl a levels were similar to 2 and 4x higher"&amp;" on N- and N+P-amended NDS, respectively, than on unenriched controls. Periphyton biomass varied significantly among sites, but differences in periphyton biomass and nutrient limitation status were not related to shoreline land use. The taxonomic composit"&amp;"ion of periphyton varied significantly among landuse categories, nutrient treatments, and sites. The filamentous green alga Stigeoclonium tenue, which has been associated with recently observed nuisance blooms in Lake Baikal, tended to be most abundant on"&amp;" N- and N+ P-amended NDS. The results of our study demonstrate strong nutrient limitation of the periphyton in Lake Baikal and highlight the potential value of improved nutrient controls for addressing benthic algal blooms in the lake.")</f>
        <v>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v>
      </c>
      <c r="C868" s="24" t="str">
        <f>IFERROR(__xludf.DUMMYFUNCTION("""COMPUTED_VALUE"""),"10.1086/699408")</f>
        <v>10.1086/699408</v>
      </c>
      <c r="D868" s="24" t="str">
        <f>IFERROR(__xludf.DUMMYFUNCTION("""COMPUTED_VALUE"""),"Keck et al")</f>
        <v>Keck et al</v>
      </c>
      <c r="E868" s="24" t="str">
        <f>IFERROR(__xludf.DUMMYFUNCTION("""COMPUTED_VALUE"""),"WOS:000441679400004")</f>
        <v>WOS:000441679400004</v>
      </c>
      <c r="F868" s="24" t="str">
        <f>IFERROR(__xludf.DUMMYFUNCTION("""COMPUTED_VALUE"""),"[""ELIGIBLE""]")</f>
        <v>["ELIGIBLE"]</v>
      </c>
    </row>
    <row r="869">
      <c r="A869" s="24" t="str">
        <f>IFERROR(__xludf.DUMMYFUNCTION("""COMPUTED_VALUE"""),"Impact assessment of ephemeral discharge of contamination downstream of two legacy base metal mines using environmental DNA")</f>
        <v>Impact assessment of ephemeral discharge of contamination downstream of two legacy base metal mines using environmental DNA</v>
      </c>
      <c r="B869" s="24" t="str">
        <f>IFERROR(__xludf.DUMMYFUNCTION("""COMPUTED_VALUE"""),"Mining and processing metalliferous ores can degrade the environment well beyond the footprint of the mine, particularly where on-site containment and post-mining remediation has been insufficient to prevent releases of solid and aqueous mine wastes. In t"&amp;"his study, we investigated the potential of sediment and water chemistry coupled with environmental (e)DNA metabarcoding to evaluate discrete and cumulative ecological impacts of two legacy base metal (copper (Cu), zinc (Zn), lead (Pb)) mines (Peelwood an"&amp;"d Cordillera) which discharge metals via ephemeral tributaries into perennial Peelwood Creek. Although the two mine streams exceeded Australian guidelines for sediment and freshwater quality for Cu, Zn and Pb, Peelwood Creek had relatively low sediment an"&amp;"d water metal concentrations, suggesting a low potential for environmental toxicity. Although sediment and water chemistry defined the extent of biological impacts, metabarcoding showed that Peelwood and Cordillera mines had discrete impacts and Peelwood "&amp;"mine was the main source of contamination of Peel wood Creek. Metabarcoding showed that prokaryotes can be good indicators of metal contamination whereas eukaryotes did not reflect contamination impacts in Peelwood Creek. Metabarcoding results showed that"&amp;" benthic communities downstream of Cordillera mine were less impacted than those below Peelwood mine, suggesting that Peelwood mine should be considered for further remediation.")</f>
        <v>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v>
      </c>
      <c r="C869" s="24" t="str">
        <f>IFERROR(__xludf.DUMMYFUNCTION("""COMPUTED_VALUE"""),"10.1016/j.jhazmat.2021.126483")</f>
        <v>10.1016/j.jhazmat.2021.126483</v>
      </c>
      <c r="D869" s="24" t="str">
        <f>IFERROR(__xludf.DUMMYFUNCTION("""COMPUTED_VALUE"""),"Keck et al")</f>
        <v>Keck et al</v>
      </c>
      <c r="E869" s="24" t="str">
        <f>IFERROR(__xludf.DUMMYFUNCTION("""COMPUTED_VALUE"""),"WOS:000694775100005")</f>
        <v>WOS:000694775100005</v>
      </c>
      <c r="F869" s="24" t="str">
        <f>IFERROR(__xludf.DUMMYFUNCTION("""COMPUTED_VALUE"""),"[""ELIGIBLE""]")</f>
        <v>["ELIGIBLE"]</v>
      </c>
    </row>
    <row r="870">
      <c r="A870" s="24" t="str">
        <f>IFERROR(__xludf.DUMMYFUNCTION("""COMPUTED_VALUE"""),"The impact of livestock grazing and canopy gaps on species pool and functional diversity of ground flora in the Caspian beech forests of Iran")</f>
        <v>The impact of livestock grazing and canopy gaps on species pool and functional diversity of ground flora in the Caspian beech forests of Iran</v>
      </c>
      <c r="B870" s="24" t="str">
        <f>IFERROR(__xludf.DUMMYFUNCTION("""COMPUTED_VALUE"""),"Questions Livestock grazing is an important disturbance in many forest ecosystems. While several studies have addressed the general impact of different grazing and light intensities on temperate forest ecosystems, little is known about how the combination"&amp;" of these two factors can affect the species pool and functional diversity of temperate forests. Location Oriental beech forests of northern Iran. Methods Vegetation and environmental data of 104 releves were collected. These were assigned to four groups "&amp;"based on their light and grazing intensities. Non-metric multidimensional scaling was used to analyze vegetation compositional relationships among groups. We used nine functional traits related to growth, reproduction, and survival for a total of 147 plan"&amp;"t species. Redundancy analysis of community-weighted means was used to determine the response of single traits to disturbance and environmental variables. Generalized additive models were applied to examine the shape of the response pattern of community-w"&amp;"eighted mean trait values across the grazing and light intensity gradients. Functional richness and functional divergence indices were used to analyze functional diversity-disturbance relationships. Results Both light and grazing intensities significantly"&amp;" affected species pools, single traits, and functional divergence. Suites of trait attributes including hemicryptophytes, therophytes, grass-like, hygromorphic leaves, insect-pollinated, rhizomes, and runner plants were associated with high-light sites. I"&amp;"n closed-canopy sites the strong filtering effect of shade resulted in suites of trait attributes including taller plants, macrophanerophytes, scleromorphic leaves, simple leaves, and berry fruits. While high-light sites had a larger species pool, they ex"&amp;"hibited less functional diversity. Cattle grazing can mediate the filtering effect of light and increase functional diversity in both low-light and high-light sites. Conclusion Conservation measures in this region should acknowledge that moderate traditio"&amp;"nal cattle grazing combined with individual-tree and group-tree selection in these forests may maintain or even enhance functional diversity in these valuable ecosystems.")</f>
        <v>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v>
      </c>
      <c r="C870" s="24" t="str">
        <f>IFERROR(__xludf.DUMMYFUNCTION("""COMPUTED_VALUE"""),"10.1111/avsc.12592")</f>
        <v>10.1111/avsc.12592</v>
      </c>
      <c r="D870" s="24" t="str">
        <f>IFERROR(__xludf.DUMMYFUNCTION("""COMPUTED_VALUE"""),"Keck et al")</f>
        <v>Keck et al</v>
      </c>
      <c r="E870" s="24" t="str">
        <f>IFERROR(__xludf.DUMMYFUNCTION("""COMPUTED_VALUE"""),"WOS:000701239900010")</f>
        <v>WOS:000701239900010</v>
      </c>
      <c r="F870" s="24" t="str">
        <f>IFERROR(__xludf.DUMMYFUNCTION("""COMPUTED_VALUE"""),"[""ELIGIBLE""]")</f>
        <v>["ELIGIBLE"]</v>
      </c>
    </row>
    <row r="871">
      <c r="A871" s="24" t="str">
        <f>IFERROR(__xludf.DUMMYFUNCTION("""COMPUTED_VALUE"""),"Assessment of fish communities in a Mediterranean MPA: Can a seasonal no-take zone provide effective protection?")</f>
        <v>Assessment of fish communities in a Mediterranean MPA: Can a seasonal no-take zone provide effective protection?</v>
      </c>
      <c r="B871" s="24" t="str">
        <f>IFERROR(__xludf.DUMMYFUNCTION("""COMPUTED_VALUE"""),"The efficacy of a Mediterranean Marine Protected Area (National Marine Park of Zakynthos - NMPZ, Ionian Sea, Greece) that implements a seasonal no-take zone as part of its management scheme was assessed using fish data collected in situ with underwater vi"&amp;"sual census. Sampling was conducted at two habitat types (Posidonia oceanica meadows and rocky reefs) that occur at sites of different protection level with respect to fisheries (high protection: seasonal no-take zone within the MPA; intermediate: zones w"&amp;"ithin the MPA where small-scale fishing is allowed; none: areas outside the MPA, where all types of fishing are allowed, including trawlers, purse seiners, and recreational fishing). The data were used to examine the effects of protection level and habita"&amp;"t type on community parameters, trophic structure and functional diversity of fish populations that occupy the upper sublittoral zone. Overall, habitat type had a more pronounced effect than protection level on all investigated parameters. Biomass, densit"&amp;"y and number of fish species with low commercial value were higher in sites of intermediate protection, but no substantial fisheries-related ecological benefits were detected for targeted fish in the seasonal no-take zone. Conducted 8 years after the init"&amp;"ial implementation of the seasonal no-take management scheme, our study suggests that existing fishing regulations in the NMPZ provide some measurable effects, but fall short of maintaining sufficient protection for the recovery of apex predators or other"&amp;" commercially important fish species. A revision of the existing zoning system to include permanent no-take zones, alongside the regulation of professional fishing and all extractive activities in the rest of the MPA, are strongly encouraged in order to e"&amp;"nhance the effectiveness of fisheries management.")</f>
        <v>The efficacy of a Mediterranean Marine Protected Area (National Marine Park of Zakynthos - NMPZ, Ionian Sea, Greece) that implements a seasonal no-take zone as part of its management scheme was assessed using fish data collected in situ with underwater visual census. Sampling was conducted at two habitat types (Posidonia oceanica meadows and rocky reefs) that occur at sites of different protection level with respect to fisheries (high protection: seasonal no-take zone within the MPA; intermediate: zones within the MPA where small-scale fishing is allowed; none: areas outside the MPA, where all types of fishing are allowed, including trawlers, purse seiners, and recreational fishing). The data were used to examine the effects of protection level and habitat type on community parameters, trophic structure and functional diversity of fish populations that occupy the upper sublittoral zone. Overall, habitat type had a more pronounced effect than protection level on all investigated parameters. Biomass, density and number of fish species with low commercial value were higher in sites of intermediate protection, but no substantial fisheries-related ecological benefits were detected for targeted fish in the seasonal no-take zone. Conducted 8 years after the initial implementation of the seasonal no-take management scheme, our study suggests that existing fishing regulations in the NMPZ provide some measurable effects, but fall short of maintaining sufficient protection for the recovery of apex predators or other commercially important fish species. A revision of the existing zoning system to include permanent no-take zones, alongside the regulation of professional fishing and all extractive activities in the rest of the MPA, are strongly encouraged in order to enhance the effectiveness of fisheries management.</v>
      </c>
      <c r="C871" s="24" t="str">
        <f>IFERROR(__xludf.DUMMYFUNCTION("""COMPUTED_VALUE"""),"10.1016/j.ecss.2018.04.012")</f>
        <v>10.1016/j.ecss.2018.04.012</v>
      </c>
      <c r="D871" s="24" t="str">
        <f>IFERROR(__xludf.DUMMYFUNCTION("""COMPUTED_VALUE"""),"Keck et al")</f>
        <v>Keck et al</v>
      </c>
      <c r="E871" s="24" t="str">
        <f>IFERROR(__xludf.DUMMYFUNCTION("""COMPUTED_VALUE"""),"WOS:000440265300023")</f>
        <v>WOS:000440265300023</v>
      </c>
      <c r="F871" s="24" t="str">
        <f>IFERROR(__xludf.DUMMYFUNCTION("""COMPUTED_VALUE"""),"[""ELIGIBLE""]")</f>
        <v>["ELIGIBLE"]</v>
      </c>
    </row>
    <row r="872">
      <c r="A872" s="24" t="str">
        <f>IFERROR(__xludf.DUMMYFUNCTION("""COMPUTED_VALUE"""),"Effects of invasive Pacific red lionfish Pterois volitans versus a native predator on Bahamian coral-reef fish communities")</f>
        <v>Effects of invasive Pacific red lionfish Pterois volitans versus a native predator on Bahamian coral-reef fish communities</v>
      </c>
      <c r="B872" s="24" t="str">
        <f>IFERROR(__xludf.DUMMYFUNCTION("""COMPUTED_VALUE"""),"The recent irruption of Pacific red lionfish (Pterois volitans) on Caribbean and Atlantic coral reefs could prove to be one of the most damaging marine invasions to date. Invasive lionfish are reaching densities much higher than those reported from their "&amp;"native range, and they have a strong negative effect on the recruitment and abundance of a broad diversity of native coral-reef fishes. Otherwise, little is known about how lionfish affect native coral-reef communities, especially compared to ecologically"&amp;" similar native predators. A controlled field experiment conducted on small patch-reefs in the Bahamas over an 8-week-period demonstrated that (1) lionfish caused a reduction in the abundance of small native coral-reef fishes that was 2.5 +/- A 0.5 times "&amp;"(mean +/- A SEM) greater than that caused by a similarly sized native piscivore, the coney grouper Cephalopholis fulva (93.7 vs. 36.3 % reduction); (2) lionfish caused a reduction in the species richness of small coral-reef fishes (loss of 4.6 +/- A 1.6 s"&amp;"pecies), whereas the native piscivore did not have a significant effect on prey richness; (3) the greatest effects on the reef-fish community, in terms of both abundance and richness, occurred when both native and invasive predators were present; and (4) "&amp;"lionfish grew significantly faster (&gt; 6 times) than the native predator under the same field conditions. These results suggest that invasive lionfish have stronger ecological effects than similarly sized native piscivores, and may pose a substantial threa"&amp;"t to native coral-reef fish communities.")</f>
        <v>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v>
      </c>
      <c r="C872" s="24" t="str">
        <f>IFERROR(__xludf.DUMMYFUNCTION("""COMPUTED_VALUE"""),"10.1007/s10530-012-0266-1")</f>
        <v>10.1007/s10530-012-0266-1</v>
      </c>
      <c r="D872" s="24" t="str">
        <f>IFERROR(__xludf.DUMMYFUNCTION("""COMPUTED_VALUE"""),"Keck et al")</f>
        <v>Keck et al</v>
      </c>
      <c r="E872" s="24" t="str">
        <f>IFERROR(__xludf.DUMMYFUNCTION("""COMPUTED_VALUE"""),"WOS:000312140800004")</f>
        <v>WOS:000312140800004</v>
      </c>
      <c r="F872" s="24" t="str">
        <f>IFERROR(__xludf.DUMMYFUNCTION("""COMPUTED_VALUE"""),"[""ELIGIBLE""]")</f>
        <v>["ELIGIBLE"]</v>
      </c>
    </row>
    <row r="873">
      <c r="A873" s="24" t="str">
        <f>IFERROR(__xludf.DUMMYFUNCTION("""COMPUTED_VALUE"""),"Historical logging alters soil fungal community composition and network in a tropical rainforest")</f>
        <v>Historical logging alters soil fungal community composition and network in a tropical rainforest</v>
      </c>
      <c r="B873" s="24" t="str">
        <f>IFERROR(__xludf.DUMMYFUNCTION("""COMPUTED_VALUE"""),"The effects of logging on forest ecosystems are severe and long-lasting. In addition, these effects are often paralleled with shifts in soil fungal community composition and functional guilds with potential feedbacks on ecosystem functioning. Clarifying h"&amp;"ow soil fungal communities are linked to the effects of historical logging could help us better understand the ecological consequences of logging. Here, we collected soils from 61 25 m x 25 m quadrats across a 160-km(2) tropical rainforest in Hainan Islan"&amp;"d, China, which had been partially clear cut or selectively harvested and left to recover for up to 50 years. Soil fungal community composition and species co-variation networks were investigated in the selectively harvested (select cut) and clear cut for"&amp;"est stands and were compared to data from the primary stands without a history of logging. Historical logging shifted fungal community composition from Zygomycota towards Basidiomycota domination mainly through modifying vegetation composition and soil pr"&amp;"operties. The relative abundance of root associated fungi (i.e., ectomycorrhizal and ericoid mycorrhizal), animal pathogens and wood saprotrophs increased 50 years after logging, while the relative abundance of undefined saprotrophs decreased. In select c"&amp;"ut stands, the fungal community was better organized with higher numbers of functionally interrelated operational taxonomic units (OTUs) and more generalist OTUs. In contrast, the number of functionally interrelated OTUs was lowest in the fungal network i"&amp;"n clear cut stands. By comparing the topological roles of the shared OTUs among the three types of forest stands, we found role-shifts among fungal members from the specialists in the primary stands to the generalists in the select cut stands. Ascomycota "&amp;"and Basidiomycota were the major phyla involved in the role-shifts. Moreover, the fungal network in primary stands was positively associated with litter nutrients, while that in select cut stands was positively related to soil nutrients content. This indi"&amp;"cated that the major drivers of fungal community organization shifted from litter nutrients content in the primary forest towards soil nutrients content in the selectively harvested forest. In the clear cut stands, however, the associations between fungal"&amp;" network and both litter and soil nutrients content decreased when compared with those in the primary and select cut stands. More than 60% of the total links among fungal members in clear cut stands were negative, implying a trend of niche partitioning am"&amp;"ong fungal groups with a half-century recovery after clearcutting in the tropical rainforest.")</f>
        <v>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v>
      </c>
      <c r="C873" s="24" t="str">
        <f>IFERROR(__xludf.DUMMYFUNCTION("""COMPUTED_VALUE"""),"10.1016/j.foreco.2018.11.005")</f>
        <v>10.1016/j.foreco.2018.11.005</v>
      </c>
      <c r="D873" s="24" t="str">
        <f>IFERROR(__xludf.DUMMYFUNCTION("""COMPUTED_VALUE"""),"Keck et al")</f>
        <v>Keck et al</v>
      </c>
      <c r="E873" s="24" t="str">
        <f>IFERROR(__xludf.DUMMYFUNCTION("""COMPUTED_VALUE"""),"WOS:000456902500024")</f>
        <v>WOS:000456902500024</v>
      </c>
      <c r="F873" s="24" t="str">
        <f>IFERROR(__xludf.DUMMYFUNCTION("""COMPUTED_VALUE"""),"[""ELIGIBLE""]")</f>
        <v>["ELIGIBLE"]</v>
      </c>
    </row>
    <row r="874">
      <c r="A874" s="24" t="str">
        <f>IFERROR(__xludf.DUMMYFUNCTION("""COMPUTED_VALUE"""),"Bacterial rather than fungal community composition is associated with microbial activities and nutrient-use efficiencies in a paddy soil with short-term organic amendments")</f>
        <v>Bacterial rather than fungal community composition is associated with microbial activities and nutrient-use efficiencies in a paddy soil with short-term organic amendments</v>
      </c>
      <c r="B874" s="24" t="str">
        <f>IFERROR(__xludf.DUMMYFUNCTION("""COMPUTED_VALUE"""),"Considering the global demands in sustaining agriculture, use of organic amendments is gradually increasing. An improved understanding of the biological process is essential to evaluate the performance of organic amendments on agro-ecosystem. Soils subjec"&amp;"ted to different fertilization regimes were collected from a field experiment. Microbial community compositions are assessed with 16S and ITS rRNA gene sequencing and subsequent bioinformatics analysis. Microbial functions are characterized with the geome"&amp;"tric mean of the assayed enzyme activities (GMea) and the microbial carbon-use efficiency:nitrogen-use efficiency ratio (CUE:NUE). Compared with the chemically fertilized soil, the GMea significantly increased in organically amended soils. In contrast, th"&amp;"e CUE:NUE was highest in chemically treated soil. These changes of microbial functional indicators were associated with shifts in the bacterial and not the fungal community composition, despite the fact that both the bacterial and fungal community composi"&amp;"tions were significantly affected by the fertilization regimes. The abundances of specific soil bacterial taxa, especially the genera Luteimonas and Gemmatimona, were enriched by organic amendments. Soil organic carbon emerged as the major determinant of "&amp;"the bacterial community composition. Soil microbial activities and nutrient-use efficiencies were dramatically changed along with the alteration of bacterial community composition. Relatively greater abundance of Luteimonas and Gemmatimona taxa in soils m"&amp;"ight be useful indicators for soil amelioration. Our research could be helpful to provide better strategies for the maintenance of soil fertility.")</f>
        <v>Considering the global demands in sustaining agriculture, use of organic amendments is gradually increasing. An improved understanding of the biological process is essential to evaluate the performance of organic amendments on agro-ecosystem. Soils subjected to different fertilization regimes were collected from a field experiment. Microbial community compositions are assessed with 16S and ITS rRNA gene sequencing and subsequent bioinformatics analysis. Microbial functions are characterized with the geometric mean of the assayed enzyme activities (GMea) and the microbial carbon-use efficiency:nitrogen-use efficiency ratio (CUE:NUE). Compared with the chemically fertilized soil, the GMea significantly increased in organically amended soils. In contrast, the CUE:NUE was highest in chemically treated soil. These changes of microbial functional indicators were associated with shifts in the bacterial and not the fungal community composition, despite the fact that both the bacterial and fungal community compositions were significantly affected by the fertilization regimes. The abundances of specific soil bacterial taxa, especially the genera Luteimonas and Gemmatimona, were enriched by organic amendments. Soil organic carbon emerged as the major determinant of the bacterial community composition. Soil microbial activities and nutrient-use efficiencies were dramatically changed along with the alteration of bacterial community composition. Relatively greater abundance of Luteimonas and Gemmatimona taxa in soils might be useful indicators for soil amelioration. Our research could be helpful to provide better strategies for the maintenance of soil fertility.</v>
      </c>
      <c r="C874" s="24" t="str">
        <f>IFERROR(__xludf.DUMMYFUNCTION("""COMPUTED_VALUE"""),"10.1007/s11104-017-3547-8")</f>
        <v>10.1007/s11104-017-3547-8</v>
      </c>
      <c r="D874" s="24" t="str">
        <f>IFERROR(__xludf.DUMMYFUNCTION("""COMPUTED_VALUE"""),"Keck et al")</f>
        <v>Keck et al</v>
      </c>
      <c r="E874" s="24" t="str">
        <f>IFERROR(__xludf.DUMMYFUNCTION("""COMPUTED_VALUE"""),"WOS:000430192000023")</f>
        <v>WOS:000430192000023</v>
      </c>
      <c r="F874" s="24" t="str">
        <f>IFERROR(__xludf.DUMMYFUNCTION("""COMPUTED_VALUE"""),"[""ELIGIBLE""]")</f>
        <v>["ELIGIBLE"]</v>
      </c>
    </row>
    <row r="875">
      <c r="A875" s="24" t="str">
        <f>IFERROR(__xludf.DUMMYFUNCTION("""COMPUTED_VALUE"""),"Differences in leaf-litter invertebrate assemblages between radiata pine plantations and neighbouring native eucalypt woodland")</f>
        <v>Differences in leaf-litter invertebrate assemblages between radiata pine plantations and neighbouring native eucalypt woodland</v>
      </c>
      <c r="B875" s="24" t="str">
        <f>IFERROR(__xludf.DUMMYFUNCTION("""COMPUTED_VALUE"""),"We investigated the structure, composition and environmental correlates of leaf-litter invertebrate assemblages in Pinus radiata plantations and in neighbouring native eucalypt woodland in the Jenolan Caves Karst Conservation Reserve, south-east Australia"&amp;". Invertebrate assemblages of plantations were compared with remnant eucalypt woodland located well away from the influence of plantations to determine the direct effects of plantations as a result of habitat-replacement with a non-native plantation speci"&amp;"es. We also included in our comparisons edge habitat of eucalypt woodland located immediately adjacent to plantations. This unique edge habitat is exposed to the intrusion of large volumes of pine leaf-litter from plantations, which has the potential to a"&amp;"ffect indirectly invertebrate assemblages of surrounding woodland. We found that species richness of invertebrates was significantly lower in pine plantations compared with remnant eucalypt woodland. There was a complete absence of species from 12 inverte"&amp;"brate orders that were found in surrounding eucalypt woodland. A rich and abundant native plant understorey that provides increased habitat heterogeneity is the most likely explanation for the richer invertebrate assemblage found in remnant eucalypt woodl"&amp;"and. The total abundance of all invertebrate taxa in pine plantations in winter was significantly higher than in remnant eucalypt woodland, pine-litter edges and pine-free edges. Plantations were characterized by particularly high abundances of species in"&amp;" two orders, Acari and Collembola. High abundances of acarine and collembolan species in plantations were associated with a decompositional environment represented by comparatively higher moisture contents and higher C : N ratios of both leaf-litter and s"&amp;"oil, higher soil conductivity and lower soil pH. We suggest that implementation of The Plantation Biodiversity Benefits Score will be a fruitful way forward to assess the environmental benefits that can be gained from pine plantations in this region of so"&amp;"uth-eastern Australia.")</f>
        <v>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v>
      </c>
      <c r="C875" s="24" t="str">
        <f>IFERROR(__xludf.DUMMYFUNCTION("""COMPUTED_VALUE"""),"10.1111/j.1442-9993.2009.01936.x")</f>
        <v>10.1111/j.1442-9993.2009.01936.x</v>
      </c>
      <c r="D875" s="24" t="str">
        <f>IFERROR(__xludf.DUMMYFUNCTION("""COMPUTED_VALUE"""),"Keck et al")</f>
        <v>Keck et al</v>
      </c>
      <c r="E875" s="24" t="str">
        <f>IFERROR(__xludf.DUMMYFUNCTION("""COMPUTED_VALUE"""),"WOS:000268196000002")</f>
        <v>WOS:000268196000002</v>
      </c>
      <c r="F875" s="24" t="str">
        <f>IFERROR(__xludf.DUMMYFUNCTION("""COMPUTED_VALUE"""),"[""ELIGIBLE""]")</f>
        <v>["ELIGIBLE"]</v>
      </c>
    </row>
    <row r="876">
      <c r="A876" s="24" t="str">
        <f>IFERROR(__xludf.DUMMYFUNCTION("""COMPUTED_VALUE"""),"Long-lasting effects of land use history on soil fungal communities in second-growth tropical rain forests")</f>
        <v>Long-lasting effects of land use history on soil fungal communities in second-growth tropical rain forests</v>
      </c>
      <c r="B876" s="24" t="str">
        <f>IFERROR(__xludf.DUMMYFUNCTION("""COMPUTED_VALUE"""),"Our understanding of the long-lasting effects of human land use on soil fungal communities in tropical forests is limited. Yet, over 70% of all remaining tropical forests are growing in former agricultural or logged areas. We investigated the relationship"&amp;" among land use history, biotic and abiotic factors, and soil fungal community composition and diversity in a second-growth tropical forest in Puerto Rico. We coupled high-throughput DNA sequencing with tree community and environmental data to determine w"&amp;"hether land use history had an effect on soil fungal community descriptors. We also investigated the biotic and abiotic factors that underlie such differences and asked whether the relative importance of biotic (tree diversity, basal tree area, and litter"&amp;"fall biomass) and abiotic (soil type, pH, iron, and total carbon, water flow, and canopy openness) factors in structuring soil fungal communities differed according to land use history. We demonstrated long-lasting effects of land use history on soil fung"&amp;"al communities. At our research site, most of the explained variation in soil fungal composition (R-2 = 18.6%), richness (R-2 = 11.4%), and evenness (R-2 = 10%) was associated with edaphic factors. Areas previously subject to both logging and farming had "&amp;"a soil fungal community with lower beta diversity and greater evenness of fungal operational taxonomic units (OTUs) than areas subject to light logging. Yet, fungal richness was similar between the two areas of historical land use. Together, these results"&amp;" suggest that fungal communities in disturbed areas are more homogeneous and diverse than in areas subject to light logging. Edaphic factors were the most strongly correlated with soil fungal composition, especially in areas subject to light logging, wher"&amp;"e soils are more heterogenous. High functional tree diversity in areas subject to both logging and farming led to stronger correlations between biotic factors and fungal composition than in areas subject to light logging. In contrast, fungal richness and "&amp;"evenness were more strongly correlated with biotic factors in areas of light logging, suggesting that these metrics might reflect long-term associations in old-growth forests. The large amount of unexplained variance in fungal composition suggests that th"&amp;"ese communities are structured by both stochastic and niche assemblage processes.")</f>
        <v>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v>
      </c>
      <c r="C876" s="24" t="str">
        <f>IFERROR(__xludf.DUMMYFUNCTION("""COMPUTED_VALUE"""),"10.1890/15-1397.1")</f>
        <v>10.1890/15-1397.1</v>
      </c>
      <c r="D876" s="24" t="str">
        <f>IFERROR(__xludf.DUMMYFUNCTION("""COMPUTED_VALUE"""),"Keck et al")</f>
        <v>Keck et al</v>
      </c>
      <c r="E876" s="24" t="str">
        <f>IFERROR(__xludf.DUMMYFUNCTION("""COMPUTED_VALUE"""),"WOS:000383358000022")</f>
        <v>WOS:000383358000022</v>
      </c>
      <c r="F876" s="24" t="str">
        <f>IFERROR(__xludf.DUMMYFUNCTION("""COMPUTED_VALUE"""),"[""ELIGIBLE""]")</f>
        <v>["ELIGIBLE"]</v>
      </c>
    </row>
    <row r="877">
      <c r="A877" s="24" t="str">
        <f>IFERROR(__xludf.DUMMYFUNCTION("""COMPUTED_VALUE"""),"Livestock disturbance in Brazilian grasslands influences avian species diversity via turnover")</f>
        <v>Livestock disturbance in Brazilian grasslands influences avian species diversity via turnover</v>
      </c>
      <c r="B877" s="24" t="str">
        <f>IFERROR(__xludf.DUMMYFUNCTION("""COMPUTED_VALUE"""),"Managing ecological disturbances at different spatial scales is paramount for maintaining or restoring faunal diversity in grasslands. Whereas some studies have reported varying net effects of livestock disturbance intensity upon species richness in grass"&amp;"lands, most analysis reveal strong effects on beta-diversity. However, beta-diversity can be further partitioned into a nestedness and turnover components, which allows complementary insights on the effects of disturbance on biodiversity across spatial sc"&amp;"ales. Here we tested for differences in avian species richness and beta-diversity across three intensity levels of livestock disturbance in southern Brazilian grasslands under commercial livestock production. We also tested how disturbance influences the "&amp;"nestedness and turnover components of beta-diversity separately. We found no difference in rarified-extrapolated species richness between disturbance levels. In contrast, we found a significant difference in species composition between disturbance levels,"&amp;" which was attributable to the turnover, but not to the nestedness component. Specifically, livestock disturbance had a predictable effect upon beta-diversity, with turnover of species composition occurring along the gradient of vegetation height in pastu"&amp;"res. Our study illustrates the importance of differentiating the turnover and nestedness components of beta-diversity to detect effects of disturbance gradients on biodiversity patterns. We argue that conservation strategies should focus on preserving the"&amp;" mosaic of short- and tall-grass physiognomies associated with the disturbance gradient imposed by livestock production.")</f>
        <v>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v>
      </c>
      <c r="C877" s="24" t="str">
        <f>IFERROR(__xludf.DUMMYFUNCTION("""COMPUTED_VALUE"""),"10.1007/s10531-017-1370-4")</f>
        <v>10.1007/s10531-017-1370-4</v>
      </c>
      <c r="D877" s="24" t="str">
        <f>IFERROR(__xludf.DUMMYFUNCTION("""COMPUTED_VALUE"""),"Keck et al")</f>
        <v>Keck et al</v>
      </c>
      <c r="E877" s="24" t="str">
        <f>IFERROR(__xludf.DUMMYFUNCTION("""COMPUTED_VALUE"""),"WOS:000406637700012")</f>
        <v>WOS:000406637700012</v>
      </c>
      <c r="F877" s="24" t="str">
        <f>IFERROR(__xludf.DUMMYFUNCTION("""COMPUTED_VALUE"""),"[""ELIGIBLE""]")</f>
        <v>["ELIGIBLE"]</v>
      </c>
    </row>
    <row r="878">
      <c r="A878" s="24" t="str">
        <f>IFERROR(__xludf.DUMMYFUNCTION("""COMPUTED_VALUE"""),"Responses of soil N-fixing bacteria communities to Amaranthus retroflexus invasion under different forms of N deposition")</f>
        <v>Responses of soil N-fixing bacteria communities to Amaranthus retroflexus invasion under different forms of N deposition</v>
      </c>
      <c r="B878" s="24" t="str">
        <f>IFERROR(__xludf.DUMMYFUNCTION("""COMPUTED_VALUE"""),"Soil N-fixing bacteria communities (SNB) can increase soil N availability, which can facilitate invasions of many kinds of invasive plant species. Meanwhile, variability in the forms of anthropogenic N deposition can mediate obvious shifts in both soil ph"&amp;"ysicochemical properties and soil microbial communities (especially SNB). This can alter the soil micro-ecological mechanisms of plant invasions via changes in soil characteristics and soil microbial communities, especially SNB. This study uses next-gener"&amp;"ation high throughput sequencing technology to provide insight into the effects of invasion by Amaranthus retrofiexus L. on the structure and diversity of SNB under different forms of simulated N deposition (SND). Soil pH under A. retrofiexus invasion und"&amp;"er various forms of SND was 8.08% lower than controls under a NH4-N treatment (P &lt; 0.05), 15.15% lower than controls under a NO3-N treatment (P &lt; 0.05), and 6.57% lower than controls under CO(NH2)(2)-N and Mix-N treatments (P &lt; 0.05). Meanwhile, soil pH w"&amp;"as one of the most important environmental variables explaining changes in the structure and diversity of SNB. The total number of species of SNB under A. retroflexus invasion was approximately 13.13% higher than controls for the NH4-N treatment (P &gt; 0.05"&amp;"), 11.00% higher than controls for the NO3-N treatment (P &gt; 0.05), 39.42% higher than controls for the CO(NH2)(2)-N treatment (P &lt; 0.05), and 27.67 higher than controls for the Mix-N treatment (P &lt; 0.05). The positive effects mediated by the combined trea"&amp;"tments of A. retrofiexus invasion and SND may be ascribed to enhanced soil nutrient content (especially N), which can enhance the abundance of the nifH gene. The effects of A. retrofiexus invasion on the total number of species of SNB under organic and mi"&amp;"xed-N addition were greater than under inorganic N addition. This may be a consequence of a disturbance of the balance of inorganic to organic N for SND, as a result of the addition of a single form of inorganic N, which can diminish the stimulatory effec"&amp;"ts of soil nutrient content on SNB under inorganic N. Another potential cause of this pattern may be stronger acidification under inorganic N addition, which can exert more pronounced effects on SNB. LEfSe analysis showed that some species changed signifi"&amp;"cantly under A. retroflexus invasion in the presence of SND (i.e., Rhodobacteraceae under NH4-N and Proteobacteria under CO(NH2)(2)-N). Thus, A. retrofiexus invasion in the presence of SND caused obvious shifts in certain species of SNB and increased the "&amp;"total number of species of SNB in particular, to facilitate its further invasion.")</f>
        <v>Soil N-fixing bacteria communities (SNB) can increase soil N availability, which can facilitate invasions of many kinds of invasive plant species. Meanwhile, variability in the forms of anthropogenic N deposition can mediate obvious shifts in both soil physicochemical properties and soil microbial communities (especially SNB). This can alter the soil micro-ecological mechanisms of plant invasions via changes in soil characteristics and soil microbial communities, especially SNB. This study uses next-generation high throughput sequencing technology to provide insight into the effects of invasion by Amaranthus retrofiexus L. on the structure and diversity of SNB under different forms of simulated N deposition (SND). Soil pH under A. retrofiexus invasion under various forms of SND was 8.08% lower than controls under a NH4-N treatment (P &lt; 0.05), 15.15% lower than controls under a NO3-N treatment (P &lt; 0.05), and 6.57% lower than controls under CO(NH2)(2)-N and Mix-N treatments (P &lt; 0.05). Meanwhile, soil pH was one of the most important environmental variables explaining changes in the structure and diversity of SNB. The total number of species of SNB under A. retroflexus invasion was approximately 13.13% higher than controls for the NH4-N treatment (P &gt; 0.05), 11.00% higher than controls for the NO3-N treatment (P &gt; 0.05), 39.42% higher than controls for the CO(NH2)(2)-N treatment (P &lt; 0.05), and 27.67 higher than controls for the Mix-N treatment (P &lt; 0.05). The positive effects mediated by the combined treatments of A. retrofiexus invasion and SND may be ascribed to enhanced soil nutrient content (especially N), which can enhance the abundance of the nifH gene. The effects of A. retrofiexus invasion on the total number of species of SNB under organic and mixed-N addition were greater than under inorganic N addition. This may be a consequence of a disturbance of the balance of inorganic to organic N for SND, as a result of the addition of a single form of inorganic N, which can diminish the stimulatory effects of soil nutrient content on SNB under inorganic N. Another potential cause of this pattern may be stronger acidification under inorganic N addition, which can exert more pronounced effects on SNB. LEfSe analysis showed that some species changed significantly under A. retroflexus invasion in the presence of SND (i.e., Rhodobacteraceae under NH4-N and Proteobacteria under CO(NH2)(2)-N). Thus, A. retrofiexus invasion in the presence of SND caused obvious shifts in certain species of SNB and increased the total number of species of SNB in particular, to facilitate its further invasion.</v>
      </c>
      <c r="C878" s="24" t="str">
        <f>IFERROR(__xludf.DUMMYFUNCTION("""COMPUTED_VALUE"""),"10.1016/j.agee.2017.07.012")</f>
        <v>10.1016/j.agee.2017.07.012</v>
      </c>
      <c r="D878" s="24" t="str">
        <f>IFERROR(__xludf.DUMMYFUNCTION("""COMPUTED_VALUE"""),"Keck et al")</f>
        <v>Keck et al</v>
      </c>
      <c r="E878" s="24" t="str">
        <f>IFERROR(__xludf.DUMMYFUNCTION("""COMPUTED_VALUE"""),"WOS:000408597800036")</f>
        <v>WOS:000408597800036</v>
      </c>
      <c r="F878" s="24" t="str">
        <f>IFERROR(__xludf.DUMMYFUNCTION("""COMPUTED_VALUE"""),"[""ELIGIBLE""]")</f>
        <v>["ELIGIBLE"]</v>
      </c>
    </row>
    <row r="879">
      <c r="A879" s="24" t="str">
        <f>IFERROR(__xludf.DUMMYFUNCTION("""COMPUTED_VALUE"""),"Variations in soil bacterial taxonomic profiles and putative functions in response to straw incorporation combined with N fertilization during the maize growing season")</f>
        <v>Variations in soil bacterial taxonomic profiles and putative functions in response to straw incorporation combined with N fertilization during the maize growing season</v>
      </c>
      <c r="B879" s="24" t="str">
        <f>IFERROR(__xludf.DUMMYFUNCTION("""COMPUTED_VALUE"""),"Integrating nitrogen (N) fertilization with crop residue amendments is usually used to enhance soil nutrient levels and promote crop growth in regions with intensive agriculture. However, the interactive effects of straw incorporation and N fertilization "&amp;"on the abiotic and biological properties of soil are not fully understood, especially under field conditions at different crop growth stages. In this study, we estimated the dynamic changes in the soil physicochemical properties and bacterial communities "&amp;"in response to N fertilization, straw incorporation, and their combinations during the maize growing season in black soil region in Harbin, China. N fertilization increased the relative abundance of the typical copiotrophic bacterial taxa, Alphaproteobact"&amp;"eria, but reduced that of the oligotrophic group, Acidobacteria. The straw incorporation enhanced the relative abundance of Bacteroidetes and Gammaproteobacteria, within which a variety of cellulolysis-related species phylogenetically fell. Interestingly,"&amp;" the straw amendments changed the effects of N fertilization on the overall soil bacterial community composition, possibly by altering the soil total carbon, C/N ratio, fixed ammonium, and moisture level. N fertilization stimulated most of the carbon (C) "&amp;"transformation and N cycling processes, and the straw incorporation increased the cellulolysis, N fixation, ureolysis, ammonia oxidation and denitrification functions. There were no differences in the soil chemical properties, microbial taxa profiles or p"&amp;"redicted functions between the conventional N fertilizer usage (high N level) and the optimized N fertilization management scheme (low N level), irrespective of straw incorporation, implying that moderately reducing the usage of N fertilizer will not chan"&amp;"ge the ecosystem service and function in this organic matter-rich black soil region. The relative abundance of the copiotrophic bacterial taxa decreased at the mid-growing season, which might be caused by the low soil C and N availability. In contrast, th"&amp;"e oligotrophic bacterial groups showed predominance at the mid-growing season, which might aim to mineralize soil organic matter to meet the growth needs of both the crops and the microbes. The nitrifiers (Nitrospirae) and nitrification process were sharp"&amp;"ly activated at the mid-growing season, especially under the straw amendment condition, inferring that the combination of straw application with N fertilizer could serve as an effective measure for improving soil fertility in Northeast China. The present "&amp;"study enhanced our knowledge on the dynamic changes in soil biotic and abiotic parameters in response to straw incorporation and N fertilization during the maize growing season. Still, this study provides a reference for designing an environmentally frien"&amp;"dly fertilization strategy that both alleviates environmental stress and maintains a high crop yield in Northeast China.")</f>
        <v>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v>
      </c>
      <c r="C879" s="24" t="str">
        <f>IFERROR(__xludf.DUMMYFUNCTION("""COMPUTED_VALUE"""),"10.1016/j.agee.2019.106578")</f>
        <v>10.1016/j.agee.2019.106578</v>
      </c>
      <c r="D879" s="24" t="str">
        <f>IFERROR(__xludf.DUMMYFUNCTION("""COMPUTED_VALUE"""),"Keck et al")</f>
        <v>Keck et al</v>
      </c>
      <c r="E879" s="24" t="str">
        <f>IFERROR(__xludf.DUMMYFUNCTION("""COMPUTED_VALUE"""),"WOS:000500210500018")</f>
        <v>WOS:000500210500018</v>
      </c>
      <c r="F879" s="24" t="str">
        <f>IFERROR(__xludf.DUMMYFUNCTION("""COMPUTED_VALUE"""),"[""ELIGIBLE""]")</f>
        <v>["ELIGIBLE"]</v>
      </c>
    </row>
    <row r="880">
      <c r="A880" s="24" t="str">
        <f>IFERROR(__xludf.DUMMYFUNCTION("""COMPUTED_VALUE"""),"Temporal- and density-dependent impacts of an invasive plant on pollinators and pollination services to a native plant")</f>
        <v>Temporal- and density-dependent impacts of an invasive plant on pollinators and pollination services to a native plant</v>
      </c>
      <c r="B880" s="24" t="str">
        <f>IFERROR(__xludf.DUMMYFUNCTION("""COMPUTED_VALUE"""),"Pollinators and pollination services are under threat globally, and invasive plants have been implicated in their decline. Results of previous studies suggest that consequences of invasion for pollinators and plant-pollinator interactions are context spec"&amp;"ific. Investigating factors such as the density of an invasive plant and its phenology may provide a nuanced understanding of invasive species impacts. We conducted a 2-yr study in Montana to investigate how local pollinator abundance, richness, community"&amp;" composition, and visitation patterns varied with invasive Centaura stoebe density and phenology, and whether C. stoebe altered the reproduction of a co-flowering native plant, Heterotheca villosa, through changes in pollinator visitation. In an observati"&amp;"onal study, we found that during its peak bloom in August, Centaurea stoebe provided abundant floral resources to late-season pollinators. However, prior to C. stoebe bloom, native floral density and pollinator abundance and richness of these plots were l"&amp;"ower compared to plots where C. stoebe was low or absent. Pollinator community composition in plots without C. stoebe was different compared to plots with C. stoebe (both high and low C. stoebe density), and these differences in pollinator composition str"&amp;"ongly depended on the time of season. In an experimental study, we found that there was little evidence of competition between C. stoebe and H. villosa for pollinators at low relative densities of C. stoebe. Using experimental pollen supplementation, we o"&amp;"bserved no evidence of pollen limitation of seed set in H. villosa with increasing density of experimentally added C. stoebe. Our results suggest that the impact of an invasive plant on pollinators and plant-pollinator interactions depends on the relative"&amp;" density of the invasive plant and the timing of its bloom. Differences in pollinator visitation patterns over the growing season suggest that although C. stoebe provides abundant resources to late-season pollinators, displacement of native plants at high"&amp;" C. stoebe density may indirectly harm pollinators that are active before C. stoebe blooms or that prefer native plants. Based on our results, restricting C. stoebe to low densities may help mitigate negative repercussions to native plant reproduction and"&amp;" may even be beneficial to some pollinators.")</f>
        <v>Pollinators and pollination services are under threat globally, and invasive plants have been implicated in their decline. Results of previous studies suggest that consequences of invasion for pollinators and plant-pollinator interactions are context specific. Investigating factors such as the density of an invasive plant and its phenology may provide a nuanced understanding of invasive species impacts. We conducted a 2-yr study in Montana to investigate how local pollinator abundance, richness, community composition, and visitation patterns varied with invasive Centaura stoebe density and phenology, and whether C. stoebe altered the reproduction of a co-flowering native plant, Heterotheca villosa, through changes in pollinator visitation. In an observational study, we found that during its peak bloom in August, Centaurea stoebe provided abundant floral resources to late-season pollinators. However, prior to C. stoebe bloom, native floral density and pollinator abundance and richness of these plots were lower compared to plots where C. stoebe was low or absent. Pollinator community composition in plots without C. stoebe was different compared to plots with C. stoebe (both high and low C. stoebe density), and these differences in pollinator composition strongly depended on the time of season. In an experimental study, we found that there was little evidence of competition between C. stoebe and H. villosa for pollinators at low relative densities of C. stoebe. Using experimental pollen supplementation, we observed no evidence of pollen limitation of seed set in H. villosa with increasing density of experimentally added C. stoebe. Our results suggest that the impact of an invasive plant on pollinators and plant-pollinator interactions depends on the relative density of the invasive plant and the timing of its bloom. Differences in pollinator visitation patterns over the growing season suggest that although C. stoebe provides abundant resources to late-season pollinators, displacement of native plants at high C. stoebe density may indirectly harm pollinators that are active before C. stoebe blooms or that prefer native plants. Based on our results, restricting C. stoebe to low densities may help mitigate negative repercussions to native plant reproduction and may even be beneficial to some pollinators.</v>
      </c>
      <c r="C880" s="24" t="str">
        <f>IFERROR(__xludf.DUMMYFUNCTION("""COMPUTED_VALUE"""),"10.1002/ecs2.1233")</f>
        <v>10.1002/ecs2.1233</v>
      </c>
      <c r="D880" s="24" t="str">
        <f>IFERROR(__xludf.DUMMYFUNCTION("""COMPUTED_VALUE"""),"Keck et al")</f>
        <v>Keck et al</v>
      </c>
      <c r="E880" s="24" t="str">
        <f>IFERROR(__xludf.DUMMYFUNCTION("""COMPUTED_VALUE"""),"WOS:000374896300007")</f>
        <v>WOS:000374896300007</v>
      </c>
      <c r="F880" s="24" t="str">
        <f>IFERROR(__xludf.DUMMYFUNCTION("""COMPUTED_VALUE"""),"[""ELIGIBLE""]")</f>
        <v>["ELIGIBLE"]</v>
      </c>
    </row>
    <row r="881">
      <c r="A881" s="24" t="str">
        <f>IFERROR(__xludf.DUMMYFUNCTION("""COMPUTED_VALUE"""),"Higher Abundance of Marine Predators and Changes in Fishers' Behavior Following Spatial Protection within the World's Biggest Shark Fishery")</f>
        <v>Higher Abundance of Marine Predators and Changes in Fishers' Behavior Following Spatial Protection within the World's Biggest Shark Fishery</v>
      </c>
      <c r="B881" s="24" t="str">
        <f>IFERROR(__xludf.DUMMYFUNCTION("""COMPUTED_VALUE"""),"Fisheries are complex social-ecological systems, where managers struggle to balance the socio-economic interests of fishing communities with the biology and ecology of fisheries species. Spatial closures are a popular measure to address conservation and f"&amp;"isheries management goals, including the protection of shark populations. However, very little research has been published on the effectiveness of shark-specific closures to protect sharks, or their impacts on fisher behavior. Situated within the global c"&amp;"enter of tropical marine biodiversity, Indonesia's shark fishery contributes more to the international shark fin trade than any other nation. Here we evaluate the effect of shark-specific closures on sharks and other species of interest, as well as shark "&amp;"fishers' responses to losing access to their former fishing grounds. We assessed shark diversity and abundance in an open access zone (OAZ) and two No-Take Zones (NTZs) of a Marine Protected Area within the recently established shark sanctuary in Raja Amp"&amp;"at, Indonesia, where sharks have high monetary value as a tourism attraction. Shark abundance was significantly higher in the privately managed NTZs than in the OAZ. Across all management zones, neither zone size, depth nor reef complexity explained varia"&amp;"tions in shark abundance, suggesting that governance is the main driver of successful shark conservation areas. These trends were also reflected in species targeted by small-scale reef fisheries, including snappers, emperor, groupers, tunas, mackerels, an"&amp;"d large-bodied wrasse and parrotfish. Interviews with shark fishers who lost access to their primary fishing grounds when the shark sanctuary was established showed that while most fishers (88%) knew that sharks were protected in Raja Ampat, many were uns"&amp;"ure about the purpose of the sanctuary. Few fishers felt that the agencies implementing fishing bans understood their livelihood needs. We found that shark fishers adapted to the loss of former fishing grounds by shifting fishing effort to other locations"&amp;" or diversifying their livelihoods, including illegal petrol transport. While conserving sharks for tourism can be effective, it may inadvertently result in displacing fishing effort to unprotected regions. We propose that effective shark conservation in "&amp;"Indonesia will need to combine strategic spatial protection with efforts to support livelihood security and diversification.")</f>
        <v>Fisheries are complex social-ecological systems, where managers struggle to balance the socio-economic interests of fishing communities with the biology and ecology of fisheries species. Spatial closures are a popular measure to address conservation and fisheries management goals, including the protection of shark populations. However, very little research has been published on the effectiveness of shark-specific closures to protect sharks, or their impacts on fisher behavior. Situated within the global center of tropical marine biodiversity, Indonesia's shark fishery contributes more to the international shark fin trade than any other nation. Here we evaluate the effect of shark-specific closures on sharks and other species of interest, as well as shark fishers' responses to losing access to their former fishing grounds. We assessed shark diversity and abundance in an open access zone (OAZ) and two No-Take Zones (NTZs) of a Marine Protected Area within the recently established shark sanctuary in Raja Ampat, Indonesia, where sharks have high monetary value as a tourism attraction. Shark abundance was significantly higher in the privately managed NTZs than in the OAZ. Across all management zones, neither zone size, depth nor reef complexity explained variations in shark abundance, suggesting that governance is the main driver of successful shark conservation areas. These trends were also reflected in species targeted by small-scale reef fisheries, including snappers, emperor, groupers, tunas, mackerels, and large-bodied wrasse and parrotfish. Interviews with shark fishers who lost access to their primary fishing grounds when the shark sanctuary was established showed that while most fishers (88%) knew that sharks were protected in Raja Ampat, many were unsure about the purpose of the sanctuary. Few fishers felt that the agencies implementing fishing bans understood their livelihood needs. We found that shark fishers adapted to the loss of former fishing grounds by shifting fishing effort to other locations or diversifying their livelihoods, including illegal petrol transport. While conserving sharks for tourism can be effective, it may inadvertently result in displacing fishing effort to unprotected regions. We propose that effective shark conservation in Indonesia will need to combine strategic spatial protection with efforts to support livelihood security and diversification.</v>
      </c>
      <c r="C881" s="24" t="str">
        <f>IFERROR(__xludf.DUMMYFUNCTION("""COMPUTED_VALUE"""),"10.3389/fmars.2016.00043")</f>
        <v>10.3389/fmars.2016.00043</v>
      </c>
      <c r="D881" s="24" t="str">
        <f>IFERROR(__xludf.DUMMYFUNCTION("""COMPUTED_VALUE"""),"Keck et al")</f>
        <v>Keck et al</v>
      </c>
      <c r="E881" s="24" t="str">
        <f>IFERROR(__xludf.DUMMYFUNCTION("""COMPUTED_VALUE"""),"WOS:000457358000042")</f>
        <v>WOS:000457358000042</v>
      </c>
      <c r="F881" s="24" t="str">
        <f>IFERROR(__xludf.DUMMYFUNCTION("""COMPUTED_VALUE"""),"[""ELIGIBLE""]")</f>
        <v>["ELIGIBLE"]</v>
      </c>
    </row>
    <row r="882">
      <c r="A882" s="24" t="str">
        <f>IFERROR(__xludf.DUMMYFUNCTION("""COMPUTED_VALUE"""),"Season of prescribed fire determines grassland restoration outcomes after fire exclusion and overgrazing")</f>
        <v>Season of prescribed fire determines grassland restoration outcomes after fire exclusion and overgrazing</v>
      </c>
      <c r="B882" s="24" t="str">
        <f>IFERROR(__xludf.DUMMYFUNCTION("""COMPUTED_VALUE"""),"Fire exclusion and mismanaged grazing are globally important drivers of environmental change in mesic C-4 grasslands and savannas. Although interest is growing in prescribed fire for grassland restoration, we have little long-term experimental evidence of"&amp;" the influence of burn season on the recovery of herbaceous plant communities, encroachment by trees and shrubs, and invasion by exotic grasses. We conducted a prescribed fire experiment (seven burns between 2001 and 2019) in historically fire-excluded an"&amp;"d overgrazed grasslands of central Texas. Sites were assigned to one of four experimental treatments: summer burns (warm season, lightning season), fall burns (early cool season), winter burns (late cool season), or unburned (fire exclusion). To assess re"&amp;"storation outcomes of the experiment, in 2019, we identified old-growth grasslands to serve as reference sites. Herbaceous-layer plant communities in all experimental sites were compositionally and functionally distinct from old-growth grasslands, with li"&amp;"ttle recovery of perennial C-4 grasses and long-lived forbs. Unburned sites were characterized by several species of tree, shrub, and vine; summer sites were characterized by certain C-3 grasses and forbs; and fall and winter sites were intermediate in co"&amp;"mposition to the unburned and summer sites. Despite compositional differences, all treatments had comparable plot-level plant species richness (range 89-95 species/1000 m(2)). At the local-scale, summer sites (23 species/m(2)) and old-growth grasslands (2"&amp;"0 species/m(2)) supported greater richness than unburned sites (15 species/m(2)), but did not differ significantly from fall or winter sites. Among fire treatments, summer and winter burns most consistently produced the vegetation structure of old-growth "&amp;"grasslands (e.g., mean woody canopy cover of 9%). But whereas winter burns promoted the invasive grass Bothriochloa ischaemum by maintaining areas with low canopy cover, summer burns simultaneously limited woody encroachment and controlled B. ischaemum in"&amp;"vasion. Our results support a growing body of literature that shows that prescribed fire alone, without the introduction of plant propagules, cannot necessarily restore old-growth grassland community composition. Nonetheless, this long-term experiment dem"&amp;"onstrates that prescribed burns implemented in the summer can benefit restoration by preventing woody encroachment while also controlling an invasive grass. We suggest that fire season deserves greater attention in grassland restoration planning and ecolo"&amp;"gical research.")</f>
        <v>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v>
      </c>
      <c r="C882" s="24" t="str">
        <f>IFERROR(__xludf.DUMMYFUNCTION("""COMPUTED_VALUE"""),"10.1002/ecs2.3730")</f>
        <v>10.1002/ecs2.3730</v>
      </c>
      <c r="D882" s="24" t="str">
        <f>IFERROR(__xludf.DUMMYFUNCTION("""COMPUTED_VALUE"""),"Keck et al")</f>
        <v>Keck et al</v>
      </c>
      <c r="E882" s="24" t="str">
        <f>IFERROR(__xludf.DUMMYFUNCTION("""COMPUTED_VALUE"""),"WOS:000701322700015")</f>
        <v>WOS:000701322700015</v>
      </c>
      <c r="F882" s="24" t="str">
        <f>IFERROR(__xludf.DUMMYFUNCTION("""COMPUTED_VALUE"""),"[""ELIGIBLE""]")</f>
        <v>["ELIGIBLE"]</v>
      </c>
    </row>
    <row r="883">
      <c r="A883" s="24" t="str">
        <f>IFERROR(__xludf.DUMMYFUNCTION("""COMPUTED_VALUE"""),"Beta diversity as a tool for determining priority streams for management actions")</f>
        <v>Beta diversity as a tool for determining priority streams for management actions</v>
      </c>
      <c r="B883" s="24" t="str">
        <f>IFERROR(__xludf.DUMMYFUNCTION("""COMPUTED_VALUE"""),"Beta diversity has become essential for understanding ecosystem functioning and for determining biodiversity-conservation priority areas. However, the beta diversity patterns of invertebrates in tropical aquatic ecosystems are not well known, particularly"&amp;" in streams. Using data from low-order streams located in southern Brazil, we evaluated the beta diversity of Chironomidae. We tested the hypothesis that increased environmental heterogeneity increases beta diversity. The streams were grouped into two cat"&amp;"egories, rural and urban, according to the percentage of urbanization in their micro-basins. Our results showed that the heterogeneity of environmental variables can determine the beta diversity of Chironomidae, and the increased environmental heterogenei"&amp;"ty caused by differences in the intensity of urbanization impacts can increase the beta diversity in urban streams. Therefore, the intensified impacts of anthropogenic activities in aquatic ecosystems can also increase beta diversity. Finally, we suggeste"&amp;"d that beta diversity can be an effective tool for not only designing measures and determining priority conservation areas, but also accurately identifying potentially degraded and priority sites that require water management plans.")</f>
        <v>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v>
      </c>
      <c r="C883" s="24" t="str">
        <f>IFERROR(__xludf.DUMMYFUNCTION("""COMPUTED_VALUE"""),"10.2166/wst.2015.112")</f>
        <v>10.2166/wst.2015.112</v>
      </c>
      <c r="D883" s="24" t="str">
        <f>IFERROR(__xludf.DUMMYFUNCTION("""COMPUTED_VALUE"""),"Keck et al")</f>
        <v>Keck et al</v>
      </c>
      <c r="E883" s="24" t="str">
        <f>IFERROR(__xludf.DUMMYFUNCTION("""COMPUTED_VALUE"""),"WOS:000354728000001")</f>
        <v>WOS:000354728000001</v>
      </c>
      <c r="F883" s="24" t="str">
        <f>IFERROR(__xludf.DUMMYFUNCTION("""COMPUTED_VALUE"""),"[""ELIGIBLE""]")</f>
        <v>["ELIGIBLE"]</v>
      </c>
    </row>
    <row r="884">
      <c r="A884" s="24" t="str">
        <f>IFERROR(__xludf.DUMMYFUNCTION("""COMPUTED_VALUE"""),"Reef fish communities in the central Red Sea show evidence of asymmetrical fishing pressure")</f>
        <v>Reef fish communities in the central Red Sea show evidence of asymmetrical fishing pressure</v>
      </c>
      <c r="B884" s="24" t="str">
        <f>IFERROR(__xludf.DUMMYFUNCTION("""COMPUTED_VALUE"""),"In order to assess human impacts and develop rational restoration goals for corals reefs, baseline estimates of fish communities are required. In Saudi Arabian waters of the Red Sea, widespread unregulated fishing is thought to have been ongoing for decad"&amp;"es, but there is little direct evidence of the impact on reef communities. To contextualize this human influence, reef-associated fish assemblages on offshore reefs in Saudi Arabia and Sudan in the central Red Sea were investigated. These reefs have compa"&amp;"rable benthic environments, experience similar oceanographic influences, and are separated by less than 300 km, offering an ideal comparison for identifying potential anthropogenic impacts such as fishing pressure. This is the first study to assess reef f"&amp;"ish biomass in both these regions, providing important baselines estimates. We found that biomass of top predators on offshore Sudanese reefs was on average almost three times that measured on comparable reefs in Saudi Arabia. Biomass values from some of "&amp;"the most remote reefs surveyed in Sudan's far southern region even approach those previously reported in the Northwestern Hawaiian Islands, northern Line Islands, Pitcairn Islands, and other isolated Pacific islands and atolls. The findings suggest that f"&amp;"ishing pressure has significantly altered the fish community structure of Saudi Arabian Red Sea reefs, most conspicuously in the form of top predator removal. The results point towards the urgent need for enhanced regulation and enforcement of fishing pra"&amp;"ctices in Saudi Arabia, while making a strong case for protection in the form of no-take marine protected areas to maintain preservation of the relatively intact southern Sudanese Red Sea.")</f>
        <v>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v>
      </c>
      <c r="C884" s="24" t="str">
        <f>IFERROR(__xludf.DUMMYFUNCTION("""COMPUTED_VALUE"""),"10.1007/s12526-017-0665-8")</f>
        <v>10.1007/s12526-017-0665-8</v>
      </c>
      <c r="D884" s="24" t="str">
        <f>IFERROR(__xludf.DUMMYFUNCTION("""COMPUTED_VALUE"""),"Keck et al")</f>
        <v>Keck et al</v>
      </c>
      <c r="E884" s="24" t="str">
        <f>IFERROR(__xludf.DUMMYFUNCTION("""COMPUTED_VALUE"""),"WOS:000416240300021")</f>
        <v>WOS:000416240300021</v>
      </c>
      <c r="F884" s="24" t="str">
        <f>IFERROR(__xludf.DUMMYFUNCTION("""COMPUTED_VALUE"""),"[""ELIGIBLE""]")</f>
        <v>["ELIGIBLE"]</v>
      </c>
    </row>
    <row r="885">
      <c r="A885" s="24" t="str">
        <f>IFERROR(__xludf.DUMMYFUNCTION("""COMPUTED_VALUE"""),"EFFECTS OF CLAM AQUACULTURE ON NEKTONIC AND BENTHIC ASSEMBLAGES IN TWO SHALLOW-WATER ESTUARIES")</f>
        <v>EFFECTS OF CLAM AQUACULTURE ON NEKTONIC AND BENTHIC ASSEMBLAGES IN TWO SHALLOW-WATER ESTUARIES</v>
      </c>
      <c r="B885" s="24" t="str">
        <f>IFERROR(__xludf.DUMMYFUNCTION("""COMPUTED_VALUE"""),"Aquaculture of the northern quahog (=hard clam) Mercenaria mercenaria (Linnaeus, 1758) is widespread in shallow waters of the United States from Cape Cod to the eastern Gulf of Mexico. Grow-out practices generally involve bottom planting and the use of pr"&amp;"edator exclusion mesh. Both the extent and scale of clam farms have increased in recent decades resulting in concerns regarding the impacts of these practices on estuarine fauna. Seasonal distribution, abundance, biomass, species richness, and community c"&amp;"omposition of nektonic, demersal, epibenthic, and infaunal organisms were examined in cultivated and uncultivated shallow-water habitats in Virginia and New Jersey. The results reveal that clam aquaculture, as practiced in both Virginia and New Jersey, ha"&amp;"s remarkably few quantifiable impacts on estuarine fauna. Seasonal variations were observed in the biota, but of the 39 population and community metrics tested, mean values associated with 26 did not differ between cultivated and uncultivated areas, 5 had"&amp;" decreases and 8 had increases. For recently harvested areas, 32 of 39 variables were not different from uncultivated areas, 6 decreased in at least one season, and 1, blue crab biomass, had a marginal increase. Decreases were observed in the abundance an"&amp;"d biomass of infauna (exclusive of the cultured clams) on clam farms, including in harvested areas, relative to natural uncultivated areas. This was accompanied, however, by substantial increases in epibenthic macroalgae, which in some cases supported inc"&amp;"reased epifaunal species richness and abundance relative to uncultivated areas. Habitat use by finfish, crustaceans, and terrapins was largely unaffected by the presence of clam farms.")</f>
        <v>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v>
      </c>
      <c r="C885" s="24" t="str">
        <f>IFERROR(__xludf.DUMMYFUNCTION("""COMPUTED_VALUE"""),"10.2983/035.035.0405")</f>
        <v>10.2983/035.035.0405</v>
      </c>
      <c r="D885" s="24" t="str">
        <f>IFERROR(__xludf.DUMMYFUNCTION("""COMPUTED_VALUE"""),"Keck et al")</f>
        <v>Keck et al</v>
      </c>
      <c r="E885" s="24" t="str">
        <f>IFERROR(__xludf.DUMMYFUNCTION("""COMPUTED_VALUE"""),"WOS:000398959000005")</f>
        <v>WOS:000398959000005</v>
      </c>
      <c r="F885" s="24" t="str">
        <f>IFERROR(__xludf.DUMMYFUNCTION("""COMPUTED_VALUE"""),"[""ELIGIBLE""]")</f>
        <v>["ELIGIBLE"]</v>
      </c>
    </row>
    <row r="886">
      <c r="A886" s="24" t="str">
        <f>IFERROR(__xludf.DUMMYFUNCTION("""COMPUTED_VALUE"""),"Arbuscular mycorrhizal fungi associated with the babassu palm (Attalea speciosa) in the eastern periphery of Amazonia, Brazil")</f>
        <v>Arbuscular mycorrhizal fungi associated with the babassu palm (Attalea speciosa) in the eastern periphery of Amazonia, Brazil</v>
      </c>
      <c r="B886" s="24" t="str">
        <f>IFERROR(__xludf.DUMMYFUNCTION("""COMPUTED_VALUE"""),"Babassu, Attalea speciosa (Arecaceae) is a ruderal palm native to Amazonia, which turned dominant in frequently burned lands throughout the 'arc of deforestation' and other degraded lands, in extreme cases attaining complete dominance. This study investig"&amp;"ated arbuscular mycorrhizal fungi (AMF) as one possible explanation for the outstanding ecological success of this exceptional palm. We explored the relationships between the babassu palm and native arbuscular mycorrhizal fungi and babassu effects on the "&amp;"AMF richness and mycorrhizal inoculum potential (MIP) in the eastern periphery of Amazonia. For this purpose, we sampled topsoil (0-20 cm) at the onset of the rainy season from a 5-year-old secondary forest regrowth (SEC) area with three levels of babassu"&amp;" dominance (sites with 10, 50 and 70% babassu biomass shares), and at three distances (0, 2.5 and 4 m) from isolated babassu patches within a degraded pasture (PAS), both with five replications per treatment. Glomerospore density varied from 100 to 302 pe"&amp;"r gram of soil, 56% higher in SEC than PAS. We identified a total of 16 AMF species, with dominance of Acaulospora (six species) followed by Glomus (three species). AMF richness increased with babassu dominance in SEC sites, and reduced with distance from"&amp;" babassu patches within the PAS. The colonization rate of babassu roots was higher in SEC than in PAS, whereas MIP was similar in both areas and without treatment differences. Our study points to strong mycorrhizal association of the babassu palm as a pot"&amp;"ential mechanism for its outstanding ecological success in degraded lands.")</f>
        <v>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v>
      </c>
      <c r="C886" s="24" t="str">
        <f>IFERROR(__xludf.DUMMYFUNCTION("""COMPUTED_VALUE"""),"10.1590/1809-4392201800092")</f>
        <v>10.1590/1809-4392201800092</v>
      </c>
      <c r="D886" s="24" t="str">
        <f>IFERROR(__xludf.DUMMYFUNCTION("""COMPUTED_VALUE"""),"Keck et al")</f>
        <v>Keck et al</v>
      </c>
      <c r="E886" s="24" t="str">
        <f>IFERROR(__xludf.DUMMYFUNCTION("""COMPUTED_VALUE"""),"WOS:000447773900007")</f>
        <v>WOS:000447773900007</v>
      </c>
      <c r="F886" s="24" t="str">
        <f>IFERROR(__xludf.DUMMYFUNCTION("""COMPUTED_VALUE"""),"[""ELIGIBLE""]")</f>
        <v>["ELIGIBLE"]</v>
      </c>
    </row>
    <row r="887">
      <c r="A887" s="24" t="str">
        <f>IFERROR(__xludf.DUMMYFUNCTION("""COMPUTED_VALUE"""),"Gradients of flow regulation shape community structures of stream fishes and insects within a catchment subject to typhoon events")</f>
        <v>Gradients of flow regulation shape community structures of stream fishes and insects within a catchment subject to typhoon events</v>
      </c>
      <c r="B887" s="24" t="str">
        <f>IFERROR(__xludf.DUMMYFUNCTION("""COMPUTED_VALUE"""),"Alterations in natural flow regimes caused by dams can significantly alter the aquatic habitats of stream organisms. However, few studies have characterized flow regulation to assess its impacts on stream fauna in the context of interannually variable ext"&amp;"reme floods. This study aims to understand the variation in stream animals along flow regulation gradients due to hydropower dams in a catchment experiencing typhoons. We observed freshwater fishes and stream insects at fully regulated sites (receiving re"&amp;"sidual flow), moderately regulated sites (receiving hydropower outflow), and nonregulated site (tributary) in the Mimi River catchment in southern Japan, in summer and winter from 2010 to 2018. We computed indicators of hydrologic alteration (IHA) in each"&amp;" calendar/water (July to June) year from 2007 to 2017 and selected subsets of IHA based on principal component analysis (PCA) and variance inflation factor. The largest variance was mainly explained by minimum discharge levels (e.g., 30-day annual minimum"&amp;") and flow variability among IHAs, distinguishing the moderately regulated and nonregulated sites from fully regulated sites because of residual flow and suppressed high pulses in the fully regulated sites. Generalized additive models revealed that annual"&amp;" maxima of specific discharge were most significant predictors of fish and insectmetrics while its effects were generally inconsistent between summer and winter. Non-metric multidimensional scaling revealed that insect communities were clustered into the "&amp;"regulation extents in both seasons. The differences in winter fauna between the regulated and nonregulated sites, characterized by Ephemeroptera-Plecoptera-Trichoptera abundance, were associated with maximum discharge and high pulse numbers. Fish communit"&amp;"y variation did not correspond to flow regime gradients. Our findings on mechanistic ecohydrological consequences of various flow regulations, supported by long-term observations, will be useful for river managers attempting to compensate for alterations "&amp;"in flow regime and ecological integrity. (C) 2020 Elsevier B.V. All rights reserved.")</f>
        <v>Alterations in natural flow regimes caused by dams can significantly alter the aquatic habitats of stream organisms. However, few studies have characterized flow regulation to assess its impacts on stream fauna in the context of interannually variable extreme floods. This study aims to understand the variation in stream animals along flow regulation gradients due to hydropower dams in a catchment experiencing typhoons. We observed freshwater fishes and stream insects at fully regulated sites (receiving residual flow), moderately regulated sites (receiving hydropower outflow), and nonregulated site (tributary) in the Mimi River catchment in southern Japan, in summer and winter from 2010 to 2018. We computed indicators of hydrologic alteration (IHA) in each calendar/water (July to June) year from 2007 to 2017 and selected subsets of IHA based on principal component analysis (PCA) and variance inflation factor. The largest variance was mainly explained by minimum discharge levels (e.g., 30-day annual minimum) and flow variability among IHAs, distinguishing the moderately regulated and nonregulated sites from fully regulated sites because of residual flow and suppressed high pulses in the fully regulated sites. Generalized additive models revealed that annual maxima of specific discharge were most significant predictors of fish and insectmetrics while its effects were generally inconsistent between summer and winter. Non-metric multidimensional scaling revealed that insect communities were clustered into the regulation extents in both seasons. The differences in winter fauna between the regulated and nonregulated sites, characterized by Ephemeroptera-Plecoptera-Trichoptera abundance, were associated with maximum discharge and high pulse numbers. Fish community variation did not correspond to flow regime gradients. Our findings on mechanistic ecohydrological consequences of various flow regulations, supported by long-term observations, will be useful for river managers attempting to compensate for alterations in flow regime and ecological integrity. (C) 2020 Elsevier B.V. All rights reserved.</v>
      </c>
      <c r="C887" s="24" t="str">
        <f>IFERROR(__xludf.DUMMYFUNCTION("""COMPUTED_VALUE"""),"10.1016/j.scitotenv.2020.141398")</f>
        <v>10.1016/j.scitotenv.2020.141398</v>
      </c>
      <c r="D887" s="24" t="str">
        <f>IFERROR(__xludf.DUMMYFUNCTION("""COMPUTED_VALUE"""),"Keck et al")</f>
        <v>Keck et al</v>
      </c>
      <c r="E887" s="24" t="str">
        <f>IFERROR(__xludf.DUMMYFUNCTION("""COMPUTED_VALUE"""),"WOS:000581049800076")</f>
        <v>WOS:000581049800076</v>
      </c>
      <c r="F887" s="24" t="str">
        <f>IFERROR(__xludf.DUMMYFUNCTION("""COMPUTED_VALUE"""),"[""ELIGIBLE""]")</f>
        <v>["ELIGIBLE"]</v>
      </c>
    </row>
    <row r="888">
      <c r="A888" s="24" t="str">
        <f>IFERROR(__xludf.DUMMYFUNCTION("""COMPUTED_VALUE"""),"An investigation of benthic sediments and macrofauna within pearl farms of Western Australia")</f>
        <v>An investigation of benthic sediments and macrofauna within pearl farms of Western Australia</v>
      </c>
      <c r="B888" s="24" t="str">
        <f>IFERROR(__xludf.DUMMYFUNCTION("""COMPUTED_VALUE"""),"The pearl oyster (Pinctada maxima) aquaculture industry in the Kimberley region of Western Australia has been established for decades. However, investigation of benthic sediments and macrobenthic communities within pearl farms for this region has not take"&amp;"n place until now. Pearl oysters may have the potential to foul the benthic layer under the farms through the deposition of feces and pseudo-feces from the cultured oysters and fouling organisms, and the fallout of debris from the longlines that suspend t"&amp;"he pearl oysters. This organic waste and debris can accumulate in the sediments below the oyster longlines and potentially lead to organic enrichment and even eutrophication. Other aquacultures (such as some finfish and other shellfish) have caused eutrop"&amp;"hication of marine sediments and a concurrent change in benthic macrofauna. For two years we sampled the sediments below three P. maxima pearl oyster farms in remote regions of the Kimberley coast. Sediment core samples were taken to measure physico-chemi"&amp;"cal variables (redox potential, nutrients loads and total organic matter) while grab samples collected the benthic macrofauna (&gt; 1 mm in size). Each farm was compared to four control locations (total = 12 control locations) within the same region. At all "&amp;"three pearl farms there was no indication of eutrophication (nutrient enrichment). We concluded that the variability in benthic physico-chemistry beneath pearl farms was within the bounds of natural variability at reference locations. There were also no c"&amp;"onsistent differences in the benthic macrofauna assemblages below the pearl oyster farms when compared to control locations. There was considerable natural variability of the benthic macrofauna among all locations, but especially among the reference locat"&amp;"ions. The reference locations were as different from one another as they were from the farm locations, indicating that the diversity of benthic macrofauna taxa, and their relative abundances within sediments underlying the farms fell within the range of n"&amp;"atural variability found at these spatial scales. The importance of robust assessment of potential environmental impact of aquaculture facilities is stressed. (C) 2011 Elsevier B.V. All rights reserved.")</f>
        <v>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v>
      </c>
      <c r="C888" s="24" t="str">
        <f>IFERROR(__xludf.DUMMYFUNCTION("""COMPUTED_VALUE"""),"10.1016/j.aquaculture.2011.07.011")</f>
        <v>10.1016/j.aquaculture.2011.07.011</v>
      </c>
      <c r="D888" s="24" t="str">
        <f>IFERROR(__xludf.DUMMYFUNCTION("""COMPUTED_VALUE"""),"Keck et al")</f>
        <v>Keck et al</v>
      </c>
      <c r="E888" s="24" t="str">
        <f>IFERROR(__xludf.DUMMYFUNCTION("""COMPUTED_VALUE"""),"WOS:000295562100023")</f>
        <v>WOS:000295562100023</v>
      </c>
      <c r="F888" s="24" t="str">
        <f>IFERROR(__xludf.DUMMYFUNCTION("""COMPUTED_VALUE"""),"[""ELIGIBLE""]")</f>
        <v>["ELIGIBLE"]</v>
      </c>
    </row>
    <row r="889">
      <c r="A889" s="24" t="str">
        <f>IFERROR(__xludf.DUMMYFUNCTION("""COMPUTED_VALUE"""),"Typha invasion associated with reduced aquatic macroinvertebrate abundance in northern Lake Huron coastal wetlands")</f>
        <v>Typha invasion associated with reduced aquatic macroinvertebrate abundance in northern Lake Huron coastal wetlands</v>
      </c>
      <c r="B889" s="24" t="str">
        <f>IFERROR(__xludf.DUMMYFUNCTION("""COMPUTED_VALUE"""),"Aquatic macroinvertebrates are a critical component of wetland nutrient cycling and food webs, with many fish and wildlife species depending upon them as food resources; but little is known about how invasion by dominant macrophytes may alter community dy"&amp;"namics. We examined the impacts of Typha invasion on aquatic macroinvertebrate communities in three northern Great Lakes coastal wetlands by comparing community composition between stands of native emergent marsh and those dominated by invasive Typha. Typ"&amp;"ha invaded zones were associated with shallower and cooler water than native emergent zones, and we detected decreased aquatic macroinvertebrate density and biomass in invaded zones. After accounting for the positive effect of plant species richness on ma"&amp;"croinvertebrate abundance, we observed Typha invaded coastal zones had less total macroinvertebrate and insect biomass than native zones across all levels of plant richness. Our results suggest that Typha invasion reduces habitat quality for aquatic macro"&amp;"invertebrates by homogenizing structural diversity and reducing water temperatures, which in turn may negatively impact predatory organisms by decreasing food resources. We recommend experimental tests of Typha management treatments to identify techniques"&amp;" that may promote structurally diverse and biologically rich Great Lakes coastal wetlands. (C) 2016 International Association for Great Lakes Research. Published by Elsevier B.V. All rights reserved.")</f>
        <v>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v>
      </c>
      <c r="C889" s="24" t="str">
        <f>IFERROR(__xludf.DUMMYFUNCTION("""COMPUTED_VALUE"""),"10.1016/j.jglr.2016.08.009")</f>
        <v>10.1016/j.jglr.2016.08.009</v>
      </c>
      <c r="D889" s="24" t="str">
        <f>IFERROR(__xludf.DUMMYFUNCTION("""COMPUTED_VALUE"""),"Keck et al")</f>
        <v>Keck et al</v>
      </c>
      <c r="E889" s="24" t="str">
        <f>IFERROR(__xludf.DUMMYFUNCTION("""COMPUTED_VALUE"""),"WOS:000392564300025")</f>
        <v>WOS:000392564300025</v>
      </c>
      <c r="F889" s="24" t="str">
        <f>IFERROR(__xludf.DUMMYFUNCTION("""COMPUTED_VALUE"""),"[""ELIGIBLE""]")</f>
        <v>["ELIGIBLE"]</v>
      </c>
    </row>
    <row r="890">
      <c r="A890" s="24" t="str">
        <f>IFERROR(__xludf.DUMMYFUNCTION("""COMPUTED_VALUE"""),"Nutrient availability modifies species abundance and community structure of Fucus-associated littoral benthic fauna")</f>
        <v>Nutrient availability modifies species abundance and community structure of Fucus-associated littoral benthic fauna</v>
      </c>
      <c r="B890" s="24" t="str">
        <f>IFERROR(__xludf.DUMMYFUNCTION("""COMPUTED_VALUE"""),"The brown alga Focus vesiculosus is a foundation species in the Baltic Sea littoral, hosting a rich faunal community. We compared the species composition and diversity of invertebrate macrofauna living on E vesiculosus between sites differing in their eut"&amp;"rophication status and exposure to waves at three different times during a season. We determined the size, nitrogen and phlorotannin content of the alga. The invertebrate community differed substantially between sites near fish farms and those in more pri"&amp;"stine environment. Snails and bivalves were more abundant on the Focus stands near fish farms than on control stands, where crustaceans were more abundant. The abundance of molluscs decreased with the increasing shore exposure, while gammaridean amphipods"&amp;" dominated on the exposed shores. Abundance of several taxa increased during the proceeding growing season. The density of the most important herbivore of F. vesiculosus, Idotea balthica, varied 100-fold during the season being the lowest in June and the "&amp;"highest in August when the generation born in the summer started to feed on Fucus. Thus, the diversity and composition of Fucus-associated invertebrate fauna varies both with environmental conditions of the stand and seasonally. Although the negative effe"&amp;"cts of eutrophication on distribution and abundance of Fucus stands are well documented, a moderate increase of nutrients was found to increase the species richness of Focus-associated fauna in early summer. (C) 2010 Elsevier Ltd. All rights reserved.")</f>
        <v>The brown alga Focus vesiculosus is a foundation species in the Baltic Sea littoral, hosting a rich faunal community. We compared the species composition and diversity of invertebrate macrofauna living on E vesiculosus between sites differing in their eutrophication status and exposure to waves at three different times during a season. We determined the size, nitrogen and phlorotannin content of the alga. The invertebrate community differed substantially between sites near fish farms and those in more pristine environment. Snails and bivalves were more abundant on the Focus stands near fish farms than on control stands, where crustaceans were more abundant. The abundance of molluscs decreased with the increasing shore exposure, while gammaridean amphipods dominated on the exposed shores. Abundance of several taxa increased during the proceeding growing season. The density of the most important herbivore of F. vesiculosus, Idotea balthica, varied 100-fold during the season being the lowest in June and the highest in August when the generation born in the summer started to feed on Fucus. Thus, the diversity and composition of Fucus-associated invertebrate fauna varies both with environmental conditions of the stand and seasonally. Although the negative effects of eutrophication on distribution and abundance of Fucus stands are well documented, a moderate increase of nutrients was found to increase the species richness of Focus-associated fauna in early summer. (C) 2010 Elsevier Ltd. All rights reserved.</v>
      </c>
      <c r="C890" s="24" t="str">
        <f>IFERROR(__xludf.DUMMYFUNCTION("""COMPUTED_VALUE"""),"10.1016/j.marenvres.2010.05.010")</f>
        <v>10.1016/j.marenvres.2010.05.010</v>
      </c>
      <c r="D890" s="24" t="str">
        <f>IFERROR(__xludf.DUMMYFUNCTION("""COMPUTED_VALUE"""),"Keck et al")</f>
        <v>Keck et al</v>
      </c>
      <c r="E890" s="24" t="str">
        <f>IFERROR(__xludf.DUMMYFUNCTION("""COMPUTED_VALUE"""),"WOS:000281347200004")</f>
        <v>WOS:000281347200004</v>
      </c>
      <c r="F890" s="24" t="str">
        <f>IFERROR(__xludf.DUMMYFUNCTION("""COMPUTED_VALUE"""),"[""ELIGIBLE""]")</f>
        <v>["ELIGIBLE"]</v>
      </c>
    </row>
    <row r="891">
      <c r="A891" s="24" t="str">
        <f>IFERROR(__xludf.DUMMYFUNCTION("""COMPUTED_VALUE"""),"Community reassembly after river regulation: rapid loss of fish diversity and the emergence of a new state")</f>
        <v>Community reassembly after river regulation: rapid loss of fish diversity and the emergence of a new state</v>
      </c>
      <c r="B891" s="24" t="str">
        <f>IFERROR(__xludf.DUMMYFUNCTION("""COMPUTED_VALUE"""),"Hydroelectric expansion has affected the functioning of most tropical rivers in the world. However, community reassembly in Neotropical impoundments remains poorly understood, because long-term studies are incipient. In this context, we evaluated temporal"&amp;" changes in fish diversity before and after the construction of Peixe Angical Dam, Upper Tocantins River, Amazon Basin. Specifically, we investigated changes in taxonomic (richness, abundance and species composition) and functional diversity (trait richne"&amp;"ss and composition) over a period of a decade. Fish assemblages were sampled at five sites along the river, between 2004 and 2014 (before and after river regulation). As predicted, taxonomic and trait richness declined in the impoundment, and the composit"&amp;"ion shifted over the years, with increasing dissimilarity between sites. We also observed significant changes in species abundance and trait composition. However, changes were abrupt and a novel community state emerged after the fifth year of the impoundm"&amp;"ent. After this period, richness and abundance tended to stabilize at low levels, with different species/trait composition when compared to the pre-damming period. Our results indicate that major changes in community structure occurred during the first ye"&amp;"ars of the impoundment, with relevant losses in taxonomic and functional diversity, along with a rapid change towards a new state.")</f>
        <v>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v>
      </c>
      <c r="C891" s="24" t="str">
        <f>IFERROR(__xludf.DUMMYFUNCTION("""COMPUTED_VALUE"""),"10.1007/s10750-019-04117-9")</f>
        <v>10.1007/s10750-019-04117-9</v>
      </c>
      <c r="D891" s="24" t="str">
        <f>IFERROR(__xludf.DUMMYFUNCTION("""COMPUTED_VALUE"""),"Keck et al")</f>
        <v>Keck et al</v>
      </c>
      <c r="E891" s="24" t="str">
        <f>IFERROR(__xludf.DUMMYFUNCTION("""COMPUTED_VALUE"""),"WOS:000495710400005")</f>
        <v>WOS:000495710400005</v>
      </c>
      <c r="F891" s="24" t="str">
        <f>IFERROR(__xludf.DUMMYFUNCTION("""COMPUTED_VALUE"""),"[""ELIGIBLE""]")</f>
        <v>["ELIGIBLE"]</v>
      </c>
    </row>
    <row r="892">
      <c r="A892" s="24" t="str">
        <f>IFERROR(__xludf.DUMMYFUNCTION("""COMPUTED_VALUE"""),"Macroinvertebrate community responses to river impoundment at multiple spatial scales")</f>
        <v>Macroinvertebrate community responses to river impoundment at multiple spatial scales</v>
      </c>
      <c r="B892" s="24" t="str">
        <f>IFERROR(__xludf.DUMMYFUNCTION("""COMPUTED_VALUE"""),"River impoundment by the construction of dams potentially modifies a wide range of abiotic and biotic factors in lotic ecosystems and is considered one of the most significant anthropogenic impacts on rivers globally. The past two decades have witnessed a"&amp;" growing body of research centred on quantifying the effects of river impoundment, with a focus on mitigating and managing the effects of individual large dams. This study presents a novelmulti-scale comparison of paired downstream and control sites assoc"&amp;"iated with multiple water supply reservoirs (n = 80) using a spatially extensive multi-year dataset. Macroinvertebrate community structure and indices were analysed in direct association with spatial (e.g. region) and temporal variables (e.g. season) to i"&amp;"dentify consistent patterns in ecological responses to impoundment. Macroinvertebrate communities at monitoring sites downstream of water supply reservoirs differed significantly from those at control sites at larger spatial scales, both in terms of commu"&amp;"nity structure and taxa richness. The effect was most significant at the regional scale, while biogeographical factors appeared to be important drivers of community differences at the national scale. Water supply reservoirs dampened natural seasonal patte"&amp;"rns in community structure at sites downstream of impoundments. Generally, taxonomic richness was higher and %EPT richness lower at downstream sites. Biomonitoring indices used for river management purposes were able to detect community differences, demon"&amp;"strating their sensitivity to river regulation activities. The results presented improve our understanding of the spatially extensive and long-term effects of water supply reservoirs on instream communities and provide a basis for the future implementatio"&amp;"n of mitigation measures on impounded rivers and heavily modified waterbodies. (C) 2018 The Authors. Published by Elsevier B.V.")</f>
        <v>River impoundment by the construction of dams potentially modifies a wide range of abiotic and biotic factors in lotic ecosystems and is considered one of the most significant anthropogenic impacts on rivers globally. The past two decades have witnessed a growing body of research centred on quantifying the effects of river impoundment, with a focus on mitigating and managing the effects of individual large dams. This study presents a novelmulti-scale comparison of paired downstream and control sites associated with multiple water supply reservoirs (n = 80) using a spatially extensive multi-year dataset. Macroinvertebrate community structure and indices were analysed in direct association with spatial (e.g. region) and temporal variables (e.g. season) to identify consistent patterns in ecological responses to impoundment. Macroinvertebrate communities at monitoring sites downstream of water supply reservoirs differed significantly from those at control sites at larger spatial scales, both in terms of community structure and taxa richness. The effect was most significant at the regional scale, while biogeographical factors appeared to be important drivers of community differences at the national scale. Water supply reservoirs dampened natural seasonal patterns in community structure at sites downstream of impoundments. Generally, taxonomic richness was higher and %EPT richness lower at downstream sites. Biomonitoring indices used for river management purposes were able to detect community differences, demonstrating their sensitivity to river regulation activities. The results presented improve our understanding of the spatially extensive and long-term effects of water supply reservoirs on instream communities and provide a basis for the future implementation of mitigation measures on impounded rivers and heavily modified waterbodies. (C) 2018 The Authors. Published by Elsevier B.V.</v>
      </c>
      <c r="C892" s="24" t="str">
        <f>IFERROR(__xludf.DUMMYFUNCTION("""COMPUTED_VALUE"""),"10.1016/j.scitotenv.2018.09.264")</f>
        <v>10.1016/j.scitotenv.2018.09.264</v>
      </c>
      <c r="D892" s="24" t="str">
        <f>IFERROR(__xludf.DUMMYFUNCTION("""COMPUTED_VALUE"""),"Keck et al")</f>
        <v>Keck et al</v>
      </c>
      <c r="E892" s="24" t="str">
        <f>IFERROR(__xludf.DUMMYFUNCTION("""COMPUTED_VALUE"""),"WOS:000447871400094")</f>
        <v>WOS:000447871400094</v>
      </c>
      <c r="F892" s="24" t="str">
        <f>IFERROR(__xludf.DUMMYFUNCTION("""COMPUTED_VALUE"""),"[""ELIGIBLE""]")</f>
        <v>["ELIGIBLE"]</v>
      </c>
    </row>
    <row r="893">
      <c r="A893" s="24" t="str">
        <f>IFERROR(__xludf.DUMMYFUNCTION("""COMPUTED_VALUE"""),"Effect of Polyvinyl Chloride Microplastics on Bacterial Community and Nutrient Status in Two Agricultural Soils")</f>
        <v>Effect of Polyvinyl Chloride Microplastics on Bacterial Community and Nutrient Status in Two Agricultural Soils</v>
      </c>
      <c r="B893" s="24" t="str">
        <f>IFERROR(__xludf.DUMMYFUNCTION("""COMPUTED_VALUE"""),"Knowledge of the influence of microplastics on soil microbiome and nutrients is important for understanding the ecological consequences of microplastic pollution in terrestrial ecosystems. In this study, we investigated whether polyvinyl chloride (PVC) mi"&amp;"croplastic pollution at environmentally relevant concentrations would affect soil bacterial community and available nitrogen/phosphorus content. The results showed that although PVC microplastics at 0.1% and 1% levels did not have a significant effect on "&amp;"overall bacterial community diversity and composition in soil over the course of 35 days, a number of bacterial genera were significantly reduced or enriched by the presence of microplastics. Potentially due to their effect on certain functional groups, m"&amp;"icroplastics caused a significant change in soil available P content. It is noteworthy that, depending on soil type, pollution level and plasticizer presence, contrasting effects of microplastics may be observed. Further research is definitely warranted t"&amp;"o gain a clearer picture of the threats posed by microplastic pollution in soil environments.")</f>
        <v>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v>
      </c>
      <c r="C893" s="24" t="str">
        <f>IFERROR(__xludf.DUMMYFUNCTION("""COMPUTED_VALUE"""),"10.1007/s00128-020-02900-2")</f>
        <v>10.1007/s00128-020-02900-2</v>
      </c>
      <c r="D893" s="24" t="str">
        <f>IFERROR(__xludf.DUMMYFUNCTION("""COMPUTED_VALUE"""),"Keck et al")</f>
        <v>Keck et al</v>
      </c>
      <c r="E893" s="24" t="str">
        <f>IFERROR(__xludf.DUMMYFUNCTION("""COMPUTED_VALUE"""),"WOS:000542848400002")</f>
        <v>WOS:000542848400002</v>
      </c>
      <c r="F893" s="24" t="str">
        <f>IFERROR(__xludf.DUMMYFUNCTION("""COMPUTED_VALUE"""),"[""ELIGIBLE""]")</f>
        <v>["ELIGIBLE"]</v>
      </c>
    </row>
    <row r="894">
      <c r="A894" s="24" t="str">
        <f>IFERROR(__xludf.DUMMYFUNCTION("""COMPUTED_VALUE"""),"Detection of environmental impacts of shrimp farming through multiple lines of evidence")</f>
        <v>Detection of environmental impacts of shrimp farming through multiple lines of evidence</v>
      </c>
      <c r="B894" s="24" t="str">
        <f>IFERROR(__xludf.DUMMYFUNCTION("""COMPUTED_VALUE"""),"In order to evaluate the impact of semi-intensive shrimp farming, comparisons between Control and Impact areas were made based on multiple lines of evidence using an asymmetrical design. Water and sediment samples were collected in four shrimp farms locat"&amp;"ed in Todos os Santos Bay, Bahia, Brazil. Nutrients, trace elements and macrobenthic assemblages were evaluated using uni- and multivariate analyzes. Significant differences were observed between Impact and Control areas for the water column dataset (i.e."&amp;", ancillary variables, SPM, dissolved nutrients and major and trace elements in SPM), whereas no significant differences were observed for the chemistry of sediments. Macrobenthic assemblages were negatively affected by shrimp farm activities. Impacted si"&amp;"tes presented the lowest abundance, richness and different structure of macrofaunal benthic assemblages. Farms clearly produced negative impacts in the Todos os Santos Bay. This conclusion was only possible to be reached through the use of multiple lines "&amp;"of evidence. Chemistry and benthic assemblages data combined produced a better description of the quality and impacts of the evaluated environments. Different conclusions would have been reached if chemistry and ecology results were studied separately vs."&amp;" together. (C) 2016 Elsevier Ltd. All rights reserved.")</f>
        <v>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v>
      </c>
      <c r="C894" s="24" t="str">
        <f>IFERROR(__xludf.DUMMYFUNCTION("""COMPUTED_VALUE"""),"10.1016/j.envpol.2016.06.056")</f>
        <v>10.1016/j.envpol.2016.06.056</v>
      </c>
      <c r="D894" s="24" t="str">
        <f>IFERROR(__xludf.DUMMYFUNCTION("""COMPUTED_VALUE"""),"Keck et al")</f>
        <v>Keck et al</v>
      </c>
      <c r="E894" s="24" t="str">
        <f>IFERROR(__xludf.DUMMYFUNCTION("""COMPUTED_VALUE"""),"WOS:000390734100076")</f>
        <v>WOS:000390734100076</v>
      </c>
      <c r="F894" s="24" t="str">
        <f>IFERROR(__xludf.DUMMYFUNCTION("""COMPUTED_VALUE"""),"[""ELIGIBLE""]")</f>
        <v>["ELIGIBLE"]</v>
      </c>
    </row>
    <row r="895">
      <c r="A895" s="24" t="str">
        <f>IFERROR(__xludf.DUMMYFUNCTION("""COMPUTED_VALUE"""),"After the fence: vegetation and topsoil condition in grazed, fenced and benchmark eucalypt woodlands of fragmented agricultural landscapes")</f>
        <v>After the fence: vegetation and topsoil condition in grazed, fenced and benchmark eucalypt woodlands of fragmented agricultural landscapes</v>
      </c>
      <c r="B895" s="24" t="str">
        <f>IFERROR(__xludf.DUMMYFUNCTION("""COMPUTED_VALUE"""),"Emerging ecological theory predicts that vegetation changes caused by introduction of livestock grazing may be irreversible after livestock are removed, especially in regions such as Australia that have a short evolutionary exposure to ungulate grazing. D"&amp;"espite this, fencing to exclude livestock grazing is the major tool used to restore vegetation in Australian agricultural landscapes. To characterise site-scale benefits and limitations of livestock exclusion for enhancing biodiversity in forb-rich York g"&amp;"um (Eucalyptus loxophleba Benth. subsp. loxophleba)-jam (Acacia acuminata Benth.) woodlands, we compared 29 fenced woodlands with 29 adjacent grazed woodlands and 11 little-grazed 'benchmark' woodlands in the Western Australian wheatbelt. We explored the "&amp;"following two hypotheses: (1) fencing to exclude livestock facilitates recovery of grazed woodlands towards benchmark conditions, and (2) without additional interventions after fencing, complete recovery of grazed woodlands to benchmark conditions is cons"&amp;"trained by ecological or other limits. Our first hypothesis was supported for vegetation parameters, with fenced woodlands being more similar to benchmark woodlands in tree recruitment, exotic plant cover, native plant cover, native plant richness and pla"&amp;"nt species composition than were grazed woodlands. Further, exotic cover decreased and frequency of jam increased with time-since-fencing (2-22 years). However, we found no evidence that fencing led to decline in topsoil nutrient concentrations towards co"&amp;"ncentrations at benchmark sites. Our second hypothesis was also supported, with higher topsoil nutrient concentrations and exotic plant cover, and lower native plant richness in fenced than in benchmark woodlands, and different plant species composition b"&amp;"etween fenced and benchmark woodlands. Regression analyses suggested that recovery of native species richness is constrained by exotic species that persist after fencing, which in turn are more persistent at higher topsoil nutrient concentrations. We conc"&amp;"lude that fencing to exclude livestock grazing can be valuable for biodiversity conservation. However, consistent with ecological theory, additional interventions are likely to be necessary to achieve some conservation goals or to promote recovery at nutr"&amp;"ient-enriched sites.")</f>
        <v>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v>
      </c>
      <c r="C895" s="24" t="str">
        <f>IFERROR(__xludf.DUMMYFUNCTION("""COMPUTED_VALUE"""),"10.1071/BT11026")</f>
        <v>10.1071/BT11026</v>
      </c>
      <c r="D895" s="24" t="str">
        <f>IFERROR(__xludf.DUMMYFUNCTION("""COMPUTED_VALUE"""),"Keck et al")</f>
        <v>Keck et al</v>
      </c>
      <c r="E895" s="24" t="str">
        <f>IFERROR(__xludf.DUMMYFUNCTION("""COMPUTED_VALUE"""),"WOS:000291397300007")</f>
        <v>WOS:000291397300007</v>
      </c>
      <c r="F895" s="24" t="str">
        <f>IFERROR(__xludf.DUMMYFUNCTION("""COMPUTED_VALUE"""),"[""ELIGIBLE""]")</f>
        <v>["ELIGIBLE"]</v>
      </c>
    </row>
    <row r="896">
      <c r="A896" s="24" t="str">
        <f>IFERROR(__xludf.DUMMYFUNCTION("""COMPUTED_VALUE"""),"Municipal wastewater effluent affects fish communities: A multi-year study involving two wastewater treatment plants")</f>
        <v>Municipal wastewater effluent affects fish communities: A multi-year study involving two wastewater treatment plants</v>
      </c>
      <c r="B896" s="24" t="str">
        <f>IFERROR(__xludf.DUMMYFUNCTION("""COMPUTED_VALUE"""),"Although effluent from municipal wastewater treatment plants (WWTPs) is a major stressor in receiving environments, relatively few studies have addressed how its discharge affects natural fish communities. Here, we assessed fish community composition over"&amp;" three years along a gradient of effluent exposure from two distinct WWTPs within an International Joint Commission Area of Concern on the Great Lakes (Hamilton Harbour, Canada). We found that fish communities changed with distance from both WWTPs, and we"&amp;"re highly dissimilar between sites that were closest to and furthest from the wastewater outfall. Despite differences in the size and treatment technology of the WWTPs and receiving habitats downstream, we found that the sites nearest the outfalls had the"&amp;" highest fish abundances and contained a common set of signature fish species (i.e., round goby Neogobius melanostomus, green sunfish Lepomis cyanellus). Non-native and stress tolerant species were also more abundant near one of the studied WWTPs when com"&amp;"pared to the reference site, and the number of young-of-the-year fish collected did not vary along the effluent exposure gradients. Overall, we show that fish are attracted to wastewater outfalls raising the possibility that these sites may act as an ecol"&amp;"ogical trap. Crown Copyright (C) 2019 Published by Elsevier Ltd. All rights reserved.")</f>
        <v>Although effluent from municipal wastewater treatment plants (WWTPs) is a major stressor in receiving environments, relatively few studies have addressed how its discharge affects natural fish communities. Here, we assessed fish community composition over three years along a gradient of effluent exposure from two distinct WWTPs within an International Joint Commission Area of Concern on the Great Lakes (Hamilton Harbour, Canada). We found that fish communities changed with distance from both WWTPs, and were highly dissimilar between sites that were closest to and furthest from the wastewater outfall. Despite differences in the size and treatment technology of the WWTPs and receiving habitats downstream, we found that the sites nearest the outfalls had the highest fish abundances and contained a common set of signature fish species (i.e., round goby Neogobius melanostomus, green sunfish Lepomis cyanellus). Non-native and stress tolerant species were also more abundant near one of the studied WWTPs when compared to the reference site, and the number of young-of-the-year fish collected did not vary along the effluent exposure gradients. Overall, we show that fish are attracted to wastewater outfalls raising the possibility that these sites may act as an ecological trap. Crown Copyright (C) 2019 Published by Elsevier Ltd. All rights reserved.</v>
      </c>
      <c r="C896" s="24" t="str">
        <f>IFERROR(__xludf.DUMMYFUNCTION("""COMPUTED_VALUE"""),"10.1016/j.envpol.2019.06.075")</f>
        <v>10.1016/j.envpol.2019.06.075</v>
      </c>
      <c r="D896" s="24" t="str">
        <f>IFERROR(__xludf.DUMMYFUNCTION("""COMPUTED_VALUE"""),"Keck et al")</f>
        <v>Keck et al</v>
      </c>
      <c r="E896" s="24" t="str">
        <f>IFERROR(__xludf.DUMMYFUNCTION("""COMPUTED_VALUE"""),"WOS:000483405400084")</f>
        <v>WOS:000483405400084</v>
      </c>
      <c r="F896" s="24" t="str">
        <f>IFERROR(__xludf.DUMMYFUNCTION("""COMPUTED_VALUE"""),"[""ELIGIBLE""]")</f>
        <v>["ELIGIBLE"]</v>
      </c>
    </row>
    <row r="897">
      <c r="A897" s="24" t="str">
        <f>IFERROR(__xludf.DUMMYFUNCTION("""COMPUTED_VALUE"""),"Fate of di (2-ethylhexyl) phthalate and its impact on soil bacterial community under aerobic and anaerobic conditions")</f>
        <v>Fate of di (2-ethylhexyl) phthalate and its impact on soil bacterial community under aerobic and anaerobic conditions</v>
      </c>
      <c r="B897" s="24" t="str">
        <f>IFERROR(__xludf.DUMMYFUNCTION("""COMPUTED_VALUE"""),"In this study, we examined the influence of oxygen on the degradation of di (2-ethylhexyl) phthalate (DEHP), the accumulation of its monoester metabolite mono (2-ethylhexyl) phthalate (MEHP) and their impact on soil bacterial communities. Soil microcosms "&amp;"artificially contaminated with DEHP (0, 100 and 1000 mg kg(-1)) were incubated under aerobic and anaerobic flooded conditions, and sacrificed after 0, 21 and 42 days. The results indicated that DEHP degradation proceeded at similar rates in aerobic and an"&amp;"aerobic flooded soils, but accumulation of metabolite MEHP was more likely to occur in anaerobic soils. Moreover, MEHP generated from DEHP degradation seemed to be readily released into the water phase, which may arouse health concerns. Illumina Miseq seq"&amp;"uencing showed that MEHP had a greater impact on soil bacterial community than DEHP at the same dosage, and a wide range of bacterial phylotypes were inhibited by MEHP under anaerobic conditions. High DEHP contamination (1000 mg kg(-1)) significantly redu"&amp;"ced bacterial diversity and altered bacterial community structure under anaerobic conditions, but not under aerobic conditions. Firmicutes was constantly inhibited by DEHP under both aerobic (Bacillus) and anaerobic (unclassified Clostridiales Family_XVII"&amp;"I) conditions. On the other hand, bacterial phylotypes belonging to Actinobacteria, beta-Proteobacteria and Gemmatimonadaceae were constantly enriched by DEHP in anaerobic soils, however no such a clear pattern existed in aerobic soils. This work greatly "&amp;"expanded our understanding of the fate of DEHP and its modifying effect on bacterial communities under different environmental conditions. (C) 2018 Elsevier Ltd. All rights reserved.")</f>
        <v>In this study, we examined the influence of oxygen on the degradation of di (2-ethylhexyl) phthalate (DEHP), the accumulation of its monoester metabolite mono (2-ethylhexyl) phthalate (MEHP) and their impact on soil bacterial communities. Soil microcosms artificially contaminated with DEHP (0, 100 and 1000 mg kg(-1)) were incubated under aerobic and anaerobic flooded conditions, and sacrificed after 0, 21 and 42 days. The results indicated that DEHP degradation proceeded at similar rates in aerobic and anaerobic flooded soils, but accumulation of metabolite MEHP was more likely to occur in anaerobic soils. Moreover, MEHP generated from DEHP degradation seemed to be readily released into the water phase, which may arouse health concerns. Illumina Miseq sequencing showed that MEHP had a greater impact on soil bacterial community than DEHP at the same dosage, and a wide range of bacterial phylotypes were inhibited by MEHP under anaerobic conditions. High DEHP contamination (1000 mg kg(-1)) significantly reduced bacterial diversity and altered bacterial community structure under anaerobic conditions, but not under aerobic conditions. Firmicutes was constantly inhibited by DEHP under both aerobic (Bacillus) and anaerobic (unclassified Clostridiales Family_XVIII) conditions. On the other hand, bacterial phylotypes belonging to Actinobacteria, beta-Proteobacteria and Gemmatimonadaceae were constantly enriched by DEHP in anaerobic soils, however no such a clear pattern existed in aerobic soils. This work greatly expanded our understanding of the fate of DEHP and its modifying effect on bacterial communities under different environmental conditions. (C) 2018 Elsevier Ltd. All rights reserved.</v>
      </c>
      <c r="C897" s="24" t="str">
        <f>IFERROR(__xludf.DUMMYFUNCTION("""COMPUTED_VALUE"""),"10.1016/j.chemosphere.2018.10.078")</f>
        <v>10.1016/j.chemosphere.2018.10.078</v>
      </c>
      <c r="D897" s="24" t="str">
        <f>IFERROR(__xludf.DUMMYFUNCTION("""COMPUTED_VALUE"""),"Keck et al")</f>
        <v>Keck et al</v>
      </c>
      <c r="E897" s="24" t="str">
        <f>IFERROR(__xludf.DUMMYFUNCTION("""COMPUTED_VALUE"""),"WOS:000451494600010")</f>
        <v>WOS:000451494600010</v>
      </c>
      <c r="F897" s="24" t="str">
        <f>IFERROR(__xludf.DUMMYFUNCTION("""COMPUTED_VALUE"""),"[""ELIGIBLE""]")</f>
        <v>["ELIGIBLE"]</v>
      </c>
    </row>
    <row r="898">
      <c r="A898" s="24" t="str">
        <f>IFERROR(__xludf.DUMMYFUNCTION("""COMPUTED_VALUE"""),"Impact of prawn farming effluent on coral reef water nutrients and microorganisms")</f>
        <v>Impact of prawn farming effluent on coral reef water nutrients and microorganisms</v>
      </c>
      <c r="B898" s="24" t="str">
        <f>IFERROR(__xludf.DUMMYFUNCTION("""COMPUTED_VALUE"""),"Tropical coral reefs are characterized by low-nutrient waters that support oligo trophic picoplankton over a productive benthic ecosystem. Nutrient-rich effluent released from aquaculture facilities into coral reef environments may potentially upset the b"&amp;"alance of these ecosystems by altering picoplankton dynamics. In this study, we examined how effluent from a prawn (Litopenaeus vannamei) farming facility in Al Lith, Saudi Arabia, impacted the inorganic nutrients and prokaryotic picoplankton community in"&amp;" the waters overlying coral reefs in the Red Sea. Across 24 sites, ranging 0-21 km from the effluent point source, we measured nutrient concentrations, quantified microbial cell abundances, and sequenced bacterial and archaeal small subunit ribosomal RNA "&amp;"(SSU rRNA) genes to examine picoplankton phylogenetic diversity and community composition. Our results demonstrated that sites nearest to the outfall had increased concentrations of phosphate and ammonium and elevated abundances of non-pigmented picoplank"&amp;"ton (generally heterotrophic bacteria). Shifts in the composition of the picoplankton community were observed with increasing distance from the effluent canal outfall. Waters within 500 m of the outfall harbored the most distinct picoplanktonic community "&amp;"and contained putative pathogens within the genus Francisella and order Rickettsiales. While our study suggests that at the time of sampling, the Al Lith aquaculture facility exhibited relatively minor influences on inorganic nutrients and microbial commu"&amp;"nities, studying the longer-term impacts of the aquaculture effluent on the organisms within the reef will be necessary in order to understand the full extent of the facility's impact on the reef ecosystem.")</f>
        <v>Tropical coral reefs are characterized by low-nutrient waters that support oligo trophic picoplankton over a productive benthic ecosystem. Nutrient-rich effluent released from aquaculture facilities into coral reef environments may potentially upset the balance of these ecosystems by altering picoplankton dynamics. In this study, we examined how effluent from a prawn (Litopenaeus vannamei) farming facility in Al Lith, Saudi Arabia, impacted the inorganic nutrients and prokaryotic picoplankton community in the waters overlying coral reefs in the Red Sea. Across 24 sites, ranging 0-21 km from the effluent point source, we measured nutrient concentrations, quantified microbial cell abundances, and sequenced bacterial and archaeal small subunit ribosomal RNA (SSU rRNA) genes to examine picoplankton phylogenetic diversity and community composition. Our results demonstrated that sites nearest to the outfall had increased concentrations of phosphate and ammonium and elevated abundances of non-pigmented picoplankton (generally heterotrophic bacteria). Shifts in the composition of the picoplankton community were observed with increasing distance from the effluent canal outfall. Waters within 500 m of the outfall harbored the most distinct picoplanktonic community and contained putative pathogens within the genus Francisella and order Rickettsiales. While our study suggests that at the time of sampling, the Al Lith aquaculture facility exhibited relatively minor influences on inorganic nutrients and microbial communities, studying the longer-term impacts of the aquaculture effluent on the organisms within the reef will be necessary in order to understand the full extent of the facility's impact on the reef ecosystem.</v>
      </c>
      <c r="C898" s="24" t="str">
        <f>IFERROR(__xludf.DUMMYFUNCTION("""COMPUTED_VALUE"""),"10.3354/aei00238")</f>
        <v>10.3354/aei00238</v>
      </c>
      <c r="D898" s="24" t="str">
        <f>IFERROR(__xludf.DUMMYFUNCTION("""COMPUTED_VALUE"""),"Keck et al")</f>
        <v>Keck et al</v>
      </c>
      <c r="E898" s="24" t="str">
        <f>IFERROR(__xludf.DUMMYFUNCTION("""COMPUTED_VALUE"""),"WOS:000412233700001")</f>
        <v>WOS:000412233700001</v>
      </c>
      <c r="F898" s="24" t="str">
        <f>IFERROR(__xludf.DUMMYFUNCTION("""COMPUTED_VALUE"""),"[""ELIGIBLE""]")</f>
        <v>["ELIGIBLE"]</v>
      </c>
    </row>
    <row r="899">
      <c r="A899" s="24" t="str">
        <f>IFERROR(__xludf.DUMMYFUNCTION("""COMPUTED_VALUE"""),"Assessment of estuarine macrobenthic assemblages and ecological quality status at a dredging site in a southern Europe estuary")</f>
        <v>Assessment of estuarine macrobenthic assemblages and ecological quality status at a dredging site in a southern Europe estuary</v>
      </c>
      <c r="B899" s="24" t="str">
        <f>IFERROR(__xludf.DUMMYFUNCTION("""COMPUTED_VALUE"""),"The Water Framework Directive (WFD) strengthened the need for the protection and enhancement of Ecological Quality Status (EQS) in water bodies of EU Member States. However, in terms of the EQS assessment, there is a lack of detailed studies that assess t"&amp;"he consequences of dredging, especially concerning macrobenthic communities. Therefore, the main objective of this study was to evaluate the EQS assessment, as important need to WFD, based on diversity and ecological quality indices after dredging activit"&amp;"y. Data was collected in Mondego estuary, Portugal, between October 2007 and November 2008, within and around the area to be dredged (3 ha): one dredging occasion and ten sampling dates along one year. Physical chemical changes were examined. The relative"&amp;" performance of Margalef, Shannon-Wienner, AMBI-AZTI Marine Biotic Index and the multimetric BAT-Benthic Assessment Tool (BAT) were analyzed before and after dredging. In the first days, dredging increased the share of fine and coarse sand sediment and ha"&amp;"d changed TSS, POM and SOM, affecting the macrofauna assemblages. Two months after the dredging, the number of taxa, density, diversity and ecological indices showed similar values to pre-dredging conditions and one year later the number of species and de"&amp;"nsity values almost duplicated. However, the macrofauna composition and structure were still significantly different in relation to pre-dredging and the biomass values did not return to the original values. Nevertheless, BAT was sensitive to the changes t"&amp;"hat occurred in the area, showing that the system recovered to pre-dredging values after one year, in terms of EQS. The present work reinforced the robustness of BAT as an accurate ecological quality assessment tool. (C) 2011 Elsevier Ltd. All rights rese"&amp;"rved.")</f>
        <v>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v>
      </c>
      <c r="C899" s="24" t="str">
        <f>IFERROR(__xludf.DUMMYFUNCTION("""COMPUTED_VALUE"""),"10.1016/j.ocecoaman.2011.07.009")</f>
        <v>10.1016/j.ocecoaman.2011.07.009</v>
      </c>
      <c r="D899" s="24" t="str">
        <f>IFERROR(__xludf.DUMMYFUNCTION("""COMPUTED_VALUE"""),"Keck et al")</f>
        <v>Keck et al</v>
      </c>
      <c r="E899" s="24" t="str">
        <f>IFERROR(__xludf.DUMMYFUNCTION("""COMPUTED_VALUE"""),"WOS:000315071300009")</f>
        <v>WOS:000315071300009</v>
      </c>
      <c r="F899" s="24" t="str">
        <f>IFERROR(__xludf.DUMMYFUNCTION("""COMPUTED_VALUE"""),"[""ELIGIBLE""]")</f>
        <v>["ELIGIBLE"]</v>
      </c>
    </row>
    <row r="900">
      <c r="A900" s="24" t="str">
        <f>IFERROR(__xludf.DUMMYFUNCTION("""COMPUTED_VALUE"""),"A novel method to assess effects of chemical stressors on natural biofilm structure and function")</f>
        <v>A novel method to assess effects of chemical stressors on natural biofilm structure and function</v>
      </c>
      <c r="B900" s="24" t="str">
        <f>IFERROR(__xludf.DUMMYFUNCTION("""COMPUTED_VALUE"""),"The regulation and management of chemical contaminants rarely use community- and ecosystem-level endpoints, partly due to a lack of suitable methods. To overcome this limitation, we propose contaminant exposure substrata (CES), an adaptation of the widely"&amp;" used nutrient-diffusing substratum method, to assess responses of biofilm communities to chemical contaminants insitu. We describe methods for using CES to assess effects on biofilm biomass, community structure, process rates, biofilm-consumer interactio"&amp;"ns and biofilm chemistry. We also provide equations to calculate the flux of soluble chemicals from CES and describe an approach to compare contaminant dose in CES assays to the contaminant dose encountered by biofilms in polluted surface waters. Data fro"&amp;"m four case studies demonstrate that CES can detect impairment of biofilm structure and function. The adaptability, simplicity and cost-effectiveness of CES make them valuable tools to assess community- and ecosystem-level responses to contaminants, sugge"&amp;"sting potential for routine use and incorporation of data generated from such assays into contaminant regulation and management.")</f>
        <v>The regulation and management of chemical contaminants rarely use community- and ecosystem-level endpoints, partly due to a lack of suitable methods. To overcome this limitation, we propose contaminant exposure substrata (CES), an adaptation of the widely used nutrient-diffusing substratum method, to assess responses of biofilm communities to chemical contaminants insitu. We describe methods for using CES to assess effects on biofilm biomass, community structure, process rates, biofilm-consumer interactions and biofilm chemistry. We also provide equations to calculate the flux of soluble chemicals from CES and describe an approach to compare contaminant dose in CES assays to the contaminant dose encountered by biofilms in polluted surface waters. Data from four case studies demonstrate that CES can detect impairment of biofilm structure and function. The adaptability, simplicity and cost-effectiveness of CES make them valuable tools to assess community- and ecosystem-level responses to contaminants, suggesting potential for routine use and incorporation of data generated from such assays into contaminant regulation and management.</v>
      </c>
      <c r="C900" s="24" t="str">
        <f>IFERROR(__xludf.DUMMYFUNCTION("""COMPUTED_VALUE"""),"10.1111/fwb.12641")</f>
        <v>10.1111/fwb.12641</v>
      </c>
      <c r="D900" s="24" t="str">
        <f>IFERROR(__xludf.DUMMYFUNCTION("""COMPUTED_VALUE"""),"Keck et al")</f>
        <v>Keck et al</v>
      </c>
      <c r="E900" s="24" t="str">
        <f>IFERROR(__xludf.DUMMYFUNCTION("""COMPUTED_VALUE"""),"WOS:000387504700012")</f>
        <v>WOS:000387504700012</v>
      </c>
      <c r="F900" s="24" t="str">
        <f>IFERROR(__xludf.DUMMYFUNCTION("""COMPUTED_VALUE"""),"[""ELIGIBLE""]")</f>
        <v>["ELIGIBLE"]</v>
      </c>
    </row>
    <row r="901">
      <c r="A901" s="24" t="str">
        <f>IFERROR(__xludf.DUMMYFUNCTION("""COMPUTED_VALUE"""),"Riparian forests can mitigate warming and ecological degradation of agricultural headwater streams")</f>
        <v>Riparian forests can mitigate warming and ecological degradation of agricultural headwater streams</v>
      </c>
      <c r="B901" s="24" t="str">
        <f>IFERROR(__xludf.DUMMYFUNCTION("""COMPUTED_VALUE"""),"Riparian forests are commonly advocated as a key management option to mitigate the effects of agriculture on headwater stream biodiversity and ecosystem functions. However, the benefits of riparian forests might be reduced by uninterrupted catchment-scale"&amp;" pollution. We studied the effects of riparian land use on multiple ecological endpoints in headwater streams in an agricultural landscape. We studied stream habitat characteristics, water temperature and algal accrual, and macrophyte, benthic macroinvert"&amp;"ebrate and fish communities in 11 paired forested and open agricultural headwater stream reaches that differed in their extent of riparian forest cover but had similar water quality. Hydromorphological habitat quality was higher in forested reaches than i"&amp;"n open reaches. Riparian forest had a strong effect on the summer water temperature regime, with maximum and mean water temperatures and temperature variation in forested reaches substantially lower than in open reaches. Macrophyte communities differed be"&amp;"tween forested and open reaches. The mean abundance of bryophytes was higher in forested reaches but the difference to open reaches was only marginally significant, whereas graminoids were significantly more abundant in open reaches. Within-stream dissimi"&amp;"larity of benthic macroinvertebrate community structure was significantly related to the difference in riparian land use between reach pairs. The relative DNA sequence abundance of pollution-sensitive Ephemeroptera, Plecoptera, and Trichoptera species ten"&amp;"ded to be higher in forested reaches than in open reaches. Finally, fish densities were not significantly different between forested and open reaches, although densities were higher in forested reaches. This unequivocal evidence for the ecological benefit"&amp;"s of forested riparian reaches in agricultural headwater streams suggests that riparian forest can partly mitigate the adverse impacts of agricultural diffuse pollution on biota. The strong effect of forests on stream water temperature suggest that ripari"&amp;"an forest could also mitigate harmful effects on headwater stream biodiversity and ecosystem functions of the predicted more frequent high summer temperatures.")</f>
        <v>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benthic macroinvertebrate and fish communities in 11 paired forested and open agricultural headwater stream reaches that differed in their extent of riparian forest cover but had similar water quality. Hydromorphological habitat quality was higher in forested reaches than in open reaches. Riparian forest had a strong effect on the summer water temperature regime, with maximum and mean water temperatures and temperature variation in forested reaches substantially lower than in open reaches. Macrophyte communities differed between forested and open reaches. The mean abundance of bryophytes was higher in forested reaches but the difference to open reaches was only marginally significant, whereas graminoids were significantly more abundant in open reaches. Within-stream dissimilarity of benthic macroinvertebrate community structure was significantly related to the difference in riparian land use between reach pairs. The relative DNA sequence abundance of pollution-sensitive Ephemeroptera, Plecoptera, and Trichoptera species tended to be higher in forested reaches than in open reaches. Finally, fish densities were not significantly different between forested and open reaches, although densities were higher in forested reaches. This unequivocal evidence for the ecological benefits of forested riparian reaches in agricultural headwater streams suggests that riparian forest can partly mitigate the adverse impacts of agricultural diffuse pollution on biota. The strong effect of forests on stream water temperature suggest that riparian forest could also mitigate harmful effects on headwater stream biodiversity and ecosystem functions of the predicted more frequent high summer temperatures.</v>
      </c>
      <c r="C901" s="24" t="str">
        <f>IFERROR(__xludf.DUMMYFUNCTION("""COMPUTED_VALUE"""),"10.1111/fwb.13678")</f>
        <v>10.1111/fwb.13678</v>
      </c>
      <c r="D901" s="24" t="str">
        <f>IFERROR(__xludf.DUMMYFUNCTION("""COMPUTED_VALUE"""),"Keck et al")</f>
        <v>Keck et al</v>
      </c>
      <c r="E901" s="24" t="str">
        <f>IFERROR(__xludf.DUMMYFUNCTION("""COMPUTED_VALUE"""),"WOS:000614875100001")</f>
        <v>WOS:000614875100001</v>
      </c>
      <c r="F901" s="24" t="str">
        <f>IFERROR(__xludf.DUMMYFUNCTION("""COMPUTED_VALUE"""),"[""ELIGIBLE""]")</f>
        <v>["ELIGIBLE"]</v>
      </c>
    </row>
    <row r="902">
      <c r="A902" s="24" t="str">
        <f>IFERROR(__xludf.DUMMYFUNCTION("""COMPUTED_VALUE"""),"Impact of sulfamethoxazole on a riverine microbiome")</f>
        <v>Impact of sulfamethoxazole on a riverine microbiome</v>
      </c>
      <c r="B902" s="24" t="str">
        <f>IFERROR(__xludf.DUMMYFUNCTION("""COMPUTED_VALUE"""),"The continued emergence of bacterial pathogens presenting antimicrobial resistance is widely recognised as a global health threat and recent attention focused on potential environmental reservoirs of antibiotic resistance genes (ARGs). Freshwater environm"&amp;"ents such as rivers represent a potential hotspot for ARGs and antibiotic resistant bacteria as they are receiving systems for effluent discharges from wastewater treatment plants (WWTPs). Effluent also contains low levels of different antimicrobials incl"&amp;"uding antibiotics and biocides. Sulfonamides are antibacterial chemicals widely used in clinical, veterinary and agricultural settings and are frequently detected in sewage sludge and manure in addition to riverine ecosystems. The impact of such exposure "&amp;"on ARG prevalence and diversity is unknown, so the aim of this study was to investigate the release of a sublethal concentration of the sulfonamide compound sulfamethoxazole (SMX) on the river bacterial microbiome using a flume system. This system was a s"&amp;"emi-natural in vitro flume using river water (30 L) and sediment (6 kg) with circulation to mimic river flow. A combination of 'omics' approaches were conducted to study the impact of SMX exposure on the microbiomes within the flumes. Metagenomic analysis"&amp;" showed that the addition of low concentrations of SMX (&lt;4 mu g L-1) had a limited effect on the bacterial resistome in the water fraction only, with no impact observed in the sediment. Metaproteomics did not show differences in ARGs expression with SMX e"&amp;"xposure in water. Overall, the river bacterial community was resilient to short term exposure to sub-lethal concentrations of SMX which mimics the exposure such communities experience downstream of WWTPs throughout the year.")</f>
        <v>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v>
      </c>
      <c r="C902" s="24" t="str">
        <f>IFERROR(__xludf.DUMMYFUNCTION("""COMPUTED_VALUE"""),"10.1016/j.watres.2021.117382")</f>
        <v>10.1016/j.watres.2021.117382</v>
      </c>
      <c r="D902" s="24" t="str">
        <f>IFERROR(__xludf.DUMMYFUNCTION("""COMPUTED_VALUE"""),"Keck et al")</f>
        <v>Keck et al</v>
      </c>
      <c r="E902" s="24" t="str">
        <f>IFERROR(__xludf.DUMMYFUNCTION("""COMPUTED_VALUE"""),"WOS:000684282100006")</f>
        <v>WOS:000684282100006</v>
      </c>
      <c r="F902" s="24" t="str">
        <f>IFERROR(__xludf.DUMMYFUNCTION("""COMPUTED_VALUE"""),"[""ELIGIBLE""]")</f>
        <v>["ELIGIBLE"]</v>
      </c>
    </row>
    <row r="903">
      <c r="A903" s="24" t="str">
        <f>IFERROR(__xludf.DUMMYFUNCTION("""COMPUTED_VALUE"""),"Effects of Two Invasive Weeds on Arthropod Community Structure on the Central Plateau of New Zealand")</f>
        <v>Effects of Two Invasive Weeds on Arthropod Community Structure on the Central Plateau of New Zealand</v>
      </c>
      <c r="B903" s="24" t="str">
        <f>IFERROR(__xludf.DUMMYFUNCTION("""COMPUTED_VALUE"""),"Heather (Calluna vulgaris) and broom (Cytisus scoparius), originally from Europe, are the main invasive plants on New Zealand's North Island Central Plateau, where they threaten native flora and fauna. Given the strong link between arthropod communities a"&amp;"nd plants, we explored the impact of these invasive weeds on the diversity and composition of associated arthropod assemblages in this area. The arthropods in heather-invaded areas, broom-invaded areas, and areas dominated by the native species manuka (Le"&amp;"ptospermum scoparium) andDracohyllum(Dracophyllum subulatum) were collected and identified to order. During summer and autumn, arthropods were collected using beating trays, flight intercept traps and pitfall traps. Diversity indices (Richness, Shannon's "&amp;"index and Simpson's index) were calculated at the order level, and permutational multivariate analysis (PERMANOVA) was used to explore differences in order-level community composition. Our results show a significant variation in community composition for "&amp;"all trapping methods in both seasons, whereas invasive plants did not profoundly impact arthropod order richness. The presence of broom increased arthropod abundance, while heather was linked to a reduction. Under all possible plant pairings between heath"&amp;"er, broom, manuka, andDracophylum, the impact of neighbouring plant identity on arthropod community composition was further explored for the samples collected using beating trays. The results suggest that during plant invasion, arthropod communities are a"&amp;"ffected by neighbouring plant identity and that impacts vary between arthropod sampling methods and seasons.")</f>
        <v>Heather (Calluna vulgaris) and broom (Cytisus scoparius), originally from Europe, are the main invasive plants on New Zealand's North Island Central Plateau, where they threaten native flora and fauna. Given the strong link between arthropod communities and plants, we explored the impact of these invasive weeds on the diversity and composition of associated arthropod assemblages in this area. The arthropods in heather-invaded areas, broom-invaded areas, and areas dominated by the native species manuka (Leptospermum scoparium) andDracohyllum(Dracophyllum subulatum) were collected and identified to order. During summer and autumn, arthropods were collected using beating trays, flight intercept traps and pitfall traps. Diversity indices (Richness, Shannon's index and Simpson's index) were calculated at the order level, and permutational multivariate analysis (PERMANOVA) was used to explore differences in order-level community composition. Our results show a significant variation in community composition for all trapping methods in both seasons, whereas invasive plants did not profoundly impact arthropod order richness. The presence of broom increased arthropod abundance, while heather was linked to a reduction. Under all possible plant pairings between heather, broom, manuka, andDracophylum, the impact of neighbouring plant identity on arthropod community composition was further explored for the samples collected using beating trays. The results suggest that during plant invasion, arthropod communities are affected by neighbouring plant identity and that impacts vary between arthropod sampling methods and seasons.</v>
      </c>
      <c r="C903" s="24" t="str">
        <f>IFERROR(__xludf.DUMMYFUNCTION("""COMPUTED_VALUE"""),"10.3390/plants9070919")</f>
        <v>10.3390/plants9070919</v>
      </c>
      <c r="D903" s="24" t="str">
        <f>IFERROR(__xludf.DUMMYFUNCTION("""COMPUTED_VALUE"""),"Keck et al")</f>
        <v>Keck et al</v>
      </c>
      <c r="E903" s="24" t="str">
        <f>IFERROR(__xludf.DUMMYFUNCTION("""COMPUTED_VALUE"""),"WOS:000557639400001")</f>
        <v>WOS:000557639400001</v>
      </c>
      <c r="F903" s="24" t="str">
        <f>IFERROR(__xludf.DUMMYFUNCTION("""COMPUTED_VALUE"""),"[""ELIGIBLE""]")</f>
        <v>["ELIGIBLE"]</v>
      </c>
    </row>
    <row r="904">
      <c r="A904" s="24" t="str">
        <f>IFERROR(__xludf.DUMMYFUNCTION("""COMPUTED_VALUE"""),"Rapid diversity and structure degradation over time through continued coffee cultivation in remnant Ethiopian Afromontane forests")</f>
        <v>Rapid diversity and structure degradation over time through continued coffee cultivation in remnant Ethiopian Afromontane forests</v>
      </c>
      <c r="B904" s="24" t="str">
        <f>IFERROR(__xludf.DUMMYFUNCTION("""COMPUTED_VALUE"""),"Tropical deforestation and effects on biodiversity and ecosystem services are relatively well studied, but the extent and impact of forest degradation remains much more cryptic. Most of the remaining Ethiopian moist Afromontane forests are currently being"&amp;" degraded due to forest management for coffee production. So far, effects of degradation on biodiversity and forest structure have been estimated by comparing forests with different management regimes in terms of coffee cultivation intensity. Here, we per"&amp;"formed an analysis at two time points (2009 and 2017), through the resurveying of 32 plots located in moist Afromontane forest remnants managed for coffee production, to evaluate how rapidly further degradation occurs. In contrast to space-for-time substi"&amp;"tutions, our study allows for an accurate assessment of changes in biodiversity and forest structure due to coffee cultivation, without confounding effects of local environmental conditions. We found reductions in woody vegetation richness (-23%) and dive"&amp;"rsity (-14%), and a further degradation of forest structure, as quantified by tree and shrub density (-31%). Overall tree and shrub height increased over time (+11%). No changes were found in basal area, dominant tree height and woody community compositio"&amp;"n over an eight-year period. Our findings indicate a continuation in loss of woody vegetation diversity and related ecosystem services due to an intensive low thinning regime where the smallholder coffee farmers removed predominantly intermediate and supp"&amp;"ressed trees from the understorey and maintain the tallest trees in the upperstorey. To halt further forest degradation, implementation of REDD+ and coffee certification programs could provide options, however their effectiveness remains to be tested in t"&amp;"he field.")</f>
        <v>Tropical deforestation and effects on biodiversity and ecosystem services are relatively well studied, but the extent and impact of forest degradation remains much more cryptic. Most of the remaining Ethiopian moist Afromontane forests are currently being degraded due to forest management for coffee production. So far, effects of degradation on biodiversity and forest structure have been estimated by comparing forests with different management regimes in terms of coffee cultivation intensity. Here, we performed an analysis at two time points (2009 and 2017), through the resurveying of 32 plots located in moist Afromontane forest remnants managed for coffee production, to evaluate how rapidly further degradation occurs. In contrast to space-for-time substitutions, our study allows for an accurate assessment of changes in biodiversity and forest structure due to coffee cultivation, without confounding effects of local environmental conditions. We found reductions in woody vegetation richness (-23%) and diversity (-14%), and a further degradation of forest structure, as quantified by tree and shrub density (-31%). Overall tree and shrub height increased over time (+11%). No changes were found in basal area, dominant tree height and woody community composition over an eight-year period. Our findings indicate a continuation in loss of woody vegetation diversity and related ecosystem services due to an intensive low thinning regime where the smallholder coffee farmers removed predominantly intermediate and suppressed trees from the understorey and maintain the tallest trees in the upperstorey. To halt further forest degradation, implementation of REDD+ and coffee certification programs could provide options, however their effectiveness remains to be tested in the field.</v>
      </c>
      <c r="C904" s="24" t="str">
        <f>IFERROR(__xludf.DUMMYFUNCTION("""COMPUTED_VALUE"""),"10.1016/j.biocon.2019.05.014")</f>
        <v>10.1016/j.biocon.2019.05.014</v>
      </c>
      <c r="D904" s="24" t="str">
        <f>IFERROR(__xludf.DUMMYFUNCTION("""COMPUTED_VALUE"""),"Keck et al")</f>
        <v>Keck et al</v>
      </c>
      <c r="E904" s="24" t="str">
        <f>IFERROR(__xludf.DUMMYFUNCTION("""COMPUTED_VALUE"""),"WOS:000483908400002")</f>
        <v>WOS:000483908400002</v>
      </c>
      <c r="F904" s="24" t="str">
        <f>IFERROR(__xludf.DUMMYFUNCTION("""COMPUTED_VALUE"""),"[""ELIGIBLE""]")</f>
        <v>["ELIGIBLE"]</v>
      </c>
    </row>
    <row r="905">
      <c r="A905" s="24" t="str">
        <f>IFERROR(__xludf.DUMMYFUNCTION("""COMPUTED_VALUE"""),"Inter-annual changes in fish communities of a tropical bay in southeastern Brazil: What can be inferred from anthropogenic activities?")</f>
        <v>Inter-annual changes in fish communities of a tropical bay in southeastern Brazil: What can be inferred from anthropogenic activities?</v>
      </c>
      <c r="B905" s="24" t="str">
        <f>IFERROR(__xludf.DUMMYFUNCTION("""COMPUTED_VALUE"""),"We assessed inter-annual changes in fish assemblages of a tropical bay which experienced a heavily industrialized process in the last decades. A highly significant difference in community structure among the bay zones, and a decrease in fish richness and "&amp;"abundance over time were found. Changes in fish richness and abundance between the two first (1987-1988 and 1993-1995) and the two latter time periods (1998-2001 and 2012-2013) were sharpest in the inner bay zone, the most impacted bay area, and in the mi"&amp;"ddle zone, whereas the outer zone remained comparatively stable over time. These changes coincided with increased metal pollution (mainly, Zn and Cd) in the bay and with the enlargement of the Sepetiba Port. Spatial changes in the fish community structure"&amp;" among the bay zones were related to differences in salinity, transparency and depth with this latter variable acting as a buffer stabilizing temporal community changes. (C) 2016 Elsevier Ltd. All rights reserved.")</f>
        <v>We assessed inter-annual changes in fish assemblages of a tropical bay which experienced a heavily industrialized process in the last decades. A highly significant difference in community structure among the bay zones, and a decrease in fish richness and abundance over time were found. Changes in fish richness and abundance between the two first (1987-1988 and 1993-1995) and the two latter time periods (1998-2001 and 2012-2013) were sharpest in the inner bay zone, the most impacted bay area, and in the middle zone, whereas the outer zone remained comparatively stable over time. These changes coincided with increased metal pollution (mainly, Zn and Cd) in the bay and with the enlargement of the Sepetiba Port. Spatial changes in the fish community structure among the bay zones were related to differences in salinity, transparency and depth with this latter variable acting as a buffer stabilizing temporal community changes. (C) 2016 Elsevier Ltd. All rights reserved.</v>
      </c>
      <c r="C905" s="24" t="str">
        <f>IFERROR(__xludf.DUMMYFUNCTION("""COMPUTED_VALUE"""),"10.1016/j.marpolbul.2016.08.063")</f>
        <v>10.1016/j.marpolbul.2016.08.063</v>
      </c>
      <c r="D905" s="24" t="str">
        <f>IFERROR(__xludf.DUMMYFUNCTION("""COMPUTED_VALUE"""),"Keck et al")</f>
        <v>Keck et al</v>
      </c>
      <c r="E905" s="24" t="str">
        <f>IFERROR(__xludf.DUMMYFUNCTION("""COMPUTED_VALUE"""),"WOS:000392768900025")</f>
        <v>WOS:000392768900025</v>
      </c>
      <c r="F905" s="24" t="str">
        <f>IFERROR(__xludf.DUMMYFUNCTION("""COMPUTED_VALUE"""),"[""ELIGIBLE""]")</f>
        <v>["ELIGIBLE"]</v>
      </c>
    </row>
    <row r="906">
      <c r="A906" s="24" t="str">
        <f>IFERROR(__xludf.DUMMYFUNCTION("""COMPUTED_VALUE"""),"Environmental effects on biofilm bacterial communities: a comparison of natural and anthropogenic factors in New Zealand streams")</f>
        <v>Environmental effects on biofilm bacterial communities: a comparison of natural and anthropogenic factors in New Zealand streams</v>
      </c>
      <c r="B906" s="24" t="str">
        <f>IFERROR(__xludf.DUMMYFUNCTION("""COMPUTED_VALUE"""),"We investigated the resident bacterial communities within the biofilm of 252 streams in New Zealand with the aim of assessing the community variation associated with natural and anthropogenic-influenced environmental characteristics. This work is part of "&amp;"a larger project investigating the use of bacterial communities as biological indicators, and here we assess how predictable the variation in bacterial community is in response to environmental influences. Samples of epilithic biofilm were collected in th"&amp;"e Austral Summer of 2010, and bacterial communities were characterised using the DNA-fingerprinting technique automated ribosomal intergenic spacer analysis (ARISA). Multivariate analysis of the ARISA data revealed that geographical location (region) was "&amp;"a better predictor of bacterial community structure than land use. Our finding that taxon richness varied with geographical location, decreasing along a north to south (increasing latitude) gradient, and that land use had no significant effect on taxon ri"&amp;"chness suggests that bacterial communities have great potential to act as biological indicators of stream health. In particular, the maintenance of taxon richness at impacted sites is a key advantage since the local extinction of many traditional indicato"&amp;"r organisms, such as fish or macroinvertebrates, often precludes their further use. Our conceptual model of bacterial community structure proposes that stream biofilm communities are comprised of four broad groups of bacteria: ubiquitous bacteria (found a"&amp;"t all sites), region-specific bacteria (those representative of geographical areas), natural-state bacteria (those associated with unmodified systems) and impact-related bacteria (those associated with human activities). The proportion of these four group"&amp;"s at a particular sample site would provide the basis of a novel bacterial community index of stream health.")</f>
        <v>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v>
      </c>
      <c r="C906" s="24" t="str">
        <f>IFERROR(__xludf.DUMMYFUNCTION("""COMPUTED_VALUE"""),"10.1111/fwb.12208")</f>
        <v>10.1111/fwb.12208</v>
      </c>
      <c r="D906" s="24" t="str">
        <f>IFERROR(__xludf.DUMMYFUNCTION("""COMPUTED_VALUE"""),"Keck et al")</f>
        <v>Keck et al</v>
      </c>
      <c r="E906" s="24" t="str">
        <f>IFERROR(__xludf.DUMMYFUNCTION("""COMPUTED_VALUE"""),"WOS:000325156400006")</f>
        <v>WOS:000325156400006</v>
      </c>
      <c r="F906" s="24" t="str">
        <f>IFERROR(__xludf.DUMMYFUNCTION("""COMPUTED_VALUE"""),"[""ELIGIBLE""]")</f>
        <v>["ELIGIBLE"]</v>
      </c>
    </row>
    <row r="907">
      <c r="A907" s="24" t="str">
        <f>IFERROR(__xludf.DUMMYFUNCTION("""COMPUTED_VALUE"""),"Adaptive Variations of Sediment Microbial Communities and Indication of Fecal-Associated Bacteria to Nutrients in a Regulated Urban River")</f>
        <v>Adaptive Variations of Sediment Microbial Communities and Indication of Fecal-Associated Bacteria to Nutrients in a Regulated Urban River</v>
      </c>
      <c r="B907" s="24" t="str">
        <f>IFERROR(__xludf.DUMMYFUNCTION("""COMPUTED_VALUE"""),"Anthropogenic activities strongly influence river habitat conditions and surrounding landscape patterns. A major challenge is to understand how these changes impact microbial community composition and structure. Here, a comprehensive analysis combining ph"&amp;"ysicochemical characteristics in sediment with sequencing targeting the V4 region of the 16S rRNA gene was conducted to test the hypothesis that diverse habitat conditions induce dissimilarity of microbial community composition and structure in a regulate"&amp;"d urban river. The results suggested that observed species richness and Shannon-Wiener diversity had a decreasing variation along the land use intensified gradient, while beta diversity also revealed significant separation of microbial community structure"&amp;" between headwaters and urban reaches. Total nitrogen (TN), total phosphorus (TP), oxidation-reduction potential (ORP) and total organic carbon (TOC) in sediment were the dominant factors in structuring bacterial and archaeal community assemblages. Furthe"&amp;"r analysis in dominant fecal-associated bacteria indicated that elevated nutrient concentrations may significantly (p &lt; 0.05) increase the relative abundance of Clostridium and Acinetobacter in sediment. The findings highlight the pivotal roles of alpha d"&amp;"iversity and fecal-associated bacteria in understanding the dynamics of microbial communities in a regulated urban river ecosystem.")</f>
        <v>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v>
      </c>
      <c r="C907" s="24" t="str">
        <f>IFERROR(__xludf.DUMMYFUNCTION("""COMPUTED_VALUE"""),"10.3390/w12051344")</f>
        <v>10.3390/w12051344</v>
      </c>
      <c r="D907" s="24" t="str">
        <f>IFERROR(__xludf.DUMMYFUNCTION("""COMPUTED_VALUE"""),"Keck et al")</f>
        <v>Keck et al</v>
      </c>
      <c r="E907" s="24" t="str">
        <f>IFERROR(__xludf.DUMMYFUNCTION("""COMPUTED_VALUE"""),"WOS:000555915200123")</f>
        <v>WOS:000555915200123</v>
      </c>
      <c r="F907" s="24" t="str">
        <f>IFERROR(__xludf.DUMMYFUNCTION("""COMPUTED_VALUE"""),"[""ELIGIBLE""]")</f>
        <v>["ELIGIBLE"]</v>
      </c>
    </row>
    <row r="908">
      <c r="A908" s="24" t="str">
        <f>IFERROR(__xludf.DUMMYFUNCTION("""COMPUTED_VALUE"""),"Combined effects of climatic gradient and domestic livestock grazing on reptile community structure in a heterogeneous agroecosystem")</f>
        <v>Combined effects of climatic gradient and domestic livestock grazing on reptile community structure in a heterogeneous agroecosystem</v>
      </c>
      <c r="B908" s="24" t="str">
        <f>IFERROR(__xludf.DUMMYFUNCTION("""COMPUTED_VALUE"""),"Grazing plays an important role in shaping ecological communities in human-related ecosystems. Although myriad studies have explored the joint effect of grazing and climate on plant communities, this interactive effect has rarely been studied in animals. "&amp;"We hypothesized that the effect of grazing on the reptile community varies along a climatic gradient in relation to the effect of grazing on habitat characteristics, and that grazing differentially affects reptiles of different biogeographic regions. We t"&amp;"ested our hypotheses by collecting data on environmental characteristics and by trapping reptiles in four heterogeneous landscapes experiencing differing grazing intensities and distributed along a sharp climatic gradient. We found that while reptile dive"&amp;"rsity increased with grazing intensity at the mesic end of the gradient, it decreased with grazing intensity at the arid end. Moreover, the proportion of reptile species of differing biogeographic origins varied with the interactive effect of climate and "&amp;"grazing. The representation of species originating in arid biogeographic zones was highest at the arid end of the climatic gradient, and representation increased with grazing intensity within this area. Regardless of the climatic context, increased grazin"&amp;"g pressure results in a reduction in vegetation cover and thus in changes in habitat characteristics. By reducing vegetation cover, grazing increased habitat heterogeneity in the dense mesic sites and decreased habitat heterogeneity in the arid sites. Thu"&amp;"s, our results suggest that the same direction of habitat alteration caused by grazing may have opposite effects on biodiversity and community composition in different climatic contexts.")</f>
        <v>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v>
      </c>
      <c r="C908" s="24" t="str">
        <f>IFERROR(__xludf.DUMMYFUNCTION("""COMPUTED_VALUE"""),"10.1007/s00442-015-3435-y")</f>
        <v>10.1007/s00442-015-3435-y</v>
      </c>
      <c r="D908" s="24" t="str">
        <f>IFERROR(__xludf.DUMMYFUNCTION("""COMPUTED_VALUE"""),"Keck et al")</f>
        <v>Keck et al</v>
      </c>
      <c r="E908" s="24" t="str">
        <f>IFERROR(__xludf.DUMMYFUNCTION("""COMPUTED_VALUE"""),"WOS:000367613800021")</f>
        <v>WOS:000367613800021</v>
      </c>
      <c r="F908" s="24" t="str">
        <f>IFERROR(__xludf.DUMMYFUNCTION("""COMPUTED_VALUE"""),"[""ELIGIBLE""]")</f>
        <v>["ELIGIBLE"]</v>
      </c>
    </row>
    <row r="909">
      <c r="A909" s="24" t="str">
        <f>IFERROR(__xludf.DUMMYFUNCTION("""COMPUTED_VALUE"""),"Pollution adaptive responses of root -associated microbiomes induced the promoted but different attenuation of soil residual lindane: Differences between maize and soybean")</f>
        <v>Pollution adaptive responses of root -associated microbiomes induced the promoted but different attenuation of soil residual lindane: Differences between maize and soybean</v>
      </c>
      <c r="B909" s="24" t="str">
        <f>IFERROR(__xludf.DUMMYFUNCTION("""COMPUTED_VALUE"""),"Microorganisms colonize plant-associated environments and constitute complex communities aided in key functions for nutrient acquisition, disease suppression and abiotic stress resistance. In this study, we evaluated the variation of root-associated micro"&amp;"biomes of two typical farmland crops, maize (Zea mays L.) and soybean (Glycine max L. Merr.) respond to organochlorine pesticide stress, taking lindane as an example. Results showed that there were promoted but different attenuation rates of residual lind"&amp;"ane in rhizosphere soils during maize and soybean growth, and the differential is due to the comprehensive effects of plant characters and microbial activities. Organochlorine pollution did not have significant impact on the microbial diversity and popula"&amp;"tions in all rhizo-compartments, but mostly stimulated the microbial connectivity. The multistep and decreasing processes for root-associated microbiomes of both maize and soybean were spatially different and mainly dependent on the shaping roles of host "&amp;"plants. These results expand our understandings of the organochlorine influence on the underground ecological system in crop-dependent soils.")</f>
        <v>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v>
      </c>
      <c r="C909" s="24" t="str">
        <f>IFERROR(__xludf.DUMMYFUNCTION("""COMPUTED_VALUE"""),"10.1016/j.scitotenv.2020.139170")</f>
        <v>10.1016/j.scitotenv.2020.139170</v>
      </c>
      <c r="D909" s="24" t="str">
        <f>IFERROR(__xludf.DUMMYFUNCTION("""COMPUTED_VALUE"""),"Keck et al")</f>
        <v>Keck et al</v>
      </c>
      <c r="E909" s="24" t="str">
        <f>IFERROR(__xludf.DUMMYFUNCTION("""COMPUTED_VALUE"""),"WOS:000540001400015")</f>
        <v>WOS:000540001400015</v>
      </c>
      <c r="F909" s="24" t="str">
        <f>IFERROR(__xludf.DUMMYFUNCTION("""COMPUTED_VALUE"""),"[""ELIGIBLE""]")</f>
        <v>["ELIGIBLE"]</v>
      </c>
    </row>
    <row r="910">
      <c r="A910" s="24" t="str">
        <f>IFERROR(__xludf.DUMMYFUNCTION("""COMPUTED_VALUE"""),"Predicting the consequences of anthropogenic disturbance: large-scale effects of loss of canopy algae on rocky shores")</f>
        <v>Predicting the consequences of anthropogenic disturbance: large-scale effects of loss of canopy algae on rocky shores</v>
      </c>
      <c r="B910" s="24" t="str">
        <f>IFERROR(__xludf.DUMMYFUNCTION("""COMPUTED_VALUE"""),"Anthropogenic disturbances affect natural populations and assemblages by interacting with fundamental ecological processes. Field experiments simulating the effects of human activities at the appropriate spatial and temporal scales are useful to understan"&amp;"d these interactions and eventually to predict their ecological consequences. In the Mediterranean, low-shore habitats of rocky coasts are often dominated by canopy algae Cystoseira spp., but these species are frequently replaced by assemblages of turf-fo"&amp;"rming algae and mussel beds. We propose that anthropogenic disturbance is the proximate cause of loss of Cystoseira in the Mediterranean and that the disappearance of canopy algae causes an increase in cover of turf-forming species in disturbed habitats. "&amp;"Two hypotheses were investigated to test this proposition: (1) canopy algae will be dominant in relatively pristine habitats while turf-forming algae will be more abundant in urban areas, and (2) removal of canopy algae in unpolluted areas will result in "&amp;"the development of assemblages similar to those found in urban areas. We tested the first hypothesis by comparing patterns in abundance of Cystoseira and turf-forming algae at a number of locations in urban areas and in areas far from distinct sources of "&amp;"anthropogenic disturbance in the northwest Mediterranean. The second hypothesis was tested by conducting a large-scale manipulative experiment. involving the experimental removal of Cystoseira and several spatial and temporal repetitions of the manipulati"&amp;"on. Turf-forming algae were always dominant in urban areas where Cystoseira was nearly absent. In contrast, canopy algae often dominated rocky shores in relatively pristine areas of the northwest Mediterranean The removal of Cystoseira generally caused an"&amp;" increase in the percentage cover of turf-forming algae and a decrease in the abundance of invertebrates. These changes were already evident 4 mo after manipulation and were consistent at the spatial and temporal scales examined in the study. Assemblages "&amp;"in cleared patches were qualitatively similar to those occurring where Cystoseira was naturally absent, but quantitative differences in the relative abundance of several taxa were still evident by the end of the study. These results support a cause-effect"&amp;" relationship between anthropogenic disturbance and loss of Cystoseira in the northwest Mediterranean and allow for quantitative predictions of the indirect consequences of disturbing canopy algae for the whole understory assemblage. Management options ai"&amp;"med at conserving these plants should simultaneously preserve other components of the assemblage.")</f>
        <v>Anthropogenic disturbances affect natural populations and assemblages by interacting with fundamental ecological processes. Field experiments simulating the effects of human activities at the appropriate spatial and temporal scales are useful to understand these interactions and eventually to predict their ecological consequences. In the Mediterranean, low-shore habitats of rocky coasts are often dominated by canopy algae Cystoseira spp., but these species are frequently replaced by assemblages of turf-forming algae and mussel beds. We propose that anthropogenic disturbance is the proximate cause of loss of Cystoseira in the Mediterranean and that the disappearance of canopy algae causes an increase in cover of turf-forming species in disturbed habitats. Two hypotheses were investigated to test this proposition: (1) canopy algae will be dominant in relatively pristine habitats while turf-forming algae will be more abundant in urban areas, and (2) removal of canopy algae in unpolluted areas will result in the development of assemblages similar to those found in urban areas. We tested the first hypothesis by comparing patterns in abundance of Cystoseira and turf-forming algae at a number of locations in urban areas and in areas far from distinct sources of anthropogenic disturbance in the northwest Mediterranean. The second hypothesis was tested by conducting a large-scale manipulative experiment. involving the experimental removal of Cystoseira and several spatial and temporal repetitions of the manipulation. Turf-forming algae were always dominant in urban areas where Cystoseira was nearly absent. In contrast, canopy algae often dominated rocky shores in relatively pristine areas of the northwest Mediterranean The removal of Cystoseira generally caused an increase in the percentage cover of turf-forming algae and a decrease in the abundance of invertebrates. These changes were already evident 4 mo after manipulation and were consistent at the spatial and temporal scales examined in the study. Assemblages in cleared patches were qualitatively similar to those occurring where Cystoseira was naturally absent, but quantitative differences in the relative abundance of several taxa were still evident by the end of the study. These results support a cause-effect relationship between anthropogenic disturbance and loss of Cystoseira in the northwest Mediterranean and allow for quantitative predictions of the indirect consequences of disturbing canopy algae for the whole understory assemblage. Management options aimed at conserving these plants should simultaneously preserve other components of the assemblage.</v>
      </c>
      <c r="C910" s="24" t="str">
        <f>IFERROR(__xludf.DUMMYFUNCTION("""COMPUTED_VALUE"""),"10.3354/meps214137")</f>
        <v>10.3354/meps214137</v>
      </c>
      <c r="D910" s="24" t="str">
        <f>IFERROR(__xludf.DUMMYFUNCTION("""COMPUTED_VALUE"""),"Keck et al")</f>
        <v>Keck et al</v>
      </c>
      <c r="E910" s="24" t="str">
        <f>IFERROR(__xludf.DUMMYFUNCTION("""COMPUTED_VALUE"""),"WOS:000168974500013")</f>
        <v>WOS:000168974500013</v>
      </c>
      <c r="F910" s="24" t="str">
        <f>IFERROR(__xludf.DUMMYFUNCTION("""COMPUTED_VALUE"""),"[""ELIGIBLE""]")</f>
        <v>["ELIGIBLE"]</v>
      </c>
    </row>
    <row r="911">
      <c r="A911" s="24" t="str">
        <f>IFERROR(__xludf.DUMMYFUNCTION("""COMPUTED_VALUE"""),"Micro-arthropod communities under human disturbance: is taxonomic aggregation a valuable tool for detecting multivariate change? Evidence from Mediterranean soil oribatid coenoses")</f>
        <v>Micro-arthropod communities under human disturbance: is taxonomic aggregation a valuable tool for detecting multivariate change? Evidence from Mediterranean soil oribatid coenoses</v>
      </c>
      <c r="B911" s="24" t="str">
        <f>IFERROR(__xludf.DUMMYFUNCTION("""COMPUTED_VALUE"""),"Animal communities are sensitive to environmental disturbance, and several multivariate methods have recently been developed to detect changes in community structure. The complex taxonomy of soil invertebrates constrains the use of the community level in "&amp;"monitoring environmental changes, since species identification requires expertise and time. However, recent literature data on marine communities indicate that little multivariate information is lost in the taxonomic aggregation of species data to high ra"&amp;"nk taxa. In the present paper, this hypothesis was tested on two oribatid mite (oribatida, Acari) assemblages under two different kinds of disturbance: metal pollution and fires. Results indicate that data sets built at the genus and family systematic ran"&amp;"k can detect the effects of disturbance with little loss of information. This is an encouraging result in view of the use of the community level as a preliminary tool for describing patterns of human-disturbed soil ecosystems. (c) 2006 Elsevier SAS. All r"&amp;"ights reserved.")</f>
        <v>Animal communities are sensitive to environmental disturbance, and several multivariate methods have recently been developed to detect changes in community structure. The complex taxonomy of soil invertebrates constrains the use of the community level in monitoring environmental changes, since species identification requires expertise and time. However, recent literature data on marine communities indicate that little multivariate information is lost in the taxonomic aggregation of species data to high rank taxa. In the present paper, this hypothesis was tested on two oribatid mite (oribatida, Acari) assemblages under two different kinds of disturbance: metal pollution and fires. Results indicate that data sets built at the genus and family systematic rank can detect the effects of disturbance with little loss of information. This is an encouraging result in view of the use of the community level as a preliminary tool for describing patterns of human-disturbed soil ecosystems. (c) 2006 Elsevier SAS. All rights reserved.</v>
      </c>
      <c r="C911" s="24" t="str">
        <f>IFERROR(__xludf.DUMMYFUNCTION("""COMPUTED_VALUE"""),"10.1016/j.actao.2006.01.003")</f>
        <v>10.1016/j.actao.2006.01.003</v>
      </c>
      <c r="D911" s="24" t="str">
        <f>IFERROR(__xludf.DUMMYFUNCTION("""COMPUTED_VALUE"""),"Keck et al")</f>
        <v>Keck et al</v>
      </c>
      <c r="E911" s="24" t="str">
        <f>IFERROR(__xludf.DUMMYFUNCTION("""COMPUTED_VALUE"""),"WOS:000239342400006")</f>
        <v>WOS:000239342400006</v>
      </c>
      <c r="F911" s="24" t="str">
        <f>IFERROR(__xludf.DUMMYFUNCTION("""COMPUTED_VALUE"""),"[""ELIGIBLE""]")</f>
        <v>["ELIGIBLE"]</v>
      </c>
    </row>
    <row r="912">
      <c r="A912" s="24" t="str">
        <f>IFERROR(__xludf.DUMMYFUNCTION("""COMPUTED_VALUE"""),"Human encroachment into wildlife gut microbiomes")</f>
        <v>Human encroachment into wildlife gut microbiomes</v>
      </c>
      <c r="B912" s="24" t="str">
        <f>IFERROR(__xludf.DUMMYFUNCTION("""COMPUTED_VALUE"""),"In the Anthropocene, humans, domesticated animals, wildlife, and their environments are interconnected, especially as humans advance further into wildlife habitats. Wildlife gut microbiomes play a vital role in host health. Changes to wildlife gut microbi"&amp;"omes due to anthropogenic disturbances, such as habitat fragmentation, can disrupt natural gut microbiota homeostasis and make animals vulnerable to infections that may become zoonotic. However, it remains unclear whether the disruption to wildlife gut mi"&amp;"crobiomes is caused by habitat fragmentation per se or the combination of habitat fragmentation with additional anthropogenic disturbances, such as contact with humans, domesticated animals, invasive species, and their pathogens. Here, we show that habita"&amp;"t fragmentation per se does not impact the gut microbiome of a generalist rodent species native to Central America, Tome's spiny rat Proechimys semispinosus, but additional anthropogenic disturbances do. Indeed, compared to protected continuous and fragme"&amp;"nted forest landscapes that are largely untouched by other human activities, the gut microbiomes of spiny rats inhabiting human-disturbed fragmented landscapes revealed a reduced alpha diversity and a shifted and more dispersed beta diversity. Their micro"&amp;"biomes contained more taxa associated with domesticated animals and their potential pathogens, suggesting a shift in potential metagenome functions. On the one hand, the compositional shift could indicate a degree of gut microbial adaption known as metage"&amp;"nomic plasticity. On the other hand, the greater variation in community structure and reduced alpha diversity may signal a decline in beneficial microbial functions and illustrate that gut adaption may not catch up with anthropogenic disturbances, even in"&amp;" a generalist species with large phenotypic plasticity, with potentially harmful consequences to both wildlife and human health. Fackelmann et al. study the gut microbial composition of spiny rats across tropical forests in Panama with varying levels of p"&amp;"rotection and fragmentation in order to disentangle the relative influences of habitat fragmentation and anthropogenic disturbance on wildlife gut microbiomes. They find that habitat fragmentation on its own did not affect the gut microbiome, but the micr"&amp;"obiomes of individuals inhabiting forest fragments affected by anthropogenic disturbance displayed a shift in community composition and structure, and were more likely to have microbiota associated with domesticated animals and their pathogens.")</f>
        <v>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v>
      </c>
      <c r="C912" s="24" t="str">
        <f>IFERROR(__xludf.DUMMYFUNCTION("""COMPUTED_VALUE"""),"10.1038/s42003-021-02315-7")</f>
        <v>10.1038/s42003-021-02315-7</v>
      </c>
      <c r="D912" s="24" t="str">
        <f>IFERROR(__xludf.DUMMYFUNCTION("""COMPUTED_VALUE"""),"Keck et al")</f>
        <v>Keck et al</v>
      </c>
      <c r="E912" s="24" t="str">
        <f>IFERROR(__xludf.DUMMYFUNCTION("""COMPUTED_VALUE"""),"WOS:000668739900006")</f>
        <v>WOS:000668739900006</v>
      </c>
      <c r="F912" s="24" t="str">
        <f>IFERROR(__xludf.DUMMYFUNCTION("""COMPUTED_VALUE"""),"[""ELIGIBLE""]")</f>
        <v>["ELIGIBLE"]</v>
      </c>
    </row>
    <row r="913">
      <c r="A913" s="24" t="str">
        <f>IFERROR(__xludf.DUMMYFUNCTION("""COMPUTED_VALUE"""),"Contrasting Impacts of Dams on the Metacommunity Structure of Fish and Macroinvertebrate Assemblages")</f>
        <v>Contrasting Impacts of Dams on the Metacommunity Structure of Fish and Macroinvertebrate Assemblages</v>
      </c>
      <c r="B913" s="24" t="str">
        <f>IFERROR(__xludf.DUMMYFUNCTION("""COMPUTED_VALUE"""),"Impoundments are common features of many rivers that often impact abiotic conditions and the organisms that inhabit impacted reaches. As dams alter both local environmental conditions and the ability of organisms to move throughout the habitat, it is diff"&amp;"icult to know which factors are driving changes in assemblage composition. To separate these effects, we employed a metacommunity approach to evaluate drivers of assemblage composition in fish and macroinvertebrate communities across two impoundments slat"&amp;"ed for removal in Danville, Illinois. Based on movement ability, we would expect dams to represent barriers to fish populations, whereas macroinvertebrates, with their motile adult phases, should be easily able to move across impoundments. Therefore, we w"&amp;"ould expect the assemblage structure of these two groups to be driven by different processes. We sampled habitat quality ( measures) and both fish and macroinvertebrate communities in a replicated series of sites across two low-head dams. As expected, the"&amp;" presence of dams resulted in reduced habitat quality as well as changes in fish and macroinvertebrate quality indices. However, fish and macroinvertebrate assemblages were driven by different metacommunity processes. Fish communities showed strong enviro"&amp;"nmental filtering, responding to local environmental conditions, with no effect of distance between habitats. In marked contrast, macroinvertebrate communities were only related to physical distance between sites, with no indication of environmental filte"&amp;"ring. These results suggest that when these dams are removed, fish assemblages should change with the removal of dam-generated habitats. In contrast, dam removal may not alter macroinvertebrate composition, as it did not vary with habitat but appears driv"&amp;"en by local dispersal.")</f>
        <v>Impoundments are common features of many rivers that often impact abiotic conditions and the organisms that inhabit impacted reaches. As dams alter both local environmental conditions and the ability of organisms to move throughout the habitat, it is difficult to know which factors are driving changes in assemblage composition. To separate these effects, we employed a metacommunity approach to evaluate drivers of assemblage composition in fish and macroinvertebrate communities across two impoundments slated for removal in Danville, Illinois. Based on movement ability, we would expect dams to represent barriers to fish populations, whereas macroinvertebrates, with their motile adult phases, should be easily able to move across impoundments. Therefore, we would expect the assemblage structure of these two groups to be driven by different processes. We sampled habitat quality ( measures) and both fish and macroinvertebrate communities in a replicated series of sites across two low-head dams. As expected, the presence of dams resulted in reduced habitat quality as well as changes in fish and macroinvertebrate quality indices. However, fish and macroinvertebrate assemblages were driven by different metacommunity processes. Fish communities showed strong environmental filtering, responding to local environmental conditions, with no effect of distance between habitats. In marked contrast, macroinvertebrate communities were only related to physical distance between sites, with no indication of environmental filtering. These results suggest that when these dams are removed, fish assemblages should change with the removal of dam-generated habitats. In contrast, dam removal may not alter macroinvertebrate composition, as it did not vary with habitat but appears driven by local dispersal.</v>
      </c>
      <c r="C913" s="24" t="str">
        <f>IFERROR(__xludf.DUMMYFUNCTION("""COMPUTED_VALUE"""),"10.1080/02755947.2016.1221001")</f>
        <v>10.1080/02755947.2016.1221001</v>
      </c>
      <c r="D913" s="24" t="str">
        <f>IFERROR(__xludf.DUMMYFUNCTION("""COMPUTED_VALUE"""),"Keck et al")</f>
        <v>Keck et al</v>
      </c>
      <c r="E913" s="24" t="str">
        <f>IFERROR(__xludf.DUMMYFUNCTION("""COMPUTED_VALUE"""),"WOS:000391851900013")</f>
        <v>WOS:000391851900013</v>
      </c>
      <c r="F913" s="24" t="str">
        <f>IFERROR(__xludf.DUMMYFUNCTION("""COMPUTED_VALUE"""),"[""ELIGIBLE""]")</f>
        <v>["ELIGIBLE"]</v>
      </c>
    </row>
    <row r="914">
      <c r="A914" s="24" t="str">
        <f>IFERROR(__xludf.DUMMYFUNCTION("""COMPUTED_VALUE"""),"Effects of riparian zone buffer widths on vegetation diversity in southern Appalachian headwater catchments")</f>
        <v>Effects of riparian zone buffer widths on vegetation diversity in southern Appalachian headwater catchments</v>
      </c>
      <c r="B914" s="24" t="str">
        <f>IFERROR(__xludf.DUMMYFUNCTION("""COMPUTED_VALUE"""),"In mountainous areas such as the southern Appalachians USA, riparian zones are difficult to define. Vegetation is a commonly used riparian indicator and plays a key role in protecting water resources, but adequate knowledge of floristic responses to ripar"&amp;"ian disturbances is lacking. Our objective was to quantify changes in stand-level floristic diversity of riparian plant communities before (2004) and two, three, and seven years after shelterwood harvest using highlead cable-yarding and with differing no "&amp;"cut buffer widths of 0 m, 10 m, and 30 m distance from the stream edge. An unharvested reference stand was also studied for comparison. We examined: (1) differences among treatment sites using a mixed linear model with repeated measures; (2) multivariate "&amp;"relationships between ground-layer species composition and environmental variables (soil water content, light transmittance, tree basal area, shrub density, and distance from stream) using nonmetric multidimensional scaling; and (3) changes in species com"&amp;"position over time using a multi-response permutation procedure. We hypothesized that vegetation responses (i.e., changes in density, species composition, and diversity across the hillslope) will be greatest on harvest sites with an intermediate buffer wi"&amp;"dth (10-m buffer) compared to more extreme (0-m buffer) and less extreme (30-m buffer and no-harvest reference) disturbance intensities. Harvesting initially reduced overstory density and basal area by 83% and 65%, respectively, in the 0-m buffer site; re"&amp;"duced by 50% and 74% in the 10-m buffer site; and reduced by 45% and 29% in the 30-m buffer site. Both the 0-m and 10-m buffer sites showed increased incident light variability across the hillslope after harvesting; whereas, there was no change in the 30-"&amp;"m and reference sites over time. We found significant changes in midstory and ground-layer vegetation in response to harvesting with the greatest responses on the 10-m buffer site, supporting our hypotheses that responses will be greatest on sites with in"&amp;"termediate disturbance. Ground-layer species composition differed significantly over time in the 0-m buffer and 10-m buffer sites (both P &lt; 0.0001), but did not change in the 30-m buffer and reference sites (both P &gt; 0.100). Average compositional dissimil"&amp;"arity increased after seven years, indicating greater within stand heterogeneity (species diversity) after harvesting. These vegetation recovery patterns provide useful information for evaluating management options in riparian zones in the southern Appala"&amp;"chians. Published by Elsevier B.V.")</f>
        <v>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v>
      </c>
      <c r="C914" s="24" t="str">
        <f>IFERROR(__xludf.DUMMYFUNCTION("""COMPUTED_VALUE"""),"10.1016/j.foreco.2016.05.046")</f>
        <v>10.1016/j.foreco.2016.05.046</v>
      </c>
      <c r="D914" s="24" t="str">
        <f>IFERROR(__xludf.DUMMYFUNCTION("""COMPUTED_VALUE"""),"Keck et al")</f>
        <v>Keck et al</v>
      </c>
      <c r="E914" s="24" t="str">
        <f>IFERROR(__xludf.DUMMYFUNCTION("""COMPUTED_VALUE"""),"WOS:000381233500002")</f>
        <v>WOS:000381233500002</v>
      </c>
      <c r="F914" s="24" t="str">
        <f>IFERROR(__xludf.DUMMYFUNCTION("""COMPUTED_VALUE"""),"[""ELIGIBLE""]")</f>
        <v>["ELIGIBLE"]</v>
      </c>
    </row>
    <row r="915">
      <c r="A915" s="24" t="str">
        <f>IFERROR(__xludf.DUMMYFUNCTION("""COMPUTED_VALUE"""),"Responses of soil bacterial communities, enzyme activities, and nutrients to agricultural-to-natural ecosystem conversion in the Loess Plateau, China")</f>
        <v>Responses of soil bacterial communities, enzyme activities, and nutrients to agricultural-to-natural ecosystem conversion in the Loess Plateau, China</v>
      </c>
      <c r="B915" s="24" t="str">
        <f>IFERROR(__xludf.DUMMYFUNCTION("""COMPUTED_VALUE"""),"PurposeSoil microbial communities play critical function during nutrient cycling. However, with the increasing nutrient input into terrestrial ecosystems from human activities, the responses of soil microorganisms to the aboveground vegetation across agri"&amp;"cultural-to-natural succession stages are still poorly understand. The aim of this study was to evaluate the changes of soil microbial communities in three typical succession stages (the cropland, the grassland, and the brushland, respectively).Materials "&amp;"and methodsA field experiment was carried out in an ecological restoration region. Soil samples were collected from three succession stages (the cropland, the grassland, and the brushland) based on their well-dated successional chronosequence in July 2016"&amp;". Illumina MiSeq sequencing was used to identify the bacterial community structures. The responses of soil bacterial communities and its relationships with soil physicochemical properties and enzyme activities were assessed.Results and discussionThe resul"&amp;"ts showed that soil nutrients (soil organic carbon(SOC), total N, and NH4+) and enzyme activities (-1,4-glucosidase and phosphatase) were significantly increased across the conversion from agricultural to natural ecosystem, and the enzyme activities were "&amp;"significantly affected by SOC and total N. It indicated that vegetation restoration greatly improved soil quality and nutrient cycling rates mediated by microbial metabolisms. Furthermore, there were no changes in soil bacterial community structures durin"&amp;"g the three vegetation succession stages, which implied the stability and adaption of microbial communities under the vegetation succession in semiarid climate. It should be noted that Firmicutes taxa were more sensitive than other taxa during natural veg"&amp;"etation recovery. Structural equation model (SEM) revealed that soil nutrients (soil organic matter (SOM) and total P), element stoichiometry (SOC:total P), and extracellular enzyme activities (urease and alkaline phosphatase) were dominant factors to sha"&amp;"pe the relative abundance of Firmicutes.ConclusionsFirmicutes can be considered as bio-indicators to monitor soil quality and nutrient turnover during natural vegetation recovery. This study presents better understanding about the connections among soil n"&amp;"utrient cycling, enzyme activities, and soil bacterial communities during vegetation natural restoration, especially in typical ecological critical zone.")</f>
        <v>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v>
      </c>
      <c r="C915" s="24" t="str">
        <f>IFERROR(__xludf.DUMMYFUNCTION("""COMPUTED_VALUE"""),"10.1007/s11368-018-2110-4")</f>
        <v>10.1007/s11368-018-2110-4</v>
      </c>
      <c r="D915" s="24" t="str">
        <f>IFERROR(__xludf.DUMMYFUNCTION("""COMPUTED_VALUE"""),"Keck et al")</f>
        <v>Keck et al</v>
      </c>
      <c r="E915" s="24" t="str">
        <f>IFERROR(__xludf.DUMMYFUNCTION("""COMPUTED_VALUE"""),"WOS:000459805400035")</f>
        <v>WOS:000459805400035</v>
      </c>
      <c r="F915" s="24" t="str">
        <f>IFERROR(__xludf.DUMMYFUNCTION("""COMPUTED_VALUE"""),"[""ELIGIBLE""]")</f>
        <v>["ELIGIBLE"]</v>
      </c>
    </row>
    <row r="916">
      <c r="A916" s="24" t="str">
        <f>IFERROR(__xludf.DUMMYFUNCTION("""COMPUTED_VALUE"""),"Relationships of stream invertebrate communities to deforestation in eastern Madagascar")</f>
        <v>Relationships of stream invertebrate communities to deforestation in eastern Madagascar</v>
      </c>
      <c r="B916" s="24" t="str">
        <f>IFERROR(__xludf.DUMMYFUNCTION("""COMPUTED_VALUE"""),"Madagascar has been recently identified as a global hotspot for freshwater biodiversity. Loss of most of its eastern rain forest, combined with a high incidence of micro-endemism and specialization to forest stream habitats, has likely led to extinction o"&amp;"f many of the island's stream insect species. We compared habitat and macroinvertebrate community structure in three streams draining protected rain forest within Ranomafana National Park in eastern Madagascar and three agriculture streams draining the pa"&amp;"rk's largely deforested peripheral zone. Multivariate analyses showed that macroinvertebrate communities differed between stream types. Forest streams were characterized by species-rich, diverse communities composed primarily of collector-gatherers and co"&amp;"llector-filterers belonging to the orders Trichoptera, Ephemeroptera, Plecoptera, and Diptera. In contrast, relatively depauperate agriculture stream communities were dominated by generalist collector-gatherer taxa mostly belonging to the order Ephemeropt"&amp;"era. Agriculture streams had 0-14% canopy cover, significantly higher mean and maximum water temperatures, and significantly lower benthic organic matter storage than forest streams (71-83% canopy cover). We found no evidence for higher sedimentation rate"&amp;"s or nutrient concentrations in agriculture streams. Differences in thermal regime may be important in the declines of certain taxa in agriculture streams (e.g., Plecoptera). However, our data support the hypothesis that differences in stream communities "&amp;"are caused mainly by differences among taxa in ability to track shifts in basal resources (i.e., terrestrial detritus vs. in situ algal production) caused by deforestation. Community simplification and loss of endemic specialist taxa will continue if proj"&amp;"ections of future deforestation are proved correct. We recommend that stream biodiversity be considered in future conservation planning and propose the creation and maintenance of multiuse riparian forests that could serve both ecological and economic fun"&amp;"ctions. Given that more than 5 x 10(5) km of stream and river channel are affected by tropical deforestation annually, our results have potential applications in other tropical regions.")</f>
        <v>Madagascar has been recently identified as a global hotspot for freshwater biodiversity. Loss of most of its eastern rain forest, combined with a high incidence of micro-endemism and specialization to forest stream habitats, has likely led to extinction of many of the island's stream insect species. We compared habitat and macroinvertebrate community structure in three streams draining protected rain forest within Ranomafana National Park in eastern Madagascar and three agriculture streams draining the park's largely deforested peripheral zone. Multivariate analyses showed that macroinvertebrate communities differed between stream types. Forest streams were characterized by species-rich, diverse communities composed primarily of collector-gatherers and collector-filterers belonging to the orders Trichoptera, Ephemeroptera, Plecoptera, and Diptera. In contrast, relatively depauperate agriculture stream communities were dominated by generalist collector-gatherer taxa mostly belonging to the order Ephemeroptera. Agriculture streams had 0-14% canopy cover, significantly higher mean and maximum water temperatures, and significantly lower benthic organic matter storage than forest streams (71-83% canopy cover). We found no evidence for higher sedimentation rates or nutrient concentrations in agriculture streams. Differences in thermal regime may be important in the declines of certain taxa in agriculture streams (e.g., Plecoptera). However, our data support the hypothesis that differences in stream communities are caused mainly by differences among taxa in ability to track shifts in basal resources (i.e., terrestrial detritus vs. in situ algal production) caused by deforestation. Community simplification and loss of endemic specialist taxa will continue if projections of future deforestation are proved correct. We recommend that stream biodiversity be considered in future conservation planning and propose the creation and maintenance of multiuse riparian forests that could serve both ecological and economic functions. Given that more than 5 x 10(5) km of stream and river channel are affected by tropical deforestation annually, our results have potential applications in other tropical regions.</v>
      </c>
      <c r="C916" s="24" t="str">
        <f>IFERROR(__xludf.DUMMYFUNCTION("""COMPUTED_VALUE"""),"10.1890/02-5125")</f>
        <v>10.1890/02-5125</v>
      </c>
      <c r="D916" s="24" t="str">
        <f>IFERROR(__xludf.DUMMYFUNCTION("""COMPUTED_VALUE"""),"Keck et al")</f>
        <v>Keck et al</v>
      </c>
      <c r="E916" s="24" t="str">
        <f>IFERROR(__xludf.DUMMYFUNCTION("""COMPUTED_VALUE"""),"WOS:000186599400022")</f>
        <v>WOS:000186599400022</v>
      </c>
      <c r="F916" s="24" t="str">
        <f>IFERROR(__xludf.DUMMYFUNCTION("""COMPUTED_VALUE"""),"[""ELIGIBLE""]")</f>
        <v>["ELIGIBLE"]</v>
      </c>
    </row>
    <row r="917">
      <c r="A917" s="24" t="str">
        <f>IFERROR(__xludf.DUMMYFUNCTION("""COMPUTED_VALUE"""),"Impact on Macro-Benthic Communities of Hydraulic Dredging for Razor Clam Ensis minor in the Tyrrhenian Sea")</f>
        <v>Impact on Macro-Benthic Communities of Hydraulic Dredging for Razor Clam Ensis minor in the Tyrrhenian Sea</v>
      </c>
      <c r="B917" s="24" t="str">
        <f>IFERROR(__xludf.DUMMYFUNCTION("""COMPUTED_VALUE"""),"Bivalve molluscs fishery is of great importance along the Italian coasts, both in economic and landing terms, and different edible bivalve species are harvested both in Adriatic and Tyrrhenian Seas. A medium-term assessment of the impact of the hydraulic "&amp;"dredges targeting razor clam Ensis minor on macro-benthic community was made during two surveys carried out in winter 2017 and late spring-summer 2018 in central Tyrrhenian Sea, which represents the main fishing ground for this species. The study area was"&amp;" located between 1 and 4 m depth, within 0.3 nautical miles from the coast. A net sampler (40 cm width, 18 cm height, and 14 mm mesh size) was mounted on a commercial dredge (3 m width) and enabled to collect specimens of the smallest sizes for the entire"&amp;" community present in the areas. A control area was identified where fishing does not occur, in order to compare exploited and not exploited sea bottoms. The results show that benthic assemblages found in dredged areas are characterized by species living "&amp;"in high-energy habitat, due to the closeness to the shore, and thus showing a high resilience at medium-term disturbs. Differences in species richness were not clearly evident both for the entire community and for the mollusc assemblages evaluated over th"&amp;"e two surveys, among the control and the impacted areas, with few exceptions mainly depending on local conditions and anthropic pressure. Thus, even if the benthic community is typical of a moderately disturbed environment, the effects of fishing on the c"&amp;"ommunity structure are still discernible over and above the natural variation.")</f>
        <v>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v>
      </c>
      <c r="C917" s="24" t="str">
        <f>IFERROR(__xludf.DUMMYFUNCTION("""COMPUTED_VALUE"""),"10.3389/fmars.2020.00014")</f>
        <v>10.3389/fmars.2020.00014</v>
      </c>
      <c r="D917" s="24" t="str">
        <f>IFERROR(__xludf.DUMMYFUNCTION("""COMPUTED_VALUE"""),"Keck et al")</f>
        <v>Keck et al</v>
      </c>
      <c r="E917" s="24" t="str">
        <f>IFERROR(__xludf.DUMMYFUNCTION("""COMPUTED_VALUE"""),"WOS:000510205200001")</f>
        <v>WOS:000510205200001</v>
      </c>
      <c r="F917" s="24" t="str">
        <f>IFERROR(__xludf.DUMMYFUNCTION("""COMPUTED_VALUE"""),"[""ELIGIBLE""]")</f>
        <v>["ELIGIBLE"]</v>
      </c>
    </row>
    <row r="918">
      <c r="A918" s="24" t="str">
        <f>IFERROR(__xludf.DUMMYFUNCTION("""COMPUTED_VALUE"""),"IMPACTS OF SMALL IMPOUNDMENTS ON AN INTERMITTENT HEADWATER STREAM COMMUNITY")</f>
        <v>IMPACTS OF SMALL IMPOUNDMENTS ON AN INTERMITTENT HEADWATER STREAM COMMUNITY</v>
      </c>
      <c r="B918" s="24" t="str">
        <f>IFERROR(__xludf.DUMMYFUNCTION("""COMPUTED_VALUE"""),"The impacts of small impoundments on headwater streams have received little attention despite their potential to have local and broad-scale ecological impacts. These impoundments might alter stream hydrology, geomorphology, and facilitate the spread of in"&amp;"vasive species. Given that prairie stream communities have adapted to highly variable conditions, they might resist disturbances associated with small impoundments. To test the resistance of aquatic communities to the disturbances associated with small im"&amp;"poundments, we surveyed intermittent headwater prairie streams in both unimpounded and impounded watersheds. We observed greater fish density and species richness in unimpounded watersheds and two species occupying a greater proportion of sites in unimpou"&amp;"nded than impounded watersheds. In contrast to fish communities, we observed no difference in crayfish density or the community structure and biomass of aquatic insect and snail communities between unimpounded and impounded watersheds. Increased sensitivi"&amp;"ty to disturbances associated with small impoundments by fishes might be attributed to their limited dispersal capabilities.")</f>
        <v>The impacts of small impoundments on headwater streams have received little attention despite their potential to have local and broad-scale ecological impacts. These impoundments might alter stream hydrology, geomorphology, and facilitate the spread of invasive species. Given that prairie stream communities have adapted to highly variable conditions, they might resist disturbances associated with small impoundments. To test the resistance of aquatic communities to the disturbances associated with small impoundments, we surveyed intermittent headwater prairie streams in both unimpounded and impounded watersheds. We observed greater fish density and species richness in unimpounded watersheds and two species occupying a greater proportion of sites in unimpounded than impounded watersheds. In contrast to fish communities, we observed no difference in crayfish density or the community structure and biomass of aquatic insect and snail communities between unimpounded and impounded watersheds. Increased sensitivity to disturbances associated with small impoundments by fishes might be attributed to their limited dispersal capabilities.</v>
      </c>
      <c r="C918" s="24" t="str">
        <f>IFERROR(__xludf.DUMMYFUNCTION("""COMPUTED_VALUE"""),"10.1894/0038-4909-63.1.34")</f>
        <v>10.1894/0038-4909-63.1.34</v>
      </c>
      <c r="D918" s="24" t="str">
        <f>IFERROR(__xludf.DUMMYFUNCTION("""COMPUTED_VALUE"""),"Keck et al")</f>
        <v>Keck et al</v>
      </c>
      <c r="E918" s="24" t="str">
        <f>IFERROR(__xludf.DUMMYFUNCTION("""COMPUTED_VALUE"""),"WOS:000466718100005")</f>
        <v>WOS:000466718100005</v>
      </c>
      <c r="F918" s="24" t="str">
        <f>IFERROR(__xludf.DUMMYFUNCTION("""COMPUTED_VALUE"""),"[""ELIGIBLE""]")</f>
        <v>["ELIGIBLE"]</v>
      </c>
    </row>
    <row r="919">
      <c r="A919" s="24" t="str">
        <f>IFERROR(__xludf.DUMMYFUNCTION("""COMPUTED_VALUE"""),"Stream microbial communities and ecosystem functioning show complex responses to multiple stressors in wastewater")</f>
        <v>Stream microbial communities and ecosystem functioning show complex responses to multiple stressors in wastewater</v>
      </c>
      <c r="B919" s="24" t="str">
        <f>IFERROR(__xludf.DUMMYFUNCTION("""COMPUTED_VALUE"""),"Multiple anthropogenic drivers are changing ecosystems globally, with a disproportionate and intensifying impact on freshwater habitats. A major impact of urbanization are inputs from wastewater treatment plants (WWTPs). Initially designed to reduce eutro"&amp;"phication and improve water quality, WWTPs increasingly release a multitude of micropollutants (MPs; i.e., synthetic chemicals) and microbes (including antibiotic-resistant bacteria) to receiving environments. This pollution may have pervasive impacts on "&amp;"biodiversity and ecosystem services. Viewed through multiple lenses of macroecological and ecotoxicological theory, we combined field, flume, and laboratory experiments to determine the effects of wastewater (WW) on microbial communities and organic-matte"&amp;"r processing using a standardized decomposition assay. First, we conducted a mensurative experiment sampling 60 locations above and below WWTP discharges in 20 Swiss streams. Microbial respiration and decomposition rates were positively influenced by WW i"&amp;"nputs via warming and nutrient enrichment, but with a notable exception: WW decreased the activation energy of decomposition, indicating a slowing of this fundamental ecosystem process in response to temperature. Second, next-generation sequencing indicat"&amp;"ed that microbial community structure below WWTPs was altered, with significant compositional turnover, reduced richness, and evidence of negative MP influences. Third, a series of flume experiments confirmed that although diluted WW generally has positiv"&amp;"e influences on microbial-mediated processes, the negative effects of MPs are masked by nutrient enrichment. Finally, transplant experiments suggested that WW-borne microbes enhance decomposition rates. Taken together, our results affirm the multiple stre"&amp;"ssor paradigm by showing that different aspects of WW (warming, nutrients, microbes, and MPs) jointly influence ecosystem functioning in complex ways. Increased respiration rates below WWTPs potentially generate ecosystem disservices via greater carbon ev"&amp;"asion from streams and rivers. However, toxic MP effects may fundamentally alter ecological scaling relationships, indicating the need for a rapprochement between ecotoxicological and macroecological perspectives.")</f>
        <v>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v>
      </c>
      <c r="C919" s="24" t="str">
        <f>IFERROR(__xludf.DUMMYFUNCTION("""COMPUTED_VALUE"""),"10.1111/gcb.15302")</f>
        <v>10.1111/gcb.15302</v>
      </c>
      <c r="D919" s="24" t="str">
        <f>IFERROR(__xludf.DUMMYFUNCTION("""COMPUTED_VALUE"""),"Keck et al")</f>
        <v>Keck et al</v>
      </c>
      <c r="E919" s="24" t="str">
        <f>IFERROR(__xludf.DUMMYFUNCTION("""COMPUTED_VALUE"""),"WOS:000565359900001")</f>
        <v>WOS:000565359900001</v>
      </c>
      <c r="F919" s="24" t="str">
        <f>IFERROR(__xludf.DUMMYFUNCTION("""COMPUTED_VALUE"""),"[""ELIGIBLE""]")</f>
        <v>["ELIGIBLE"]</v>
      </c>
    </row>
    <row r="920">
      <c r="A920" s="24" t="str">
        <f>IFERROR(__xludf.DUMMYFUNCTION("""COMPUTED_VALUE"""),"Effects of native and exotic congeners on diversity of invertebrate natural enemies, available spider biomass, and pest control services in residential landscapes")</f>
        <v>Effects of native and exotic congeners on diversity of invertebrate natural enemies, available spider biomass, and pest control services in residential landscapes</v>
      </c>
      <c r="B920" s="24" t="str">
        <f>IFERROR(__xludf.DUMMYFUNCTION("""COMPUTED_VALUE"""),"Exotic plants are common in urban landscapes and are often planted by landscape managers in an effort to reduce herbivory damage and improve landscape aesthetics. However, exotic plants may be less palatable to many native insects and reduce herbivore bio"&amp;"mass that may fuel higher trophic levels. Furthermore, a loss of herbivores in exotic ornamental landscapes may reduce top-down control by natural enemies. In this study, we compare herbivory in native and exotic congener ornamental landscapes. We also ex"&amp;"plore if caterpillar abundance, natural enemy abundance, diversity, community composition, spider biomass, and egg predation differ between the two landscape types. We predicted that herbivory, as well as natural enemy abundance and predation would be gre"&amp;"ater in native landscapes. Although we found that leaf area lost to herbivory was greater in native plots in one of the collection years, this relationship was weak. Natural enemy diversity differed between landscape types, but depended on plant genus. Th"&amp;"e relationship between plant origin and natural enemy diversity was also weak. Caterpillar abundance, natural enemy community composition, spider biomass, and predation services did not differ between treatments. Overall, our results suggest that ornament"&amp;"al landscapes planted in native plants may not differ from landscapes planted in exotic congeners in the pest management and conservation services they provide, particularly with regard to invertebrate natural enemies. However, our findings cannot be used"&amp;" to make more general claims about plant origin, especially with regard to native plants and non-congeners, as we only compared ornamental landscapes with native plants and their exotic congeners in this study. We conclude that for optimizing natural enem"&amp;"y diversity and biomass on city landscapes, plant choice and other plant traits may be as important as plant origin to consider. Our work demonstrates that both native and exotic congener ornamental landscapes provide valuable ecosystem services and will "&amp;"help guide landscape design that serves both the people and wildlife that use them.")</f>
        <v>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v>
      </c>
      <c r="C920" s="24" t="str">
        <f>IFERROR(__xludf.DUMMYFUNCTION("""COMPUTED_VALUE"""),"10.1007/s10531-020-01932-8")</f>
        <v>10.1007/s10531-020-01932-8</v>
      </c>
      <c r="D920" s="24" t="str">
        <f>IFERROR(__xludf.DUMMYFUNCTION("""COMPUTED_VALUE"""),"Keck et al")</f>
        <v>Keck et al</v>
      </c>
      <c r="E920" s="24" t="str">
        <f>IFERROR(__xludf.DUMMYFUNCTION("""COMPUTED_VALUE"""),"WOS:000507800300001")</f>
        <v>WOS:000507800300001</v>
      </c>
      <c r="F920" s="24" t="str">
        <f>IFERROR(__xludf.DUMMYFUNCTION("""COMPUTED_VALUE"""),"[""ELIGIBLE""]")</f>
        <v>["ELIGIBLE"]</v>
      </c>
    </row>
    <row r="921">
      <c r="A921" s="24" t="str">
        <f>IFERROR(__xludf.DUMMYFUNCTION("""COMPUTED_VALUE"""),"Beta-diversity partitioning and drivers of variations in tropical fish community structure in central India")</f>
        <v>Beta-diversity partitioning and drivers of variations in tropical fish community structure in central India</v>
      </c>
      <c r="B921" s="24" t="str">
        <f>IFERROR(__xludf.DUMMYFUNCTION("""COMPUTED_VALUE"""),"Flow regulations, human activities and drying events have been shown to drive diversity patterns of stream fish communities globally. Along with alpha-diversity distributions across space and time, study of beta-diversity patterns provides a deeper unders"&amp;"tanding of the mechanisms and processes of overall diversity distributions. It has been shown that water flow conditions can determine the beta-diversity patterns in stream fish communities: in general, perennial habitats are more similar, while intermitt"&amp;"ent and regulated conditions tend to increase dissimilarities among sites. However, it is not clear whether these patterns result from changes in abundance replacement or from differences in species abundance. Here, we investigated beta-diversity patterns"&amp;" in tropical fish communities of central India and their relation to habitat structural properties and water conditions. We performed our analysis for the overall region (18 sites) and also across three distinct flow conditions (6 sites for each flow regi"&amp;"me). We used a partitioning framework to uncover the contribution of abundance replacement and abundance difference to beta-diversity patterns for the overall region and for three flow conditions separately. Our results suggest that at a regional scale al"&amp;"l the sites show an equal contribution of replacement and abundance difference components, while seasonal samples were homogeneous. Our results confirmed that intermittent and regulated sites are more heterogeneous than perennial sites. The observed chang"&amp;"es in beta-diversity in intermittent and regulated sites were related to both abundance difference and replacement components. Dissimilarities between sites were explained by physicochemical (temperature, pH, dissolved oxygen) parameters but not by habita"&amp;"t structural (stream width, depth) parameters.")</f>
        <v>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v>
      </c>
      <c r="C921" s="24" t="str">
        <f>IFERROR(__xludf.DUMMYFUNCTION("""COMPUTED_VALUE"""),"10.1007/s00027-018-0568-1")</f>
        <v>10.1007/s00027-018-0568-1</v>
      </c>
      <c r="D921" s="24" t="str">
        <f>IFERROR(__xludf.DUMMYFUNCTION("""COMPUTED_VALUE"""),"Keck et al")</f>
        <v>Keck et al</v>
      </c>
      <c r="E921" s="24" t="str">
        <f>IFERROR(__xludf.DUMMYFUNCTION("""COMPUTED_VALUE"""),"WOS:000429435600008")</f>
        <v>WOS:000429435600008</v>
      </c>
      <c r="F921" s="24" t="str">
        <f>IFERROR(__xludf.DUMMYFUNCTION("""COMPUTED_VALUE"""),"[""ELIGIBLE""]")</f>
        <v>["ELIGIBLE"]</v>
      </c>
    </row>
    <row r="922">
      <c r="A922" s="24" t="str">
        <f>IFERROR(__xludf.DUMMYFUNCTION("""COMPUTED_VALUE"""),"Fate of di (2 ethylhexyl) phthalate in different soils and associated bacterial community changes")</f>
        <v>Fate of di (2 ethylhexyl) phthalate in different soils and associated bacterial community changes</v>
      </c>
      <c r="B922" s="24" t="str">
        <f>IFERROR(__xludf.DUMMYFUNCTION("""COMPUTED_VALUE"""),"Di (2 ethylhexyl) phthalate (DEHP) is a ubiquitous organic pollutant, which has caused considerable pollution in arable soils. In this study, the relationship between DEHP degradation potential and soil properties in 12 agricultural soils (S1-S12) was exa"&amp;"mined in a microcosm based experiment. Six of these soils were then selected to monitor patterns in bacterial community responses. It was found that DEHP degradation was positively correlated with bacterial counts in the original soils, suggesting a key r"&amp;"ole for bacteria in degradation. However, DEHP metabolism did not always lead to complete degradation. Its monoester metabolite, mono (2 ethylhexyl) phthalate (MEHP), was present at appreciable levels in the two acidic soils (S1 and S2) during the incubat"&amp;"ion period of 35 days. Based on high-throughput sequencing data, we observed a greater impact of DEHP contamination on bacterial community structure in acidic soils than in the other soils. Nocardioides, Ramlibacter and unclassified Sphingomonadaceae were"&amp;" enriched in the two near-neutral soils where degradation was highest (S4 and S7), suggesting that these organisms might be efficient degraders. The relative abundance of Tumibacillus was greatly reduced in 50% of the six soils examined, demonstrating a h"&amp;"igh sensitivity to DEHP contamination. Furthermore, putative organic-matter decomposing bacteria (including Tumebacillus and other bacteria taxa such as members from Micromonosporaceae) were greatly reduced in the two acidic soils (S1 and S2), possibly du"&amp;"e to the accumulation of MEHP. These results suggest a crucial role of soil acidity in determining the fate and impact of DEHP in soil ecosystems, which deserves further investigation. This work contributes to a better understanding of the environmental b"&amp;"ehavior of DEHP in soil and should facilitate the development of appropriate remediation technologies. (C) 2018 Elsevier B.V. All rights reserved.")</f>
        <v>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v>
      </c>
      <c r="C922" s="24" t="str">
        <f>IFERROR(__xludf.DUMMYFUNCTION("""COMPUTED_VALUE"""),"10.1016/j.scitotenv.2018.05.055")</f>
        <v>10.1016/j.scitotenv.2018.05.055</v>
      </c>
      <c r="D922" s="24" t="str">
        <f>IFERROR(__xludf.DUMMYFUNCTION("""COMPUTED_VALUE"""),"Keck et al")</f>
        <v>Keck et al</v>
      </c>
      <c r="E922" s="24" t="str">
        <f>IFERROR(__xludf.DUMMYFUNCTION("""COMPUTED_VALUE"""),"WOS:000436605400046")</f>
        <v>WOS:000436605400046</v>
      </c>
      <c r="F922" s="24" t="str">
        <f>IFERROR(__xludf.DUMMYFUNCTION("""COMPUTED_VALUE"""),"[""ELIGIBLE""]")</f>
        <v>["ELIGIBLE"]</v>
      </c>
    </row>
    <row r="923">
      <c r="A923" s="24" t="str">
        <f>IFERROR(__xludf.DUMMYFUNCTION("""COMPUTED_VALUE"""),"Multi-taxa environmental DNA inventories reveal distinct taxonomic and functional diversity in urban tropical forest fragments")</f>
        <v>Multi-taxa environmental DNA inventories reveal distinct taxonomic and functional diversity in urban tropical forest fragments</v>
      </c>
      <c r="B923" s="24" t="str">
        <f>IFERROR(__xludf.DUMMYFUNCTION("""COMPUTED_VALUE"""),"Urban expansion and associated habitat transformation drives shifts in biodiversity, with declines in taxonomic and functional diversity. Forests fragments within urban landscapes offer a number of ecosystem services, and help to maintain biodiversity and"&amp;" ecosystem functions. Here, we focus on a tropical forest environment, and on the soil biota. Using eDNA metabarcoding, we compare forest fragments within the city of Cayenne, French Guiana, with a neighbouring continuous undisturbed forest. We wished to "&amp;"determine if urban forest fragments conserve high levels of alpha and beta diversity as well as similar functional composition for plants, soil animals, fungi and bacteria. We found that alpha diversity is similar across habitats for plants and fungi, low"&amp;"er in urban forests for metazoans and higher for bacteria. We also found that urban forests communities differ from undisturbed forests in their taxonomic composition, with urban forests exhibiting greater turnover between fragments potentially caused by "&amp;"ecological drift and limited dispersal. However, their functional composition exhibited limited differences, with an enrichment of palms, arbuscular mycorrhizal fungi and bacteria and a depletion of climber plants and termites. Thus, although urban forest"&amp;" fragments do shelter soil biodiversity that differs from native forests, the losses of soil functions may be relatively limited. This study demonstrates the strong potential of a multi-taxa eDNA approach for rapid inventories across taxonomic kingdoms, i"&amp;"n particular for cryptic soil diversity. It also demonstrates the key role of urban forest fragments in conserving biodiversity and ecosystem function, and points to a need for more systematic monitoring of these areas in urban management plans.")</f>
        <v>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v>
      </c>
      <c r="C923" s="24" t="str">
        <f>IFERROR(__xludf.DUMMYFUNCTION("""COMPUTED_VALUE"""),"10.1016/j.gecco.2021.e01724")</f>
        <v>10.1016/j.gecco.2021.e01724</v>
      </c>
      <c r="D923" s="24" t="str">
        <f>IFERROR(__xludf.DUMMYFUNCTION("""COMPUTED_VALUE"""),"Keck et al")</f>
        <v>Keck et al</v>
      </c>
      <c r="E923" s="24" t="str">
        <f>IFERROR(__xludf.DUMMYFUNCTION("""COMPUTED_VALUE"""),"WOS:000701886400004")</f>
        <v>WOS:000701886400004</v>
      </c>
      <c r="F923" s="24" t="str">
        <f>IFERROR(__xludf.DUMMYFUNCTION("""COMPUTED_VALUE"""),"[""ELIGIBLE""]")</f>
        <v>["ELIGIBLE"]</v>
      </c>
    </row>
    <row r="924">
      <c r="A924" s="24" t="str">
        <f>IFERROR(__xludf.DUMMYFUNCTION("""COMPUTED_VALUE"""),"Biodiversity loss in Appalachian headwater streams (Kentucky, USA): Plecoptera and Trichoptera communities")</f>
        <v>Biodiversity loss in Appalachian headwater streams (Kentucky, USA): Plecoptera and Trichoptera communities</v>
      </c>
      <c r="B924" s="24" t="str">
        <f>IFERROR(__xludf.DUMMYFUNCTION("""COMPUTED_VALUE"""),"Government and academic studies indicate that many streams in the Appalachian Mountains have degraded biological communities stemming from a variety of regional landuses. Headwater stonefly (Plecoptera) and caddisfly (Trichoptera) assemblages were assesse"&amp;"d between 1999 and 2004 in relation to pervasive landuse disturbances (coal mining and residential) in mountainous areas of eastern Kentucky, USA. Indicator metrics (richness, abundance, tolerance, and an observed/expected (O/E) null model) were compared "&amp;"among 94 sites with different land use pressures including least disturbed reference, residential, mining, and mixed mining and residential categories. Thirty-three stonefly species from 26 genera and 9 families were identified; Leuctra, Acroneuria, Haplo"&amp;"perla, and Isoperla comprised the core genera that commonly decreased with disturbance. Caddisflies were represented by 48 species, 32 genera, and 14 families. Core caddisfly genera (Neophylax, Pycnopsyche, Rhyacophila, Lepidostoma, and Wormaldia) were ex"&amp;"tirpated from most disturbed sites. Species richness was significantly higher at reference sites and reference site mean tolerance value was lowest compared to all other categories; relative abundance of both orders was variable between disturbance groups"&amp;". Non-metric multidimensional scaling (for riffle-dwelling stonefly and caddisfly genera) clustered reference sites distinctly from most other sites. The O/E index was highly correlated with individual habitat and chemical stressors (pH, conductivity) and"&amp;" on average, it estimated similar to 70% loss of common stoneflies and caddisflies across all disturbed landuse categories. Expected plecopteran and trichopteran communities were radically altered in streams draining mining and residential disturbance. Lo"&amp;"ng-term impacts incurred by both landuses will continue to depress these vulnerable indigenous fauna.")</f>
        <v>Government and academic studies indicate that many streams in the Appalachian Mountains have degraded biological communities stemming from a variety of regional landuses. Headwater stonefly (Plecoptera) and caddisfly (Trichoptera) assemblages were assessed between 1999 and 2004 in relation to pervasive landuse disturbances (coal mining and residential) in mountainous areas of eastern Kentucky, USA. Indicator metrics (richness, abundance, tolerance, and an observed/expected (O/E) null model) were compared among 94 sites with different land use pressures including least disturbed reference, residential, mining, and mixed mining and residential categories. Thirty-three stonefly species from 26 genera and 9 families were identified; Leuctra, Acroneuria, Haploperla, and Isoperla comprised the core genera that commonly decreased with disturbance. Caddisflies were represented by 48 species, 32 genera, and 14 families. Core caddisfly genera (Neophylax, Pycnopsyche, Rhyacophila, Lepidostoma, and Wormaldia) were extirpated from most disturbed sites. Species richness was significantly higher at reference sites and reference site mean tolerance value was lowest compared to all other categories; relative abundance of both orders was variable between disturbance groups. Non-metric multidimensional scaling (for riffle-dwelling stonefly and caddisfly genera) clustered reference sites distinctly from most other sites. The O/E index was highly correlated with individual habitat and chemical stressors (pH, conductivity) and on average, it estimated similar to 70% loss of common stoneflies and caddisflies across all disturbed landuse categories. Expected plecopteran and trichopteran communities were radically altered in streams draining mining and residential disturbance. Long-term impacts incurred by both landuses will continue to depress these vulnerable indigenous fauna.</v>
      </c>
      <c r="C924" s="24" t="str">
        <f>IFERROR(__xludf.DUMMYFUNCTION("""COMPUTED_VALUE"""),"10.1007/s10750-011-0858-2")</f>
        <v>10.1007/s10750-011-0858-2</v>
      </c>
      <c r="D924" s="24" t="str">
        <f>IFERROR(__xludf.DUMMYFUNCTION("""COMPUTED_VALUE"""),"Keck et al")</f>
        <v>Keck et al</v>
      </c>
      <c r="E924" s="24" t="str">
        <f>IFERROR(__xludf.DUMMYFUNCTION("""COMPUTED_VALUE"""),"WOS:000297620100008")</f>
        <v>WOS:000297620100008</v>
      </c>
      <c r="F924" s="24" t="str">
        <f>IFERROR(__xludf.DUMMYFUNCTION("""COMPUTED_VALUE"""),"[""ELIGIBLE""]")</f>
        <v>["ELIGIBLE"]</v>
      </c>
    </row>
    <row r="925">
      <c r="A925" s="24" t="str">
        <f>IFERROR(__xludf.DUMMYFUNCTION("""COMPUTED_VALUE"""),"Response of soil characteristics and bacterial communities to nitrogen fertilization gradients in a coastal salt-affected agroecosystem")</f>
        <v>Response of soil characteristics and bacterial communities to nitrogen fertilization gradients in a coastal salt-affected agroecosystem</v>
      </c>
      <c r="B925" s="24" t="str">
        <f>IFERROR(__xludf.DUMMYFUNCTION("""COMPUTED_VALUE"""),"Understanding the relationship between fertilization and soil bacterial communities in a salt-affected environment is essential for alleviating the adverse impact of excessive salinity on soil biochemical functioning. However, how soil bacterial communiti"&amp;"es respond to consecutive fertilization across nitrogen gradients in coastal agroecosystem has not yet been clarified. We conducted a field plot experiment with four nitrogen fertilization rates (0, 150, 300, and 450 kg N hm(-2)yr(-1)) on coastal salt-aff"&amp;"ected soil for three consecutive years. Temporal dynamics of soil chemical and microbial properties was characterized, and soil bacterial community composition against N fertilization rates was investigated using 16S rRNA gene sequencing. Results indicate"&amp;"d that consecutive N fertilization significantly increased soil organic carbon, total nitrogen (TN), available nitrogen (AN), available phosphorous, microbial biomass carbon (MBC), microbial biomass nitrogen and net nitrogen mineralization rate (NMR). N f"&amp;"ertilization rates and cultivation years exhibited interactive effect on TN, AN, MBC and NMR. Soil bacterial community richness and diversity increased with the nitrogen rates. Predominant bacterial classes wereDeltaproteobacteria,Anaerolineae,Alphaproteo"&amp;"bacteria,Betaproteobacteria,Gammaproteobacteria,ActinobacteriaandPlanctomycetia. Increasing nitrogen fertilization resulted in an elevation in the relative abundance of classesAlphaproteobacteria,Gammaproteobacteria,PlanctomycetiaandNitrospira, and a decl"&amp;"ine inAnaerolineae,Acidobacteria_Gp6,Cytophagia,BacilliandAcidobacteria_Gp10. Community composition ofAlphaproteobacteria,PlanctomycetiaandNitrospirawas significantly associated with potential nitrification rate (PNR), whereas that ofActinobacteriawas rel"&amp;"evant to carbon mineralization rate. Results underlined that nitrogen fertilization improved nutrients, biochemical characteristics and metabolic activities to create more suitable bacterial microhabitats in the coastal agroecosystem.")</f>
        <v>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v>
      </c>
      <c r="C925" s="24" t="str">
        <f>IFERROR(__xludf.DUMMYFUNCTION("""COMPUTED_VALUE"""),"10.1002/ldr.3705")</f>
        <v>10.1002/ldr.3705</v>
      </c>
      <c r="D925" s="24" t="str">
        <f>IFERROR(__xludf.DUMMYFUNCTION("""COMPUTED_VALUE"""),"Keck et al")</f>
        <v>Keck et al</v>
      </c>
      <c r="E925" s="24" t="str">
        <f>IFERROR(__xludf.DUMMYFUNCTION("""COMPUTED_VALUE"""),"WOS:000562345100001")</f>
        <v>WOS:000562345100001</v>
      </c>
      <c r="F925" s="24" t="str">
        <f>IFERROR(__xludf.DUMMYFUNCTION("""COMPUTED_VALUE"""),"[""ELIGIBLE""]")</f>
        <v>["ELIGIBLE"]</v>
      </c>
    </row>
    <row r="926">
      <c r="A926" s="24" t="str">
        <f>IFERROR(__xludf.DUMMYFUNCTION("""COMPUTED_VALUE"""),"Access to Natural Substrates in Urban Streams Does Not Counter Impoverishment of Macroinvertebrate Communities: a Comparison of Engineered and Non-engineered Reaches")</f>
        <v>Access to Natural Substrates in Urban Streams Does Not Counter Impoverishment of Macroinvertebrate Communities: a Comparison of Engineered and Non-engineered Reaches</v>
      </c>
      <c r="B926" s="24" t="str">
        <f>IFERROR(__xludf.DUMMYFUNCTION("""COMPUTED_VALUE"""),"Urban streams are degraded through multiple mechanisms, including severely altered flow regimes, elevated concentrations of waterborne contaminants, removal of riparian vegetation and the loss of a mosaic of heterogeneous aquatic habitats. Engineering of "&amp;"urban stream reaches using concrete is a widespread and extreme case of deliberate alteration of flow regimes and concomitant habitat simplification. To assess the effect of such engineering practices on stream ecosystems, we compared aquatic macroinverte"&amp;"brate communities from concrete-lined engineered urban reaches, non-engineered urban reaches with natural substrates and reference reaches flowing through minimally disturbed forested subcatchments and with natural substrates, in the Sydney metropolitan r"&amp;"egion, Australia. The communities from all urban reaches were impoverished and distinctly different from more diverse communities in forested reference reaches. Despite low aquatic habitat heterogeneity, engineered urban reaches had very high abundances o"&amp;"f Diptera and some other tolerant taxa. Diptera and/or Gastropoda were dominant in non-engineered urban reaches. Multivariate community structures were dissimilar between the urban reaches and forested reference reaches and between non-engineered and engi"&amp;"neered urban reaches. However, the low family-level richness and SIGNAL scores in both urban reach types indicated they were severely ecological impaired, whether engineered or not. Most macroinvertebrate taxa in the regional pool that were hardy enough t"&amp;"o inhabit urban reaches with natural substrates were also present in nearby concreted reaches. The results add weight to the growing evidence that in urban landscapes, regional-scale changes in water quality and flow regimes limit the establishment of div"&amp;"erse macroinvertebrate communities, which cannot be addressed through the provision of increased reach-scale habitat heterogeneity.")</f>
        <v>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v>
      </c>
      <c r="C926" s="24" t="str">
        <f>IFERROR(__xludf.DUMMYFUNCTION("""COMPUTED_VALUE"""),"10.1007/s11270-018-4054-0")</f>
        <v>10.1007/s11270-018-4054-0</v>
      </c>
      <c r="D926" s="24" t="str">
        <f>IFERROR(__xludf.DUMMYFUNCTION("""COMPUTED_VALUE"""),"Keck et al")</f>
        <v>Keck et al</v>
      </c>
      <c r="E926" s="24" t="str">
        <f>IFERROR(__xludf.DUMMYFUNCTION("""COMPUTED_VALUE"""),"WOS:000453937600001")</f>
        <v>WOS:000453937600001</v>
      </c>
      <c r="F926" s="24" t="str">
        <f>IFERROR(__xludf.DUMMYFUNCTION("""COMPUTED_VALUE"""),"[""ELIGIBLE""]")</f>
        <v>["ELIGIBLE"]</v>
      </c>
    </row>
    <row r="927">
      <c r="A927" s="24" t="str">
        <f>IFERROR(__xludf.DUMMYFUNCTION("""COMPUTED_VALUE"""),"In situ interactions between the effects of season, current velocity and pollution on a river biofilm")</f>
        <v>In situ interactions between the effects of season, current velocity and pollution on a river biofilm</v>
      </c>
      <c r="B927" s="24" t="str">
        <f>IFERROR(__xludf.DUMMYFUNCTION("""COMPUTED_VALUE"""),"1. The development of periphytic algae and bacteria is controlled by a combination of interacting biotic processes and abiotic factors. Distinguishing between the selection pressure resulting from pollution and that of natural environmental factors is the"&amp;"refore one of the most critical aspects of assessing the impact of pollutants on the diversity and function of benthic microbial communities in natural ecosystems. 2. We studied how current velocity and season affect the ability of river biofilms to cope "&amp;"with complex chemical pollution. We compared the diversity, structure and production of periphytic algae and bacteria from four sampling zones with differing chemical water quality levels and different flow velocities over the course of two seasons (summe"&amp;"r and winter). 3. The three factors tested all influenced biofilm development, but this depended on the biological variable being measured. Bacterial and algal densities were highly dependent on season and chemical water quality. Algal density was lower i"&amp;"n summer than in winter, but bacterial density and production increased from upstream (reference) to downstream (polluted), and this increase was more marked in winter. The impact of chemical water quality was also dependent on the season. 4. An interacti"&amp;"on between current velocity and pollution was also detected. During the summer, there was no difference in bacterial density or production between the upstream and downstream segments in the fast current zones, whereas both variables were higher downstrea"&amp;"m in the slow current zones. Such interactions between environmental factors and the impact of water quality on biofilms must be taken into account in assessments of the effects of chemicals on biofilm community structure and functioning in rivers.")</f>
        <v>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v>
      </c>
      <c r="C927" s="24" t="str">
        <f>IFERROR(__xludf.DUMMYFUNCTION("""COMPUTED_VALUE"""),"10.1111/j.1365-2427.2011.02649.x")</f>
        <v>10.1111/j.1365-2427.2011.02649.x</v>
      </c>
      <c r="D927" s="24" t="str">
        <f>IFERROR(__xludf.DUMMYFUNCTION("""COMPUTED_VALUE"""),"Keck et al")</f>
        <v>Keck et al</v>
      </c>
      <c r="E927" s="24" t="str">
        <f>IFERROR(__xludf.DUMMYFUNCTION("""COMPUTED_VALUE"""),"WOS:000296061400005")</f>
        <v>WOS:000296061400005</v>
      </c>
      <c r="F927" s="24" t="str">
        <f>IFERROR(__xludf.DUMMYFUNCTION("""COMPUTED_VALUE"""),"[""ELIGIBLE""]")</f>
        <v>["ELIGIBLE"]</v>
      </c>
    </row>
    <row r="928">
      <c r="A928" s="24" t="str">
        <f>IFERROR(__xludf.DUMMYFUNCTION("""COMPUTED_VALUE"""),"The effects of urbanization on bee communities depends on floral resource availability and bee functional traits")</f>
        <v>The effects of urbanization on bee communities depends on floral resource availability and bee functional traits</v>
      </c>
      <c r="B928" s="24" t="str">
        <f>IFERROR(__xludf.DUMMYFUNCTION("""COMPUTED_VALUE"""),"Wild bees are important pollinators in many ecosystems threatened by anthropogenic disturbance. Urban development can reduce and degrade natural habitat for bees and other pollinators. However, some researchers suggest that cities could also provide refug"&amp;"e for bees, given that agricultural intensification may pose a greater risk. In this study, we surveyed bee communities at 15 farms and gardens across an urban-rural gradient in southeastern Michigan, USA to evaluate the effect of urbanization on bees. We"&amp;" examined how floral resources, bee functional traits, temperature, farm size, and the spatial scale of analysis influence bee response to urbanization. We found that urbanization positively affected bee diversity and evenness but had no effect on total a"&amp;"bundance or species richness. Additionally, urbanization altered bee community composition via differential effects on bee species and functional groups. More urbanized sites supported a greater number of exotic, above-ground nesting, and solitary bees, b"&amp;"ut fewer eusocial bees. Blooming plant species richness positively influenced bee species diversity and richness. Furthermore, the amount of available floral resources was positively associated with exotic and eusocial bee abundances. Across sites, nearly"&amp;" 70% of floral resources were provided by exotic plants, most of which are characterized as weedy but not invasive. Our study demonstrates that urbanization can benefit some bee species and negatively impact others. Notably, Bombus and Lasioglossum (Diali"&amp;"ctus), were two important pollinator groups negatively affected by urbanization. Our study supports the idea that urban environments can provide valuable habitat for diverse bee communities, but demonstrates that some bees are vulnerable to urbanization. "&amp;"Finally, while our results indicate that increasing the abundance and richness of floral resources could partially compensate for negative effects of urbanization on bees, the effectiveness of such measures may be limited by other factors, such as urban w"&amp;"arming.")</f>
        <v>Wild bees are important pollinators in many ecosystems threatened by anthropogenic disturbance. Urban development can reduce and degrade natural habitat for bees and other pollinators. However, some researchers suggest that cities could also provide refuge for bees, given that agricultural intensification may pose a greater risk. In this study, we surveyed bee communities at 15 farms and gardens across an urban-rural gradient in southeastern Michigan, USA to evaluate the effect of urbanization on bees. We examined how floral resources, bee functional traits, temperature, farm size, and the spatial scale of analysis influence bee response to urbanization. We found that urbanization positively affected bee diversity and evenness but had no effect on total abundance or species richness. Additionally, urbanization altered bee community composition via differential effects on bee species and functional groups. More urbanized sites supported a greater number of exotic, above-ground nesting, and solitary bees, but fewer eusocial bees. Blooming plant species richness positively influenced bee species diversity and richness. Furthermore, the amount of available floral resources was positively associated with exotic and eusocial bee abundances. Across sites, nearly 70% of floral resources were provided by exotic plants, most of which are characterized as weedy but not invasive. Our study demonstrates that urbanization can benefit some bee species and negatively impact others. Notably, Bombus and Lasioglossum (Dialictus), were two important pollinator groups negatively affected by urbanization. Our study supports the idea that urban environments can provide valuable habitat for diverse bee communities, but demonstrates that some bees are vulnerable to urbanization. Finally, while our results indicate that increasing the abundance and richness of floral resources could partially compensate for negative effects of urbanization on bees, the effectiveness of such measures may be limited by other factors, such as urban warming.</v>
      </c>
      <c r="C928" s="24" t="str">
        <f>IFERROR(__xludf.DUMMYFUNCTION("""COMPUTED_VALUE"""),"10.1371/journal.pone.0225852")</f>
        <v>10.1371/journal.pone.0225852</v>
      </c>
      <c r="D928" s="24" t="str">
        <f>IFERROR(__xludf.DUMMYFUNCTION("""COMPUTED_VALUE"""),"Keck et al")</f>
        <v>Keck et al</v>
      </c>
      <c r="E928" s="24" t="str">
        <f>IFERROR(__xludf.DUMMYFUNCTION("""COMPUTED_VALUE"""),"WOS:000533930800073")</f>
        <v>WOS:000533930800073</v>
      </c>
      <c r="F928" s="24" t="str">
        <f>IFERROR(__xludf.DUMMYFUNCTION("""COMPUTED_VALUE"""),"[""ELIGIBLE""]")</f>
        <v>["ELIGIBLE"]</v>
      </c>
    </row>
    <row r="929">
      <c r="A929" s="24" t="str">
        <f>IFERROR(__xludf.DUMMYFUNCTION("""COMPUTED_VALUE"""),"Assessing the Impact of Rice Cultivation and Off-Season Period on Dynamics of Soil Enzyme Activities and Bacterial Communities in Two Agro-Ecological Regions of Mozambique")</f>
        <v>Assessing the Impact of Rice Cultivation and Off-Season Period on Dynamics of Soil Enzyme Activities and Bacterial Communities in Two Agro-Ecological Regions of Mozambique</v>
      </c>
      <c r="B929" s="24" t="str">
        <f>IFERROR(__xludf.DUMMYFUNCTION("""COMPUTED_VALUE"""),"Soil ecosystem perturbation due to agronomic practices can negatively impact soil productivity by altering the diversity and function of soil health determinants. Currently, the influence of rice cultivation and off-season periods on the dynamics of soil "&amp;"health determinants is unclear. Therefore, soil enzyme activities (EAs) and bacterial community compositions in rice-cultivated fields at postharvest (PH) and after a 5-month off-season period (5mR), and fallow-fields (5-years-fallow, 5YF; 10-years-fallow"&amp;", 10YF and/or one-year-fallow, 1YF) were assessed in two agroecological regions of Mozambique. EAs were mostly higher in fallow fields than in PH, with significant (p &lt; 0.05) differences detected for beta-glucosidase and acid phosphatase activities. Only "&amp;"beta-glucosidase activity was significantly (p &lt; 0.05) different between PH and 5mR, suggesting that beta-glucosidase is responsive in the short-term. Bacterial diversity was highest in rice-cultivated soil and correlated with NO3-, NH4+ and electrical co"&amp;"nductivity. Differentially abundant genera, such as Agromyces, Bacillus, Desulfuromonas, Gaiella, Lysobacter, Micromonospora, Norcadiodes, Rubrobacter, Solirubrobacter and Sphingomonas were mostly associated with fallow and 5mR fields, suggesting either n"&amp;"egative effects of rice cultivation or the fallow period aided their recovery. Overall, rice cultivation and chemical parameters influenced certain EAs and shaped bacterial communities. Furthermore, the 5-month off-season period facilitates nutrient recov"&amp;"ery and proliferation of plant-growth-promoting bacteria.")</f>
        <v>Soil ecosystem perturbation due to agronomic practices can negatively impact soil productivity by altering the diversity and function of soil health determinants. Currently, the influence of rice cultivation and off-season periods on the dynamics of soil health determinants is unclear. Therefore, soil enzyme activities (EAs) and bacterial community compositions in rice-cultivated fields at postharvest (PH) and after a 5-month off-season period (5mR), and fallow-fields (5-years-fallow, 5YF; 10-years-fallow, 10YF and/or one-year-fallow, 1YF) were assessed in two agroecological regions of Mozambique. EAs were mostly higher in fallow fields than in PH, with significant (p &lt; 0.05) differences detected for beta-glucosidase and acid phosphatase activities. Only beta-glucosidase activity was significantly (p &lt; 0.05) different between PH and 5mR, suggesting that beta-glucosidase is responsive in the short-term. Bacterial diversity was highest in rice-cultivated soil and correlated with NO3-, NH4+ and electrical conductivity. Differentially abundant genera, such as Agromyces, Bacillus, Desulfuromonas, Gaiella, Lysobacter, Micromonospora, Norcadiodes, Rubrobacter, Solirubrobacter and Sphingomonas were mostly associated with fallow and 5mR fields, suggesting either negative effects of rice cultivation or the fallow period aided their recovery. Overall, rice cultivation and chemical parameters influenced certain EAs and shaped bacterial communities. Furthermore, the 5-month off-season period facilitates nutrient recovery and proliferation of plant-growth-promoting bacteria.</v>
      </c>
      <c r="C929" s="24" t="str">
        <f>IFERROR(__xludf.DUMMYFUNCTION("""COMPUTED_VALUE"""),"10.3390/agronomy11040694")</f>
        <v>10.3390/agronomy11040694</v>
      </c>
      <c r="D929" s="24" t="str">
        <f>IFERROR(__xludf.DUMMYFUNCTION("""COMPUTED_VALUE"""),"Keck et al")</f>
        <v>Keck et al</v>
      </c>
      <c r="E929" s="24" t="str">
        <f>IFERROR(__xludf.DUMMYFUNCTION("""COMPUTED_VALUE"""),"WOS:000642674900001")</f>
        <v>WOS:000642674900001</v>
      </c>
      <c r="F929" s="24" t="str">
        <f>IFERROR(__xludf.DUMMYFUNCTION("""COMPUTED_VALUE"""),"[""ELIGIBLE""]")</f>
        <v>["ELIGIBLE"]</v>
      </c>
    </row>
    <row r="930">
      <c r="A930" s="24" t="str">
        <f>IFERROR(__xludf.DUMMYFUNCTION("""COMPUTED_VALUE"""),"Environmental context and magnitude of disturbance influence trait-mediated community responses to wastewater in streams")</f>
        <v>Environmental context and magnitude of disturbance influence trait-mediated community responses to wastewater in streams</v>
      </c>
      <c r="B930" s="24" t="str">
        <f>IFERROR(__xludf.DUMMYFUNCTION("""COMPUTED_VALUE"""),"Human land uses and population growth represent major global threats to biodiversity and ecosystem services. Understanding how biological communities respond to multiple drivers of human-induced environmental change is fundamental for conserving ecosystem"&amp;"s and remediating degraded habitats. Here, we used a replicated 'real-world experiment' to study the responses of invertebrate communities to wastewater perturbations across a land-use intensity gradient in 12 Swiss streams. We used different taxonomy and"&amp;" trait-based community descriptors to establish the most sensitive indicators detecting impacts and to help elucidate potential causal mechanisms of change. First, we predicted that streams in catchments adversely impacted by human land-uses would be less"&amp;" impaired by wastewater inputs because their invertebrate communities should be dominated by pollution-tolerant taxa ('environmental context'). Second, we predicted that the negative effects of wastewater on stream invertebrate communities should be large"&amp;"r in streams that receive proportionally more wastewater ('magnitude of disturbance'). In support of the 'environmental context' hypothesis, we found that change in the Saprobic Index (a trait-based indicator of tolerance to organic pollution) was associa"&amp;"ted with upstream community composition; communities in catchments with intensive agricultural land uses (e.g., arable cropping and pasture) were generally more resistant to eutrophication associated with wastewater inputs. We also found support for the '"&amp;"magnitude of disturbance' hypothesis. The SPEAR Index (a trait-based indicator of sensitivity to pesticides) was more sensitive to the relative input of effluent, suggesting that toxic influences of wastewater scale with dilution. Whilst freshwater pollut"&amp;"ion continues to be a major environmental problem, our findings highlight that the same anthropogenic pressure (i.e., inputs of wastewater) may induce different ecological responses depending on the environmental context and community metrics used. Thus, "&amp;"remediation strategies aiming to improve stream ecological status (e.g., rehabilitating degraded reaches) need to consider upstream anthropogenic influences and the most appropriate indicators of restoration success.")</f>
        <v>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v>
      </c>
      <c r="C930" s="24" t="str">
        <f>IFERROR(__xludf.DUMMYFUNCTION("""COMPUTED_VALUE"""),"10.1002/ece3.2165")</f>
        <v>10.1002/ece3.2165</v>
      </c>
      <c r="D930" s="24" t="str">
        <f>IFERROR(__xludf.DUMMYFUNCTION("""COMPUTED_VALUE"""),"Keck et al")</f>
        <v>Keck et al</v>
      </c>
      <c r="E930" s="24" t="str">
        <f>IFERROR(__xludf.DUMMYFUNCTION("""COMPUTED_VALUE"""),"WOS:000379342900007")</f>
        <v>WOS:000379342900007</v>
      </c>
      <c r="F930" s="24" t="str">
        <f>IFERROR(__xludf.DUMMYFUNCTION("""COMPUTED_VALUE"""),"[""ELIGIBLE""]")</f>
        <v>["ELIGIBLE"]</v>
      </c>
    </row>
    <row r="931">
      <c r="A931" s="24" t="str">
        <f>IFERROR(__xludf.DUMMYFUNCTION("""COMPUTED_VALUE"""),"Synergistic Impacts of Arsenic and Antimony Co-contamination on Diazotrophic Communities")</f>
        <v>Synergistic Impacts of Arsenic and Antimony Co-contamination on Diazotrophic Communities</v>
      </c>
      <c r="B931" s="24" t="str">
        <f>IFERROR(__xludf.DUMMYFUNCTION("""COMPUTED_VALUE"""),"Nitrogen (N) shortage poses a great challenge to the implementation of in situ bioremediation practices in mining-contaminated sites. Diazotrophs can fix atmospheric N-2 into a bioavailable form to plants and microorganisms inhabiting adverse habitats. In"&amp;"creasing numbers of studies mainly focused on the diazotrophic communities in the agroecosystems, while those communities in mining areas are still not well understood. This study compared the variations of diazotrophic communities in composition and inte"&amp;"ractions in the mining areas with different extents of arsenic (As) and antimony (Sb) contamination. As and Sb co-contamination increased alpha diversities and the abundance of nifH encoding the dinitrogenase reductase, while inhibited the diazotrophic in"&amp;"teractions and substantially changed the composition of communities. Based on the multiple lines of evidence (e.g., the enrichment analysis of diazotrophs, microbe-microbe network, and random forest regression), six diazotrophs (e.g., Sinorhizobium, Dechl"&amp;"oromonas, Trichormus, Herbaspirillum, Desmonostoc, and Klebsiella) were identified as keystone taxa. Environment-microbe network and random forest prediction demonstrated that these keystone taxa were highly correlated with the As and Sb contamination fra"&amp;"ctions. All these results imply that the above-mentioned diazotrophs may be resistant to metal(loid)s.")</f>
        <v>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v>
      </c>
      <c r="C931" s="24" t="str">
        <f>IFERROR(__xludf.DUMMYFUNCTION("""COMPUTED_VALUE"""),"10.1007/s00248-021-01824-6")</f>
        <v>10.1007/s00248-021-01824-6</v>
      </c>
      <c r="D931" s="24" t="str">
        <f>IFERROR(__xludf.DUMMYFUNCTION("""COMPUTED_VALUE"""),"Keck et al")</f>
        <v>Keck et al</v>
      </c>
      <c r="E931" s="24" t="str">
        <f>IFERROR(__xludf.DUMMYFUNCTION("""COMPUTED_VALUE"""),"WOS:000685376800001")</f>
        <v>WOS:000685376800001</v>
      </c>
      <c r="F931" s="24" t="str">
        <f>IFERROR(__xludf.DUMMYFUNCTION("""COMPUTED_VALUE"""),"[""ELIGIBLE""]")</f>
        <v>["ELIGIBLE"]</v>
      </c>
    </row>
    <row r="932">
      <c r="A932" s="24" t="str">
        <f>IFERROR(__xludf.DUMMYFUNCTION("""COMPUTED_VALUE"""),"Combined effects of polystyrene microplastics and copper on antioxidant capacity, immune response and intestinal microbiota of Nile tilapia (Oreochromis niloticus)")</f>
        <v>Combined effects of polystyrene microplastics and copper on antioxidant capacity, immune response and intestinal microbiota of Nile tilapia (Oreochromis niloticus)</v>
      </c>
      <c r="B932" s="24" t="str">
        <f>IFERROR(__xludf.DUMMYFUNCTION("""COMPUTED_VALUE"""),"Microplastics (MPs) coexist with other pollutants (such as heavy metals) in water, adversely impacting aquatic organisms, which might cause unpredictable ecological risks. This study aims to evaluate the effect of copper (Cu2+) and polystyrene microplasti"&amp;"cs (PS-MPs) on antioxidant capacity, immune response and intestinal microbiota of Nile tilapia. Cu2+ and PS-MN co-exposure enhanced Cu2+ bioaccumulation in the liver of fish compared with Cu2+-alone exposure. Fish exposed to PS-MPs and Cu2+ displayed hist"&amp;"opathologic alterations in the liver, intestine and gill. Exposure at low concentrations of Cu2+ in the CO and CPO groups can improve antioxidant capacity and immune response, while oxidative damage and inflammation existed in the high concentration of Cu"&amp;"(2+ )groups. Intestinal microbiota results showed that the diversity and structure were changed by Cu2+ and PS-MN exposure, and harmful bacterium even increased at high concentration of Cu2+ and PS-MPs exposure groups. All in all, PS-MPs aggravate the acc"&amp;"umulation of Cu2+ and lead to perturbations in biological systems of Nile tilapia.")</f>
        <v>Microplastics (MPs) coexist with other pollutants (such as heavy metals) in water, adversely impacting aquatic organisms, which might cause unpredictable ecological risks. This study aims to evaluate the effect of copper (Cu2+) and polystyrene microplastics (PS-MPs) on antioxidant capacity, immune response and intestinal microbiota of Nile tilapia. Cu2+ and PS-MN co-exposure enhanced Cu2+ bioaccumulation in the liver of fish compared with Cu2+-alone exposure. Fish exposed to PS-MPs and Cu2+ displayed histopathologic alterations in the liver, intestine and gill. Exposure at low concentrations of Cu2+ in the CO and CPO groups can improve antioxidant capacity and immune response, while oxidative damage and inflammation existed in the high concentration of Cu(2+ )groups. Intestinal microbiota results showed that the diversity and structure were changed by Cu2+ and PS-MN exposure, and harmful bacterium even increased at high concentration of Cu2+ and PS-MPs exposure groups. All in all, PS-MPs aggravate the accumulation of Cu2+ and lead to perturbations in biological systems of Nile tilapia.</v>
      </c>
      <c r="C932" s="24" t="str">
        <f>IFERROR(__xludf.DUMMYFUNCTION("""COMPUTED_VALUE"""),"10.1016/j.scitotenv.2021.152099")</f>
        <v>10.1016/j.scitotenv.2021.152099</v>
      </c>
      <c r="D932" s="24" t="str">
        <f>IFERROR(__xludf.DUMMYFUNCTION("""COMPUTED_VALUE"""),"Keck et al")</f>
        <v>Keck et al</v>
      </c>
      <c r="E932" s="24" t="str">
        <f>IFERROR(__xludf.DUMMYFUNCTION("""COMPUTED_VALUE"""),"WOS:000740245600001")</f>
        <v>WOS:000740245600001</v>
      </c>
      <c r="F932" s="24" t="str">
        <f>IFERROR(__xludf.DUMMYFUNCTION("""COMPUTED_VALUE"""),"[""ELIGIBLE""]")</f>
        <v>["ELIGIBLE"]</v>
      </c>
    </row>
    <row r="933">
      <c r="A933" s="24" t="str">
        <f>IFERROR(__xludf.DUMMYFUNCTION("""COMPUTED_VALUE"""),"Physicochemical Factors Drive Bacterial Communities in an Aquaculture Environment")</f>
        <v>Physicochemical Factors Drive Bacterial Communities in an Aquaculture Environment</v>
      </c>
      <c r="B933" s="24" t="str">
        <f>IFERROR(__xludf.DUMMYFUNCTION("""COMPUTED_VALUE"""),"The role of microbial ecology in aquaculture is becoming increasingly significant; however, studies on the changes in microbial ecology driven by the culture environment are limited. In the present study, high-throughput sequencing and chemical analysis w"&amp;"as used to explore changes in physicochemical factors, bacterial communities, and their relationships between a water source (Bay) and an aquaculture area located in a reclaimed area. Statistical analysis results revealed that operational taxonomic units "&amp;"levels in inlet water and pond water varied significantly (p &lt; 0.05). Non-metric multidimensional scaling (NMDS) analysis revealed the distribution characteristics of bacterial communities with water properties. The abundance of Alphaproteobacteria, Actin"&amp;"obacteria, and Flavobacteria in pond water increased significantly when compared to inlet water. The abundance of heterotrophic bacteria, such as Candidatus Actinomarina, Candidatus Aquiluna, Marivita, and Vibrio genera in pond water was significantly hig"&amp;"her (Welch's t-tests, p &lt; 0.05) than inlet water. Functional prediction analysis primarily revealed an increase in the function that was associated with carbon and nitrogen metabolism in the pond environment. Canonical correlation analysis revealed that t"&amp;"he bacterial communities was predominantly influenced by inorganic nutrients. Nitrate-nitrogen (N), nitrite-N, ammonium-N, and phosphate-phosphorous (P) were the key factors influencing bacterial communities in pond environment. A significant correlation "&amp;"was observed between inorganic N and phosphorus (P), and dominant bacterial genera (p &lt; 0.05), demonstrating the potential mechanism of regulation of nutrients in bacterial communities. The present study described the microbial ecology of aquaculture pond"&amp;"s in detail and provides a scientific basis for the management of aquacultural environments.")</f>
        <v>The role of microbial ecology in aquaculture is becoming increasingly significant; however, studies on the changes in microbial ecology driven by the culture environment are limited. In the present study, high-throughput sequencing and chemical analysis was used to explore changes in physicochemical factors, bacterial communities, and their relationships between a water source (Bay) and an aquaculture area located in a reclaimed area. Statistical analysis results revealed that operational taxonomic units levels in inlet water and pond water varied significantly (p &lt; 0.05). Non-metric multidimensional scaling (NMDS) analysis revealed the distribution characteristics of bacterial communities with water properties. The abundance of Alphaproteobacteria, Actinobacteria, and Flavobacteria in pond water increased significantly when compared to inlet water. The abundance of heterotrophic bacteria, such as Candidatus Actinomarina, Candidatus Aquiluna, Marivita, and Vibrio genera in pond water was significantly higher (Welch's t-tests, p &lt; 0.05) than inlet water. Functional prediction analysis primarily revealed an increase in the function that was associated with carbon and nitrogen metabolism in the pond environment. Canonical correlation analysis revealed that the bacterial communities was predominantly influenced by inorganic nutrients. Nitrate-nitrogen (N), nitrite-N, ammonium-N, and phosphate-phosphorous (P) were the key factors influencing bacterial communities in pond environment. A significant correlation was observed between inorganic N and phosphorus (P), and dominant bacterial genera (p &lt; 0.05), demonstrating the potential mechanism of regulation of nutrients in bacterial communities. The present study described the microbial ecology of aquaculture ponds in detail and provides a scientific basis for the management of aquacultural environments.</v>
      </c>
      <c r="C933" s="24" t="str">
        <f>IFERROR(__xludf.DUMMYFUNCTION("""COMPUTED_VALUE"""),"10.3389/fenvs.2021.709541")</f>
        <v>10.3389/fenvs.2021.709541</v>
      </c>
      <c r="D933" s="24" t="str">
        <f>IFERROR(__xludf.DUMMYFUNCTION("""COMPUTED_VALUE"""),"Keck et al")</f>
        <v>Keck et al</v>
      </c>
      <c r="E933" s="24" t="str">
        <f>IFERROR(__xludf.DUMMYFUNCTION("""COMPUTED_VALUE"""),"WOS:000709623100001")</f>
        <v>WOS:000709623100001</v>
      </c>
      <c r="F933" s="24" t="str">
        <f>IFERROR(__xludf.DUMMYFUNCTION("""COMPUTED_VALUE"""),"[""ELIGIBLE""]")</f>
        <v>["ELIGIBLE"]</v>
      </c>
    </row>
    <row r="934">
      <c r="A934" s="24" t="str">
        <f>IFERROR(__xludf.DUMMYFUNCTION("""COMPUTED_VALUE"""),"Biological and biogeochemical effects of organic matter and drilling discharges in two sediment communities")</f>
        <v>Biological and biogeochemical effects of organic matter and drilling discharges in two sediment communities</v>
      </c>
      <c r="B934" s="24" t="str">
        <f>IFERROR(__xludf.DUMMYFUNCTION("""COMPUTED_VALUE"""),"The present study investigates the relation between community characteristics, input of organic matter and drill cuttings. Drill cuttings are discharged from offshore oil and gas exploration, and settle on soft bottom sediments where the benthic fauna may"&amp;" be affected. In a 3-factorial mesocosm experiment, 2 benthic communities were treated with either water-based drill cuttings or natural sediment in combination with addition or no addition of organic matter, and biochemical and biological responses were "&amp;"studied. The biogeochemical response of organic matter and drill cuttings additions resembled each other, in both cases resulting in enhanced sediment-water fluxes of oxygen, nitrate and ammonium, and reduced concentration of oxygen in sediment pore water"&amp;". This finding indicated degradation of an organic compound in the water-based drill cuttings. Regarding the biological response, benthic community composition was significantly different for all treatment factors, evidenced by PERMANOVA. Abundance and bi"&amp;"omass were reduced in boxes without addition of organic matter, probably as a response to starvation, while abundance and taxa richness were reduced in boxes with drill cuttings. The particular effect of water-based drill cuttings on the environment seems"&amp;" to be complex, and should be investigated further.")</f>
        <v>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v>
      </c>
      <c r="C934" s="24" t="str">
        <f>IFERROR(__xludf.DUMMYFUNCTION("""COMPUTED_VALUE"""),"10.3354/meps09340")</f>
        <v>10.3354/meps09340</v>
      </c>
      <c r="D934" s="24" t="str">
        <f>IFERROR(__xludf.DUMMYFUNCTION("""COMPUTED_VALUE"""),"Keck et al")</f>
        <v>Keck et al</v>
      </c>
      <c r="E934" s="24" t="str">
        <f>IFERROR(__xludf.DUMMYFUNCTION("""COMPUTED_VALUE"""),"WOS:000298301200003")</f>
        <v>WOS:000298301200003</v>
      </c>
      <c r="F934" s="24" t="str">
        <f>IFERROR(__xludf.DUMMYFUNCTION("""COMPUTED_VALUE"""),"[""ELIGIBLE""]")</f>
        <v>["ELIGIBLE"]</v>
      </c>
    </row>
    <row r="935">
      <c r="A935" s="24" t="str">
        <f>IFERROR(__xludf.DUMMYFUNCTION("""COMPUTED_VALUE"""),"Variability in ecosystem structure and functioning in a low order stream: Implications of land use and season")</f>
        <v>Variability in ecosystem structure and functioning in a low order stream: Implications of land use and season</v>
      </c>
      <c r="B935" s="24" t="str">
        <f>IFERROR(__xludf.DUMMYFUNCTION("""COMPUTED_VALUE"""),"Human activity can degrade the habitat quality for aquatic communities, which ultimately impacts the functions these communities provide. Disentangling the complex interaction between environmental and anthropogenic parameters as well as their alteration "&amp;"both along the stream channel, over the seasons, and finally their impact in the aquatic ecosystem represents a fundamental challenge for environmental scientists. Therefore, the present study investigates the implications of successive land uses (i.e., v"&amp;"ineyard, urban area, highway and wastewater treatment plant (WWTP)) on structural and functional endpoints related to the ecosystem process of leaf litter breakdown during a winter and summer season in a five km stretch of a second-order stream in souther"&amp;"n Germany. This sequence of the different land uses caused, among others, a downstream decline of the ecological status from high to bad judged based on the SPEARpesadaes index together with significant shifts in the macroinvertebrate community compositio"&amp;"n, which coincided with substantial impairments (up to 100%) in the macroinvertebrate-mediated leaf decomposition. These effects, seem to be mainly driven by alterations in water quality rather than morphological modifications of the stream's habitat sinc"&amp;"e the key shredder Gammarus was not in direct contact with the local habitat during in situ bioassays but showed similar response patterns than the other endpoints. While the relative effect size for most endpoints deviated considerably (sometimes above 2"&amp;"-fold) among seasons, the general response pattern pointed to reductions in energy supply for local and downstream communities. Although the present study focused on a single low-order stream with the main purpose of describing the impact of different lan"&amp;"d uses on various levels of biological organization, which limits the direct transferability and thus applicability of results to other stream ecosystems, the findings point to the need to develop adequate management strategies mitigating land use specifi"&amp;"c exposures during all seasons to protect ecosystem integrity. (C) 2015 Elsevier B.V. All rights reserved.")</f>
        <v>Human activity can degrade the habitat quality for aquatic communities, which ultimately impacts the functions these communities provide. Disentangling the complex interaction between environmental and anthropogenic parameters as well as their alteration both along the stream channel, over the seasons, and finally their impact in the aquatic ecosystem represents a fundamental challenge for environmental scientists. Therefore, the present study investigates the implications of successive land uses (i.e., vineyard, urban area, highway and wastewater treatment plant (WWTP)) on structural and functional endpoints related to the ecosystem process of leaf litter breakdown during a winter and summer season in a five km stretch of a second-order stream in southern Germany. This sequence of the different land uses caused, among others, a downstream decline of the ecological status from high to bad judged based on the SPEARpesadaes index together with significant shifts in the macroinvertebrate community composition, which coincided with substantial impairments (up to 100%) in the macroinvertebrate-mediated leaf decomposition. These effects, seem to be mainly driven by alterations in water quality rather than morphological modifications of the stream's habitat since the key shredder Gammarus was not in direct contact with the local habitat during in situ bioassays but showed similar response patterns than the other endpoints. While the relative effect size for most endpoints deviated considerably (sometimes above 2-fold) among seasons, the general response pattern pointed to reductions in energy supply for local and downstream communities. Although the present study focused on a single low-order stream with the main purpose of describing the impact of different land uses on various levels of biological organization, which limits the direct transferability and thus applicability of results to other stream ecosystems, the findings point to the need to develop adequate management strategies mitigating land use specific exposures during all seasons to protect ecosystem integrity. (C) 2015 Elsevier B.V. All rights reserved.</v>
      </c>
      <c r="C935" s="24" t="str">
        <f>IFERROR(__xludf.DUMMYFUNCTION("""COMPUTED_VALUE"""),"10.1016/j.scitotenv.2015.08.058")</f>
        <v>10.1016/j.scitotenv.2015.08.058</v>
      </c>
      <c r="D935" s="24" t="str">
        <f>IFERROR(__xludf.DUMMYFUNCTION("""COMPUTED_VALUE"""),"Keck et al")</f>
        <v>Keck et al</v>
      </c>
      <c r="E935" s="24" t="str">
        <f>IFERROR(__xludf.DUMMYFUNCTION("""COMPUTED_VALUE"""),"WOS:000363348900034")</f>
        <v>WOS:000363348900034</v>
      </c>
      <c r="F935" s="24" t="str">
        <f>IFERROR(__xludf.DUMMYFUNCTION("""COMPUTED_VALUE"""),"[""ELIGIBLE""]")</f>
        <v>["ELIGIBLE"]</v>
      </c>
    </row>
    <row r="936">
      <c r="A936" s="24" t="str">
        <f>IFERROR(__xludf.DUMMYFUNCTION("""COMPUTED_VALUE"""),"Divergent extremes but convergent recovery of bacterial and archaeal soil communities to an ongoing subterranean coal mine fire")</f>
        <v>Divergent extremes but convergent recovery of bacterial and archaeal soil communities to an ongoing subterranean coal mine fire</v>
      </c>
      <c r="B936" s="24" t="str">
        <f>IFERROR(__xludf.DUMMYFUNCTION("""COMPUTED_VALUE"""),"Press disturbances are stressors that are extended or ongoing relative to the generation times of community members, and, due to their longevity, have the potential to alter communities beyond the possibility of recovery. They also provide key opportuniti"&amp;"es to investigate ecological resilience and to probe biological limits in the face of prolonged stressors. The underground coal mine fire in Centralia, Pennsylvania has been burning since 1962 and severely alters the overlying surface soils by elevating t"&amp;"emperatures and depositing coal combustion pollutants. As the fire burns along the coal seams to disturb new soils, previously disturbed soils return to ambient temperatures, resulting in a chronosequence of fire impact. We used 16S rRNA gene sequencing t"&amp;"o examine bacterial and archaeal soil community responses along two active fire fronts in Centralia, and investigated the influences of assembly processes (selection, dispersal and drift) on community outcomes. The hottest soils harbored the most variable"&amp;" and divergent communities, despite their reduced diversity. Recovered soils converged toward similar community structures, demonstrating resilience within 10-20 years and exhibiting near-complete return to reference communities. Measured soil properties "&amp;"(selection), local dispersal, and neutral community assembly models could not explain the divergences of communities observed at temperature extremes, yet beta-null modeling suggested that communities at temperature extremes follow niche-based processes r"&amp;"ather than null. We hypothesize that priority effects from responsive seed bank transitions may be key in explaining the multiple equilibria observed among communities at extreme temperatures. These results suggest that soils generally have an intrinsic c"&amp;"apacity for robustness to varied disturbances, even to press disturbances considered to be 'extreme', compounded, or incongruent with natural conditions.")</f>
        <v>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v>
      </c>
      <c r="C936" s="24" t="str">
        <f>IFERROR(__xludf.DUMMYFUNCTION("""COMPUTED_VALUE"""),"10.1038/ismej.2017.1")</f>
        <v>10.1038/ismej.2017.1</v>
      </c>
      <c r="D936" s="24" t="str">
        <f>IFERROR(__xludf.DUMMYFUNCTION("""COMPUTED_VALUE"""),"Keck et al")</f>
        <v>Keck et al</v>
      </c>
      <c r="E936" s="24" t="str">
        <f>IFERROR(__xludf.DUMMYFUNCTION("""COMPUTED_VALUE"""),"WOS:000401323100013")</f>
        <v>WOS:000401323100013</v>
      </c>
      <c r="F936" s="24" t="str">
        <f>IFERROR(__xludf.DUMMYFUNCTION("""COMPUTED_VALUE"""),"[""ELIGIBLE""]")</f>
        <v>["ELIGIBLE"]</v>
      </c>
    </row>
    <row r="937">
      <c r="A937" s="24" t="str">
        <f>IFERROR(__xludf.DUMMYFUNCTION("""COMPUTED_VALUE"""),"Contrasting effects of urbanization on arboreal and ground-dwelling land snails: role of trophic interactions and habitat fragmentation")</f>
        <v>Contrasting effects of urbanization on arboreal and ground-dwelling land snails: role of trophic interactions and habitat fragmentation</v>
      </c>
      <c r="B937" s="24" t="str">
        <f>IFERROR(__xludf.DUMMYFUNCTION("""COMPUTED_VALUE"""),"Urbanization generally reduces wildlife populations. Individual species responses, however, are often highly variable, and such variability can be explained by differences in species ecological traits. To examine this hypothesis, we focused on two co-occu"&amp;"rring land snails, Ezohelix gainesi and Euhadra brandtii sapporo; the former is ground-dwelling and the latter is arboreal. We first estimated their population densities at nine sites distributed along an urbanization gradient: three were located in conti"&amp;"nuous natural forests, three at the edge of natural forests, and the rest in small isolated forests in urban areas. As a result, the ground-dwelling E. gainesi occurred at highest density in urban forests, followed by forest edges and continuous forests. "&amp;"By contrast, the arboreal E. b. sapporo occurred at highest density in continuous forests, but declined in forest edges and urban forests. We then conducted manipulative field experiments to quantify changes in predation pressure on these species. Ground-"&amp;"tethered E. gainesi and E. b. sapporo were repeatedly predated upon by forest-living mammals in continuous forests, but their survival rates increased in forest edges and urban forests. By contrast, canopy-tethered E. b. sapporo maintained high survival r"&amp;"ates in all three forest types. The results indicate that a lack of mammalian predators enables ground-dwelling species to occur at high densities in urban forests, whereas the arboreal species was not affected by this predator relaxation effect. The comb"&amp;"ination of species-specific behavioural traits and changes in predator communities across an urbanization gradient has important effects on the biodiversity of urban ecosystems.")</f>
        <v>Urbanization generally reduces wildlife populations. Individual species responses, however, are often highly variable, and such variability can be explained by differences in species ecological traits. To examine this hypothesis, we focused on two co-occurring land snails, Ezohelix gainesi and Euhadra brandtii sapporo; the former is ground-dwelling and the latter is arboreal. We first estimated their population densities at nine sites distributed along an urbanization gradient: three were located in continuous natural forests, three at the edge of natural forests, and the rest in small isolated forests in urban areas. As a result, the ground-dwelling E. gainesi occurred at highest density in urban forests, followed by forest edges and continuous forests. By contrast, the arboreal E. b. sapporo occurred at highest density in continuous forests, but declined in forest edges and urban forests. We then conducted manipulative field experiments to quantify changes in predation pressure on these species. Ground-tethered E. gainesi and E. b. sapporo were repeatedly predated upon by forest-living mammals in continuous forests, but their survival rates increased in forest edges and urban forests. By contrast, canopy-tethered E. b. sapporo maintained high survival rates in all three forest types. The results indicate that a lack of mammalian predators enables ground-dwelling species to occur at high densities in urban forests, whereas the arboreal species was not affected by this predator relaxation effect. The combination of species-specific behavioural traits and changes in predator communities across an urbanization gradient has important effects on the biodiversity of urban ecosystems.</v>
      </c>
      <c r="C937" s="24" t="str">
        <f>IFERROR(__xludf.DUMMYFUNCTION("""COMPUTED_VALUE"""),"10.1007/s11252-020-00930-6")</f>
        <v>10.1007/s11252-020-00930-6</v>
      </c>
      <c r="D937" s="24" t="str">
        <f>IFERROR(__xludf.DUMMYFUNCTION("""COMPUTED_VALUE"""),"Keck et al")</f>
        <v>Keck et al</v>
      </c>
      <c r="E937" s="24" t="str">
        <f>IFERROR(__xludf.DUMMYFUNCTION("""COMPUTED_VALUE"""),"WOS:000510369400001")</f>
        <v>WOS:000510369400001</v>
      </c>
      <c r="F937" s="24" t="str">
        <f>IFERROR(__xludf.DUMMYFUNCTION("""COMPUTED_VALUE"""),"[""ELIGIBLE""]")</f>
        <v>["ELIGIBLE"]</v>
      </c>
    </row>
    <row r="938">
      <c r="A938" s="24" t="str">
        <f>IFERROR(__xludf.DUMMYFUNCTION("""COMPUTED_VALUE"""),"Environmental assessment in a shallow subtidal rocky habitat: approach coupling chemical and ecological tools")</f>
        <v>Environmental assessment in a shallow subtidal rocky habitat: approach coupling chemical and ecological tools</v>
      </c>
      <c r="B938" s="24" t="str">
        <f>IFERROR(__xludf.DUMMYFUNCTION("""COMPUTED_VALUE"""),"Environmental policy and legislation pursuing the protection of marine ecosystems have commonly considered pollutant content in abiotic matrices. Nevertheless, this approach does not describe the eventual effects on living organisms. The aim of this study"&amp;" was to couple two monitoring tools for environmental diagnostics: the chemical tool, metal concentrations in hard-bottom sediments; and the ecological tool, observations of invertebrate communities inhabiting Lessonia trabeculata holdfasts. The study was"&amp;" conducted during austral summer, in central Chile, in a subtidal ecosystem threatened by a sewage outfall, and was compared with a nearby control zone. Environmental assessment was conducted at three different sites with distances ranging from the outfal"&amp;"l to 60m (there was similar site disposal in control zone). Metal levels in sediments were highest in the site closest to the outfall, decreasing with distance, and were also low in control sites. Changes found in community taxonomic diversity were consis"&amp;"tent with the presence of the outfall, especially at 30m away. The subtidal ecosystem was polluted. It is important to incorporate these multi-and interdisciplinary approaches to environmental research and legislation in order to obtain information that r"&amp;"epresents effects at different timescales, improves field logistics and truthfully characterises environmental conditions.")</f>
        <v>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v>
      </c>
      <c r="C938" s="24" t="str">
        <f>IFERROR(__xludf.DUMMYFUNCTION("""COMPUTED_VALUE"""),"10.1080/02757540.2011.619529")</f>
        <v>10.1080/02757540.2011.619529</v>
      </c>
      <c r="D938" s="24" t="str">
        <f>IFERROR(__xludf.DUMMYFUNCTION("""COMPUTED_VALUE"""),"Keck et al")</f>
        <v>Keck et al</v>
      </c>
      <c r="E938" s="24" t="str">
        <f>IFERROR(__xludf.DUMMYFUNCTION("""COMPUTED_VALUE"""),"WOS:000301591900001")</f>
        <v>WOS:000301591900001</v>
      </c>
      <c r="F938" s="24" t="str">
        <f>IFERROR(__xludf.DUMMYFUNCTION("""COMPUTED_VALUE"""),"[""ELIGIBLE""]")</f>
        <v>["ELIGIBLE"]</v>
      </c>
    </row>
    <row r="939">
      <c r="A939" s="24" t="str">
        <f>IFERROR(__xludf.DUMMYFUNCTION("""COMPUTED_VALUE"""),"Cumulative impacts of aggregate extraction on seabed macro-invertebrate communities in an area off the east coast of the United Kingdom")</f>
        <v>Cumulative impacts of aggregate extraction on seabed macro-invertebrate communities in an area off the east coast of the United Kingdom</v>
      </c>
      <c r="B939" s="24" t="str">
        <f>IFERROR(__xludf.DUMMYFUNCTION("""COMPUTED_VALUE"""),"This study investigates whether there is any evidence of a large-scale cumulative impact on benthic macro-invertebrate communities as a result of the multiple sites of aggregate extraction located off Great Yarmouth in the southern North Sea. Forty 0.1 m("&amp;"2) Hamon grab samples were collected from across the region, both within and beyond the extraction area, and analysed for macrofauna and sediment particle size distribution in order to produce a regional description of the status of the seabed environment"&amp;". In addition, the data were analysed in relation to the area of seabed impacted by dredging over the period 1993-1998. Areas subject to 'direct' impacts were determined through reference to annual electronic records of dredging activity and this informat"&amp;"ion was then used to model the likely extent of areas potentially subject to 'indirect' ecological and geophysical impact. Results showed the study area to be characterised by sands in the northern half of the survey area, and sandy gravels in the south. "&amp;"The low diversity communities found across much of the survey area were typical of mobile sandy sediments. However, stations located in the southern half and northern extreme of the survey area tended to support higher numbers of species and individuals. "&amp;"This may be due to marginally enhanced stability arising from the higher proportion of gravel found in samples to the south of the extraction licenses and to the presence of Sabellaria spinulosa reef in the north. Analysis of data in relation to areas of "&amp;"predicted dredging impact revealed proportionally less gravel and more sand within the 'direct' impact zone, compared to the 'indirect' impact zone. Whilst multivariate analyses of macrofaunal data did not clearly discriminate between dredging impact zone"&amp;"s, a comparison of univariate measures revealed significantly lower numbers of species and individuals in areas which have been subject to 'direct' dredging impacts in comparison with 'reference' areas. This provides good evidence of the near-field conseq"&amp;"uences of dredging. Values of these measures in the 'indirect' zone were intermediate, although not significantly different from the 'reference' zone. We conclude that, although the dominant influence on assemblages in the region is that of sediment insta"&amp;"bility induced by tidal currents, we cannot dismiss the possibility of a subsidiary influence of dredging activity in the near vicinity of the licensed block and further investigation is warranted. (c) 2006 Elsevier B.V. All rights reserved.")</f>
        <v>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v>
      </c>
      <c r="C939" s="24" t="str">
        <f>IFERROR(__xludf.DUMMYFUNCTION("""COMPUTED_VALUE"""),"10.1016/j.seares.2006.11.001")</f>
        <v>10.1016/j.seares.2006.11.001</v>
      </c>
      <c r="D939" s="24" t="str">
        <f>IFERROR(__xludf.DUMMYFUNCTION("""COMPUTED_VALUE"""),"Keck et al")</f>
        <v>Keck et al</v>
      </c>
      <c r="E939" s="24" t="str">
        <f>IFERROR(__xludf.DUMMYFUNCTION("""COMPUTED_VALUE"""),"WOS:000246389500005")</f>
        <v>WOS:000246389500005</v>
      </c>
      <c r="F939" s="24" t="str">
        <f>IFERROR(__xludf.DUMMYFUNCTION("""COMPUTED_VALUE"""),"[""ELIGIBLE""]")</f>
        <v>["ELIGIBLE"]</v>
      </c>
    </row>
    <row r="940">
      <c r="A940" s="24" t="str">
        <f>IFERROR(__xludf.DUMMYFUNCTION("""COMPUTED_VALUE"""),"Toxicity of hydroxychloroquine, a potential treatment for COVID-19, on free-living marine nematodes")</f>
        <v>Toxicity of hydroxychloroquine, a potential treatment for COVID-19, on free-living marine nematodes</v>
      </c>
      <c r="B940" s="24" t="str">
        <f>IFERROR(__xludf.DUMMYFUNCTION("""COMPUTED_VALUE"""),"On March 2020, hydroxychloroquine (HCQ) was recommended as a treatment for COVID-19 high risk patients. Following the massive and widespread use of HCQ worldwide, a discernible high quantity is anticipated to end-up through the sewage systems in marine co"&amp;"astal areas. A closed microcosm study was undertaken herein for 30 days where meiobenthic nematodes were exposed to a range of HCQ concentrations (3.162, 31.62 and 63.24 mu g.ml(-1)). After one month of exposure in HCQ, the total abundances and Shannon-Wi"&amp;"ener index of the assemblages decreased, whereas the individual mass and the Trophic Diversity Index increased at the highest concentrations. Overall, a numerical negative impact was observed for the epistrate feeders and non-selective deposit feeders, ho"&amp;"wever, this benefited to the omnivores-carnivores, and particularly to the Oncholaimids. Such responses of the nematodes 2B and the corresponding taxa are bioindicative of current-or post-COVID-19 crisis risks in relation with the bioaccumulation of HCQ i"&amp;"n seafood.")</f>
        <v>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v>
      </c>
      <c r="C940" s="24" t="str">
        <f>IFERROR(__xludf.DUMMYFUNCTION("""COMPUTED_VALUE"""),"10.1016/j.marpolbul.2021.112361")</f>
        <v>10.1016/j.marpolbul.2021.112361</v>
      </c>
      <c r="D940" s="24" t="str">
        <f>IFERROR(__xludf.DUMMYFUNCTION("""COMPUTED_VALUE"""),"Keck et al")</f>
        <v>Keck et al</v>
      </c>
      <c r="E940" s="24" t="str">
        <f>IFERROR(__xludf.DUMMYFUNCTION("""COMPUTED_VALUE"""),"WOS:000655695600002")</f>
        <v>WOS:000655695600002</v>
      </c>
      <c r="F940" s="24" t="str">
        <f>IFERROR(__xludf.DUMMYFUNCTION("""COMPUTED_VALUE"""),"[""ELIGIBLE""]")</f>
        <v>["ELIGIBLE"]</v>
      </c>
    </row>
    <row r="941">
      <c r="A941" s="24" t="str">
        <f>IFERROR(__xludf.DUMMYFUNCTION("""COMPUTED_VALUE"""),"Predictable bacterial composition and hydrocarbon degradation in Arctic soils following diesel and nutrient disturbance")</f>
        <v>Predictable bacterial composition and hydrocarbon degradation in Arctic soils following diesel and nutrient disturbance</v>
      </c>
      <c r="B941" s="24" t="str">
        <f>IFERROR(__xludf.DUMMYFUNCTION("""COMPUTED_VALUE"""),"Increased exploration and exploitation of resources in the Arctic is leading to a higher risk of petroleum contamination. A number of Arctic microorganisms can use petroleum for growth-supporting carbon and energy, but traditional approaches for stimulati"&amp;"ng these microorganisms (for example, nutrient addition) have varied in effectiveness between sites. Consistent environmental controls on microbial community response to disturbance from petroleum contaminants and nutrient amendments across Arctic soils h"&amp;"ave not been identified, nor is it known whether specific taxa are universally associated with efficient bioremediation. In this study, we contaminated 18 Arctic soils with diesel and treated subsamples of each with monoammonium phosphate (MAP), which has"&amp;" successfully stimulated degradation in some contaminated Arctic soils. Bacterial community composition of uncontaminated, diesel-contaminated and diesel+MAP soils was assessed through multiplexed 16S (ribosomal RNA) rRNA gene sequencing on an Ion Torrent"&amp;" Personal Genome Machine, while hydrocarbon degradation was measured by gas chromatography analysis. Diversity of 16S rRNA gene sequences was reduced by diesel, and more so by the combination of diesel and MAP. Actinobacteria dominated uncontaminated soil"&amp;"s with &lt;10% organic matter, while Proteobacteria dominated higher-organic matter soils, and this pattern was exaggerated following disturbance. Degradation with and without MAP was predictable by initial bacterial diversity and the abundance of specific a"&amp;"ssemblages of Betaproteobacteria, respectively. High Betaproteobacteria abundance was positively correlated with high diesel degradation in MAP-treated soils, suggesting this may be an important group to stimulate. The predictability with which bacterial "&amp;"communities respond to these disturbances suggests that costly and time-consuming contaminated site assessments may not be necessary in the future.")</f>
        <v>Increased exploration and exploitation of resources in the Arctic is leading to a higher risk of petroleum contamination. A number of Arctic microorganisms can use petroleum for growth-supporting carbon and energy, but traditional approaches for stimulating these microorganisms (for example, nutrient addition) have varied in effectiveness between sites. Consistent environmental controls on microbial community response to disturbance from petroleum contaminants and nutrient amendments across Arctic soils have not been identified, nor is it known whether specific taxa are universally associated with efficient bioremediation. In this study, we contaminated 18 Arctic soils with diesel and treated subsamples of each with monoammonium phosphate (MAP), which has successfully stimulated degradation in some contaminated Arctic soils. Bacterial community composition of uncontaminated, diesel-contaminated and diesel+MAP soils was assessed through multiplexed 16S (ribosomal RNA) rRNA gene sequencing on an Ion Torrent Personal Genome Machine, while hydrocarbon degradation was measured by gas chromatography analysis. Diversity of 16S rRNA gene sequences was reduced by diesel, and more so by the combination of diesel and MAP. Actinobacteria dominated uncontaminated soils with &lt;10% organic matter, while Proteobacteria dominated higher-organic matter soils, and this pattern was exaggerated following disturbance. Degradation with and without MAP was predictable by initial bacterial diversity and the abundance of specific assemblages of Betaproteobacteria, respectively. High Betaproteobacteria abundance was positively correlated with high diesel degradation in MAP-treated soils, suggesting this may be an important group to stimulate. The predictability with which bacterial communities respond to these disturbances suggests that costly and time-consuming contaminated site assessments may not be necessary in the future.</v>
      </c>
      <c r="C941" s="24" t="str">
        <f>IFERROR(__xludf.DUMMYFUNCTION("""COMPUTED_VALUE"""),"10.1038/ismej.2013.1")</f>
        <v>10.1038/ismej.2013.1</v>
      </c>
      <c r="D941" s="24" t="str">
        <f>IFERROR(__xludf.DUMMYFUNCTION("""COMPUTED_VALUE"""),"Keck et al")</f>
        <v>Keck et al</v>
      </c>
      <c r="E941" s="24" t="str">
        <f>IFERROR(__xludf.DUMMYFUNCTION("""COMPUTED_VALUE"""),"WOS:000319333600013")</f>
        <v>WOS:000319333600013</v>
      </c>
      <c r="F941" s="24" t="str">
        <f>IFERROR(__xludf.DUMMYFUNCTION("""COMPUTED_VALUE"""),"[""ELIGIBLE""]")</f>
        <v>["ELIGIBLE"]</v>
      </c>
    </row>
    <row r="942">
      <c r="A942" s="24" t="str">
        <f>IFERROR(__xludf.DUMMYFUNCTION("""COMPUTED_VALUE"""),"Tidal flooding diminishes the effects of livestock grazing on soil micro-food webs in a coastal saltmarsh")</f>
        <v>Tidal flooding diminishes the effects of livestock grazing on soil micro-food webs in a coastal saltmarsh</v>
      </c>
      <c r="B942" s="24" t="str">
        <f>IFERROR(__xludf.DUMMYFUNCTION("""COMPUTED_VALUE"""),"Livestock grazing not only has a direct impact on plant productivity but also exerts an indirect influence on soil biota via various pathways. However, little is known about the effects of livestock grazing on soil food webs in saltmarsh ecosystems that a"&amp;"re subject to regular tidal inundation stress. By exclosure experiments established at a frequently inundated middle marsh and a less inundated high marsh of Chongming Island (China), the responses of soil micro-food web components (microorganisms, protoz"&amp;"oa, and nematodes) to cattle grazing in intertidal marshes were investigated. In the high marsh, cattle grazing significantly increased the biomass of soil microorganisms, protozoa, and the abundance of total nematodes by 30.0%, 97.3% and 76.2%, respectiv"&amp;"ely, but did not significantly affect their biomass or abundance in the middle marsh. For low-trophic-level nematodes, the abundance of bacterial-feeding and algal-feeding nematodes increased more in the high marsh than in the middle marsh, and that of pl"&amp;"ant-feeding nematodes decreased more in the high marsh than in the middle marsh under grazing. In contrast, carnivorous and omnivorous nematodes at high trophic levels did not respond to cattle grazing along an elevational gradient. The nematode maturity "&amp;"index and structure index based on nematode functional guilds significantly decreased under grazing along the elevational gradient, suggesting that cattle grazing caused a more simplified and unstable soil micro-food web structure. Overall, low trophic le"&amp;"vels in soil micro-food webs were most vulnerable under grazing and the response was strongest in the less inundated high marsh. Thus, cattle grazing leads to different changes in soil ecosystem processes at different elevations. These results indicate th"&amp;"at the strength of the biotic grazing effect on soil micro-food webs and ecological functions might also depend on local abiotic disturbance such as tidal inundations in the saltmarsh. (C) 2016 Elsevier B.V. All rights reserved.")</f>
        <v>Livestock grazing not only has a direct impact on plant productivity but also exerts an indirect influence on soil biota via various pathways. However, little is known about the effects of livestock grazing on soil food webs in saltmarsh ecosystems that are subject to regular tidal inundation stress. By exclosure experiments established at a frequently inundated middle marsh and a less inundated high marsh of Chongming Island (China), the responses of soil micro-food web components (microorganisms, protozoa, and nematodes) to cattle grazing in intertidal marshes were investigated. In the high marsh, cattle grazing significantly increased the biomass of soil microorganisms, protozoa, and the abundance of total nematodes by 30.0%, 97.3% and 76.2%, respectively, but did not significantly affect their biomass or abundance in the middle marsh. For low-trophic-level nematodes, the abundance of bacterial-feeding and algal-feeding nematodes increased more in the high marsh than in the middle marsh, and that of plant-feeding nematodes decreased more in the high marsh than in the middle marsh under grazing. In contrast, carnivorous and omnivorous nematodes at high trophic levels did not respond to cattle grazing along an elevational gradient. The nematode maturity index and structure index based on nematode functional guilds significantly decreased under grazing along the elevational gradient, suggesting that cattle grazing caused a more simplified and unstable soil micro-food web structure. Overall, low trophic levels in soil micro-food webs were most vulnerable under grazing and the response was strongest in the less inundated high marsh. Thus, cattle grazing leads to different changes in soil ecosystem processes at different elevations. These results indicate that the strength of the biotic grazing effect on soil micro-food webs and ecological functions might also depend on local abiotic disturbance such as tidal inundations in the saltmarsh. (C) 2016 Elsevier B.V. All rights reserved.</v>
      </c>
      <c r="C942" s="24" t="str">
        <f>IFERROR(__xludf.DUMMYFUNCTION("""COMPUTED_VALUE"""),"10.1016/j.agee.2016.12.006")</f>
        <v>10.1016/j.agee.2016.12.006</v>
      </c>
      <c r="D942" s="24" t="str">
        <f>IFERROR(__xludf.DUMMYFUNCTION("""COMPUTED_VALUE"""),"Keck et al")</f>
        <v>Keck et al</v>
      </c>
      <c r="E942" s="24" t="str">
        <f>IFERROR(__xludf.DUMMYFUNCTION("""COMPUTED_VALUE"""),"WOS:000392886700018")</f>
        <v>WOS:000392886700018</v>
      </c>
      <c r="F942" s="24" t="str">
        <f>IFERROR(__xludf.DUMMYFUNCTION("""COMPUTED_VALUE"""),"[""ELIGIBLE""]")</f>
        <v>["ELIGIBLE"]</v>
      </c>
    </row>
    <row r="943">
      <c r="A943" s="24" t="str">
        <f>IFERROR(__xludf.DUMMYFUNCTION("""COMPUTED_VALUE"""),"Effects of urbanization on streams of the Melbourne region, Victoria, Australia. I. Benthic macroinvertebrate communities")</f>
        <v>Effects of urbanization on streams of the Melbourne region, Victoria, Australia. I. Benthic macroinvertebrate communities</v>
      </c>
      <c r="B943" s="24" t="str">
        <f>IFERROR(__xludf.DUMMYFUNCTION("""COMPUTED_VALUE"""),"1. Macroinvertebrate community composition was assessed in small streams of the Melbourne region to test the effects of (a) urban density (catchment imperviousness 0-51%) and (b) stormwater drainage intensity (comparing the intensively drained metropolita"&amp;"n area with urban areas of the hinterland, which had open drains and some localized stormwater drainage). 2. Hinterland communities separated into two groups of sites correlating strongly with patterns of electrical conductivity (EC), basalt geology and a"&amp;"nnual rainfall. Community composition varied little in the high-EC, western group (imperviousness 0.2-1.2%), but in the eastern group it was strongly correlated with catchment imperviousness (0-12%), with lower taxon richness in more impervious catchments"&amp;". 3. Metropolitan communities (imperviousness 1-51%) were all severely degraded, with high abundances of a few tolerant taxa. Community composition was poorly correlated with patterns of geology, rainfall or imperviousness. Differences between metropolita"&amp;"n and hinterland communities were well explained by patterns of biochemical oxygen demand and electrical conductivity, which were postulated to indicate the more efficient transport of pollutants to receiving streams by the metropolitan stormwater drainag"&amp;"e system. 4. Degradation of macroinvertebrate community composition was well explained by urban density but intensive urban drainage increased degradation severely at even low urban densities. Quantification of relationships between imperviousness, draina"&amp;"ge intensity and stream degradation can better inform the assessment, conservation and restoration of urban streams.")</f>
        <v>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v>
      </c>
      <c r="C943" s="24" t="str">
        <f>IFERROR(__xludf.DUMMYFUNCTION("""COMPUTED_VALUE"""),"10.1046/j.1365-2427.2001.00690.x")</f>
        <v>10.1046/j.1365-2427.2001.00690.x</v>
      </c>
      <c r="D943" s="24" t="str">
        <f>IFERROR(__xludf.DUMMYFUNCTION("""COMPUTED_VALUE"""),"Keck et al")</f>
        <v>Keck et al</v>
      </c>
      <c r="E943" s="24" t="str">
        <f>IFERROR(__xludf.DUMMYFUNCTION("""COMPUTED_VALUE"""),"WOS:000168380900008")</f>
        <v>WOS:000168380900008</v>
      </c>
      <c r="F943" s="24" t="str">
        <f>IFERROR(__xludf.DUMMYFUNCTION("""COMPUTED_VALUE"""),"[""ELIGIBLE""]")</f>
        <v>["ELIGIBLE"]</v>
      </c>
    </row>
    <row r="944">
      <c r="A944" s="24" t="str">
        <f>IFERROR(__xludf.DUMMYFUNCTION("""COMPUTED_VALUE"""),"Wood decay rates and macroinvertebrate community structure along contrasting human pressure gradients ( Waikato, New Zealand)")</f>
        <v>Wood decay rates and macroinvertebrate community structure along contrasting human pressure gradients ( Waikato, New Zealand)</v>
      </c>
      <c r="B944" s="24" t="str">
        <f>IFERROR(__xludf.DUMMYFUNCTION("""COMPUTED_VALUE"""),"Mass loss rates of wooden sticks (Betula platyphylla Sukaczev) and macroinvertebrate community composition were measured in the Waikato Region of northern New Zealand at 53 running water sites draining native forest catchments (reference), or characterise"&amp;"d by urban, industrial, agroforestry or hydrological stressors. Overall wood substrates retained 80% of initial dry mass over 2-3 month incubation periods, equating to average daily decay coefficients (k(d)) of 0.0027 or 0.0002 when adjusted for degree da"&amp;"ys (k(dd)). There were no statistically significant differences in decay rates between stressor types and native forest reference sites. In contrast, macroinvertebrate richness and compositional metrics varied significantly from reference conditions for s"&amp;"everal stressor types. Wood decay rates were weakly related to macroinvertebrate community composition, while k(dd) was weakly but significantly related to % worms', %EPT* abundance and Quantitative Macroinvertebrate Community Index. The results indicate "&amp;"weak correspondence between macroinvertebrate indicators and wood decay rates, with spatial and temporal factors potentially masking stressor responses. Before wood decay can be widely used as an indicator of lotic ecosystem health there needs to be an im"&amp;"proved understanding of environmental factors affecting breakdown rates.")</f>
        <v>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v>
      </c>
      <c r="C944" s="24" t="str">
        <f>IFERROR(__xludf.DUMMYFUNCTION("""COMPUTED_VALUE"""),"10.1080/00288330.2013.847470")</f>
        <v>10.1080/00288330.2013.847470</v>
      </c>
      <c r="D944" s="24" t="str">
        <f>IFERROR(__xludf.DUMMYFUNCTION("""COMPUTED_VALUE"""),"Keck et al")</f>
        <v>Keck et al</v>
      </c>
      <c r="E944" s="24" t="str">
        <f>IFERROR(__xludf.DUMMYFUNCTION("""COMPUTED_VALUE"""),"WOS:000331690600009")</f>
        <v>WOS:000331690600009</v>
      </c>
      <c r="F944" s="24" t="str">
        <f>IFERROR(__xludf.DUMMYFUNCTION("""COMPUTED_VALUE"""),"[""ELIGIBLE""]")</f>
        <v>["ELIGIBLE"]</v>
      </c>
    </row>
    <row r="945">
      <c r="A945" s="24" t="str">
        <f>IFERROR(__xludf.DUMMYFUNCTION("""COMPUTED_VALUE"""),"Wild bee community recovery in restored grassland-wetland complexes of prairie North America")</f>
        <v>Wild bee community recovery in restored grassland-wetland complexes of prairie North America</v>
      </c>
      <c r="B945" s="24" t="str">
        <f>IFERROR(__xludf.DUMMYFUNCTION("""COMPUTED_VALUE"""),"Agricultural intensification is a widespread driver of global pollinator decline that subsequently threatens the associated provisioning of ecosystem services. In North America's Prairie Pothole Region, wetlands surrounded by grassland were once abundant "&amp;"on the landscape, but now generally exist within a matrix of agriculture. We assessed whether restoration of these grassland-wetland complexes from cropland could be used as a potential tool for mitigating wild bee decline, using a 25-year restoration chr"&amp;"onosequence. We also monitored the development of bee nesting and food resources to better establish the mechanisms that drive return to a restored habitat. Our objective was to assess whether restoration of grassland-wetland complexes can return bee comm"&amp;"unities to a reference state (i.e. remnant native grassland-wetland habitats), and to ascertain the timeline over which these changes occur. We found bee diversity increased following restoration and approximated reference sites after 1-4 years, while the"&amp;" diversity of non-Bombus species analyzed separately resembled reference sites after around 5-10 years. Floral diversity also increased following restoration from cropland but remained slightly lower than reference sites through time. Changes to bee speci"&amp;"es composition were driven more by floral species composition than time since restoration. Our results suggest that restored grassland-wetland complexes are able to provide food and nesting resources to bees within agriculturally dominated landscapes, and"&amp;" that restoration can recover wild bee communities to a reference state. On a broader scale, they underscore the utility of retaining patches of non-cropped and restored land within agroecosystems as a pathway for mitigating pollinator decline.")</f>
        <v>Agricultural intensification is a widespread driver of global pollinator decline that subsequently threatens the associated provisioning of ecosystem services. In North America's Prairie Pothole Region, wetlands surrounded by grassland were once abundant on the landscape, but now generally exist within a matrix of agriculture. We assessed whether restoration of these grassland-wetland complexes from cropland could be used as a potential tool for mitigating wild bee decline, using a 25-year restoration chronosequence. We also monitored the development of bee nesting and food resources to better establish the mechanisms that drive return to a restored habitat. Our objective was to assess whether restoration of grassland-wetland complexes can return bee communities to a reference state (i.e. remnant native grassland-wetland habitats), and to ascertain the timeline over which these changes occur. We found bee diversity increased following restoration and approximated reference sites after 1-4 years, while the diversity of non-Bombus species analyzed separately resembled reference sites after around 5-10 years. Floral diversity also increased following restoration from cropland but remained slightly lower than reference sites through time. Changes to bee species composition were driven more by floral species composition than time since restoration. Our results suggest that restored grassland-wetland complexes are able to provide food and nesting resources to bees within agriculturally dominated landscapes, and that restoration can recover wild bee communities to a reference state. On a broader scale, they underscore the utility of retaining patches of non-cropped and restored land within agroecosystems as a pathway for mitigating pollinator decline.</v>
      </c>
      <c r="C945" s="24" t="str">
        <f>IFERROR(__xludf.DUMMYFUNCTION("""COMPUTED_VALUE"""),"10.1016/j.biocon.2020.108829")</f>
        <v>10.1016/j.biocon.2020.108829</v>
      </c>
      <c r="D945" s="24" t="str">
        <f>IFERROR(__xludf.DUMMYFUNCTION("""COMPUTED_VALUE"""),"Keck et al")</f>
        <v>Keck et al</v>
      </c>
      <c r="E945" s="24" t="str">
        <f>IFERROR(__xludf.DUMMYFUNCTION("""COMPUTED_VALUE"""),"WOS:000599921200012")</f>
        <v>WOS:000599921200012</v>
      </c>
      <c r="F945" s="24" t="str">
        <f>IFERROR(__xludf.DUMMYFUNCTION("""COMPUTED_VALUE"""),"[""ELIGIBLE""]")</f>
        <v>["ELIGIBLE"]</v>
      </c>
    </row>
    <row r="946">
      <c r="A946" s="24" t="str">
        <f>IFERROR(__xludf.DUMMYFUNCTION("""COMPUTED_VALUE"""),"Impact of a reservoir system on benthic macroinvertebrate and diatom communities of a large Mediterranean river (lower Ebro river, Catalonia, Spain)")</f>
        <v>Impact of a reservoir system on benthic macroinvertebrate and diatom communities of a large Mediterranean river (lower Ebro river, Catalonia, Spain)</v>
      </c>
      <c r="B946" s="24" t="str">
        <f>IFERROR(__xludf.DUMMYFUNCTION("""COMPUTED_VALUE"""),"This study included the main hydrogeomorphic categories of the lower Ebro River and aimed to detect spatial and temporal patterns of macroinvertebrates and diatoms communities inhabiting downstream a reservoir system. We hypothesized that biological commu"&amp;"nities will reflect a gradient of alteration related to the distance from the impact (i.e., dams). Surveys conducted along five river sections 2 km long integrating different years and seasons were analyzed. Non-metrical Multidimensional Scaling (MDS), Si"&amp;"milarity Percentage Analysis (SIMPER) and 1-way Analysis of Similarities (ANOSIM) were performed to assess spatial and temporal differences in community structure. The relationship between biological and environmental data was investigated with BIOENV rou"&amp;"tine and a Principal Components Analysis (PCA) was also carried out. Significant differences in the composition of the macroinvertebrate community were found between the section closest to reservoirs (E5) and the rest of the study sections; the present co"&amp;"mmunity was also very different of that found in previous studies earned out in the 80's and 90's. For the case of diatoms, significant differences in community composition were only found between seasons but not between study sections. As well, indices f"&amp;"or ecological status assessment based on both macroinvertebrates (IBMWP) and diatoms (IPS) showed lowest scores at section E5, likely caused by the impact of dams. Macroinvertebrates and diatoms responded rather differently to anthropogenic stressors in t"&amp;"he lower Ebro River, macroinvertebrates were more sensitive to hydromorphological impacts, while diatoms were more sensitive to water quality alteration.")</f>
        <v>This study included the main hydrogeomorphic categories of the lower Ebro River and aimed to detect spatial and temporal patterns of macroinvertebrates and diatoms communities inhabiting downstream a reservoir system. We hypothesized that biological communities will reflect a gradient of alteration related to the distance from the impact (i.e., dams). Surveys conducted along five river sections 2 km long integrating different years and seasons were analyzed. Non-metrical Multidimensional Scaling (MDS), Similarity Percentage Analysis (SIMPER) and 1-way Analysis of Similarities (ANOSIM) were performed to assess spatial and temporal differences in community structure. The relationship between biological and environmental data was investigated with BIOENV routine and a Principal Components Analysis (PCA) was also carried out. Significant differences in the composition of the macroinvertebrate community were found between the section closest to reservoirs (E5) and the rest of the study sections; the present community was also very different of that found in previous studies earned out in the 80's and 90's. For the case of diatoms, significant differences in community composition were only found between seasons but not between study sections. As well, indices for ecological status assessment based on both macroinvertebrates (IBMWP) and diatoms (IPS) showed lowest scores at section E5, likely caused by the impact of dams. Macroinvertebrates and diatoms responded rather differently to anthropogenic stressors in the lower Ebro River, macroinvertebrates were more sensitive to hydromorphological impacts, while diatoms were more sensitive to water quality alteration.</v>
      </c>
      <c r="C946" s="24" t="str">
        <f>IFERROR(__xludf.DUMMYFUNCTION("""COMPUTED_VALUE"""),"10.23818/limn.37.18")</f>
        <v>10.23818/limn.37.18</v>
      </c>
      <c r="D946" s="24" t="str">
        <f>IFERROR(__xludf.DUMMYFUNCTION("""COMPUTED_VALUE"""),"Keck et al")</f>
        <v>Keck et al</v>
      </c>
      <c r="E946" s="24" t="str">
        <f>IFERROR(__xludf.DUMMYFUNCTION("""COMPUTED_VALUE"""),"WOS:000435434300005")</f>
        <v>WOS:000435434300005</v>
      </c>
      <c r="F946" s="24" t="str">
        <f>IFERROR(__xludf.DUMMYFUNCTION("""COMPUTED_VALUE"""),"[""ELIGIBLE""]")</f>
        <v>["ELIGIBLE"]</v>
      </c>
    </row>
    <row r="947">
      <c r="A947" s="24" t="str">
        <f>IFERROR(__xludf.DUMMYFUNCTION("""COMPUTED_VALUE"""),"Nutrient optimization of tree growth alters structure and function of boreal soil food webs")</f>
        <v>Nutrient optimization of tree growth alters structure and function of boreal soil food webs</v>
      </c>
      <c r="B947" s="24" t="str">
        <f>IFERROR(__xludf.DUMMYFUNCTION("""COMPUTED_VALUE"""),"Nutrient optimization has been proposed as a way to increase boreal forest production, and involves chronic additions of liquid fertilizer with amounts of micro- and macro-nutrients adjusted annually to match tree nutritional requirements. We used a short"&amp;"-term (maintained since 2007) and a long-term (maintained since 1987) fertilization experiment in northern Sweden, in order to understand nutrient optimization effects on soil microbiota and mesofauna, and to explore the relationships between plant litter"&amp;" and microbial elemental stoichiometry. Soil microbes, soil fauna, and aboveground litter were collected from the control plots, and short- and long-term nutrient optimization plots. Correlation analyses revealed no relationships between microbial biomass"&amp;" and litter nutrient ratios. Litter C:N, C:P and N:P ratios declined in response to both optimization treatments; while only microbial C:P ratios declined in response to long-term nutrient optimization. Further, we found that both short- and long-term opt"&amp;"imization treatments decreased total microbial, fungal, and bacterial PLFA biomass and shifted the microbial community structure towards a lower fungi:bacterial ratio. In contrast, abundances of most fungal- and bacterial-feeding soil biota were little af"&amp;"fected by the nutrient optimization treatments. However, abundance of hemi-edaphic Collembola declined in response to the long-term nutrient optimization treatment. The relative abundances (%) of fungal-feeding and plant-feeding nematodes, respectively, d"&amp;"eclined and increased in response to both short-term and long-term treatments; bacterial-feeding nematodes increased relative to fungal feeders. Overall, our results demonstrate that long-term nutrient optimization aiming to increase forest production dec"&amp;"reases litter C:N, C:P and N:P ratios, microbial C:P ratios and fungal biomass, whereas higher trophic levels are less affected.")</f>
        <v>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v>
      </c>
      <c r="C947" s="24" t="str">
        <f>IFERROR(__xludf.DUMMYFUNCTION("""COMPUTED_VALUE"""),"10.1016/j.foreco.2018.06.034")</f>
        <v>10.1016/j.foreco.2018.06.034</v>
      </c>
      <c r="D947" s="24" t="str">
        <f>IFERROR(__xludf.DUMMYFUNCTION("""COMPUTED_VALUE"""),"Keck et al")</f>
        <v>Keck et al</v>
      </c>
      <c r="E947" s="24" t="str">
        <f>IFERROR(__xludf.DUMMYFUNCTION("""COMPUTED_VALUE"""),"WOS:000440770600006")</f>
        <v>WOS:000440770600006</v>
      </c>
      <c r="F947" s="24" t="str">
        <f>IFERROR(__xludf.DUMMYFUNCTION("""COMPUTED_VALUE"""),"[""ELIGIBLE""]")</f>
        <v>["ELIGIBLE"]</v>
      </c>
    </row>
    <row r="948">
      <c r="A948" s="24" t="str">
        <f>IFERROR(__xludf.DUMMYFUNCTION("""COMPUTED_VALUE"""),"Weed Community Composition after 26 Years of Fertilization of Late Rice")</f>
        <v>Weed Community Composition after 26 Years of Fertilization of Late Rice</v>
      </c>
      <c r="B948" s="24" t="str">
        <f>IFERROR(__xludf.DUMMYFUNCTION("""COMPUTED_VALUE"""),"To assess the influence of long-term fertilization on weed Communities of early and late rice crops, the weed species composition was investigated in experimental plots initiated in 1981 at the Key Field Experimental Monitoring Station of the Reddish Padd"&amp;"y Soil Eco-Environment in Wangcheng, China. The treatments were (1) a control (CK), no fertilizer; (2) N-P, no K; (3) N-K, no P; (4) P-K, no N; (5) N-P-K; (6) N-P-K + Ca, N, P, and K Plus lime; (7) N-P + S, N and P plus additional rice straw return; (8) N"&amp;"-P-K + S, N, P, and K plus additional rice straw; (9) N-K + M, N and K plus swine manure. The results indicated that weed flora composition and density were influenced by the different fertilization treatments. Multivariate analyses indicated that changes"&amp;" in the weed Community composition were primarily due to soil-available N, followed by light intensity on the field Surface, and soil-available P. More weed species and total weed density were observed in the control and P-K plots than in plots in which N"&amp;", P, and K were applied together. Omission of N application had a greater effect on the weed community than the omission of P or K applications. Nutrients derived from synthetic fertilizers and organic manure or the additional application of lime had no o"&amp;"bvious effect on the weed community of late rice crops.")</f>
        <v>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v>
      </c>
      <c r="C948" s="24" t="str">
        <f>IFERROR(__xludf.DUMMYFUNCTION("""COMPUTED_VALUE"""),"10.1614/WS-08-106.1")</f>
        <v>10.1614/WS-08-106.1</v>
      </c>
      <c r="D948" s="24" t="str">
        <f>IFERROR(__xludf.DUMMYFUNCTION("""COMPUTED_VALUE"""),"Keck et al")</f>
        <v>Keck et al</v>
      </c>
      <c r="E948" s="24" t="str">
        <f>IFERROR(__xludf.DUMMYFUNCTION("""COMPUTED_VALUE"""),"WOS:000266364800005")</f>
        <v>WOS:000266364800005</v>
      </c>
      <c r="F948" s="24" t="str">
        <f>IFERROR(__xludf.DUMMYFUNCTION("""COMPUTED_VALUE"""),"[""ELIGIBLE""]")</f>
        <v>["ELIGIBLE"]</v>
      </c>
    </row>
    <row r="949">
      <c r="A949" s="24" t="str">
        <f>IFERROR(__xludf.DUMMYFUNCTION("""COMPUTED_VALUE"""),"Impact of artisanal benthic fisheries on marine ecosystems: A case study in the Gulf of California")</f>
        <v>Impact of artisanal benthic fisheries on marine ecosystems: A case study in the Gulf of California</v>
      </c>
      <c r="B949" s="24" t="str">
        <f>IFERROR(__xludf.DUMMYFUNCTION("""COMPUTED_VALUE"""),"The most basic level of artisanal fisheries is represented by hand-collecting, which is highly selective and widely recognized as having minimal impact on the environment. Nevertheless, there are some concerns that hand-collecting fisheries have the poten"&amp;"tial to negatively affect marine environments. We assessed the potential impacts of hookah diving for the pen shell Atrina maura, a hand-collecting fishery, in the Gulf of California, Mexico. In situ observations revealed high sediment resuspension and At"&amp;"rina shell remains widespread on the rhodolith bed where they are collected ('fishery' site), and on a nearby shallow sedimentary habitat where fishermen dump empty shells and tissue remains ('polluted' site). Structural complexity (i.e. size, shape and d"&amp;"egree of branching) of rhodoliths at the fishery site were lower than previous reports in the area, while high mud and organic matter content was characteristic of the polluted site. Comparisons of faunal samples at the polluted site and control site show"&amp;"ed that while faunal density and taxa abundance was greater at the polluted site, taxa evenness and Shannon's diversity indices were greater at the control site. Faunal abundance was highest for detritivorous gastropods (e.g. Cerithiidae, Caecidae) and bi"&amp;"valves tolerant to muddy substrata with potential low oxygen conditions (e.g. Thyasiridae), as well as deposit-feeding polychaetes (e.g. Flabelligeridae, Cirratulidae) at the polluted site. This study suggests impacts of artisanal hand-collecting fisherie"&amp;"s on the benthos can be more severe than previously assumed and highlights the need to devise and implement adequate fishing education and management programs to protect benthic resources and the livelihood of local fishermen.")</f>
        <v>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v>
      </c>
      <c r="C949" s="24" t="str">
        <f>IFERROR(__xludf.DUMMYFUNCTION("""COMPUTED_VALUE"""),"10.1016/j.ecss.2018.06.024")</f>
        <v>10.1016/j.ecss.2018.06.024</v>
      </c>
      <c r="D949" s="24" t="str">
        <f>IFERROR(__xludf.DUMMYFUNCTION("""COMPUTED_VALUE"""),"Keck et al")</f>
        <v>Keck et al</v>
      </c>
      <c r="E949" s="24" t="str">
        <f>IFERROR(__xludf.DUMMYFUNCTION("""COMPUTED_VALUE"""),"WOS:000446286100001")</f>
        <v>WOS:000446286100001</v>
      </c>
      <c r="F949" s="24" t="str">
        <f>IFERROR(__xludf.DUMMYFUNCTION("""COMPUTED_VALUE"""),"[""ELIGIBLE""]")</f>
        <v>["ELIGIBLE"]</v>
      </c>
    </row>
    <row r="950">
      <c r="A950" s="24" t="str">
        <f>IFERROR(__xludf.DUMMYFUNCTION("""COMPUTED_VALUE"""),"Drove roads as local biodiversity reservoirs: effects on landscape pattern and plant communities in a Mediterranean region")</f>
        <v>Drove roads as local biodiversity reservoirs: effects on landscape pattern and plant communities in a Mediterranean region</v>
      </c>
      <c r="B950" s="24" t="str">
        <f>IFERROR(__xludf.DUMMYFUNCTION("""COMPUTED_VALUE"""),"Question What are the effects of traditional drove roads on landscape pattern and plant communities? Location Madrid Autonomous Region, Central Spain. Methods We selected four study localities in different landscape units. Within each locality, we selecte"&amp;"d eight sites and within each site, we established three 1-ha plots, each corresponding to one of three situations: drove road, adjacent matrix or distant matrix. The landscape pattern of each plot was characterized by the cover of the different patch typ"&amp;"es, the patch type richness ha-1 and the patch type evenness ha-1. At one site per locality, we also recorded vegetation by randomly distributing twenty 20cmx20cm quadrats per plot. We characterized each quadrat by its species richness, plant species comp"&amp;"osition and plant functional composition. We also analysed species richness by constructing rarefaction curves for each plot. Results In the localities situated in croplands, sub-mediterranean forests and coniferous forests, drove roads were found to be a"&amp;"n important source of spatial heterogeneity and a reservoir for a large number of plant species. In contrast, drove roads did not differ from the matrix habitats in rangelands, suggesting that the processes shaping drove road vegetation are similar to the"&amp;" general processes that shape grazed systems. Drove roads did not imply a significant increase in functional diversity. Our results were heavily scale-dependent: while drove roads provided heterogeneity at the local scale, they showed a remarkable similar"&amp;"ity at the large scale. Conclusions Drove roads act as authentic local biodiversity reservoirs, especially in environments with low grazing levels. At the same time, drove roads imply structural and functional continuity on a large scale, increasing poten"&amp;"tial connectivity at the regional level. We recommend the preservation of drove roads in a functional state, because of their benefits to plant biodiversity conservation, and claim that these benefits should be considered when designing livestock policies"&amp;" with different intensification scenarios.")</f>
        <v>Question What are the effects of traditional drove roads on landscape pattern and plant communities? Location Madrid Autonomous Region, Central Spain. Methods We selected four study localities in different landscape units. Within each locality, we selected eight sites and within each site, we established three 1-ha plots, each corresponding to one of three situations: drove road, adjacent matrix or distant matrix. The landscape pattern of each plot was characterized by the cover of the different patch types, the patch type richness ha-1 and the patch type evenness ha-1. At one site per locality, we also recorded vegetation by randomly distributing twenty 20cmx20cm quadrats per plot. We characterized each quadrat by its species richness, plant species composition and plant functional composition. We also analysed species richness by constructing rarefaction curves for each plot. Results In the localities situated in croplands, sub-mediterranean forests and coniferous forests, drove roads were found to be an important source of spatial heterogeneity and a reservoir for a large number of plant species. In contrast, drove roads did not differ from the matrix habitats in rangelands, suggesting that the processes shaping drove road vegetation are similar to the general processes that shape grazed systems. Drove roads did not imply a significant increase in functional diversity. Our results were heavily scale-dependent: while drove roads provided heterogeneity at the local scale, they showed a remarkable similarity at the large scale. Conclusions Drove roads act as authentic local biodiversity reservoirs, especially in environments with low grazing levels. At the same time, drove roads imply structural and functional continuity on a large scale, increasing potential connectivity at the regional level. We recommend the preservation of drove roads in a functional state, because of their benefits to plant biodiversity conservation, and claim that these benefits should be considered when designing livestock policies with different intensification scenarios.</v>
      </c>
      <c r="C950" s="24" t="str">
        <f>IFERROR(__xludf.DUMMYFUNCTION("""COMPUTED_VALUE"""),"10.1111/avsc.12003")</f>
        <v>10.1111/avsc.12003</v>
      </c>
      <c r="D950" s="24" t="str">
        <f>IFERROR(__xludf.DUMMYFUNCTION("""COMPUTED_VALUE"""),"Keck et al")</f>
        <v>Keck et al</v>
      </c>
      <c r="E950" s="24" t="str">
        <f>IFERROR(__xludf.DUMMYFUNCTION("""COMPUTED_VALUE"""),"WOS:000319885000013")</f>
        <v>WOS:000319885000013</v>
      </c>
      <c r="F950" s="24" t="str">
        <f>IFERROR(__xludf.DUMMYFUNCTION("""COMPUTED_VALUE"""),"[""ELIGIBLE""]")</f>
        <v>["ELIGIBLE"]</v>
      </c>
    </row>
    <row r="951">
      <c r="A951" s="24" t="str">
        <f>IFERROR(__xludf.DUMMYFUNCTION("""COMPUTED_VALUE"""),"Environmental drivers of shifts on microbial traits in sites disturbed by a large-scale tailing dam collapse")</f>
        <v>Environmental drivers of shifts on microbial traits in sites disturbed by a large-scale tailing dam collapse</v>
      </c>
      <c r="B951" s="24" t="str">
        <f>IFERROR(__xludf.DUMMYFUNCTION("""COMPUTED_VALUE"""),"This study aimed to assess the most affected traits related to microbial ecophysiology and activity and investigate its relationships with environmental drivers in mine tailings spilled from the Fundao dam at disturbed sites across Gualaxo do Norte river,"&amp;" Minas Gerais, Brazil. The mine tailings are characterized by increased pH value, silt percentage, and bulk density, while clay percentage, organic carbon (C-org), total nitrogen (Nt), and moisture contents are reduced. Microbial biomass, enzymatic activi"&amp;"ties (arylsulfatase, beta-1,4-glucosidase, acid and alkaline phosphatases), and the total microbial activity potential (FDA hydrolysis) were generally lower in tailings compared to undisturbed reference soil (Und). Enzyme-based indexes (GMea, WMean, and I"&amp;"BRv2) showed microbial communities with significantly lower degradative efficacy in the tailings than Und in all sites (R-2 &gt;= 0.94, p &lt;= 0.001). Non metric multidimensional scaling and distance-based redundancy analysis revealed that microbial communitie"&amp;"s exhibited significant differentiation (R-2 adjusted = 0.73, p = 0.0001) between mine tailings and Und over the different studied sites, which was strongly influenced by changes on physicochemical properties (pH, C-org and Nt contents, the predominance o"&amp;"f small-sized particles of silt, and bulk density) and the presence of Se, Cr, Fe, and Ni, even at low concentrations. Our study suggests that the physicochemical properties and the presence of low bioavailable concentrations of heavy metals in dam tailin"&amp;"gs promote shifts on microbial communities through reductions in the C storage and biogeochemical cycling of nutrients by these communities compared to those in undisturbed reference soils surrounding and, therefore, has negative implications for the ecos"&amp;"ystem functioning. (C) 2020 Elsevier B.V. All rights reserved.")</f>
        <v>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v>
      </c>
      <c r="C951" s="24" t="str">
        <f>IFERROR(__xludf.DUMMYFUNCTION("""COMPUTED_VALUE"""),"10.1016/j.scitotenv.2020.139453")</f>
        <v>10.1016/j.scitotenv.2020.139453</v>
      </c>
      <c r="D951" s="24" t="str">
        <f>IFERROR(__xludf.DUMMYFUNCTION("""COMPUTED_VALUE"""),"Keck et al")</f>
        <v>Keck et al</v>
      </c>
      <c r="E951" s="24" t="str">
        <f>IFERROR(__xludf.DUMMYFUNCTION("""COMPUTED_VALUE"""),"WOS:000559769500004")</f>
        <v>WOS:000559769500004</v>
      </c>
      <c r="F951" s="24" t="str">
        <f>IFERROR(__xludf.DUMMYFUNCTION("""COMPUTED_VALUE"""),"[""ELIGIBLE""]")</f>
        <v>["ELIGIBLE"]</v>
      </c>
    </row>
    <row r="952">
      <c r="A952" s="24" t="str">
        <f>IFERROR(__xludf.DUMMYFUNCTION("""COMPUTED_VALUE"""),"Microplastics affect sedimentary microbial communities and nitrogen cycling")</f>
        <v>Microplastics affect sedimentary microbial communities and nitrogen cycling</v>
      </c>
      <c r="B952" s="24" t="str">
        <f>IFERROR(__xludf.DUMMYFUNCTION("""COMPUTED_VALUE"""),"Microplastics are ubiquitous in estuarine, coastal, and deep sea sediments. The impacts of microplastics on sedimentary microbial ecosystems and biogeochemical carbon and nitrogen cycles, however, have not been well reported. To evaluate if microplastics "&amp;"influence the composition and function of sedimentary microbial communities, we conducted a microcosm experiment using salt marsh sediment amended with polyethylene (PE), polyvinyl chloride (PVC), polyurethane foam (PUF) or polylactic acid (PLA) microplas"&amp;"tics. We report that the presence of microplastics alters sediment microbial community composition and nitrogen cycling processes. Compared to control sediments without microplastic, PUF- and PLA-amended sediments promote nitrification and denitrification"&amp;", while PVC amendment inhibits both processes. These results indicate that nitrogen cycling processes in sediments can be significantly affected by different microplastics, which may serve as organic carbon substrates for microbial communities. Considerin"&amp;"g this evidence and increasing microplastic pollution, the impact of plastics on global ecosystems and biogeochemical cycling merits critical investigation. Plastic pollution has infiltrated every ecosystem, but few studies have quantified the biogeochemi"&amp;"cal or ecological effects of plastic. Here the authors show that microplastics in ocean sediment can significantly alter microbial community structure and nitrogen cycling.")</f>
        <v>Microplastics are ubiquitous in estuarine, coastal, and deep sea sediments. The impacts of microplastics on sedimentary microbial ecosystems and biogeochemical carbon and nitrogen cycles, however, have not been well reported. To evaluate if microplastics influence the composition and function of sedimentary microbial communities, we conducted a microcosm experiment using salt marsh sediment amended with polyethylene (PE), polyvinyl chloride (PVC), polyurethane foam (PUF) or polylactic acid (PLA) microplastics. We report that the presence of microplastics alters sediment microbial community composition and nitrogen cycling processes. Compared to control sediments without microplastic, PUF- and PLA-amended sediments promote nitrification and denitrification, while PVC amendment inhibits both processes. These results indicate that nitrogen cycling processes in sediments can be significantly affected by different microplastics, which may serve as organic carbon substrates for microbial communities. Considering this evidence and increasing microplastic pollution, the impact of plastics on global ecosystems and biogeochemical cycling merits critical investigation. Plastic pollution has infiltrated every ecosystem, but few studies have quantified the biogeochemical or ecological effects of plastic. Here the authors show that microplastics in ocean sediment can significantly alter microbial community structure and nitrogen cycling.</v>
      </c>
      <c r="C952" s="24" t="str">
        <f>IFERROR(__xludf.DUMMYFUNCTION("""COMPUTED_VALUE"""),"10.1038/s41467-020-16235-3")</f>
        <v>10.1038/s41467-020-16235-3</v>
      </c>
      <c r="D952" s="24" t="str">
        <f>IFERROR(__xludf.DUMMYFUNCTION("""COMPUTED_VALUE"""),"Keck et al")</f>
        <v>Keck et al</v>
      </c>
      <c r="E952" s="24" t="str">
        <f>IFERROR(__xludf.DUMMYFUNCTION("""COMPUTED_VALUE"""),"WOS:000537242500013")</f>
        <v>WOS:000537242500013</v>
      </c>
      <c r="F952" s="24" t="str">
        <f>IFERROR(__xludf.DUMMYFUNCTION("""COMPUTED_VALUE"""),"[""ELIGIBLE""]")</f>
        <v>["ELIGIBLE"]</v>
      </c>
    </row>
    <row r="953">
      <c r="A953" s="24" t="str">
        <f>IFERROR(__xludf.DUMMYFUNCTION("""COMPUTED_VALUE"""),"An asymmetrical sampling design as a tool for sustainability assessment of human activities in coastal systems: a fish farming study case")</f>
        <v>An asymmetrical sampling design as a tool for sustainability assessment of human activities in coastal systems: a fish farming study case</v>
      </c>
      <c r="B953" s="24" t="str">
        <f>IFERROR(__xludf.DUMMYFUNCTION("""COMPUTED_VALUE"""),"The proposed use of an asymmetrical sampling design to evaluate the sustainability of human activities in coastal systems was tested on an aquaculture impact assessment. Two small fish farms located in a protected area were studied, one sited on an unvege"&amp;"tated soft bottom and the other on a seagrass meadow. Biotic and abiotic variables at sites of fish farms were compared with appropriate reference sites located at two different distances from the cages (300 m and 1000 m) through an asymmetrical sampling "&amp;"design. All the considered descriptors significantly differed between the sites under the cages and the reference sites in both seagrass and unvegetated habitats; by contrast, no significant differences were detected between the reference sites located at"&amp;" the two different distances from the cages, suggesting a spatially limited impact of the farms. The asymmetrical sampling design was able not only to detect an impact on benthic assemblages, but also to evaluate the spatial extent of this impact. The app"&amp;"roach proposed in this study can be considered suitable to evaluate the sustainability of aquaculture farms and other human activities in marine coastal areas.")</f>
        <v>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v>
      </c>
      <c r="C953" s="24" t="str">
        <f>IFERROR(__xludf.DUMMYFUNCTION("""COMPUTED_VALUE"""),"10.1080/17451000.2016.1225958")</f>
        <v>10.1080/17451000.2016.1225958</v>
      </c>
      <c r="D953" s="24" t="str">
        <f>IFERROR(__xludf.DUMMYFUNCTION("""COMPUTED_VALUE"""),"Keck et al")</f>
        <v>Keck et al</v>
      </c>
      <c r="E953" s="24" t="str">
        <f>IFERROR(__xludf.DUMMYFUNCTION("""COMPUTED_VALUE"""),"WOS:000389127300006")</f>
        <v>WOS:000389127300006</v>
      </c>
      <c r="F953" s="24" t="str">
        <f>IFERROR(__xludf.DUMMYFUNCTION("""COMPUTED_VALUE"""),"[""ELIGIBLE""]")</f>
        <v>["ELIGIBLE"]</v>
      </c>
    </row>
    <row r="954">
      <c r="A954" s="24" t="str">
        <f>IFERROR(__xludf.DUMMYFUNCTION("""COMPUTED_VALUE"""),"Effects of agricultural land use on stream assemblages: Taxon-specific responses of alpha and beta diversity")</f>
        <v>Effects of agricultural land use on stream assemblages: Taxon-specific responses of alpha and beta diversity</v>
      </c>
      <c r="B954" s="24" t="str">
        <f>IFERROR(__xludf.DUMMYFUNCTION("""COMPUTED_VALUE"""),"Although biodiversity loss and homogenization of communities with increasing stress is an established axiom of pollution ecology, few studies have compared the concurrent response of multiple taxonomic groups to determine if environmental perturbation res"&amp;"ults in coherent patterns in assemblage composition. Here, data from 35 lowland European streams was used to explore the responses of multiple taxonomic groups to disturbance from agricultural land use, mainly gradients in total phosphorus (TP). We studie"&amp;"d responses of fish, invertebrate, macrophyte and benthic diatom assemblages to TP, based on univariate metrics that characterize alpha-diversity (taxon richness, Simpson diversity, evenness, taxonomic distinctness) and abundance, and multivariate communi"&amp;"ty structure. Multivariate dispersion was used to infer beta-diversity characteristics in two groups of streams with low and high levels of TP. Three of the five metrics of alpha-diversity and abundance of primary producers were significantly related to r"&amp;"esources, however, the direction of change was not always consistent with our predictions; macrophyte diversity decreased, whereas benthic diatom diversity increased with elevated nutrients. For consumers, taxon richness increased (fish) or decreased (inv"&amp;"ertebrates), while fish assemblages had lower phylogenetic diversity (taxonomic distinctness) associated with disturbance, implying a loss of functional diversity. In line with our predictions, fish and invertebrate assemblages showed homogenization of be"&amp;"ta-diversity with disturbance. Our finding that beta-diversity of the two primary producers remained relatively high, while alpha-diversity either decreased (macrophytes) or increased (benthic diatoms), suggests that local disturbance is to some extent co"&amp;"mpensated for by among-site diversity. Our finding that secondary producers showed homogenization of beta-diversity with disturbance has strong management perspectives, suggesting that these groups will need to be more carefully managed to maintain divers"&amp;"ity at the landscape level, potentially sustaining resilient communities. (C) 2014 Elsevier Ltd. All rights reserved.")</f>
        <v>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v>
      </c>
      <c r="C954" s="24" t="str">
        <f>IFERROR(__xludf.DUMMYFUNCTION("""COMPUTED_VALUE"""),"10.1016/j.ecolind.2014.04.028")</f>
        <v>10.1016/j.ecolind.2014.04.028</v>
      </c>
      <c r="D954" s="24" t="str">
        <f>IFERROR(__xludf.DUMMYFUNCTION("""COMPUTED_VALUE"""),"Keck et al")</f>
        <v>Keck et al</v>
      </c>
      <c r="E954" s="24" t="str">
        <f>IFERROR(__xludf.DUMMYFUNCTION("""COMPUTED_VALUE"""),"WOS:000340312100042")</f>
        <v>WOS:000340312100042</v>
      </c>
      <c r="F954" s="24" t="str">
        <f>IFERROR(__xludf.DUMMYFUNCTION("""COMPUTED_VALUE"""),"[""ELIGIBLE""]")</f>
        <v>["ELIGIBLE"]</v>
      </c>
    </row>
    <row r="955">
      <c r="A955" s="24" t="str">
        <f>IFERROR(__xludf.DUMMYFUNCTION("""COMPUTED_VALUE"""),"Shifts in shredder communities and leaf breakdown along a disrupted stream continuum")</f>
        <v>Shifts in shredder communities and leaf breakdown along a disrupted stream continuum</v>
      </c>
      <c r="B955" s="24" t="str">
        <f>IFERROR(__xludf.DUMMYFUNCTION("""COMPUTED_VALUE"""),"Stream ecosystem functions are predicted to vary longitudinally along a stream network as a result of changes in physical and biotic processes. Conversion by headwater communities of allochthonous materials, such as leaves, into readily available sources "&amp;"of energy is an essential process for maintenance of downstream communities. We investigated how location along a stream continuum, the presence of a dam, and leaf type affected leaf breakdown. We placed yellow birch (Betula alleghaniensis), sugar maple ("&amp;"Acer saccharum), and white oak (Quercus alba) leaf packs in Sims Creek (North Carolina, USA), at a 1(st)-order site, a 2(nd)-order site above a dam, and a 2(nd)-order site immediately below this dam. Leaf breakdown rates of all species were slower at the "&amp;"above-dam than at the headwater site, and breakdown rates for birch and maple were lower at the below- than the above-dam site. Detritivore composition and abundance differed among sites. Leaf packs had lower detritivore abundance at the below- than the a"&amp;"bove-dam and headwater sites. Much of the lower detritivore abundance was attributable to reduced densities of Pycnopsyche gentilis and Tallaperla maria, which are important shredding species. Our results suggest that longitudinal changes in detritivore c"&amp;"ommunities can influence leaf decomposition, but location effects may vary as a function of leaf species. Dams also may influence leaf-processing rates in headwater streams by altering detritivore assemblages.")</f>
        <v>Stream ecosystem functions are predicted to vary longitudinally along a stream network as a result of changes in physical and biotic processes. Conversion by headwater communities of allochthonous materials, such as leaves, into readily available sources of energy is an essential process for maintenance of downstream communities. We investigated how location along a stream continuum, the presence of a dam, and leaf type affected leaf breakdown. We placed yellow birch (Betula alleghaniensis), sugar maple (Acer saccharum), and white oak (Quercus alba) leaf packs in Sims Creek (North Carolina, USA), at a 1(st)-order site, a 2(nd)-order site above a dam, and a 2(nd)-order site immediately below this dam. Leaf breakdown rates of all species were slower at the above-dam than at the headwater site, and breakdown rates for birch and maple were lower at the below- than the above-dam site. Detritivore composition and abundance differed among sites. Leaf packs had lower detritivore abundance at the below- than the above-dam and headwater sites. Much of the lower detritivore abundance was attributable to reduced densities of Pycnopsyche gentilis and Tallaperla maria, which are important shredding species. Our results suggest that longitudinal changes in detritivore communities can influence leaf decomposition, but location effects may vary as a function of leaf species. Dams also may influence leaf-processing rates in headwater streams by altering detritivore assemblages.</v>
      </c>
      <c r="C955" s="24" t="str">
        <f>IFERROR(__xludf.DUMMYFUNCTION("""COMPUTED_VALUE"""),"10.1086/688857")</f>
        <v>10.1086/688857</v>
      </c>
      <c r="D955" s="24" t="str">
        <f>IFERROR(__xludf.DUMMYFUNCTION("""COMPUTED_VALUE"""),"Keck et al")</f>
        <v>Keck et al</v>
      </c>
      <c r="E955" s="24" t="str">
        <f>IFERROR(__xludf.DUMMYFUNCTION("""COMPUTED_VALUE"""),"WOS:000388080700021")</f>
        <v>WOS:000388080700021</v>
      </c>
      <c r="F955" s="24" t="str">
        <f>IFERROR(__xludf.DUMMYFUNCTION("""COMPUTED_VALUE"""),"[""ELIGIBLE""]")</f>
        <v>["ELIGIBLE"]</v>
      </c>
    </row>
    <row r="956">
      <c r="A956" s="24" t="str">
        <f>IFERROR(__xludf.DUMMYFUNCTION("""COMPUTED_VALUE"""),"Using attached macroalgae to assess ecological status of British estuaries for the European Water Framework Directive")</f>
        <v>Using attached macroalgae to assess ecological status of British estuaries for the European Water Framework Directive</v>
      </c>
      <c r="B956" s="24" t="str">
        <f>IFERROR(__xludf.DUMMYFUNCTION("""COMPUTED_VALUE"""),"The EC Water Framework Directive requires that ecological quality be assessed in transitional waters using the abundance and species composition of macroalgae. In estuaries, which form the majority of transitional waters, species composition is not a suit"&amp;"able measure. This arises from two features: (i) there is a continuous, natural change in species composition along the gradient of estuarine conditions which makes it difficult to know where within an estuary the species composition should be assessed, ("&amp;"ii) the inner estuarine macroalgal community of mat-forming species is very tolerant to both natural and anthropogenic stress and species poor which makes it insensitive to environmental variations in terms of species composition. An alternative feature i"&amp;"s proposed based on the extent of upstream penetration of perennial fucoid algae. This proposal is founded on a series of case studies of the changes in fucoid limits, within a number of estuaries in the British Isles, consequent upon changes in pollution"&amp;" status over the last three decades. This also has to take into account variations of fucoid penetration owing to natural factors such as range of salinity variation and turbidity. The abundance criterion is taken to mean the absence of macroalgal blooms "&amp;"or green tides, because general abundance of species is hard to quantify meaningfully in the upper estuarine mat-forming species and in the lower estuary is subject to great variation owing to the physical variability of estuary types. (c) 2006 Elsevier L"&amp;"td. All rights reserved.")</f>
        <v>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v>
      </c>
      <c r="C956" s="24" t="str">
        <f>IFERROR(__xludf.DUMMYFUNCTION("""COMPUTED_VALUE"""),"10.1016/j.marpolbul.2006.09.004")</f>
        <v>10.1016/j.marpolbul.2006.09.004</v>
      </c>
      <c r="D956" s="24" t="str">
        <f>IFERROR(__xludf.DUMMYFUNCTION("""COMPUTED_VALUE"""),"Keck et al")</f>
        <v>Keck et al</v>
      </c>
      <c r="E956" s="24" t="str">
        <f>IFERROR(__xludf.DUMMYFUNCTION("""COMPUTED_VALUE"""),"WOS:000244158000013")</f>
        <v>WOS:000244158000013</v>
      </c>
      <c r="F956" s="24" t="str">
        <f>IFERROR(__xludf.DUMMYFUNCTION("""COMPUTED_VALUE"""),"[""ELIGIBLE""]")</f>
        <v>["ELIGIBLE"]</v>
      </c>
    </row>
    <row r="957">
      <c r="A957" s="24" t="str">
        <f>IFERROR(__xludf.DUMMYFUNCTION("""COMPUTED_VALUE"""),"Loss of phytoplankton functional and taxonomic diversity induced by river regulation in a large tropical river")</f>
        <v>Loss of phytoplankton functional and taxonomic diversity induced by river regulation in a large tropical river</v>
      </c>
      <c r="B957" s="24" t="str">
        <f>IFERROR(__xludf.DUMMYFUNCTION("""COMPUTED_VALUE"""),"Human activities have disrupted the functioning of river ecosystems around the world. In the Amazon basin, hydropower expansion has affected diversity patterns, but no study has investigated how phytoplankton assemblages respond to impoundments. This stud"&amp;"y investigated the hypothesis that phytoplankton diversity is highly sensitive to river damming in large tropical rivers, declining in impoundment areas. We examined patterns of taxonomic diversity (i.e., richness, biovolume, and composition), functional "&amp;"diversity (Reynolds Functional Groups, RFGs), and functional redundancy (i.e., number of taxa in each RFG) along the Tocantins River, before and after the construction of Estreito Hydropower Dam. We monitored five sites along the river (ca. 260 km) betwee"&amp;"n December 2009 and May 2013. The dam changed environmental conditions related to flow, nutrient supply, and depth. We recorded 140 taxa and 26 RFGs in the area. Taxa richness, biovolume, and the number of RFGs declined significantly after river regulatio"&amp;"n. Composition and abundance ranks changed over periods, and the codonsC,Y,TC,W1, andLOwere eliminated; functional redundancy declined significantly. These results show that phytoplankton diversity is sensitive to river regulation in large tropical rivers"&amp;", where changes in hydrology and environmental filters lead to significant losses in taxonomic and functional diversity.")</f>
        <v>Human activities have disrupted the functioning of river ecosystems around the world. In the Amazon basin, hydropower expansion has affected diversity patterns, but no study has investigated how phytoplankton assemblages respond to impoundments. This study investigated the hypothesis that phytoplankton diversity is highly sensitive to river damming in large tropical rivers, declining in impoundment areas. We examined patterns of taxonomic diversity (i.e., richness, biovolume, and composition), functional diversity (Reynolds Functional Groups, RFGs), and functional redundancy (i.e., number of taxa in each RFG) along the Tocantins River, before and after the construction of Estreito Hydropower Dam. We monitored five sites along the river (ca. 260 km) between December 2009 and May 2013. The dam changed environmental conditions related to flow, nutrient supply, and depth. We recorded 140 taxa and 26 RFGs in the area. Taxa richness, biovolume, and the number of RFGs declined significantly after river regulation. Composition and abundance ranks changed over periods, and the codonsC,Y,TC,W1, andLOwere eliminated; functional redundancy declined significantly. These results show that phytoplankton diversity is sensitive to river regulation in large tropical rivers, where changes in hydrology and environmental filters lead to significant losses in taxonomic and functional diversity.</v>
      </c>
      <c r="C957" s="24" t="str">
        <f>IFERROR(__xludf.DUMMYFUNCTION("""COMPUTED_VALUE"""),"10.1007/s10750-020-04355-2")</f>
        <v>10.1007/s10750-020-04355-2</v>
      </c>
      <c r="D957" s="24" t="str">
        <f>IFERROR(__xludf.DUMMYFUNCTION("""COMPUTED_VALUE"""),"Keck et al")</f>
        <v>Keck et al</v>
      </c>
      <c r="E957" s="24" t="str">
        <f>IFERROR(__xludf.DUMMYFUNCTION("""COMPUTED_VALUE"""),"WOS:000551021500001")</f>
        <v>WOS:000551021500001</v>
      </c>
      <c r="F957" s="24" t="str">
        <f>IFERROR(__xludf.DUMMYFUNCTION("""COMPUTED_VALUE"""),"[""ELIGIBLE""]")</f>
        <v>["ELIGIBLE"]</v>
      </c>
    </row>
    <row r="958">
      <c r="A958" s="24" t="str">
        <f>IFERROR(__xludf.DUMMYFUNCTION("""COMPUTED_VALUE"""),"Invasive Pine Tree Effects on Northern Coastal Scrub Structure and Composition")</f>
        <v>Invasive Pine Tree Effects on Northern Coastal Scrub Structure and Composition</v>
      </c>
      <c r="B958" s="24" t="str">
        <f>IFERROR(__xludf.DUMMYFUNCTION("""COMPUTED_VALUE"""),"Vegetation that becomes overtopped usually experiences a decrease in abundance or species richness. When an overtopping plant alters the physiognomy of the existing vegetation (e.g., trees invading a shrubland), ecosystem processes can also be dramaticall"&amp;"y altered. Worldwide, Monterey pine (Pinus radiata) cultivars have been planted in Mediterranean-like climates and are known to invade surrounding natural communities. Ecological impacts resulting from these invasions have been widely investigated; howeve"&amp;"r, the effects from solitary pine trees on the vegetation they overtop are lacking. Furthermore, studies on the impact of P. radiata cultivars from the California floristic province, where P. radiata is native, do not exist. In coastal California, north o"&amp;"f the present-day range of native P. radiata stands, cultivars of this species have invaded northern coastal scrub vegetation. To determine the impact of pine invasion on species richness and structure in this habitat, floristic surveys were conducted in "&amp;"20 blocks that consisted of invaded and uninvaded plots. An invaded plot contained two subplots located under the canopy of an isolated pine tree, whereas a paired, uninvaded plot contained two subplots located in coastal scrub adjacent to each pine. Pine"&amp;" trees selected ranged in size from 2.8 to 119 cm (1.1 to 46.9 in) basal diameter. Our results demonstrate that understory native cover and species richness are negatively correlated with tree size. Understory exotic plant cover and richness of species ot"&amp;"her than P. radiata did not show any correlation with tree size, mainly because exotic plants had a very low abundance overall.")</f>
        <v>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v>
      </c>
      <c r="C958" s="24" t="str">
        <f>IFERROR(__xludf.DUMMYFUNCTION("""COMPUTED_VALUE"""),"10.1614/IPSM-D-12-00044.1")</f>
        <v>10.1614/IPSM-D-12-00044.1</v>
      </c>
      <c r="D958" s="24" t="str">
        <f>IFERROR(__xludf.DUMMYFUNCTION("""COMPUTED_VALUE"""),"Keck et al")</f>
        <v>Keck et al</v>
      </c>
      <c r="E958" s="24" t="str">
        <f>IFERROR(__xludf.DUMMYFUNCTION("""COMPUTED_VALUE"""),"WOS:000320144700004")</f>
        <v>WOS:000320144700004</v>
      </c>
      <c r="F958" s="24" t="str">
        <f>IFERROR(__xludf.DUMMYFUNCTION("""COMPUTED_VALUE"""),"[""ELIGIBLE""]")</f>
        <v>["ELIGIBLE"]</v>
      </c>
    </row>
    <row r="959">
      <c r="A959" s="24" t="str">
        <f>IFERROR(__xludf.DUMMYFUNCTION("""COMPUTED_VALUE"""),"Saline mine-water alters the structure and function of prokaryote communities in shallow groundwater below a tropical stream")</f>
        <v>Saline mine-water alters the structure and function of prokaryote communities in shallow groundwater below a tropical stream</v>
      </c>
      <c r="B959" s="24" t="str">
        <f>IFERROR(__xludf.DUMMYFUNCTION("""COMPUTED_VALUE"""),"Bacteria and archaea (prokaryotes) are vital components for maintaining healthy function of groundwater ecosystems. The prokaryotic community composition and associated putative functional processes were examined in a shallow sandy aquifer in a wet-dry tr"&amp;"opical environment. The aquifer had a contaminated gradient of saline mine-water, which primarily consisted of elevated magnesium (Mg2+) and sulfate (SO42- ), although other major ions and trace metals were also present. Groundwaters were sampled from pie"&amp;"zometers, approximately 2 m in depth, located in the creek channel upstream and downstream of the mine-water influence. Sampling occurred during the dry-season when only subsurface water flow was present. Next generation sequencing was used to analyse the"&amp;" prokaryote assemblages using 16S rDNA and metabolic functions were predicted with FAPROTAX. Significant changes in community composition and functional processes were observed with exposure to mine-waters. Communities in the exposed sites had significant"&amp;"ly lower relative abundance of methanotrophs such as Methylococcaceae and methanogens (Methanobacteriaceae), but higher abundance in Nitrososphaeraceae, associated with nitrification, indicating potentially important changes in the biogeochemistry of the "&amp;"exposed sites. The changes were most strongly correlated with concentrations of SO42 , Mg2+ and Na+. This knowledge allows an assessment of the risk of mine-water contamination to groundwater ecosystem function and aids mine-water management.")</f>
        <v>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v>
      </c>
      <c r="C959" s="24" t="str">
        <f>IFERROR(__xludf.DUMMYFUNCTION("""COMPUTED_VALUE"""),"10.1016/j.envpol.2021.117318")</f>
        <v>10.1016/j.envpol.2021.117318</v>
      </c>
      <c r="D959" s="24" t="str">
        <f>IFERROR(__xludf.DUMMYFUNCTION("""COMPUTED_VALUE"""),"Keck et al")</f>
        <v>Keck et al</v>
      </c>
      <c r="E959" s="24" t="str">
        <f>IFERROR(__xludf.DUMMYFUNCTION("""COMPUTED_VALUE"""),"WOS:000672534900010")</f>
        <v>WOS:000672534900010</v>
      </c>
      <c r="F959" s="24" t="str">
        <f>IFERROR(__xludf.DUMMYFUNCTION("""COMPUTED_VALUE"""),"[""ELIGIBLE""]")</f>
        <v>["ELIGIBLE"]</v>
      </c>
    </row>
    <row r="960">
      <c r="A960" s="24" t="str">
        <f>IFERROR(__xludf.DUMMYFUNCTION("""COMPUTED_VALUE"""),"Soft-bottom community responses in a marine area influenced by recurrent dumping activities and freshwater discharges")</f>
        <v>Soft-bottom community responses in a marine area influenced by recurrent dumping activities and freshwater discharges</v>
      </c>
      <c r="B960" s="24" t="str">
        <f>IFERROR(__xludf.DUMMYFUNCTION("""COMPUTED_VALUE"""),"The results of a 3 years monitoring program to assess the effects associated with recurrent dredged spoil disposal activity in a naturally stressed subtidal coastal area subjected to estuarine inputs are described. Changes observed through time in environ"&amp;"mental and anthropogenic variables have been analyzed using cumulated sums and compared to macrobenthic community structure. Results revealed a scarce impact of the recurrent dumping activities, with faunal assemblages derived from the main Tellina-venus "&amp;"community. The magnitude of estuarine influence appeared indeed greater on the soft-bottom community than the putative changes due to anthropogenic activities. Through a combination of high energetic conditions, structural changes were observed and ascrib"&amp;"ed to a flushing action of the highly channeled estuary. Finally, an exceptional flood was recorded over the monitoring period, resulting in a short-term spatial homogenization of the benthic community with an abundance burst of A. alba. Origins of this m"&amp;"ain new species are discussed.")</f>
        <v>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v>
      </c>
      <c r="C960" s="24" t="str">
        <f>IFERROR(__xludf.DUMMYFUNCTION("""COMPUTED_VALUE"""),"10.1016/j.marpolbul.2020.111259")</f>
        <v>10.1016/j.marpolbul.2020.111259</v>
      </c>
      <c r="D960" s="24" t="str">
        <f>IFERROR(__xludf.DUMMYFUNCTION("""COMPUTED_VALUE"""),"Keck et al")</f>
        <v>Keck et al</v>
      </c>
      <c r="E960" s="24" t="str">
        <f>IFERROR(__xludf.DUMMYFUNCTION("""COMPUTED_VALUE"""),"WOS:000539160000066")</f>
        <v>WOS:000539160000066</v>
      </c>
      <c r="F960" s="24" t="str">
        <f>IFERROR(__xludf.DUMMYFUNCTION("""COMPUTED_VALUE"""),"[""ELIGIBLE""]")</f>
        <v>["ELIGIBLE"]</v>
      </c>
    </row>
    <row r="961">
      <c r="A961" s="24" t="str">
        <f>IFERROR(__xludf.DUMMYFUNCTION("""COMPUTED_VALUE"""),"Macrofauna community patterns in a Chiloe Island channel used intensely for aquaculture: the ecological status of its benthic environment")</f>
        <v>Macrofauna community patterns in a Chiloe Island channel used intensely for aquaculture: the ecological status of its benthic environment</v>
      </c>
      <c r="B961" s="24" t="str">
        <f>IFERROR(__xludf.DUMMYFUNCTION("""COMPUTED_VALUE"""),"Background It is known that aquaculture may produce negative environmental effects on marine ecosystems. Southern Chile is one of the most important salmon and mussel-producing areas in the world. Here we assess the ecological status of benthic communitie"&amp;"s near farming centers in Caucahue Channel, Chiloe, which has been used intensely for salmon and mussel production for 30 years. Methods The macrofauna, sediments and water column were characterized at distances of 5 to 100 m from three salmon and three m"&amp;"ussel-producing centers. Information was also obtained from reference sites 500 to 3000 m from these aquaculture farms. The macrofauna and environmental conditions during winter were analyzed using uni- and multivariate analysis and the AZTI Marine Biotic"&amp;" Index (AMBI) as an indicator of benthic community condition. Results (i) There is a high degree of spatial dissimilarity in macrofauna and environmental variables among sampling sites and types of environments (far from or near farming centers) and betwe"&amp;"en the northern and southern areas of the channel; (ii) sediment structure (mean grain size and percentage of total organic matter) correlated with the observed dissimilarities in macrofauna communities; and (iii) the level of perturbation according to AM"&amp;"BI was heterogeneous, with sites in the undisturbed/normal range to moderately disturbed/polluted. Conclusions We found a high spatial dissimilarity in benthic macrofauna and environmental variables among sampling sites, environmental types and between th"&amp;"e northern and southern areas of the channel. AMBI and multivariate community-environment analysis are useful tools to define the level of perturbation of a geographic area at different spatial scales, using all the ecological information from each sample"&amp;" and replicates.")</f>
        <v>Background It is known that aquaculture may produce negative environmental effects on marine ecosystems. Southern Chile is one of the most important salmon and mussel-producing areas in the world. Here we assess the ecological status of benthic communities near farming centers in Caucahue Channel, Chiloe, which has been used intensely for salmon and mussel production for 30 years. Methods The macrofauna, sediments and water column were characterized at distances of 5 to 100 m from three salmon and three mussel-producing centers. Information was also obtained from reference sites 500 to 3000 m from these aquaculture farms. The macrofauna and environmental conditions during winter were analyzed using uni- and multivariate analysis and the AZTI Marine Biotic Index (AMBI) as an indicator of benthic community condition. Results (i) There is a high degree of spatial dissimilarity in macrofauna and environmental variables among sampling sites and types of environments (far from or near farming centers) and between the northern and southern areas of the channel; (ii) sediment structure (mean grain size and percentage of total organic matter) correlated with the observed dissimilarities in macrofauna communities; and (iii) the level of perturbation according to AMBI was heterogeneous, with sites in the undisturbed/normal range to moderately disturbed/polluted. Conclusions We found a high spatial dissimilarity in benthic macrofauna and environmental variables among sampling sites, environmental types and between the northern and southern areas of the channel. AMBI and multivariate community-environment analysis are useful tools to define the level of perturbation of a geographic area at different spatial scales, using all the ecological information from each sample and replicates.</v>
      </c>
      <c r="C961" s="24" t="str">
        <f>IFERROR(__xludf.DUMMYFUNCTION("""COMPUTED_VALUE"""),"10.1186/s40693-021-00098-z")</f>
        <v>10.1186/s40693-021-00098-z</v>
      </c>
      <c r="D961" s="24" t="str">
        <f>IFERROR(__xludf.DUMMYFUNCTION("""COMPUTED_VALUE"""),"Keck et al")</f>
        <v>Keck et al</v>
      </c>
      <c r="E961" s="24" t="str">
        <f>IFERROR(__xludf.DUMMYFUNCTION("""COMPUTED_VALUE"""),"WOS:000613240600001")</f>
        <v>WOS:000613240600001</v>
      </c>
      <c r="F961" s="24" t="str">
        <f>IFERROR(__xludf.DUMMYFUNCTION("""COMPUTED_VALUE"""),"[""ELIGIBLE""]")</f>
        <v>["ELIGIBLE"]</v>
      </c>
    </row>
    <row r="962">
      <c r="A962" s="24" t="str">
        <f>IFERROR(__xludf.DUMMYFUNCTION("""COMPUTED_VALUE"""),"Responses of carabid beetles to urbanization in Transylvania (Romania)")</f>
        <v>Responses of carabid beetles to urbanization in Transylvania (Romania)</v>
      </c>
      <c r="B962" s="24" t="str">
        <f>IFERROR(__xludf.DUMMYFUNCTION("""COMPUTED_VALUE"""),"To investigate the impact of urbanization on carabid beetles samples were taken over two years using pitfall traps along a rural-urban forest gradient representing increasing human disturbance in and nearby the city of Sfantu Gheorghe (Romania). We predic"&amp;"ted that total number of species should decrease, whereas number of opportunistic and matrix species should increase towards the urban end of the gradient. Both the overall species richness and the number of individuals were significantly the highest in t"&amp;"he suburban area followed by the rural area and the lowest in the urban area. These findings contradicted the increasing disturbance hypothesis; the number of species did not decrease by the increasing disturbance. The proportion of the forest specialist "&amp;"individuals and species significantly decreased from the rural towards the urban area, supporting the habitat specialist hypothesis. An opposite pattern was observed in species richness of the generalist carabids, supporting the opportunistic species hypo"&amp;"thesis. Both the proportion of matrix species and their density were significantly higher in the urban area, supporting the matrix species hypothesis. Our findings also highlighted that overall diversity is not an appropriate indicator; species with diffe"&amp;"rent habitat affinities should be analysed separately to evaluate the real effect of urbanization. (C) 2011 Elsevier B.V. All rights reserved.")</f>
        <v>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v>
      </c>
      <c r="C962" s="24" t="str">
        <f>IFERROR(__xludf.DUMMYFUNCTION("""COMPUTED_VALUE"""),"10.1016/j.landurbplan.2011.02.038")</f>
        <v>10.1016/j.landurbplan.2011.02.038</v>
      </c>
      <c r="D962" s="24" t="str">
        <f>IFERROR(__xludf.DUMMYFUNCTION("""COMPUTED_VALUE"""),"Keck et al")</f>
        <v>Keck et al</v>
      </c>
      <c r="E962" s="24" t="str">
        <f>IFERROR(__xludf.DUMMYFUNCTION("""COMPUTED_VALUE"""),"WOS:000291843200004")</f>
        <v>WOS:000291843200004</v>
      </c>
      <c r="F962" s="24" t="str">
        <f>IFERROR(__xludf.DUMMYFUNCTION("""COMPUTED_VALUE"""),"[""ELIGIBLE""]")</f>
        <v>["ELIGIBLE"]</v>
      </c>
    </row>
    <row r="963">
      <c r="A963" s="24" t="str">
        <f>IFERROR(__xludf.DUMMYFUNCTION("""COMPUTED_VALUE"""),"Microbial adaptation to co-occurring vanadium and microplastics in marine and riverine environments")</f>
        <v>Microbial adaptation to co-occurring vanadium and microplastics in marine and riverine environments</v>
      </c>
      <c r="B963" s="24" t="str">
        <f>IFERROR(__xludf.DUMMYFUNCTION("""COMPUTED_VALUE"""),"Vanadium (V) and microplastics have been respectively detected in environmental media, posing threats to ecosystem and human health. However, their co-existence situations in environment with microbial adaptation have been poorly understood. In this study"&amp;", water and sediments collected from potential V polluted marine and riverine ecosystems were analyzed to reveal the distribution of V and microplastics with microbial responses. High concentrations of V (1.65-6.92 mu g/L in water and 6.16-347.92 mg/kg in"&amp;" sediment) and microplastics (800-15600 item/m(3) in water and 20-700 item/kg in sediment) co-occurred in aquatic environment. Less rich and diverse bacterial communities were colonized on microplastics compared to surrounding environment. Plastic-degradi"&amp;"ng taxa (e.g., Ralstonia, Rhodococcus) and V(V) reducers (e.g., Bacillus, Pseudomonas) were enriched in micmplastic biofilms. Redundancy analysis showed that V, together with nutrients, ambient conditions and Cr, contributed significantly to the compositi"&amp;"ons of microbial community on microplastics. Besides directly acting on microbial community, V could also alter it by influencing environmental factors (e.g., pH), as indicated through structural equation model. This study advances understanding the previ"&amp;"ously ignored interactions of biogeochemical processes of V and microplastics in aquatic environment.")</f>
        <v>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v>
      </c>
      <c r="C963" s="24" t="str">
        <f>IFERROR(__xludf.DUMMYFUNCTION("""COMPUTED_VALUE"""),"10.1016/j.jhazmat.2021.127646")</f>
        <v>10.1016/j.jhazmat.2021.127646</v>
      </c>
      <c r="D963" s="24" t="str">
        <f>IFERROR(__xludf.DUMMYFUNCTION("""COMPUTED_VALUE"""),"Keck et al")</f>
        <v>Keck et al</v>
      </c>
      <c r="E963" s="24" t="str">
        <f>IFERROR(__xludf.DUMMYFUNCTION("""COMPUTED_VALUE"""),"WOS:000734403300004")</f>
        <v>WOS:000734403300004</v>
      </c>
      <c r="F963" s="24" t="str">
        <f>IFERROR(__xludf.DUMMYFUNCTION("""COMPUTED_VALUE"""),"[""ELIGIBLE""]")</f>
        <v>["ELIGIBLE"]</v>
      </c>
    </row>
    <row r="964">
      <c r="A964" s="24" t="str">
        <f>IFERROR(__xludf.DUMMYFUNCTION("""COMPUTED_VALUE"""),"Dam Design can Impede Adaptive Management of Environmental Flows: A Case Study from the Opuha Dam, New Zealand")</f>
        <v>Dam Design can Impede Adaptive Management of Environmental Flows: A Case Study from the Opuha Dam, New Zealand</v>
      </c>
      <c r="B964" s="24" t="str">
        <f>IFERROR(__xludf.DUMMYFUNCTION("""COMPUTED_VALUE"""),"The Opuha Dam was designed for water storage, hydropower, and to augment summer low flows. Following its commissioning in 1999, algal blooms (dominated first by Phormidium and later Didymosphenia geminata) downstream of the dam were attributed to the redu"&amp;"ced frequency and magnitude of high-flow events. In this study, we used a 20-year monitoring dataset to quantify changes associated with the dam. We also studied the effectiveness of flushing flows to remove periphyton from the river bed. Following the co"&amp;"mpletion of the dam, daily maximum flows downstream have exceeded 100 m(3) s(-1) only three times; two of these floods exceeded the pre-dam mean annual flood of 203 m(3) s(-1) (compared to 19 times &gt; 100 m(3) s(-1) and 6 times &gt; 203 m(3) s(-1) in the 8 ye"&amp;"ars of record before the dam). Other changes downstream included increases in water temperature, bed armoring, frequency of algal blooms, and changes to the aquatic invertebrate community. Seven experimental flushing flows resulted in limited periphyton r"&amp;"eductions. Flood wave attenuation, bed armoring, and a shortage of surface sand and gravel, likely limited the effectiveness of these moderate floods. Floods similar to pre-dam levels may be effective for control of periphyton downstream; however, flushin"&amp;"g flows of that magnitude are not possible with the existing dam infrastructure. These results highlight the need for dams to be planned and built with the capacity to provide the natural range of flows for adaptive management, particularly high flows.")</f>
        <v>The Opuha Dam was designed for water storage, hydropower, and to augment summer low flows. Following its commissioning in 1999, algal blooms (dominated first by Phormidium and later Didymosphenia geminata) downstream of the dam were attributed to the reduced frequency and magnitude of high-flow events. In this study, we used a 20-year monitoring dataset to quantify changes associated with the dam. We also studied the effectiveness of flushing flows to remove periphyton from the river bed. Following the completion of the dam, daily maximum flows downstream have exceeded 100 m(3) s(-1) only three times; two of these floods exceeded the pre-dam mean annual flood of 203 m(3) s(-1) (compared to 19 times &gt; 100 m(3) s(-1) and 6 times &gt; 203 m(3) s(-1) in the 8 years of record before the dam). Other changes downstream included increases in water temperature, bed armoring, frequency of algal blooms, and changes to the aquatic invertebrate community. Seven experimental flushing flows resulted in limited periphyton reductions. Flood wave attenuation, bed armoring, and a shortage of surface sand and gravel, likely limited the effectiveness of these moderate floods. Floods similar to pre-dam levels may be effective for control of periphyton downstream; however, flushing flows of that magnitude are not possible with the existing dam infrastructure. These results highlight the need for dams to be planned and built with the capacity to provide the natural range of flows for adaptive management, particularly high flows.</v>
      </c>
      <c r="C964" s="24" t="str">
        <f>IFERROR(__xludf.DUMMYFUNCTION("""COMPUTED_VALUE"""),"10.1007/s00267-012-9971-x")</f>
        <v>10.1007/s00267-012-9971-x</v>
      </c>
      <c r="D964" s="24" t="str">
        <f>IFERROR(__xludf.DUMMYFUNCTION("""COMPUTED_VALUE"""),"Keck et al")</f>
        <v>Keck et al</v>
      </c>
      <c r="E964" s="24" t="str">
        <f>IFERROR(__xludf.DUMMYFUNCTION("""COMPUTED_VALUE"""),"WOS:000314311300013")</f>
        <v>WOS:000314311300013</v>
      </c>
      <c r="F964" s="24" t="str">
        <f>IFERROR(__xludf.DUMMYFUNCTION("""COMPUTED_VALUE"""),"[""ELIGIBLE""]")</f>
        <v>["ELIGIBLE"]</v>
      </c>
    </row>
    <row r="965">
      <c r="A965" s="24" t="str">
        <f>IFERROR(__xludf.DUMMYFUNCTION("""COMPUTED_VALUE"""),"Are spider communities influenced by urbanisation? An approach using species and guilds resolutions and their interaction with the anthropogenic environment")</f>
        <v>Are spider communities influenced by urbanisation? An approach using species and guilds resolutions and their interaction with the anthropogenic environment</v>
      </c>
      <c r="B965" s="24" t="str">
        <f>IFERROR(__xludf.DUMMYFUNCTION("""COMPUTED_VALUE"""),"Spiders, natural enemies of several insects of economical and sanitary relevance, are sensitive to anthropogenic disturbances. Urban habitats, home to nearly half of the world's human population, are growing in number and size. Consequently, natural habit"&amp;"ats are lost and impervious surfaces increase. We compared the overall spider species and guilds assemblage characteristics associated with vegetation, between sites located within different urbanisation levels (urban and suburban) and in relation to loca"&amp;"l and landscape traits. The most abundant guilds were sheet web weavers and ambush hunters. The overall richness of spiders and richness and abundance of two guilds (space web weavers and stalker hunters) were higher in suburban than urban sites. The over"&amp;"all spider abundance, Shannon-Weaver diversity and the Shannon evenness index did not change between urban and suburban sites. While the species composition differed between urban and suburban sites, comprising the urban spider species a subset of those f"&amp;"ound in the suburban pool. Species abundances were negatively related with the percentage of bare ground, canopy cover, and urban level. Richness was positively related to low vegetation. Guilds' responses differed concerning their life histories. At a la"&amp;"ndscape level, high consolidation (impervious surface) degree surrounding the green patches had negative effects while medium values had positive effects. Higher diversity was associated with intermediate mixtures of vegetation and impervious cover. In co"&amp;"nclusion, the spider's community and guild characteristics were associated with environmental, landscape and local factors through the urbanised landscape.")</f>
        <v>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v>
      </c>
      <c r="C965" s="24" t="str">
        <f>IFERROR(__xludf.DUMMYFUNCTION("""COMPUTED_VALUE"""),"10.1080/00222933.2020.1863496")</f>
        <v>10.1080/00222933.2020.1863496</v>
      </c>
      <c r="D965" s="24" t="str">
        <f>IFERROR(__xludf.DUMMYFUNCTION("""COMPUTED_VALUE"""),"Keck et al")</f>
        <v>Keck et al</v>
      </c>
      <c r="E965" s="24" t="str">
        <f>IFERROR(__xludf.DUMMYFUNCTION("""COMPUTED_VALUE"""),"WOS:000637946100001")</f>
        <v>WOS:000637946100001</v>
      </c>
      <c r="F965" s="24" t="str">
        <f>IFERROR(__xludf.DUMMYFUNCTION("""COMPUTED_VALUE"""),"[""ELIGIBLE""]")</f>
        <v>["ELIGIBLE"]</v>
      </c>
    </row>
    <row r="966">
      <c r="A966" s="24" t="str">
        <f>IFERROR(__xludf.DUMMYFUNCTION("""COMPUTED_VALUE"""),"Resiliency of biological soil crusts and vascular plants varies among morphogroups with disturbance intensity")</f>
        <v>Resiliency of biological soil crusts and vascular plants varies among morphogroups with disturbance intensity</v>
      </c>
      <c r="B966" s="24" t="str">
        <f>IFERROR(__xludf.DUMMYFUNCTION("""COMPUTED_VALUE"""),"Background and aims Disturbance affects the ability of organisms to persist on a site, and disturbance history acts as a filter of community composition. This is true for vascular plants and morphological groups of biocrusts, which respond differently to "&amp;"disturbance. Although functioning arid ecosystems include both groups, filtering of morphological groups of biocrusts has not previously been compared simultaneously with the responses of vascular plants. Methods Using a chronosequence approach, cover of "&amp;"vascular plants and biocrusts was examined across chronic disturbance gradients related to invasion by exotic species and grazing by livestock, following the acute disturbance of fire using paired burned and unburned plots in Wyoming big sagebrush on 99 p"&amp;"lots. Results Cover of vascular plants and biocrusts was related to disturbance more so than abiotic factors of precipitation following fire, soil chemistry, percent coarse fragment and heat load index. Over time since fire of 12-23years, we saw recovery "&amp;"of early successional groups: short mosses, shallow-rooted perennial grasses and annual forbs. Cover of deep and shallow-rooted perennial grasses and annual forbs increased in cover with intermediate levels of disturbance. Perennial forbs lacked a clear r"&amp;"elationship with disturbance. Biocrusts decreased in cover with less disturbance when compared with perennial herbaceous plants but differed in sensitivities. Tall mosses were less sensitive to disturbance compared with lichens. Short mosses increased wit"&amp;"h some disturbance. Conclusions Morphological groups of biocrusts and vascular plants are eliminated with increasing variability in the size of gaps between perennials represented by the standard deviation of gaps between perennials. The inclusion of both"&amp;" groups in assessments of ecosystem recovery following disturbance addresses the fact that recovery of either group does not happen in isolation from the other but with interacting contributions to ecosystem functions.")</f>
        <v>Background and aims Disturbance affects the ability of organisms to persist on a site, and disturbance history acts as a filter of community composition. This is true for vascular plants and morphological groups of biocrusts, which respond differently to disturbance. Although functioning arid ecosystems include both groups, filtering of morphological groups of biocrusts has not previously been compared simultaneously with the responses of vascular plants. Methods Using a chronosequence approach, cover of vascular plants and biocrusts was examined across chronic disturbance gradients related to invasion by exotic species and grazing by livestock, following the acute disturbance of fire using paired burned and unburned plots in Wyoming big sagebrush on 99 plots. Results Cover of vascular plants and biocrusts was related to disturbance more so than abiotic factors of precipitation following fire, soil chemistry, percent coarse fragment and heat load index. Over time since fire of 12-23years, we saw recovery of early successional groups: short mosses, shallow-rooted perennial grasses and annual forbs. Cover of deep and shallow-rooted perennial grasses and annual forbs increased in cover with intermediate levels of disturbance. Perennial forbs lacked a clear relationship with disturbance. Biocrusts decreased in cover with less disturbance when compared with perennial herbaceous plants but differed in sensitivities. Tall mosses were less sensitive to disturbance compared with lichens. Short mosses increased with some disturbance. Conclusions Morphological groups of biocrusts and vascular plants are eliminated with increasing variability in the size of gaps between perennials represented by the standard deviation of gaps between perennials. The inclusion of both groups in assessments of ecosystem recovery following disturbance addresses the fact that recovery of either group does not happen in isolation from the other but with interacting contributions to ecosystem functions.</v>
      </c>
      <c r="C966" s="24" t="str">
        <f>IFERROR(__xludf.DUMMYFUNCTION("""COMPUTED_VALUE"""),"10.1007/s11104-018-3838-8")</f>
        <v>10.1007/s11104-018-3838-8</v>
      </c>
      <c r="D966" s="24" t="str">
        <f>IFERROR(__xludf.DUMMYFUNCTION("""COMPUTED_VALUE"""),"Keck et al")</f>
        <v>Keck et al</v>
      </c>
      <c r="E966" s="24" t="str">
        <f>IFERROR(__xludf.DUMMYFUNCTION("""COMPUTED_VALUE"""),"WOS:000449754900020")</f>
        <v>WOS:000449754900020</v>
      </c>
      <c r="F966" s="24" t="str">
        <f>IFERROR(__xludf.DUMMYFUNCTION("""COMPUTED_VALUE"""),"[""ELIGIBLE""]")</f>
        <v>["ELIGIBLE"]</v>
      </c>
    </row>
    <row r="967">
      <c r="A967" s="24" t="str">
        <f>IFERROR(__xludf.DUMMYFUNCTION("""COMPUTED_VALUE"""),"Tetracycline Exposure Alters Key Gut Microbiota in Africanized Honey Bees (Apis mellifera scutellata x spp.)")</f>
        <v>Tetracycline Exposure Alters Key Gut Microbiota in Africanized Honey Bees (Apis mellifera scutellata x spp.)</v>
      </c>
      <c r="B967" s="24" t="str">
        <f>IFERROR(__xludf.DUMMYFUNCTION("""COMPUTED_VALUE"""),"Honey bees play a critical role in ecosystem health, biodiversity maintenance, and crop yield. Antimicrobials, such as tetracyclines, are used widely in agriculture, medicine, and in bee keeping, and bees can be directly or indirectly exposed to tetracycl"&amp;"ine residues in the environment. In European honey bees, tetracycline exposure has been linked with shifts in the gut microbiota that negatively impact bee health. However, the effects of antimicrobials on Africanized honey bee gut microbiota have not bee"&amp;"n examined. The aim of this study was to investigate the effects of tetracycline exposure on the gut microbial community of Africanized honey bees (Apis mellifera scutellata x spp.), which are important pollinators in South, Central, and North America. Be"&amp;"es (n = 1,000) were collected from hives in Areia-PB, Northeastern Brazil, placed into plastic chambers and kept under controlled temperature and humidity conditions. The control group (CON) was fed daily with syrup (10 g) consisting of a 1:1 solution of "&amp;"demerara sugar and water, plus a solid protein diet (10 g) composed of 60% soy extract and 40% sugar syrup. The tetracycline group (TET) was fed identically but with the addition of tetracycline hydrochloride (450 mu g/g) to the sugar syrup. Bees were sam"&amp;"pled from each group before (day 0), and after tetracycline exposure (days 3, 6, and 9). Abdominal contents dissected out of each bee underwent DNA extraction and 16S rRNA sequencing (V3-V4) on an Illumina MiSeq. Sequences were filtered and processed thro"&amp;"ugh QIIME2 and DADA2. Microbial community composition and diversity and differentially abundant taxa were evaluated by treatment and time. Bee gut microbial composition (Jaccard) and diversity (Shannon) differed significantly and increasingly over time an"&amp;"d between CON and TET groups. Tetracycline exposure was associated with decreased relative abundances of Bombella and Fructobacillus, along with decreases in key core microbiota such as Snodgrassella, Gilliamella, Rhizobiaceae, and Apibacter. These microb"&amp;"es are critical for nutrient metabolism and pathogen defense, and it is possible that decreased abundances of these microbes could negatively affect bee health. Considering the global ecological and economic importance of honey bees as pollinators, it is "&amp;"critical to understand the effects of agrochemicals including antimicrobials on honey bees.")</f>
        <v>Honey bees play a critical role in ecosystem health, biodiversity maintenance, and crop yield. Antimicrobials, such as tetracyclines, are used widely in agriculture, medicine, and in bee keeping, and bees can be directly or indirectly exposed to tetracycline residues in the environment. In European honey bees, tetracycline exposure has been linked with shifts in the gut microbiota that negatively impact bee health. However, the effects of antimicrobials on Africanized honey bee gut microbiota have not been examined. The aim of this study was to investigate the effects of tetracycline exposure on the gut microbial community of Africanized honey bees (Apis mellifera scutellata x spp.), which are important pollinators in South, Central, and North America. Bees (n = 1,000) were collected from hives in Areia-PB, Northeastern Brazil, placed into plastic chambers and kept under controlled temperature and humidity conditions. The control group (CON) was fed daily with syrup (10 g) consisting of a 1:1 solution of demerara sugar and water, plus a solid protein diet (10 g) composed of 60% soy extract and 40% sugar syrup. The tetracycline group (TET) was fed identically but with the addition of tetracycline hydrochloride (450 mu g/g) to the sugar syrup. Bees were sampled from each group before (day 0), and after tetracycline exposure (days 3, 6, and 9). Abdominal contents dissected out of each bee underwent DNA extraction and 16S rRNA sequencing (V3-V4) on an Illumina MiSeq. Sequences were filtered and processed through QIIME2 and DADA2. Microbial community composition and diversity and differentially abundant taxa were evaluated by treatment and time. Bee gut microbial composition (Jaccard) and diversity (Shannon) differed significantly and increasingly over time and between CON and TET groups. Tetracycline exposure was associated with decreased relative abundances of Bombella and Fructobacillus, along with decreases in key core microbiota such as Snodgrassella, Gilliamella, Rhizobiaceae, and Apibacter. These microbes are critical for nutrient metabolism and pathogen defense, and it is possible that decreased abundances of these microbes could negatively affect bee health. Considering the global ecological and economic importance of honey bees as pollinators, it is critical to understand the effects of agrochemicals including antimicrobials on honey bees.</v>
      </c>
      <c r="C967" s="24" t="str">
        <f>IFERROR(__xludf.DUMMYFUNCTION("""COMPUTED_VALUE"""),"10.3389/fevo.2021.716660")</f>
        <v>10.3389/fevo.2021.716660</v>
      </c>
      <c r="D967" s="24" t="str">
        <f>IFERROR(__xludf.DUMMYFUNCTION("""COMPUTED_VALUE"""),"Keck et al")</f>
        <v>Keck et al</v>
      </c>
      <c r="E967" s="24" t="str">
        <f>IFERROR(__xludf.DUMMYFUNCTION("""COMPUTED_VALUE"""),"WOS:000708326100001")</f>
        <v>WOS:000708326100001</v>
      </c>
      <c r="F967" s="24" t="str">
        <f>IFERROR(__xludf.DUMMYFUNCTION("""COMPUTED_VALUE"""),"[""ELIGIBLE""]")</f>
        <v>["ELIGIBLE"]</v>
      </c>
    </row>
    <row r="968">
      <c r="A968" s="24" t="str">
        <f>IFERROR(__xludf.DUMMYFUNCTION("""COMPUTED_VALUE"""),"Environmental concentrations of pharmaceuticals alter metabolism, denitrification, and diatom assemblages in artificial streams")</f>
        <v>Environmental concentrations of pharmaceuticals alter metabolism, denitrification, and diatom assemblages in artificial streams</v>
      </c>
      <c r="B968" s="24" t="str">
        <f>IFERROR(__xludf.DUMMYFUNCTION("""COMPUTED_VALUE"""),"Our understanding of the effects of pharmaceuticals on key biogeochemical processes and biofilm assemblage composition in surface waters is limited despite the prevalence of ng/L to mu g/L concentrations of these compounds. We examined the effects of 3 co"&amp;"mmonly-prescribed pharmaceuticals: ciprofloxacin (140 ng/L), diphenhydramine (300 ng/L), and fluoxetine (20 ng/L); both individually and as a mixture, on key ecosystem processes at environmentally-realistic concentrations. We used mesocosms to expose natu"&amp;"rally-occurring biofilm communities and artificial benthic substrates to these pharmaceuticals and measured the effects of exposure on biofilm, seston, and sediment communities. Established biofilm functions were unaffected by pharmaceutical treatments. H"&amp;"owever, successional biofilms experienced 42 to 81% reductions in primary production and 59 to 83% reductions in community respiration. Denitrification in sediment communities was reduced by 41 to 73% in shaded conditions, but was not affected when left i"&amp;"n ambient light. Diatom assemblage structure was unaffected by pharmaceuticals in successional biofilms, whereas the composition of established biofilm assemblages changed with exposure to treatments that contained ciprofloxacin, diphenhydramine, and all "&amp;"3 pharmaceuticals. Our study adds to a growing body of evidence indicating that chronic exposure to sub-lethal concentrations of pharmaceuticals may substantially alter key ecosystem processes and communities.")</f>
        <v>Our understanding of the effects of pharmaceuticals on key biogeochemical processes and biofilm assemblage composition in surface waters is limited despite the prevalence of ng/L to mu g/L concentrations of these compounds. We examined the effects of 3 commonly-prescribed pharmaceuticals: ciprofloxacin (140 ng/L), diphenhydramine (300 ng/L), and fluoxetine (20 ng/L); both individually and as a mixture, on key ecosystem processes at environmentally-realistic concentrations. We used mesocosms to expose naturally-occurring biofilm communities and artificial benthic substrates to these pharmaceuticals and measured the effects of exposure on biofilm, seston, and sediment communities. Established biofilm functions were unaffected by pharmaceutical treatments. However, successional biofilms experienced 42 to 81% reductions in primary production and 59 to 83% reductions in community respiration. Denitrification in sediment communities was reduced by 41 to 73% in shaded conditions, but was not affected when left in ambient light. Diatom assemblage structure was unaffected by pharmaceuticals in successional biofilms, whereas the composition of established biofilm assemblages changed with exposure to treatments that contained ciprofloxacin, diphenhydramine, and all 3 pharmaceuticals. Our study adds to a growing body of evidence indicating that chronic exposure to sub-lethal concentrations of pharmaceuticals may substantially alter key ecosystem processes and communities.</v>
      </c>
      <c r="C968" s="24" t="str">
        <f>IFERROR(__xludf.DUMMYFUNCTION("""COMPUTED_VALUE"""),"10.1086/708893")</f>
        <v>10.1086/708893</v>
      </c>
      <c r="D968" s="24" t="str">
        <f>IFERROR(__xludf.DUMMYFUNCTION("""COMPUTED_VALUE"""),"Keck et al")</f>
        <v>Keck et al</v>
      </c>
      <c r="E968" s="24" t="str">
        <f>IFERROR(__xludf.DUMMYFUNCTION("""COMPUTED_VALUE"""),"WOS:000545804200005")</f>
        <v>WOS:000545804200005</v>
      </c>
      <c r="F968" s="24" t="str">
        <f>IFERROR(__xludf.DUMMYFUNCTION("""COMPUTED_VALUE"""),"[""ELIGIBLE""]")</f>
        <v>["ELIGIBLE"]</v>
      </c>
    </row>
    <row r="969">
      <c r="A969" s="24" t="str">
        <f>IFERROR(__xludf.DUMMYFUNCTION("""COMPUTED_VALUE"""),"BIODIVERSITY, WATER CHEMISTRY, PHYSICAL CHARACTERISITCS AND ANTHROPOGENIC DISTURBANCE GRADIENTS OF SANDSTONE SPRINGS ON THE COLORADO PLATEAU")</f>
        <v>BIODIVERSITY, WATER CHEMISTRY, PHYSICAL CHARACTERISITCS AND ANTHROPOGENIC DISTURBANCE GRADIENTS OF SANDSTONE SPRINGS ON THE COLORADO PLATEAU</v>
      </c>
      <c r="B969" s="24" t="str">
        <f>IFERROR(__xludf.DUMMYFUNCTION("""COMPUTED_VALUE"""),"Springs located on the Colorado Plateau are highly threatened and represent a small percentage of the landscape; yet they are disproportionately important to diverse native flora and fauna. The relationships between anthropogenic disturbance, aquatic macr"&amp;"oinvertebrate species composition, and environmental variables at these springs have received little study. We selectively visited 40 sandstone springs in southeastern Utah and southwestern Colorado to span a range of impacts. We classified the springs in"&amp;"to impact categories based on a spring impact score, we measured biodiversity (aquatic macroinvertebrates), water chemistry (nutrients, dissolved O-2, pH, specific conductivity, temperature, turbidity, coliform bacteria [Escherichia coli]), physical chara"&amp;"cters (solar radiation, substrate, vegetation cover, bank stability, discharge), and presence of anthropogenic disturbance. Escherichia coli abundance was higher in high impact categories, and turbidity increased with increasing disturbance. No difference"&amp;"s in total N, total P, specific conductivity, flow, dissolved O-2, pH, or substrate were found among the impact categories. Vegetation cover was higher in low impact categories than in moderate and high impact categories, while potential annual and growin"&amp;"g-season solar radiation was lower in low impact categories than in high impact categories. Global and subsequent multiple response permutation procedure (MRPP) comparisons suggested strong differences in aquatic macroinvertebrates between low and high im"&amp;"pact springs and no difference at moderate impact springs. Mean taxa richness (alpha-diversity), total taxa richness (gamma-diversity), and percent of taxa richness composed of shredders peaked at moderate disturbance levels. The percentage of non-insect "&amp;"taxa richness was reduced in high impact categories, and Odonata (dragonflies and damselflies) were higher in low impact categories than in high impact categories. All high impact springs had both livestock use and vehicle use (roads or vehicles), and our"&amp;" data suggest that disturbances caused by one or both of these uses alter the aquatic macroinvertebratc assemblage. We suggest that disturbance may increase macroinvertehrate richness, where a mix of tolerant alld intolerant species co-occur until macroin"&amp;"vertebrate richness reaches a threshold; after surpassing this threshold, macroinvertebrate diversity decreases.")</f>
        <v>Springs located on the Colorado Plateau are highly threatened and represent a small percentage of the landscape; yet they are disproportionately important to diverse native flora and fauna. The relationships between anthropogenic disturbance, aquatic macroinvertebrate species composition, and environmental variables at these springs have received little study. We selectively visited 40 sandstone springs in southeastern Utah and southwestern Colorado to span a range of impacts. We classified the springs into impact categories based on a spring impact score, we measured biodiversity (aquatic macroinvertebrates), water chemistry (nutrients, dissolved O-2, pH, specific conductivity, temperature, turbidity, coliform bacteria [Escherichia coli]), physical characters (solar radiation, substrate, vegetation cover, bank stability, discharge), and presence of anthropogenic disturbance. Escherichia coli abundance was higher in high impact categories, and turbidity increased with increasing disturbance. No differences in total N, total P, specific conductivity, flow, dissolved O-2, pH, or substrate were found among the impact categories. Vegetation cover was higher in low impact categories than in moderate and high impact categories, while potential annual and growing-season solar radiation was lower in low impact categories than in high impact categories. Global and subsequent multiple response permutation procedure (MRPP) comparisons suggested strong differences in aquatic macroinvertebrates between low and high impact springs and no difference at moderate impact springs. Mean taxa richness (alpha-diversity), total taxa richness (gamma-diversity), and percent of taxa richness composed of shredders peaked at moderate disturbance levels. The percentage of non-insect taxa richness was reduced in high impact categories, and Odonata (dragonflies and damselflies) were higher in low impact categories than in high impact categories. All high impact springs had both livestock use and vehicle use (roads or vehicles), and our data suggest that disturbances caused by one or both of these uses alter the aquatic macroinvertebratc assemblage. We suggest that disturbance may increase macroinvertehrate richness, where a mix of tolerant alld intolerant species co-occur until macroinvertebrate richness reaches a threshold; after surpassing this threshold, macroinvertebrate diversity decreases.</v>
      </c>
      <c r="C969" s="24" t="str">
        <f>IFERROR(__xludf.DUMMYFUNCTION("""COMPUTED_VALUE"""),"10.3398/064.072.0313")</f>
        <v>10.3398/064.072.0313</v>
      </c>
      <c r="D969" s="24" t="str">
        <f>IFERROR(__xludf.DUMMYFUNCTION("""COMPUTED_VALUE"""),"Keck et al")</f>
        <v>Keck et al</v>
      </c>
      <c r="E969" s="24" t="str">
        <f>IFERROR(__xludf.DUMMYFUNCTION("""COMPUTED_VALUE"""),"WOS:000311762700013")</f>
        <v>WOS:000311762700013</v>
      </c>
      <c r="F969" s="24" t="str">
        <f>IFERROR(__xludf.DUMMYFUNCTION("""COMPUTED_VALUE"""),"[""ELIGIBLE""]")</f>
        <v>["ELIGIBLE"]</v>
      </c>
    </row>
    <row r="970">
      <c r="A970" s="24" t="str">
        <f>IFERROR(__xludf.DUMMYFUNCTION("""COMPUTED_VALUE"""),"Phytoplankton patterns along a series of small man-made reservoirs in Kenya")</f>
        <v>Phytoplankton patterns along a series of small man-made reservoirs in Kenya</v>
      </c>
      <c r="B970" s="24" t="str">
        <f>IFERROR(__xludf.DUMMYFUNCTION("""COMPUTED_VALUE"""),"We studied nine small man-made reservoirs located in different climate regions of Kenya to get an insight into the relationship between phytoplankton community structure and its environment. The investigated ponds form three groups of three reservoirs eac"&amp;"h found in the rural areas of Machakos district, Mount Kenya region, and Lake Victoria area with varied climatic characteristics. The ponds were sampled in monthly intervals between May 2007 and June 2008 for physicochemical variables including water chem"&amp;"istry, phytoplankton community composition, zooplankton abundance, and bacterial numbers. All ponds were classified as hypertrophic. Seasonal changes were reflected in the phytoplankton pattern, as all ponds showed a community shift after the short dry se"&amp;"ason in February. Due to high nutrient loads and increased turbidity, Cyanobacteria, which were initially thought to be predominating in all investigated water bodies, were found to play only a minor role except for the Bomet reservoir in Lake Victoria re"&amp;"gion. Instead, Chloro- and Streptophyta, Dinophyta, and Euglenophyta were abundant in the pelagial. A principal component analysis explained around 85 % of the data variance with four principal components (PCs) interpreted as location, ions, zooplankton, "&amp;"and particulate matter. A clear separation of ponds with and without cattle access based on algal species community data was found indicating the need for a sustainable use and regular monitoring program as the local population is largely dependent on the"&amp;"se sensitive small-scale ecosystems.")</f>
        <v>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v>
      </c>
      <c r="C970" s="24" t="str">
        <f>IFERROR(__xludf.DUMMYFUNCTION("""COMPUTED_VALUE"""),"10.1007/s10661-014-3766-x")</f>
        <v>10.1007/s10661-014-3766-x</v>
      </c>
      <c r="D970" s="24" t="str">
        <f>IFERROR(__xludf.DUMMYFUNCTION("""COMPUTED_VALUE"""),"Keck et al")</f>
        <v>Keck et al</v>
      </c>
      <c r="E970" s="24" t="str">
        <f>IFERROR(__xludf.DUMMYFUNCTION("""COMPUTED_VALUE"""),"WOS:000338275500040")</f>
        <v>WOS:000338275500040</v>
      </c>
      <c r="F970" s="24" t="str">
        <f>IFERROR(__xludf.DUMMYFUNCTION("""COMPUTED_VALUE"""),"[""ELIGIBLE""]")</f>
        <v>["ELIGIBLE"]</v>
      </c>
    </row>
    <row r="971">
      <c r="A971" s="24" t="str">
        <f>IFERROR(__xludf.DUMMYFUNCTION("""COMPUTED_VALUE"""),"Time-consistent rearrangement of carabid beetle assemblages by an urbanisation gradient in Hungary")</f>
        <v>Time-consistent rearrangement of carabid beetle assemblages by an urbanisation gradient in Hungary</v>
      </c>
      <c r="B971" s="24" t="str">
        <f>IFERROR(__xludf.DUMMYFUNCTION("""COMPUTED_VALUE"""),"To examine the impact of urbanisation on arthropod biodiversity, carabid (Coleoptera: Carabidae) assemblages were studied over 2 years along a rural-urban gradient representing increasing levels of human disturbance. Carabids were collected by pitfall tra"&amp;"pping during their whole activity period in lowland oak forest patches in and near the city of Debrecen, Eastern Hungary, over two seasons (2001-2002). Carabid activity density was significantly higher in the rural than in the two other areas, but there w"&amp;"as no significant difference in species richness (measured as mean number of species caught/trap). The proportion of forest specialists significantly decreased from the rural towards the urban area, and the proportion of forest specialist species was sign"&amp;"ificantly higher in the rural and suburban areas than in the urban one. In contrast, the relative activity density of generalist species significantly increased along the rural-urban gradient. Both the relative number of open-habitat species and their act"&amp;"ivity density were significantly higher in the urban forest fragments than in the suburban and rural ones. The patterns found were consistent between the 2 years. Multidimensional scaling indicated pronounced changes in species composition along the gradi"&amp;"ent; the assemblages in urban forest fragments were more variable than in the other areas. A large proportion of the variation in overall activity density, species richness and the proportion of carabids with different habitat affinities could be explaine"&amp;"d by structural habitat variables (percentage cover by canopy, leaf litter, herbs and decaying wood), and prey availability. (C) 2008 Elsevier Masson SAS. All rights reserved.")</f>
        <v>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v>
      </c>
      <c r="C971" s="24" t="str">
        <f>IFERROR(__xludf.DUMMYFUNCTION("""COMPUTED_VALUE"""),"10.1016/j.actao.2008.05.010")</f>
        <v>10.1016/j.actao.2008.05.010</v>
      </c>
      <c r="D971" s="24" t="str">
        <f>IFERROR(__xludf.DUMMYFUNCTION("""COMPUTED_VALUE"""),"Keck et al")</f>
        <v>Keck et al</v>
      </c>
      <c r="E971" s="24" t="str">
        <f>IFERROR(__xludf.DUMMYFUNCTION("""COMPUTED_VALUE"""),"WOS:000260099400012")</f>
        <v>WOS:000260099400012</v>
      </c>
      <c r="F971" s="24" t="str">
        <f>IFERROR(__xludf.DUMMYFUNCTION("""COMPUTED_VALUE"""),"[""ELIGIBLE""]")</f>
        <v>["ELIGIBLE"]</v>
      </c>
    </row>
    <row r="972">
      <c r="A972" s="24" t="str">
        <f>IFERROR(__xludf.DUMMYFUNCTION("""COMPUTED_VALUE"""),"Effect of cadmium contamination on the rhizosphere bacterial diversity of Echinocactus platyacanthus")</f>
        <v>Effect of cadmium contamination on the rhizosphere bacterial diversity of Echinocactus platyacanthus</v>
      </c>
      <c r="B972" s="24" t="str">
        <f>IFERROR(__xludf.DUMMYFUNCTION("""COMPUTED_VALUE"""),"To better understand the mechanism of tolerance to heavy metals, it is relevant to analyze the effects of Cd contamination on the rhizospheric microbiota of plants with high tolerance to environmental stress such as cacti species. In this work, the effect"&amp;"s of soil contamination with Cd on bacterial diversity, microbial carbon, abundance of diazotrophs in the soil, and on the photosynthetic efficiency and absorption of Cd of the candy barrel cactus (Echinocactus platyacanthus) were evaluated. Experimental "&amp;"pots sown with E. platyacanthus were contaminated with different concentrations of Cd+2. Changes in rhizospheric soil community were evaluated after 30 days of contamination. In general, soil contamination with Cd significantly changes the structure of th"&amp;"e rizospheric bacterial community which could have serious effects on the functioning of this community, especially in N mobilization. Despite the plant not showing signs of physiological stress reflected in the photosynthetic yield, revealing its high re"&amp;"sistance to contamination with Cd, a slight increase in the electron transport rate at low Cd concentration was observed. This increase correlates with an increase in abundance of diazotrophs and microbial C, suggesting an interesting response by the enti"&amp;"re system to the presence of low Cd concentration in the soil. In this work, we have demonstrated that the factors analyzed here can be indicators of the quality and health of the soil, being a complement to explaining the behavior of metals in the soil m"&amp;"atrix, and thus be able to understand the mechanism of tolerance to Cd contamination in soil.")</f>
        <v>To better understand the mechanism of tolerance to heavy metals, it is relevant to analyze the effects of Cd contamination on the rhizospheric microbiota of plants with high tolerance to environmental stress such as cacti species. In this work, the effects of soil contamination with Cd on bacterial diversity, microbial carbon, abundance of diazotrophs in the soil, and on the photosynthetic efficiency and absorption of Cd of the candy barrel cactus (Echinocactus platyacanthus) were evaluated. Experimental pots sown with E. platyacanthus were contaminated with different concentrations of Cd+2. Changes in rhizospheric soil community were evaluated after 30 days of contamination. In general, soil contamination with Cd significantly changes the structure of the rizospheric bacterial community which could have serious effects on the functioning of this community, especially in N mobilization. Despite the plant not showing signs of physiological stress reflected in the photosynthetic yield, revealing its high resistance to contamination with Cd, a slight increase in the electron transport rate at low Cd concentration was observed. This increase correlates with an increase in abundance of diazotrophs and microbial C, suggesting an interesting response by the entire system to the presence of low Cd concentration in the soil. In this work, we have demonstrated that the factors analyzed here can be indicators of the quality and health of the soil, being a complement to explaining the behavior of metals in the soil matrix, and thus be able to understand the mechanism of tolerance to Cd contamination in soil.</v>
      </c>
      <c r="C972" s="24" t="str">
        <f>IFERROR(__xludf.DUMMYFUNCTION("""COMPUTED_VALUE"""),"10.1016/j.rhisph.2020.100187")</f>
        <v>10.1016/j.rhisph.2020.100187</v>
      </c>
      <c r="D972" s="24" t="str">
        <f>IFERROR(__xludf.DUMMYFUNCTION("""COMPUTED_VALUE"""),"Keck et al")</f>
        <v>Keck et al</v>
      </c>
      <c r="E972" s="24" t="str">
        <f>IFERROR(__xludf.DUMMYFUNCTION("""COMPUTED_VALUE"""),"WOS:000521128100007")</f>
        <v>WOS:000521128100007</v>
      </c>
      <c r="F972" s="24" t="str">
        <f>IFERROR(__xludf.DUMMYFUNCTION("""COMPUTED_VALUE"""),"[""ELIGIBLE""]")</f>
        <v>["ELIGIBLE"]</v>
      </c>
    </row>
    <row r="973">
      <c r="A973" s="24" t="str">
        <f>IFERROR(__xludf.DUMMYFUNCTION("""COMPUTED_VALUE"""),"Community variability and ecological functioning: 40 years of change in the North Sea benthos")</f>
        <v>Community variability and ecological functioning: 40 years of change in the North Sea benthos</v>
      </c>
      <c r="B973" s="24" t="str">
        <f>IFERROR(__xludf.DUMMYFUNCTION("""COMPUTED_VALUE"""),"Using established associations between species traits (life history, morphological and behavioural characteristics) and key ecological functions, we applied biological traits analysis (BTA) to investigate the consequences of 40 years of change in two Nort"&amp;"h Sea benthic communities. Ecological functioning (trait composition) was found to be statistically indistinguishable across periods that differed significantly in taxonomic composition. A temporary alteration to functioning was, however, inferred at both"&amp;" sampling stations; coinciding with the North Sea regime shift of the 1980s. Trait composition recovered after 1 year at the station located inside the grounds of a trawl fishery, whereas the station located outside the main area of fishing activity under"&amp;"went a six-year period of significantly altered, and temporally unstable, trait composition. A further alteration to functioning was inferred at the fished station, when the population of a newly established species rapidly increased in numbers. The resul"&amp;"ts suggest that density compensation by characteristically similar (redundant) taxa acts to buffer changes to ecological functioning over time, but that functional stability is subject to aperiodic disruption due to substitutions of dissimilar taxa or unc"&amp;"ompensated population fluctuations. The rate at which ecological functioning stabilises and recovers appears to be dependent on environmental context; e.g. disturbance regime. (C) 2015 Elsevier Ltd. All rights reserved.")</f>
        <v>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v>
      </c>
      <c r="C973" s="24" t="str">
        <f>IFERROR(__xludf.DUMMYFUNCTION("""COMPUTED_VALUE"""),"10.1016/j.marenvres.2015.03.012")</f>
        <v>10.1016/j.marenvres.2015.03.012</v>
      </c>
      <c r="D973" s="24" t="str">
        <f>IFERROR(__xludf.DUMMYFUNCTION("""COMPUTED_VALUE"""),"Keck et al")</f>
        <v>Keck et al</v>
      </c>
      <c r="E973" s="24" t="str">
        <f>IFERROR(__xludf.DUMMYFUNCTION("""COMPUTED_VALUE"""),"WOS:000355046300003")</f>
        <v>WOS:000355046300003</v>
      </c>
      <c r="F973" s="24" t="str">
        <f>IFERROR(__xludf.DUMMYFUNCTION("""COMPUTED_VALUE"""),"[""ELIGIBLE""]")</f>
        <v>["ELIGIBLE"]</v>
      </c>
    </row>
    <row r="974">
      <c r="A974" s="24" t="str">
        <f>IFERROR(__xludf.DUMMYFUNCTION("""COMPUTED_VALUE"""),"Effects of fishing closure and mechanized clam dredging on a Callista chione bed in the western Mediterranean Sea")</f>
        <v>Effects of fishing closure and mechanized clam dredging on a Callista chione bed in the western Mediterranean Sea</v>
      </c>
      <c r="B974" s="24" t="str">
        <f>IFERROR(__xludf.DUMMYFUNCTION("""COMPUTED_VALUE"""),"Clam production from wild fisheries has declined dramatically in Europe from 169,917 (2000) to 99,917 tonnes (2018). This negative trend has been particularly severe along the Mediterranean coast of Spain, where most clam stocks have collapsed in the last"&amp;" decades. Management responses to reconcile declining fisheries typically include closing areas to fishing. This study evaluated the effect of fishing closure on the Callista chione bed on the Maresme coast, which was among the most productive fishing gro"&amp;"unds. At the same time, this study examined the direct impact of mechanized clam dredges on the megabenthic assemblages. The same locations were surveyed in 2005 (regular fishing activity) and 2020 (5 years after the official fishing closure). The closure"&amp;" of the clam fishing area has not helped in the recovery of the C. chione stock. Changes in C. chione biology and population dynamics were found. However, the diversity in the macrobenthic community has increased. Species with fragile shells or vermiform "&amp;"soft bodies have become more abundant or have appeared. These species are also among those most affected by mechanized clam dredging activity. The data suggest that active management actions are required (e.g. restocking) to recover the C. chione populati"&amp;"on in the medium term. (C) 2021 Elsevier B.V. All rights reserved.")</f>
        <v>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v>
      </c>
      <c r="C974" s="24" t="str">
        <f>IFERROR(__xludf.DUMMYFUNCTION("""COMPUTED_VALUE"""),"10.1016/j.rsma.2021.102063")</f>
        <v>10.1016/j.rsma.2021.102063</v>
      </c>
      <c r="D974" s="24" t="str">
        <f>IFERROR(__xludf.DUMMYFUNCTION("""COMPUTED_VALUE"""),"Keck et al")</f>
        <v>Keck et al</v>
      </c>
      <c r="E974" s="24" t="str">
        <f>IFERROR(__xludf.DUMMYFUNCTION("""COMPUTED_VALUE"""),"WOS:000720767500001")</f>
        <v>WOS:000720767500001</v>
      </c>
      <c r="F974" s="24" t="str">
        <f>IFERROR(__xludf.DUMMYFUNCTION("""COMPUTED_VALUE"""),"[""ELIGIBLE""]")</f>
        <v>["ELIGIBLE"]</v>
      </c>
    </row>
    <row r="975">
      <c r="A975" s="24" t="str">
        <f>IFERROR(__xludf.DUMMYFUNCTION("""COMPUTED_VALUE"""),"Different response of bacterial community to the changes of nutrients and pollutants in sediments from an urban river network")</f>
        <v>Different response of bacterial community to the changes of nutrients and pollutants in sediments from an urban river network</v>
      </c>
      <c r="B975" s="24" t="str">
        <f>IFERROR(__xludf.DUMMYFUNCTION("""COMPUTED_VALUE"""),"Microbial communities in sediment are an important indicator linking to environmental pollution in urban river systems. However, how the diversity and structure of bacterial communities in sediments from an urban river network respond to different environ"&amp;"mental factors has not been well studied. The goal of this study was to understand the patterns of bacterial communities in sediments from a highly dense urbanized river network in the lower Yangtze River Delta by Illumina MiSeq sequencing. The correlatio"&amp;"ns between bacterial communities, the environmental gradient and geographical distance were analyzed by redundancy analysis (RDA) and network methods. The diversity and richness of bacterial community in sediments increased from upstream to downstream con"&amp;"sistently with the accumulation of nutrient in the urban river network. Bacterial community composition and structure showed obvious spatial changes, leading to two distinct groups, which were significantly related to the characteristics of nutrient and h"&amp;"eavy metal in sediments. Humic substance, available nitrogen, available phosphorus, Zn, Cu, Hg and As were selected as the key environmental factors shaping the bacterial community in sediments based on RDA. The co-occurrence patterns of bacterial network"&amp;"s showed that positive interaction between bacterial communities increased but the connectivity among bacterial genera and stability of sediment ecosystem reduced under a higher content of nutrient and heavy metal in average. The sensitive and ubiquitous "&amp;"taxa with an overproportional response to key environmental factors were detected as indicator species, which provided a novel method for the prediction of the pollution risk of sediment in an urban river network. (c) Higher Education Press and Springer-V"&amp;"erlag GmbH Germany, part of Springer Nature 2020")</f>
        <v>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v>
      </c>
      <c r="C975" s="24" t="str">
        <f>IFERROR(__xludf.DUMMYFUNCTION("""COMPUTED_VALUE"""),"10.1007/s11783-019-1207-3")</f>
        <v>10.1007/s11783-019-1207-3</v>
      </c>
      <c r="D975" s="24" t="str">
        <f>IFERROR(__xludf.DUMMYFUNCTION("""COMPUTED_VALUE"""),"Keck et al")</f>
        <v>Keck et al</v>
      </c>
      <c r="E975" s="24" t="str">
        <f>IFERROR(__xludf.DUMMYFUNCTION("""COMPUTED_VALUE"""),"WOS:000511884800001")</f>
        <v>WOS:000511884800001</v>
      </c>
      <c r="F975" s="24" t="str">
        <f>IFERROR(__xludf.DUMMYFUNCTION("""COMPUTED_VALUE"""),"[""ELIGIBLE""]")</f>
        <v>["ELIGIBLE"]</v>
      </c>
    </row>
    <row r="976">
      <c r="A976" s="24" t="str">
        <f>IFERROR(__xludf.DUMMYFUNCTION("""COMPUTED_VALUE"""),"Ecological and functional changes associated with long-term recovery from organic enrichment")</f>
        <v>Ecological and functional changes associated with long-term recovery from organic enrichment</v>
      </c>
      <c r="B976" s="24" t="str">
        <f>IFERROR(__xludf.DUMMYFUNCTION("""COMPUTED_VALUE"""),"The recovery of a soft sediment benthic invertebrate community from high levels of organic enrichment was evaluated after removal of farmed fish at an Atlantic salmon Salmo salar culture site in southeast Tasmania. Although the pattern of recovery followe"&amp;"d established successional principles, after 36 mo neither communities under or at the edge of cages, nor communities 10 m from the edge of the cage, had attained a structure equivalent to that of the reference communities. In the first few months there w"&amp;"as little evidence of recovery and the community was dominated by species characteristic of impacted conditions. After 12 mo the system had markedly improved, containing a diverse range of species with functional roles similar to those of the reference si"&amp;"tes. Once the ecological function of the sediment was restored, subsequent changes in the community structure were relatively minor, simply reflecting the addition of rarer species with longer reproductive cycles and/or larval stages with a greater sensit"&amp;"ivity to the negative effects of organic enrichment. These species may be significant where specific community changes, loss of diversity or the possibility of species extinction are the critical issues. However, restoration of system function may be a mo"&amp;"re useful indicator of generalized recovery from organic enrichment than of community equivalence.")</f>
        <v>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v>
      </c>
      <c r="C976" s="24" t="str">
        <f>IFERROR(__xludf.DUMMYFUNCTION("""COMPUTED_VALUE"""),"10.3354/meps07534")</f>
        <v>10.3354/meps07534</v>
      </c>
      <c r="D976" s="24" t="str">
        <f>IFERROR(__xludf.DUMMYFUNCTION("""COMPUTED_VALUE"""),"Keck et al")</f>
        <v>Keck et al</v>
      </c>
      <c r="E976" s="24" t="str">
        <f>IFERROR(__xludf.DUMMYFUNCTION("""COMPUTED_VALUE"""),"WOS:000259379600002")</f>
        <v>WOS:000259379600002</v>
      </c>
      <c r="F976" s="24" t="str">
        <f>IFERROR(__xludf.DUMMYFUNCTION("""COMPUTED_VALUE"""),"[""ELIGIBLE""]")</f>
        <v>["ELIGIBLE"]</v>
      </c>
    </row>
    <row r="977">
      <c r="A977" s="24" t="str">
        <f>IFERROR(__xludf.DUMMYFUNCTION("""COMPUTED_VALUE"""),"Effects of fumigation with metam-sodium on soil microbial biomass, respiration, nitrogen transformation, bacterial community diversity and genes encoding key enzymes involved in nitrogen cycling")</f>
        <v>Effects of fumigation with metam-sodium on soil microbial biomass, respiration, nitrogen transformation, bacterial community diversity and genes encoding key enzymes involved in nitrogen cycling</v>
      </c>
      <c r="B977" s="24" t="str">
        <f>IFERROR(__xludf.DUMMYFUNCTION("""COMPUTED_VALUE"""),"Metam-sodium (MS) is widely used as a soil pre-plant fumigant as methyl bromide is phased out of agriculture. However, the information about how fumigation with MS affects the soil microbial community is still limited. In this study, a 66-day-long experim"&amp;"ent was conducted to ascertain the effects of MS on soil substrate-induced respiration (SIR), microbial biomass nitrogen (MBN), NH4--N and NO3--N concentrations, as well as the abundance of the total bacteria and fungi and the expression of genes involved"&amp;" in nitrogen cycling. In addition, 16S rRNA amplicon sequencing was used to investigate the effect of MS on the soil bacterial community. The half-lives of high and low doses of methyl isothiocyanate (MITC) are 10.51 h and 9.93 h, respectively. MS caused "&amp;"a shortterm inhibition of SIR, MBN; had an accumulation effect on NH4+-N concentration in the short term; reduced the abundance of the total bacteria and fungi; and suppressed the expression of the nifH,AOA-amoA, anammox bacteria, nosZ, nirS, and narG. In"&amp;" addition, under the influence of MS, soil bacterial diversity decreased significantly in the long term, bacterial community structure was affected, and there was a shift in the predominant population; for example, some genera, such as Paenibacillus and L"&amp;"uteimonas, significantly increased in number. These changes in bacterial flora may be closely related to the growth of crops. Our study provides useful information for environmental safety assessments of MS in China. (C) 2017 Published by Elsevier B.V.")</f>
        <v>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v>
      </c>
      <c r="C977" s="24" t="str">
        <f>IFERROR(__xludf.DUMMYFUNCTION("""COMPUTED_VALUE"""),"10.1016/j.scitotenv.2017.02.058")</f>
        <v>10.1016/j.scitotenv.2017.02.058</v>
      </c>
      <c r="D977" s="24" t="str">
        <f>IFERROR(__xludf.DUMMYFUNCTION("""COMPUTED_VALUE"""),"Keck et al")</f>
        <v>Keck et al</v>
      </c>
      <c r="E977" s="24" t="str">
        <f>IFERROR(__xludf.DUMMYFUNCTION("""COMPUTED_VALUE"""),"WOS:000404504000105")</f>
        <v>WOS:000404504000105</v>
      </c>
      <c r="F977" s="24" t="str">
        <f>IFERROR(__xludf.DUMMYFUNCTION("""COMPUTED_VALUE"""),"[""ELIGIBLE""]")</f>
        <v>["ELIGIBLE"]</v>
      </c>
    </row>
    <row r="978">
      <c r="A978" s="24" t="str">
        <f>IFERROR(__xludf.DUMMYFUNCTION("""COMPUTED_VALUE"""),"Dung beetles as indicators for rapid impact assessments: Evaluating best practice forestry in the neotropics")</f>
        <v>Dung beetles as indicators for rapid impact assessments: Evaluating best practice forestry in the neotropics</v>
      </c>
      <c r="B978" s="24" t="str">
        <f>IFERROR(__xludf.DUMMYFUNCTION("""COMPUTED_VALUE"""),"Dung beetles (Scarabaeidae: Scarabaeinae) are sensitive to habitat perturbations and are easily studied, making them an ideal taxonomic group with which to evaluate the effects of low-intensity anthropogenic disturbances such as Reduced-Impact Logging. He"&amp;"re we examine the effect of a certified Reduced-Impact Logging operation on dung beetles, and demonstrate their suitability for use in rapid ecological impact studies. We sampled dung beetle assemblages, environmental variables and timber extraction rates"&amp;" across four treatment groups in closed canopy and canopy gaps in logged and unlogged forest in Guyana. Community analysis revealed that logged forest supported a more uniform dung beetle assemblage compared to unlogged forest. Differences in assemblage s"&amp;"tructure were driven by dissimilarity between closed canopy treatments, as plots in artificial and natural canopy gaps supported comparable assemblages. Indicator analyses were conducted across treatments, using a new approach (CLAM) and two well-establis"&amp;"hed methods (INDVAL, SIMPER). Two species respectively were classified as indicators of logged (Hansreia affinis and Eurysternus caribaeus) and unlogged forest (Canthidium aff. centrale and Deltochilum (Cathyboma) carinatum). BIO-ENV analysis demonstrated"&amp;" that tree extraction intensity, bare ground cover, and ground cover by leaf material were key factors influencing dung beetle assemblages. Despite the relatively low-impact of Reduced-Impact Logging reported by previous studies, we find that dung beetles"&amp;" are sensitive to even small changes in environmental conditions as a result of this form of anthropogenic disturbance. As dung beetles are a highly responsive taxonomic group, we illustrate that they represent a valuable taxon that can be used to critica"&amp;"lly evaluate best practice forestry operations and other disturbance activities, particularly in time constrained studies (e.g., rapid monitoring and-environmental impact assessments). However, we recommend the use of multiple indicator analyses to monito"&amp;"r potential changes in assemblage composition, due to a lack of congruence between methods. (c) 2014 Elsevier Ltd. All rights reserved.")</f>
        <v>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v>
      </c>
      <c r="C978" s="24" t="str">
        <f>IFERROR(__xludf.DUMMYFUNCTION("""COMPUTED_VALUE"""),"10.1016/j.ecolind.2014.02.030")</f>
        <v>10.1016/j.ecolind.2014.02.030</v>
      </c>
      <c r="D978" s="24" t="str">
        <f>IFERROR(__xludf.DUMMYFUNCTION("""COMPUTED_VALUE"""),"Keck et al")</f>
        <v>Keck et al</v>
      </c>
      <c r="E978" s="24" t="str">
        <f>IFERROR(__xludf.DUMMYFUNCTION("""COMPUTED_VALUE"""),"WOS:000336952300015")</f>
        <v>WOS:000336952300015</v>
      </c>
      <c r="F978" s="24" t="str">
        <f>IFERROR(__xludf.DUMMYFUNCTION("""COMPUTED_VALUE"""),"[""ELIGIBLE""]")</f>
        <v>["ELIGIBLE"]</v>
      </c>
    </row>
    <row r="979">
      <c r="A979" s="24" t="str">
        <f>IFERROR(__xludf.DUMMYFUNCTION("""COMPUTED_VALUE"""),"Microbial diversity of the glass spongeVazella pourtalesiiin response to anthropogenic activities")</f>
        <v>Microbial diversity of the glass spongeVazella pourtalesiiin response to anthropogenic activities</v>
      </c>
      <c r="B979" s="24" t="str">
        <f>IFERROR(__xludf.DUMMYFUNCTION("""COMPUTED_VALUE"""),"Establishment of adequate conservation areas represents a challenging but crucial task in the conservation of genetic diversity and biological variability. Anthropogenic pressures on marine ecosystems and organisms are steadily increasing. Whether and to "&amp;"what extent these pressures influence marine genetic biodiversity is only starting to be revealed. Using 16S rRNA gene amplicon sequencing, we analysed the microbial community structure of 33 individuals of the habitat-forming glass spongeVazella pourtale"&amp;"sii, as well as reference seawater, sediment, and biofilm samples. We assessed how two anthropogenic impacts, i.e. habitat destruction by trawling and artificial substrate provision (moorings made of composite plastic), correspond with in situV. pourtales"&amp;"iimicrobiome variability. In addition, we evaluated the role of two bottom fishery closures in preserving sponge-associated microbial diversity on the Scotian Shelf, Canada. Our results illustrate thatV. pourtalesiisponges collected from protected sites w"&amp;"ithin fishery closures contained distinct and taxonomically largely novel microbial communities. At the trawled site we recorded significant quantitative differences in distinct microbial phyla, such as a reduction in Nitrospinae in the four sponges from "&amp;"this site and the environmental references. Individuals ofV. pourtalesiigrowing on the mooring were significantly enriched in Bacteroidetes, Verrucomicrobia and Cyanobacteria in comparison to sponge individuals growing on the natural seabed. Due to a conc"&amp;"omitant enrichment of these taxa in the mooring biofilm, we propose that biofilms on artificial substrates may 'prime' sponge-associated microbial communities when small sponges settle on such substrates. These observations likely have relevant management"&amp;" implications when considering the increase of artificial substrates in the marine environment, e.g., marine litter, off-shore wind parks, and petroleum platforms.")</f>
        <v>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v>
      </c>
      <c r="C979" s="24" t="str">
        <f>IFERROR(__xludf.DUMMYFUNCTION("""COMPUTED_VALUE"""),"10.1007/s10592-020-01305-2")</f>
        <v>10.1007/s10592-020-01305-2</v>
      </c>
      <c r="D979" s="24" t="str">
        <f>IFERROR(__xludf.DUMMYFUNCTION("""COMPUTED_VALUE"""),"Keck et al")</f>
        <v>Keck et al</v>
      </c>
      <c r="E979" s="24" t="str">
        <f>IFERROR(__xludf.DUMMYFUNCTION("""COMPUTED_VALUE"""),"WOS:000562340600001")</f>
        <v>WOS:000562340600001</v>
      </c>
      <c r="F979" s="24" t="str">
        <f>IFERROR(__xludf.DUMMYFUNCTION("""COMPUTED_VALUE"""),"[""ELIGIBLE""]")</f>
        <v>["ELIGIBLE"]</v>
      </c>
    </row>
    <row r="980">
      <c r="A980" s="24" t="str">
        <f>IFERROR(__xludf.DUMMYFUNCTION("""COMPUTED_VALUE"""),"Ecology of leaf pack macroinvertebrate communities in streams of the Fraser River Basin, British Columbia")</f>
        <v>Ecology of leaf pack macroinvertebrate communities in streams of the Fraser River Basin, British Columbia</v>
      </c>
      <c r="B980" s="24" t="str">
        <f>IFERROR(__xludf.DUMMYFUNCTION("""COMPUTED_VALUE"""),"1. To characterise geographic and small scale variation in the structure of macroinvertebrate communities in stream leaf packs, we collected one to three natural leaf pack communities from 119 reference streams in the Fraser River Basin and quantified the"&amp;"ir variability and correlation with aspects of the stream environment at several scales. We also sampled leaf packs in 19 test streams in the same geographic area exposed to stressors (nine logged, seven farmed, three mined catchments) to evaluate the lea"&amp;"f pack community as a tool for bioassessment. 2. There was substantial variation in the composition of invertebrate communities in leaf packs among reference streams of the Fraser River Basin. Capnia and Zapada (stoneflies), Baetis and Ephemerella (mayfli"&amp;"es) and Tvetnia (midge) were the most common taxa found in the leaf packs. There were three types of assemblages identified by non-metric multidimensional scaling; Capnia, Baetis and Ephemerella communities. 3. Leaf pack communities from the 19 test strea"&amp;"ms were plotted on a non-metric multidimensional scaling ordination of the reference communities, and 14 of 19 sites fell outside the 80% confidence ellipse of the reference sites, including eight of nine logged, four of seven farmed and one of three mine"&amp;"d catchments. Most of these streams plotted on the ordination near the Ephemerella reference communities. Reference stream communities had a similar number of genera per leaf pack (12.0) and genera per site (18.7) as the test streams (12.6 genera per leaf"&amp;" pack and 18.7 genera per site). Among the test sites, the farmed catchments had higher genera per leaf pack (17.8) and genera per site (21.9) than either the logged (11.5 genera per leaf pack; 19.9 genera per site) or mined (3.4 genera per leaf pack; 7.7"&amp;" genera per site) catchments. 4. Heterogeneity of leaf pack communities within a site decreased as the number of genera found at the site increased. This was determined by allometric regression of the number of genera found at a site on the maximum number"&amp;" of genera possible, given the average number found per leaf pack. 5. There was a significant relationship between the composition of the leaf pack invertebrate community and stream geography (latitude, longitude, altitude, stream order). Canonical corres"&amp;"pondence analysis showed differences among 'big river', 'mountain stream' and 'southern' communities. 6. There was no relationship between the composition of the leaf pack invertebrate community and stream channel and flow characteristics (bank dimensions"&amp;", flow, slope). There was a significant relationship between the composition of the leaf pack invertebrate community and water quality of the stream (oxygen, nitrogen, phosphorus, conductivity, pH, temperature). 'Cold, oxygen rich water' communities were "&amp;"distinguishable from communities in streams with warmer, lower oxygen concentration. 'High nutrient water' communities were also distinct from communities in low nutrient streams. There was no relationship between the composition of the leaf pack inverteb"&amp;"rate community and the nature of the leaf pack itself (i.e. morphology, decomposition, coniferous needle content). 7. Invertebrate communities in leaf packs show substantial, interpretable variation among reference streams. They are sensitive to human str"&amp;"essors at a landscape scale such as forestry and agriculture. Their diversity and composition varies at different spatial scales in a way that is at least partially explained by the environment of the stream and its catchment area.")</f>
        <v>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v>
      </c>
      <c r="C980" s="24" t="str">
        <f>IFERROR(__xludf.DUMMYFUNCTION("""COMPUTED_VALUE"""),"10.1111/j.1365-2427.2005.01373.x")</f>
        <v>10.1111/j.1365-2427.2005.01373.x</v>
      </c>
      <c r="D980" s="24" t="str">
        <f>IFERROR(__xludf.DUMMYFUNCTION("""COMPUTED_VALUE"""),"Keck et al")</f>
        <v>Keck et al</v>
      </c>
      <c r="E980" s="24" t="str">
        <f>IFERROR(__xludf.DUMMYFUNCTION("""COMPUTED_VALUE"""),"WOS:000229081600014")</f>
        <v>WOS:000229081600014</v>
      </c>
      <c r="F980" s="24" t="str">
        <f>IFERROR(__xludf.DUMMYFUNCTION("""COMPUTED_VALUE"""),"[""ELIGIBLE""]")</f>
        <v>["ELIGIBLE"]</v>
      </c>
    </row>
    <row r="981">
      <c r="A981" s="24" t="str">
        <f>IFERROR(__xludf.DUMMYFUNCTION("""COMPUTED_VALUE"""),"Chronic effects of brine discharge form large-scale seawater reverse osmosis desalination facilities on benthic bacteria")</f>
        <v>Chronic effects of brine discharge form large-scale seawater reverse osmosis desalination facilities on benthic bacteria</v>
      </c>
      <c r="B981" s="24" t="str">
        <f>IFERROR(__xludf.DUMMYFUNCTION("""COMPUTED_VALUE"""),"Seawater desalination facilities continuously discharge hyper-saline brine into the coastal environment which often flows as a concentrated plume over the seafloor, hence possibly impacting benthic micro-organisms. Yet, the effects of brine discharge from"&amp;" desalination plants on benthic bacteria, key players in biodegradation of organic material and nutrient recycling is unknown. In this study, we tested the chronic (years) effects of brine discharge from three large-scale desalination facilities on the ab"&amp;"undance, metabolic activity and community composition of benthic bacteria. To this end, four sampling campaigns were carried at the outfall areas of the Ashkelon, Sorek and Hadera desalination facilities. The effects of the brine were compared to correspo"&amp;"nding reference stations which were not influenced by the brine (i.e., water temperature and salinity). Our sampling data indicate that bacterial abundance and activity that includes bacterial growth efficiency were 1.3-2.6-fold higher at the outfall area"&amp;" than the reference station. Concomitant analysis pointed out that the bacterial community structure at the brine discharge area was also different than the reference station, yet varied between each desalination facility. Our results demonstrate that the"&amp;" impact of brine effluent from desalination facilities on benthic bacteria are site-specific and localized (&lt;1.4 Km(2)) around the discharge point. Namely, that the effects on benthic bacteria are prominent at the brine mixing zone and change according to"&amp;" the discharge method used to disperse the brine as well as local stressors (e.g., eutrophication and elevated water temperature). Our results contribute new insights on the effects of desalination-brine to benthic microbes, while providing scientifically"&amp;"-based aspects on the ecological impacts of brine dispersion for decision makers. (C) 2018 Elsevier Ltd. All rights reserved.")</f>
        <v>Seawater desalination facilities continuously discharge hyper-saline brine into the coastal environment which often flows as a concentrated plume over the seafloor, hence possibly impacting benthic micro-organisms. Yet, the effects of brine discharge from desalination plants on benthic bacteria, key players in biodegradation of organic material and nutrient recycling is unknown. In this study, we tested the chronic (years) effects of brine discharge from three large-scale desalination facilities on the abundance, metabolic activity and community composition of benthic bacteria. To this end, four sampling campaigns were carried at the outfall areas of the Ashkelon, Sorek and Hadera desalination facilities. The effects of the brine were compared to corresponding reference stations which were not influenced by the brine (i.e., water temperature and salinity). Our sampling data indicate that bacterial abundance and activity that includes bacterial growth efficiency were 1.3-2.6-fold higher at the outfall area than the reference station. Concomitant analysis pointed out that the bacterial community structure at the brine discharge area was also different than the reference station, yet varied between each desalination facility. Our results demonstrate that the impact of brine effluent from desalination facilities on benthic bacteria are site-specific and localized (&lt;1.4 Km(2)) around the discharge point. Namely, that the effects on benthic bacteria are prominent at the brine mixing zone and change according to the discharge method used to disperse the brine as well as local stressors (e.g., eutrophication and elevated water temperature). Our results contribute new insights on the effects of desalination-brine to benthic microbes, while providing scientifically-based aspects on the ecological impacts of brine dispersion for decision makers. (C) 2018 Elsevier Ltd. All rights reserved.</v>
      </c>
      <c r="C981" s="24" t="str">
        <f>IFERROR(__xludf.DUMMYFUNCTION("""COMPUTED_VALUE"""),"10.1016/j.watres.2018.12.046")</f>
        <v>10.1016/j.watres.2018.12.046</v>
      </c>
      <c r="D981" s="24" t="str">
        <f>IFERROR(__xludf.DUMMYFUNCTION("""COMPUTED_VALUE"""),"Keck et al")</f>
        <v>Keck et al</v>
      </c>
      <c r="E981" s="24" t="str">
        <f>IFERROR(__xludf.DUMMYFUNCTION("""COMPUTED_VALUE"""),"WOS:000458224000045")</f>
        <v>WOS:000458224000045</v>
      </c>
      <c r="F981" s="24" t="str">
        <f>IFERROR(__xludf.DUMMYFUNCTION("""COMPUTED_VALUE"""),"[""ELIGIBLE""]")</f>
        <v>["ELIGIBLE"]</v>
      </c>
    </row>
    <row r="982">
      <c r="A982" s="24" t="str">
        <f>IFERROR(__xludf.DUMMYFUNCTION("""COMPUTED_VALUE"""),"Divergent Responses of Soil Fungi Functional Groups to Short-term Warming")</f>
        <v>Divergent Responses of Soil Fungi Functional Groups to Short-term Warming</v>
      </c>
      <c r="B982" s="24" t="str">
        <f>IFERROR(__xludf.DUMMYFUNCTION("""COMPUTED_VALUE"""),"Soil fungi fill pivotal ecological roles in biogeochemical processes, particularly dominating decomposition of lignin. Little is known, however, about the responses of different fungal groups to climate warming with respect to bacteria. In this study, usi"&amp;"ng barcode pyrosequencing, we showed that short-term (15 months) of field exposure of an alpine meadow to warming (elevated 1 and 2 A degrees C) did not markedly alter the overall soil fungal community structures and alpha-diversity on Tibetan Plateau, bu"&amp;"t the average beta-diversity dramatically decreased in response to warming. However, soil respiration rates were stimulated in the growing season, which significantly (P &lt; 0.001) correlated with soil temperature. Particularly, warming triggered dramatic s"&amp;"hifts in the community structure of dominate Ascomycota and rare taxa (relative abundance &lt; 0.1 %). In addition, the abundances of specific Basidiomycota-affiliated members significantly increased, while Ascomycota showed a range of responses to warming. "&amp;"Collectively, we conclude that the fungal communities are resistant to short-term warming, though variations are observed in certain species and rare taxa. This report indicates that changes in a relatively small subset of the soil fungal community are su"&amp;"fficient to produce substantial changes in function, such as CO2 efflux rates.")</f>
        <v>Soil fungi fill pivotal ecological roles in biogeochemical processes, particularly dominating decomposition of lignin. Little is known, however, about the responses of different fungal groups to climate warming with respect to bacteria. In this study, using barcode pyrosequencing, we showed that short-term (15 months) of field exposure of an alpine meadow to warming (elevated 1 and 2 A degrees C) did not markedly alter the overall soil fungal community structures and alpha-diversity on Tibetan Plateau, but the average beta-diversity dramatically decreased in response to warming. However, soil respiration rates were stimulated in the growing season, which significantly (P &lt; 0.001) correlated with soil temperature. Particularly, warming triggered dramatic shifts in the community structure of dominate Ascomycota and rare taxa (relative abundance &lt; 0.1 %). In addition, the abundances of specific Basidiomycota-affiliated members significantly increased, while Ascomycota showed a range of responses to warming. Collectively, we conclude that the fungal communities are resistant to short-term warming, though variations are observed in certain species and rare taxa. This report indicates that changes in a relatively small subset of the soil fungal community are sufficient to produce substantial changes in function, such as CO2 efflux rates.</v>
      </c>
      <c r="C982" s="24" t="str">
        <f>IFERROR(__xludf.DUMMYFUNCTION("""COMPUTED_VALUE"""),"10.1007/s00248-014-0385-6")</f>
        <v>10.1007/s00248-014-0385-6</v>
      </c>
      <c r="D982" s="24" t="str">
        <f>IFERROR(__xludf.DUMMYFUNCTION("""COMPUTED_VALUE"""),"Keck et al")</f>
        <v>Keck et al</v>
      </c>
      <c r="E982" s="24" t="str">
        <f>IFERROR(__xludf.DUMMYFUNCTION("""COMPUTED_VALUE"""),"WOS:000344075300006")</f>
        <v>WOS:000344075300006</v>
      </c>
      <c r="F982" s="24" t="str">
        <f>IFERROR(__xludf.DUMMYFUNCTION("""COMPUTED_VALUE"""),"[""ELIGIBLE""]")</f>
        <v>["ELIGIBLE"]</v>
      </c>
    </row>
    <row r="983">
      <c r="A983" s="24" t="str">
        <f>IFERROR(__xludf.DUMMYFUNCTION("""COMPUTED_VALUE"""),"The challenge of maintaining Atlantic forest biodiversity: A multi-taxa conservation assessment of specialist and generalist species in an agro-forestry mosaic in southern Bahia")</f>
        <v>The challenge of maintaining Atlantic forest biodiversity: A multi-taxa conservation assessment of specialist and generalist species in an agro-forestry mosaic in southern Bahia</v>
      </c>
      <c r="B983" s="24" t="str">
        <f>IFERROR(__xludf.DUMMYFUNCTION("""COMPUTED_VALUE"""),"Recent developments have highlighted the importance of forest amount at large spatial scales and of matrix quality for ecological processes in remnants. These developments, in turn, suggest the potential for reducing biodiversity loss through the maintena"&amp;"nce of a high percentage of forest combined with sensitive management of anthropogenic areas. We conducted a multi-taxa survey to evaluate the potential for biodiversity maintenance in an Atlantic forest landscape that presented a favorable context from a"&amp;" theoretical perspective (high proportion of mature forest partly surrounded by structurally complex matrices). We sampled ferns, butterflies, frogs, lizards, bats, small mammals and birds in interiors and edges of large and small mature forest remnants a"&amp;"nd two matrices (second-growth forests and shade cacao plantations), as well as trees in interiors of small and large remnants. By considering richness, abundance and composition of forest specialists and generalists, we investigated the biodiversity valu"&amp;"e of matrix habitats (comparing them with interiors of large remnants for all groups except tree), and evaluated area (for all groups) and edge effects (for all groups except trees) in mature forest remnants. our results suggest that in landscapes compris"&amp;"ing high amounts of mature forest and low contrasting matrices: (1) shade cacao plantations and second-growth forests harbor an appreciable number of forest specialists; (2) most forest specialist assemblages are not affected by area or edge effects, whil"&amp;"e most generalist assemblages proliferate at edges of small remnants. Nevertheless, differences in tree assemblages, especially among smaller trees, Suggest that observed patterns are unlikely to be stable over time. (C) 2009 Elsevier Ltd. All rights rese"&amp;"rved.")</f>
        <v>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v>
      </c>
      <c r="C983" s="24" t="str">
        <f>IFERROR(__xludf.DUMMYFUNCTION("""COMPUTED_VALUE"""),"10.1016/j.biocon.2009.02.010")</f>
        <v>10.1016/j.biocon.2009.02.010</v>
      </c>
      <c r="D983" s="24" t="str">
        <f>IFERROR(__xludf.DUMMYFUNCTION("""COMPUTED_VALUE"""),"Keck et al")</f>
        <v>Keck et al</v>
      </c>
      <c r="E983" s="24" t="str">
        <f>IFERROR(__xludf.DUMMYFUNCTION("""COMPUTED_VALUE"""),"WOS:000266154000006")</f>
        <v>WOS:000266154000006</v>
      </c>
      <c r="F983" s="24" t="str">
        <f>IFERROR(__xludf.DUMMYFUNCTION("""COMPUTED_VALUE"""),"[""ELIGIBLE""]")</f>
        <v>["ELIGIBLE"]</v>
      </c>
    </row>
    <row r="984">
      <c r="A984" s="24" t="str">
        <f>IFERROR(__xludf.DUMMYFUNCTION("""COMPUTED_VALUE"""),"Responses of ground-active beetle assemblages to different styles of reforestation on cleared rainforest land")</f>
        <v>Responses of ground-active beetle assemblages to different styles of reforestation on cleared rainforest land</v>
      </c>
      <c r="B984" s="24" t="str">
        <f>IFERROR(__xludf.DUMMYFUNCTION("""COMPUTED_VALUE"""),"Despite increasing efforts to re-establish forest cover in landscapes that have been previously cleared, the relative ability of different styles of reforestation to contribute to conservation and support forest biota is poorly known, particularly for inv"&amp;"ertebrates. We investigated the use of different types of reforested habitat by ground-active rainforest beetle assemblages on land, which had been previously cleared of rainforest, in the tropics and subtropics of eastern Australia. Between five and ten "&amp;"replicate sites within each of five reforestation styles were selected in each region: un-managed regrowth, young mono-species timber plantations, young mixed-species timber plantations, ecological restoration plantings, and old mono-species timber planta"&amp;"tions, together with reference sites in pasture and in intact rainforest. Ground-active beetles were sampled using pitfall traps, and assemblages were compared among site-types. In both regions, beetle assemblages in all styles of reforestation were inter"&amp;"mediate in species composition between pasture and rainforest. The similarity of beetle assemblages to intact rainforest increased with the age and structural complexity of reforested sites. The most rainforest-like beetle assemblages were from older refo"&amp;"restation sites (38-70 year plantations in tropics, and 30-40 year regrowth in subtropics) and in younger (6-22 years) but floristically and structurally diverse ecological restoration plantings in both regions. Assemblages in younger (5-20 year) sites of"&amp;" regrowth, mono-species timber plantations, and mixed-species timber plantations were more similar to pasture than rainforest. We conclude that achieving high canopy cover and sufficient structural complexity are important factors associated with the rest"&amp;"oration of rainforest-like beetle assemblages to reforested sites.")</f>
        <v>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v>
      </c>
      <c r="C984" s="24" t="str">
        <f>IFERROR(__xludf.DUMMYFUNCTION("""COMPUTED_VALUE"""),"10.1007/s10531-006-9146-2")</f>
        <v>10.1007/s10531-006-9146-2</v>
      </c>
      <c r="D984" s="24" t="str">
        <f>IFERROR(__xludf.DUMMYFUNCTION("""COMPUTED_VALUE"""),"Keck et al")</f>
        <v>Keck et al</v>
      </c>
      <c r="E984" s="24" t="str">
        <f>IFERROR(__xludf.DUMMYFUNCTION("""COMPUTED_VALUE"""),"WOS:000247153100012")</f>
        <v>WOS:000247153100012</v>
      </c>
      <c r="F984" s="24" t="str">
        <f>IFERROR(__xludf.DUMMYFUNCTION("""COMPUTED_VALUE"""),"[""ELIGIBLE""]")</f>
        <v>["ELIGIBLE"]</v>
      </c>
    </row>
    <row r="985">
      <c r="A985" s="24" t="str">
        <f>IFERROR(__xludf.DUMMYFUNCTION("""COMPUTED_VALUE"""),"Repeated exposure to fungicide tebuconazole alters the degradation characteristics, soil microbial community and functional profiles*")</f>
        <v>Repeated exposure to fungicide tebuconazole alters the degradation characteristics, soil microbial community and functional profiles*</v>
      </c>
      <c r="B985" s="24" t="str">
        <f>IFERROR(__xludf.DUMMYFUNCTION("""COMPUTED_VALUE"""),"Tebuconazole is a broad-spectrum triazole fungicide that has been extensively applied in agriculture, but its toxicity on soil ecology remains unknown after repeated introduction to soil. This study investigated the degradation of tebuconazole and the cha"&amp;"nges in soil microbial community composition and functional diversity as well as network complexity in soil repeatedly treated with tebuconazole. Tebuconazole degraded slowly as the degradation half-life initially increased and then decreased during the f"&amp;"our repeated treatments. High concentration of tebuconazole treatment significantly delayed the degradation of tebuconazole. The soil microbial functional diversity in tebuconazole-treated soils showed an inhibition-recovery-stimulation trend with increas"&amp;"ing treatment frequency, which was related to the increased degradation rates of tebuconazole. Tebuconazole significantly decreased soil microbial biomass and bacterial community diversity, and this decreasing trend became more pronounced with increasing "&amp;"treatment frequency and concentration. Moreover, tebuconazole significantly decreased soil bacterial community network complexity, particularly at high concentration of tebuconazole treatment. Notably, four bacterial genera, Methylobacterium, Burkholderia"&amp;", Hyphomicrobium, and Dermacoccus, were identified as the potential tebuconazole-degrading bacteria, with the relative abundances in the tebuconazole treatment significantly increasing by 42.1-34687.1% compared to the control. High concentration of tebuco"&amp;"nazole treatment delayed increases in the relative abundances of Methylobacterium but promoted those of Burkholderia, Hyphomicrobium and Dermacoccus. Additionally, repeated tebuconazole treatments improved only four metabolic pathways, cell motility, memb"&amp;"rane transport, environmental information processing, and xenobiotics biodegradation and metabolism, which were associated with the degradation of tebuconazole. The above results indicated that repeated tebuconazole treatments resulted in the significant "&amp;"accumulation of residues and long-term negative effects on soil ecology, and also emphasized the potential roles of dominant indigenous microbial bacteria in the degradation of tebuconazole.")</f>
        <v>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v>
      </c>
      <c r="C985" s="24" t="str">
        <f>IFERROR(__xludf.DUMMYFUNCTION("""COMPUTED_VALUE"""),"10.1016/j.envpol.2021.117660")</f>
        <v>10.1016/j.envpol.2021.117660</v>
      </c>
      <c r="D985" s="24" t="str">
        <f>IFERROR(__xludf.DUMMYFUNCTION("""COMPUTED_VALUE"""),"Keck et al")</f>
        <v>Keck et al</v>
      </c>
      <c r="E985" s="24" t="str">
        <f>IFERROR(__xludf.DUMMYFUNCTION("""COMPUTED_VALUE"""),"WOS:000693969100004")</f>
        <v>WOS:000693969100004</v>
      </c>
      <c r="F985" s="24" t="str">
        <f>IFERROR(__xludf.DUMMYFUNCTION("""COMPUTED_VALUE"""),"[""ELIGIBLE""]")</f>
        <v>["ELIGIBLE"]</v>
      </c>
    </row>
    <row r="986">
      <c r="A986" s="24" t="str">
        <f>IFERROR(__xludf.DUMMYFUNCTION("""COMPUTED_VALUE"""),"Response of macrophyte communities to flow regulation in mountain streams")</f>
        <v>Response of macrophyte communities to flow regulation in mountain streams</v>
      </c>
      <c r="B986" s="24" t="str">
        <f>IFERROR(__xludf.DUMMYFUNCTION("""COMPUTED_VALUE"""),"River macrophytes are widely used in freshwater ecosystem assessment because of their sensitivity to anthropogenic pressures, even if there are only a few studies that investigated how macrophytes respond to water regime alterations. In this study, we ana"&amp;"lyzed the effects of dams on river macrophyte communities through a comparison between upstream and downstream sides from 18 dams located in Alps and Apennines. A co-inertia analysis and a Mantel test were applied to assess if the analysis of environmenta"&amp;"l parameters could be effective in predicting macrophyte community structure. We analyzed morphological and physicochemical inter-site differences and tested the influence of dams on various aspects of community structure (composition, richness, diversity"&amp;", dominance, coverage) using multivariate randomized block permutation procedure. Plant similarity between sites was evaluated at the level of phylum, and indicator species analysis was performed to identify the taxa most sensitive or tolerant to water re"&amp;"gulation. We found that the overall environmental setting overwhelms the dam impact and that the influence of hydrological alteration became apparent when comparing upstream and downstream assemblages at the same dam. In particular, we found that most of "&amp;"taxa had a higher affinity with the downstream side and that in general, stream regulation increases plant richness and coverage, but reduces community evenness. Analyses based on higher taxonomic groups (phyla) demonstrated that this community can be eff"&amp;"ectively used in bioassessment even at phylum level analysis. In particular, we found that bryophytes, strictly linked with changes in substrate stability, show particular sensitivity to water regulation in mountain streams.")</f>
        <v>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v>
      </c>
      <c r="C986" s="24" t="str">
        <f>IFERROR(__xludf.DUMMYFUNCTION("""COMPUTED_VALUE"""),"10.1007/s10661-016-5420-2")</f>
        <v>10.1007/s10661-016-5420-2</v>
      </c>
      <c r="D986" s="24" t="str">
        <f>IFERROR(__xludf.DUMMYFUNCTION("""COMPUTED_VALUE"""),"Keck et al")</f>
        <v>Keck et al</v>
      </c>
      <c r="E986" s="24" t="str">
        <f>IFERROR(__xludf.DUMMYFUNCTION("""COMPUTED_VALUE"""),"WOS:000378840300031")</f>
        <v>WOS:000378840300031</v>
      </c>
      <c r="F986" s="24" t="str">
        <f>IFERROR(__xludf.DUMMYFUNCTION("""COMPUTED_VALUE"""),"[""ELIGIBLE""]")</f>
        <v>["ELIGIBLE"]</v>
      </c>
    </row>
    <row r="987">
      <c r="A987" s="24" t="str">
        <f>IFERROR(__xludf.DUMMYFUNCTION("""COMPUTED_VALUE"""),"Changes in the diversity of evergreen and deciduous species during natural recovery following clear-cutting in a subtropical evergreen-deciduous broadleaved mixed forest of central China")</f>
        <v>Changes in the diversity of evergreen and deciduous species during natural recovery following clear-cutting in a subtropical evergreen-deciduous broadleaved mixed forest of central China</v>
      </c>
      <c r="B987" s="24" t="str">
        <f>IFERROR(__xludf.DUMMYFUNCTION("""COMPUTED_VALUE"""),"Clear-cutting has been a widespread commercial logging practice, causing substantial changes of biodiversity in many forests throughout the world. Forest recovery is a complex ecological process, and examining the recovery process after clear-cutting is i"&amp;"mportant for forest conservation and management. In the present study, we established fourteen 20 m x 20 m plots in three recovery stages (20-year-old second growth, 35-year-old second growth and old growth) and explored the changes in evergreen and decid"&amp;"uous species diversity after clear-cutting in a subtropical evergreen-deciduous broadleaved mixed forest in central China. The results showed that total species richness was highest at the intermediate recovery stage. The species richness and stem abundan"&amp;"ce of evergreen species increased, while total and deciduous species stem abundance decreased with forest recovery. The basal area of both total and evergreen species increased, while that of the deciduous species showed a unimodal pattern. The abiotic co"&amp;"nditions varied with the recovery process. Changes in species compositions were generally correlated with soil pH, total phosphorus, and CO. Our results suggest that deciduous species richness and stem abundance can recover after 20-35 years, but evergree"&amp;"n species need more time to recover following clear-cutting.")</f>
        <v>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v>
      </c>
      <c r="C987" s="24" t="str">
        <f>IFERROR(__xludf.DUMMYFUNCTION("""COMPUTED_VALUE"""),"10.1177/194008291500800413")</f>
        <v>10.1177/194008291500800413</v>
      </c>
      <c r="D987" s="24" t="str">
        <f>IFERROR(__xludf.DUMMYFUNCTION("""COMPUTED_VALUE"""),"Keck et al")</f>
        <v>Keck et al</v>
      </c>
      <c r="E987" s="24" t="str">
        <f>IFERROR(__xludf.DUMMYFUNCTION("""COMPUTED_VALUE"""),"WOS:000368472400013")</f>
        <v>WOS:000368472400013</v>
      </c>
      <c r="F987" s="24" t="str">
        <f>IFERROR(__xludf.DUMMYFUNCTION("""COMPUTED_VALUE"""),"[""ELIGIBLE""]")</f>
        <v>["ELIGIBLE"]</v>
      </c>
    </row>
    <row r="988">
      <c r="A988" s="24" t="str">
        <f>IFERROR(__xludf.DUMMYFUNCTION("""COMPUTED_VALUE"""),"Macrobenthic communities in a fishery exclusion zone and in a trawled area of the middle Adriatic Sea (Italy)")</f>
        <v>Macrobenthic communities in a fishery exclusion zone and in a trawled area of the middle Adriatic Sea (Italy)</v>
      </c>
      <c r="B988" s="24" t="str">
        <f>IFERROR(__xludf.DUMMYFUNCTION("""COMPUTED_VALUE"""),"Macrobenthic communities in a commercial fishing ground (middle Adriatic Sea) exploited by offer trawling were compared with communities living in all area closed to fishing for over 10 years located near a gas platform. Our data highlighted significant d"&amp;"ifferences in macrofaunal community structure between the two areas. In addition, the macrofaunal communities in the fished area displayed evidence of a higher level of stress compared with the other one. Several taxa reported in the literature as being s"&amp;"ensitive to trawling (e.g., Ebalia tuberosa, Callianassa subterranea) were markedly more abundant in the area not affected by fishing. Macrofaunal community analysis using the index of multivariate dispersion and k-dominance curves provided evidence of st"&amp;"ress in the fished area; however, it is not possible to predict whether the patterns observed will remain consistent over time based oil only two temporal replicates. It is likely that the magnitude of the macrofaunal community response to fishing changes"&amp;" during the year according to season and fishing effort.")</f>
        <v>Macrobenthic communities in a commercial fishing ground (middle Adriatic Sea) exploited by offer trawling were compared with communities living in all area closed to fishing for over 10 years located near a gas platform. Our data highlighted significant differences in macrofaunal community structure between the two areas. In addition, the macrofaunal communities in the fished area displayed evidence of a higher level of stress compared with the other one. Several taxa reported in the literature as being sensitive to trawling (e.g., Ebalia tuberosa, Callianassa subterranea) were markedly more abundant in the area not affected by fishing. Macrofaunal community analysis using the index of multivariate dispersion and k-dominance curves provided evidence of stress in the fished area; however, it is not possible to predict whether the patterns observed will remain consistent over time based oil only two temporal replicates. It is likely that the magnitude of the macrofaunal community response to fishing changes during the year according to season and fishing effort.</v>
      </c>
      <c r="C988" s="24" t="str">
        <f>IFERROR(__xludf.DUMMYFUNCTION("""COMPUTED_VALUE"""),"10.7773/cm.v34i4.1382")</f>
        <v>10.7773/cm.v34i4.1382</v>
      </c>
      <c r="D988" s="24" t="str">
        <f>IFERROR(__xludf.DUMMYFUNCTION("""COMPUTED_VALUE"""),"Keck et al")</f>
        <v>Keck et al</v>
      </c>
      <c r="E988" s="24" t="str">
        <f>IFERROR(__xludf.DUMMYFUNCTION("""COMPUTED_VALUE"""),"WOS:000262591300003")</f>
        <v>WOS:000262591300003</v>
      </c>
      <c r="F988" s="24" t="str">
        <f>IFERROR(__xludf.DUMMYFUNCTION("""COMPUTED_VALUE"""),"[""ELIGIBLE""]")</f>
        <v>["ELIGIBLE"]</v>
      </c>
    </row>
    <row r="989">
      <c r="A989" s="24" t="str">
        <f>IFERROR(__xludf.DUMMYFUNCTION("""COMPUTED_VALUE"""),"Effects of sediment flushing from a small Alpine reservoir on downstream aquatic fauna")</f>
        <v>Effects of sediment flushing from a small Alpine reservoir on downstream aquatic fauna</v>
      </c>
      <c r="B989" s="24" t="str">
        <f>IFERROR(__xludf.DUMMYFUNCTION("""COMPUTED_VALUE"""),"Sediment flushing is currently performed to recover the storage capacity of small-sized to medium-sized reservoirs. However, its environmental impacts are not yet adequately quantified. This work aimed to evaluate the effects of a 3-day sediment flushing "&amp;"from a small reservoir in the Italian Alps on downstream freshwater fauna. Biomonitoring was carried out in two streams. In the impounded stream, benthic macroinvertebrates were surveyed immediately below the flushed reservoir. In the receiving stream, wh"&amp;"ere diluting flows were released to reduce the sediment concentration and deposition, fish and macroinvertebrates were monitored at two sites, one above and one below the stream junction. Above the stream junction, the only disturbance was the increase in"&amp;" streamflow, while the reach below the stream junction was perturbed by the increase in both streamflow and sediment load. At the site closer to the flushed reservoir, the benthic community was almost completely impaired after the operations, and its reco"&amp;"very was still incomplete after 1 year. In the receiving stream, the average sediment concentration of approximately 6 g l(-1) and deposition of 30 kg m(-2) were estimated at the site subjected to the sediment increase. A density reduction of 80% and a ch"&amp;"ange in composition affected the macroinvertebrate assemblage, which recovered in approximately 9 months. At the same site, the fish survey showed that brown trout juveniles were affected by the sediment load from the flushing operations. Only minor effec"&amp;"ts were detected on macroinvertebrates and fish subjected only to the increase in streamflow, i.e. above the stream junction. Copyright (C) 2016 John Wiley &amp; Sons, Ltd.")</f>
        <v>Sediment flushing is currently performed to recover the storage capacity of small-sized to medium-sized reservoirs. However, its environmental impacts are not yet adequately quantified. This work aimed to evaluate the effects of a 3-day sediment flushing from a small reservoir in the Italian Alps on downstream freshwater fauna. Biomonitoring was carried out in two streams. In the impounded stream, benthic macroinvertebrates were surveyed immediately below the flushed reservoir. In the receiving stream, where diluting flows were released to reduce the sediment concentration and deposition, fish and macroinvertebrates were monitored at two sites, one above and one below the stream junction. Above the stream junction, the only disturbance was the increase in streamflow, while the reach below the stream junction was perturbed by the increase in both streamflow and sediment load. At the site closer to the flushed reservoir, the benthic community was almost completely impaired after the operations, and its recovery was still incomplete after 1 year. In the receiving stream, the average sediment concentration of approximately 6 g l(-1) and deposition of 30 kg m(-2) were estimated at the site subjected to the sediment increase. A density reduction of 80% and a change in composition affected the macroinvertebrate assemblage, which recovered in approximately 9 months. At the same site, the fish survey showed that brown trout juveniles were affected by the sediment load from the flushing operations. Only minor effects were detected on macroinvertebrates and fish subjected only to the increase in streamflow, i.e. above the stream junction. Copyright (C) 2016 John Wiley &amp; Sons, Ltd.</v>
      </c>
      <c r="C989" s="24" t="str">
        <f>IFERROR(__xludf.DUMMYFUNCTION("""COMPUTED_VALUE"""),"10.1002/eco.1725")</f>
        <v>10.1002/eco.1725</v>
      </c>
      <c r="D989" s="24" t="str">
        <f>IFERROR(__xludf.DUMMYFUNCTION("""COMPUTED_VALUE"""),"Keck et al")</f>
        <v>Keck et al</v>
      </c>
      <c r="E989" s="24" t="str">
        <f>IFERROR(__xludf.DUMMYFUNCTION("""COMPUTED_VALUE"""),"WOS:000390021700011")</f>
        <v>WOS:000390021700011</v>
      </c>
      <c r="F989" s="24" t="str">
        <f>IFERROR(__xludf.DUMMYFUNCTION("""COMPUTED_VALUE"""),"[""ELIGIBLE""]")</f>
        <v>["ELIGIBLE"]</v>
      </c>
    </row>
    <row r="990">
      <c r="A990" s="24" t="str">
        <f>IFERROR(__xludf.DUMMYFUNCTION("""COMPUTED_VALUE"""),"Impact of introduced herbivores on understory vegetation along a regional moisture gradient in Patagonian beech forests")</f>
        <v>Impact of introduced herbivores on understory vegetation along a regional moisture gradient in Patagonian beech forests</v>
      </c>
      <c r="B990" s="24" t="str">
        <f>IFERROR(__xludf.DUMMYFUNCTION("""COMPUTED_VALUE"""),"Introduced ungulates can alter understory structure and composition posing a serious threat to forest biodiversity. Yet how large-herbivore impacts in forested regions vary along major environmental gradients remains little explored. If ungulate effects s"&amp;"hift with habitat conditions, then management could be tailored to protect most vulnerable forests. We tested the hypothesis that the extent of livestock impact on understory vegetation increases with habitat moisture across Nothofagus dombeyi forests in "&amp;"Nahuel Huapi National Park, NW Patagonia, Argentina. Understory composition and species diversity were compared for paired sites (N = 5), which were historically used by cattle or remained free of livestock for more than 50 yr, and were located along a re"&amp;"gional precipitation gradient (1500-2800 mm/yr). Long-term cattle presence reduced the cover of sub-canopy trees, shrubs and bamboo by 57-83%, and increased the relative cover of ground-layer herbs, regardless of habitat moisture. Livestock effects on spe"&amp;"cies composition increased towards the wettest forests, which contained more species exclusive to either browsed or unbrowsed sites. Livestock presence increased species richness (alpha diversity) and within-site heterogeneity (beta diversity) in some loc"&amp;"ations, but mostly reduced species evenness (30%) throughout the moisture gradient. Species turnover at the gradient scale was lower across browsed sites than for livestock-free sites. Our results indicate that the historical presence of domestic cattle i"&amp;"nduced region-wide changes in understory communities, highlighting the vulnerable nature of the local flora to ungulate disturbance. The greater impact of livestock browsing on the species composition of wetter forests was consistent with the role of plan"&amp;"t growth-defence trade-offs along resource gradients. We suggest that the erosion of understory vegetation attributed to domestic herbivores in Patagonian beech forests can be mitigated by adjusting current animal stocks, while moister forests should be g"&amp;"iven the highest conservation priority. (C) 2016 Elsevier B.V. All rights reserved.")</f>
        <v>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v>
      </c>
      <c r="C990" s="24" t="str">
        <f>IFERROR(__xludf.DUMMYFUNCTION("""COMPUTED_VALUE"""),"10.1016/j.foreco.2016.01.035")</f>
        <v>10.1016/j.foreco.2016.01.035</v>
      </c>
      <c r="D990" s="24" t="str">
        <f>IFERROR(__xludf.DUMMYFUNCTION("""COMPUTED_VALUE"""),"Keck et al")</f>
        <v>Keck et al</v>
      </c>
      <c r="E990" s="24" t="str">
        <f>IFERROR(__xludf.DUMMYFUNCTION("""COMPUTED_VALUE"""),"WOS:000375161100002")</f>
        <v>WOS:000375161100002</v>
      </c>
      <c r="F990" s="24" t="str">
        <f>IFERROR(__xludf.DUMMYFUNCTION("""COMPUTED_VALUE"""),"[""ELIGIBLE""]")</f>
        <v>["ELIGIBLE"]</v>
      </c>
    </row>
    <row r="991">
      <c r="A991" s="24" t="str">
        <f>IFERROR(__xludf.DUMMYFUNCTION("""COMPUTED_VALUE"""),"Soil infectivity and arbuscular mycorrhizal fungi communities in four urban green sites in central Argentina")</f>
        <v>Soil infectivity and arbuscular mycorrhizal fungi communities in four urban green sites in central Argentina</v>
      </c>
      <c r="B991" s="24" t="str">
        <f>IFERROR(__xludf.DUMMYFUNCTION("""COMPUTED_VALUE"""),"Many cities around the globe strive for create and maintain urban forests to improve human health, welfare and more positive interactions towards nature. Frequently, the only available land has compacted and degraded soils with an altered soil biota. Stud"&amp;"ies are needed to address soilborne fungi biodiversity especially that of arbuscular mycorrhizal fungi (AMF), essential for plant development. Our aim was to evaluate the AMF community composition and soil infectivity in four urban sites with different di"&amp;"sturbance levels and management histories (C ' ordoba, Argentina). In two urban forests (reference and restored) and two parklands (forested and control), indigenous AMF morphospecies, soil compaction and dominant plant cover were determined together with"&amp;" the soil infectivity in a greenhouse experiment. Results indicated that AMF communities were dominated by Funneliformis geosporum, Glomus brohultii and Rhizophagus intraradices which are considered generalists and resilient to harsh environmental conditi"&amp;"ons. AMF community composition varied greatly between the undisturbed reference site and the more disturbed parklands. The richness, diversity and soil infectivity were higher in both urban forests compared to parklands and was partially related with the "&amp;"greater variety of plant physiognomies (in restored site), the dominance of arboreal cover (in reference site) and the lowest soil compaction compared to parklands. In the restored forest, AMF richness and diversity were higher compared to the parklands a"&amp;"nd to the control parkland, respectively. The greater subsoil compaction and the higher percentage of herbaceous cover (mainly monospecific lawn) represented the most disturbed conditions as a consequence of trampling and subsequent soil erosion. We concl"&amp;"uded that differences existed between urban forests and parklands sites with variable disturbance intensities and management histories, however, the parameters analysed here do not fully describe the effects of local urban conditions in the composition an"&amp;"d infectivity status of AMF in the soil, and hence future research approaches are discussed.")</f>
        <v>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v>
      </c>
      <c r="C991" s="24" t="str">
        <f>IFERROR(__xludf.DUMMYFUNCTION("""COMPUTED_VALUE"""),"10.1016/j.ufug.2021.127285")</f>
        <v>10.1016/j.ufug.2021.127285</v>
      </c>
      <c r="D991" s="24" t="str">
        <f>IFERROR(__xludf.DUMMYFUNCTION("""COMPUTED_VALUE"""),"Keck et al")</f>
        <v>Keck et al</v>
      </c>
      <c r="E991" s="24" t="str">
        <f>IFERROR(__xludf.DUMMYFUNCTION("""COMPUTED_VALUE"""),"WOS:000696626400008")</f>
        <v>WOS:000696626400008</v>
      </c>
      <c r="F991" s="24" t="str">
        <f>IFERROR(__xludf.DUMMYFUNCTION("""COMPUTED_VALUE"""),"[""ELIGIBLE""]")</f>
        <v>["ELIGIBLE"]</v>
      </c>
    </row>
    <row r="992">
      <c r="A992" s="24" t="str">
        <f>IFERROR(__xludf.DUMMYFUNCTION("""COMPUTED_VALUE"""),"Identifying Catchment-Scale Predictors of Coal Mining Impacts on New Zealand Stream Communities")</f>
        <v>Identifying Catchment-Scale Predictors of Coal Mining Impacts on New Zealand Stream Communities</v>
      </c>
      <c r="B992" s="24" t="str">
        <f>IFERROR(__xludf.DUMMYFUNCTION("""COMPUTED_VALUE"""),"Coal mining activities can have severe and long-term impacts on freshwater ecosystems. At the individual stream scale, these impacts have been well studied; however, few attempts have been made to determine the predictors of mine impacts at a regional sca"&amp;"le. We investigated whether catchment-scale measures of mining impacts could be used to predict biological responses. We collated data from multiple studies and analyzed algae, benthic invertebrate, and fish community data from 186 stream sites, including"&amp;" un-mined streams, and those associated with 620 mines on the West Coast of the South Island, New Zealand. Algal, invertebrate, and fish richness responded to mine impacts and were significantly higher in un-mined compared to mine-impacted streams. Change"&amp;"s in community composition toward more acid- and metal-tolerant species were evident for algae and invertebrates, whereas changes in fish communities were significant and driven by a loss of nonmigratory native species. Consistent catchment-scale predicto"&amp;"rs of mining activities affecting biota included the time post mining (years), mining density (the number of mines upstream per catchment area), and mining intensity (tons of coal production per catchment area). Mining was associated with a decline in str"&amp;"eam biodiversity irrespective of catchment size, and recovery was not evident until at least 30 years after mining activities have ceased. These catchment-scale predictors can provide managers and regulators with practical metrics to focus on management a"&amp;"nd remediation decisions.")</f>
        <v>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v>
      </c>
      <c r="C992" s="24" t="str">
        <f>IFERROR(__xludf.DUMMYFUNCTION("""COMPUTED_VALUE"""),"10.1007/s00267-015-0627-5")</f>
        <v>10.1007/s00267-015-0627-5</v>
      </c>
      <c r="D992" s="24" t="str">
        <f>IFERROR(__xludf.DUMMYFUNCTION("""COMPUTED_VALUE"""),"Keck et al")</f>
        <v>Keck et al</v>
      </c>
      <c r="E992" s="24" t="str">
        <f>IFERROR(__xludf.DUMMYFUNCTION("""COMPUTED_VALUE"""),"WOS:000370198400016")</f>
        <v>WOS:000370198400016</v>
      </c>
      <c r="F992" s="24" t="str">
        <f>IFERROR(__xludf.DUMMYFUNCTION("""COMPUTED_VALUE"""),"[""ELIGIBLE""]")</f>
        <v>["ELIGIBLE"]</v>
      </c>
    </row>
    <row r="993">
      <c r="A993" s="24" t="str">
        <f>IFERROR(__xludf.DUMMYFUNCTION("""COMPUTED_VALUE"""),"Deep-Sea Mega-Epibenthic Assemblages from the SW Portuguese Margin (NE Atlantic) Subjected to Bottom-Trawling Fisheries")</f>
        <v>Deep-Sea Mega-Epibenthic Assemblages from the SW Portuguese Margin (NE Atlantic) Subjected to Bottom-Trawling Fisheries</v>
      </c>
      <c r="B993" s="24" t="str">
        <f>IFERROR(__xludf.DUMMYFUNCTION("""COMPUTED_VALUE"""),"Bottom-trawling fisheries are a common threat to the health of continental margins worldwide. Together with numerous environmental and biological processes, physical disturbance induced by trawlers can largely shape the benthic habitats and their associat"&amp;"ed assemblages. At the SW Portuguese Margin, crustacean bottom trawlers have exploited deep-sea habitats for a few decades, but its effects on the benthic biodiversity are practically unknown. During the spring-summer of 2013 and 2014, several Remotely Op"&amp;"erated Vehicle (ROV) video transects were used to investigate mega-epibenthic abundance, composition, and diversity in soft-sediment areas subjected to varying trawling pressures off Sines and Setubal (200-800 m). Differences in mega-epibenthic assemblage"&amp;"s were linked with environmental changes (depth, grain size, primary productivity) and trawling disturbance. The effect of trawling was assessed between segments with similar habitat characteristics, i.e., muddy-sand bottoms between 300 and 500 m. Areas s"&amp;"ubjected to intensive trawling pressure showed a generally flattened seabed, with abundant recent trawl marks (up to 3 scars.100 m(-1)), indicating that the seabed physical integrity was compromised. Significant negative correlations were detected between"&amp;" various mega-epibenthic diversity indices [S, H', and ET(20)] and trawling pressure (h.cell(-1).y(-1)). Furthermore, the distinct mega-epibenthic assemblages and absence of several sessile erect morphospecies at both low and highly disturbed locations by"&amp;" trawling off Sines, namely all seapen morphospecies found in non-trawled areas, demonstrates the negative influence of trawling fisheries on the benthic component of the study area. Also, low dissimilarity between assemblages from the main fishing ground"&amp;"s and the adjacent low-disturbance locations, suggests that the potentially negative influence of trawling can extend beyond the targeted areas (e.g., by the plumes of re-suspended sediments). The observed deleterious effects of trawling on mega-epibenthi"&amp;"c fauna together with the intensification of trawling pressure in the study area, stress the need for adequate monitoring programs and regulatory measures to halt the long-term loss of biodiversity and allow the sustainability of fisheries at the SW Portu"&amp;"guese Margin.")</f>
        <v>Bottom-trawling fisheries are a common threat to the health of continental margins worldwide. Together with numerous environmental and biological processes, physical disturbance induced by trawlers can largely shape the benthic habitats and their associated assemblages. At the SW Portuguese Margin, crustacean bottom trawlers have exploited deep-sea habitats for a few decades, but its effects on the benthic biodiversity are practically unknown. During the spring-summer of 2013 and 2014, several Remotely Operated Vehicle (ROV) video transects were used to investigate mega-epibenthic abundance, composition, and diversity in soft-sediment areas subjected to varying trawling pressures off Sines and Setubal (200-800 m). Differences in mega-epibenthic assemblages were linked with environmental changes (depth, grain size, primary productivity) and trawling disturbance. The effect of trawling was assessed between segments with similar habitat characteristics, i.e., muddy-sand bottoms between 300 and 500 m. Areas subjected to intensive trawling pressure showed a generally flattened seabed, with abundant recent trawl marks (up to 3 scars.100 m(-1)), indicating that the seabed physical integrity was compromised. Significant negative correlations were detected between various mega-epibenthic diversity indices [S, H', and ET(20)] and trawling pressure (h.cell(-1).y(-1)). Furthermore, the distinct mega-epibenthic assemblages and absence of several sessile erect morphospecies at both low and highly disturbed locations by trawling off Sines, namely all seapen morphospecies found in non-trawled areas, demonstrates the negative influence of trawling fisheries on the benthic component of the study area. Also, low dissimilarity between assemblages from the main fishing grounds and the adjacent low-disturbance locations, suggests that the potentially negative influence of trawling can extend beyond the targeted areas (e.g., by the plumes of re-suspended sediments). The observed deleterious effects of trawling on mega-epibenthic fauna together with the intensification of trawling pressure in the study area, stress the need for adequate monitoring programs and regulatory measures to halt the long-term loss of biodiversity and allow the sustainability of fisheries at the SW Portuguese Margin.</v>
      </c>
      <c r="C993" s="24" t="str">
        <f>IFERROR(__xludf.DUMMYFUNCTION("""COMPUTED_VALUE"""),"10.3389/fmars.2017.00350")</f>
        <v>10.3389/fmars.2017.00350</v>
      </c>
      <c r="D993" s="24" t="str">
        <f>IFERROR(__xludf.DUMMYFUNCTION("""COMPUTED_VALUE"""),"Keck et al")</f>
        <v>Keck et al</v>
      </c>
      <c r="E993" s="24" t="str">
        <f>IFERROR(__xludf.DUMMYFUNCTION("""COMPUTED_VALUE"""),"WOS:000457690600348")</f>
        <v>WOS:000457690600348</v>
      </c>
      <c r="F993" s="24" t="str">
        <f>IFERROR(__xludf.DUMMYFUNCTION("""COMPUTED_VALUE"""),"[""ELIGIBLE""]")</f>
        <v>["ELIGIBLE"]</v>
      </c>
    </row>
    <row r="994">
      <c r="A994" s="24" t="str">
        <f>IFERROR(__xludf.DUMMYFUNCTION("""COMPUTED_VALUE"""),"Organic manure rather than phosphorus fertilization primarily determined asymbiotic nitrogen fixation rate and the stability of diazotrophic community in an upland red soil")</f>
        <v>Organic manure rather than phosphorus fertilization primarily determined asymbiotic nitrogen fixation rate and the stability of diazotrophic community in an upland red soil</v>
      </c>
      <c r="B994" s="24" t="str">
        <f>IFERROR(__xludf.DUMMYFUNCTION("""COMPUTED_VALUE"""),"Biological nitrogen fixation (BNF) plays a vital role in nitrogen supply in agricultural ecosystem but is generally impaired by agricultural fertilization. Understanding the trade-off between fertilization and BNF, and the underlying mechanisms are essent"&amp;"ial to optimize fertilization management for sustainable agriculture production. In this study, we examined the potential rate of asymbiotic N-2 fixation, nifH gene abundance, the composition and co-occurrence network of diazotrophic community in an acidi"&amp;"c red soil received different organic and inorganic fertilization regimes for more than 40 years. Our results showed that long-term chemical fertilizer application drastically decreased soil microbial biomass, nitrogenase activity and nifH gene abundance "&amp;"in comparison to the unfertilized control. Organic manure application showed significantly positive effect on soil nitrogenase activity and crop yield via regulating soil pH and the key ecological cluster of diazotrophic community (module #2 which was mai"&amp;"nly represented by Bradyrhizobium, Pseudacidovorax and Azospirillum), while phosphorus fertilization showed no obvious promotion effect. Organic manure amendment significantly increased the diversity of diazotrophs and enriched some diazotrophic taxa, par"&amp;"ticularly Pseudacidovorax and Rhodopseudomonas which were likely responsible for the high N-2-fixation potential. The control and organic manure amendment treatments possessed a more complex and stable diazotrophic network than the chemical fertilizer tre"&amp;"atments did, which greatly facilitated the resistance of diazotrophic community to environmental stress and thus sustained a high N-2 fixation potential. Together, our study demonstrated that organic manure application can effectively alleviate the inhibi"&amp;"tory effect of nitrogen fertilization on N-2 fixation via regulating soil property and shaping a more stable diazotrophic network.")</f>
        <v>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v>
      </c>
      <c r="C994" s="24" t="str">
        <f>IFERROR(__xludf.DUMMYFUNCTION("""COMPUTED_VALUE"""),"10.1016/j.agee.2021.107535")</f>
        <v>10.1016/j.agee.2021.107535</v>
      </c>
      <c r="D994" s="24" t="str">
        <f>IFERROR(__xludf.DUMMYFUNCTION("""COMPUTED_VALUE"""),"Keck et al")</f>
        <v>Keck et al</v>
      </c>
      <c r="E994" s="24" t="str">
        <f>IFERROR(__xludf.DUMMYFUNCTION("""COMPUTED_VALUE"""),"WOS:000685518100009")</f>
        <v>WOS:000685518100009</v>
      </c>
      <c r="F994" s="24" t="str">
        <f>IFERROR(__xludf.DUMMYFUNCTION("""COMPUTED_VALUE"""),"[""ELIGIBLE""]")</f>
        <v>["ELIGIBLE"]</v>
      </c>
    </row>
    <row r="995">
      <c r="A995" s="24" t="str">
        <f>IFERROR(__xludf.DUMMYFUNCTION("""COMPUTED_VALUE"""),"Nutrient uptake and macroinvertebrate community structure in a highly regulated Mediterranean stream receiving treated wastewater")</f>
        <v>Nutrient uptake and macroinvertebrate community structure in a highly regulated Mediterranean stream receiving treated wastewater</v>
      </c>
      <c r="B995" s="24" t="str">
        <f>IFERROR(__xludf.DUMMYFUNCTION("""COMPUTED_VALUE"""),"Streamflow augmentation with treated wastewater has been suggested as a strategy for increasing flow in streams, but at the same time, concern has been raised regarding the possible deterioration of water quality. In this study, the spatial and temporal d"&amp;"istributions of nutrient uptake rates and macroinvertebrates were measured in a Mediterranean lowland stream (Yarqon, Israel), upstream and downstream of treated wastewater input. Over the last decade, the average downstream reach's nutrient demand, depic"&amp;"ted as the uptake velocities of NH4 (+)-N, NO3 (-)-N, and PO4 (3-)-P, increased by factors of 50, 10, and 6, respectively. The decrease in the ambient concentration of NH4 (+)-N, from an average of 39 to 2.8 mg L-1 after upgrading the effluent quality, wa"&amp;"s the main reason for the observed improvements in uptake velocities. Nevertheless, the uptake length in the Yarqon Stream after the improvement in the quality of the treated wastewater was improved only for NH4 (+)-N, and deteriorated for NO3 (-)-N, and "&amp;"PO4 (3-)-P. Following the improvement in water quality, the uptake velocities and the macroinvertebrate communities in the downstream section are currently not significantly different from those in the upstream section. The macroinvertebrate assemblage st"&amp;"ructure reveals that tolerant taxa dominate the stream, and the increase of the taxa richness in the downstream section is attributed to rare and more sensitive taxa that recolonized this section following water quality improvement. The results suggest th"&amp;"at improving the quality of the treated wastewater that is used for stream flow augmentation can have a positive effect on nutrient uptake velocities and macroinvertebrate assemblage structure. However, further ecological and economical cost-benefit analy"&amp;"sis is needed to evaluate the feasibility of using treated wastewater augmentation for Mediterranean stream restoration.")</f>
        <v>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v>
      </c>
      <c r="C995" s="24" t="str">
        <f>IFERROR(__xludf.DUMMYFUNCTION("""COMPUTED_VALUE"""),"10.1007/s00027-015-0407-6")</f>
        <v>10.1007/s00027-015-0407-6</v>
      </c>
      <c r="D995" s="24" t="str">
        <f>IFERROR(__xludf.DUMMYFUNCTION("""COMPUTED_VALUE"""),"Keck et al")</f>
        <v>Keck et al</v>
      </c>
      <c r="E995" s="24" t="str">
        <f>IFERROR(__xludf.DUMMYFUNCTION("""COMPUTED_VALUE"""),"WOS:000361396800008")</f>
        <v>WOS:000361396800008</v>
      </c>
      <c r="F995" s="24" t="str">
        <f>IFERROR(__xludf.DUMMYFUNCTION("""COMPUTED_VALUE"""),"[""ELIGIBLE""]")</f>
        <v>["ELIGIBLE"]</v>
      </c>
    </row>
    <row r="996">
      <c r="A996" s="24" t="str">
        <f>IFERROR(__xludf.DUMMYFUNCTION("""COMPUTED_VALUE"""),"The influence of Chinese tallow (Triadica sebifera) leaf litter on water quality and microbial community composition")</f>
        <v>The influence of Chinese tallow (Triadica sebifera) leaf litter on water quality and microbial community composition</v>
      </c>
      <c r="B996" s="24" t="str">
        <f>IFERROR(__xludf.DUMMYFUNCTION("""COMPUTED_VALUE"""),"Previous studies have shown that moderate concentrations of Chinese tallow leaf litter can quickly reduce dissolved oxygen and pH in the aquatic environment. While these studies mostly focus on its effects on the performance of amphibians, this study focu"&amp;"ses on determining the causes of deoxygenation and acid water. We also examined the effects of Chinese tallow litter on other water quality parameters and how changes may influence microbial communities in aquatic environments. We used laboratory and outd"&amp;"oor experiments to demonstrate the effects of Chinese tallow litter on aquatic chemistry. Additional laboratory studies investigated litter quality and soluble nutrients. We tested the effects of an antimicrobial agent on microbial activity in Chinese tal"&amp;"low litter treatments. Outdoor mesocosms were used to assess the impact of Chinese tallow and native litter monocultures on aquatic chemistry and microbial community composition. We measured water chemistry and sampled mesocosms for microbial rRNA genes. "&amp;"We found evidence that biological mechanisms are causing deoxygenation, while chemical mechanisms may be influencing acid water. Chinese tallow litter was of different quality, decomposed faster and leached more soluble nutrients than native species. Chin"&amp;"ese tallow litter traits appear to have different effects on microbial activity and community composition than native litter. Our results suggest that Chinese tallow litter can have an impact on aquatic chemistry and the composition of aquatic microbial c"&amp;"ommunities as it replaces native species in southern forests. The implications of our results are potential shifts in aquatic ecosystem processes.")</f>
        <v>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v>
      </c>
      <c r="C996" s="24" t="str">
        <f>IFERROR(__xludf.DUMMYFUNCTION("""COMPUTED_VALUE"""),"10.1007/s10452-020-09828-z")</f>
        <v>10.1007/s10452-020-09828-z</v>
      </c>
      <c r="D996" s="24" t="str">
        <f>IFERROR(__xludf.DUMMYFUNCTION("""COMPUTED_VALUE"""),"Keck et al")</f>
        <v>Keck et al</v>
      </c>
      <c r="E996" s="24" t="str">
        <f>IFERROR(__xludf.DUMMYFUNCTION("""COMPUTED_VALUE"""),"WOS:000605484800001")</f>
        <v>WOS:000605484800001</v>
      </c>
      <c r="F996" s="24" t="str">
        <f>IFERROR(__xludf.DUMMYFUNCTION("""COMPUTED_VALUE"""),"[""ELIGIBLE""]")</f>
        <v>["ELIGIBLE"]</v>
      </c>
    </row>
    <row r="997">
      <c r="A997" s="24" t="str">
        <f>IFERROR(__xludf.DUMMYFUNCTION("""COMPUTED_VALUE"""),"Mapping an aggregate extraction site off the Eastern English Channel: A methodology in support of monitoring and management")</f>
        <v>Mapping an aggregate extraction site off the Eastern English Channel: A methodology in support of monitoring and management</v>
      </c>
      <c r="B997" s="24" t="str">
        <f>IFERROR(__xludf.DUMMYFUNCTION("""COMPUTED_VALUE"""),"Each year approximately 23-28 million tonnes of sand and gravel are removed from offshore sediments around England and Wales. This study was located in a licensed marine aggregate extraction site off Shoreham in the Eastern English Channel (EEC thereafter"&amp;"). Results from the multibeam survey showed the presence of dredged pits created by suction hopper dredging and elongated furrows created by trailer suction hopper dredging in the area where sand and gravel had been excavated. Electronic Monitoring System"&amp;" (EMS) contained the dredging intensity recorded annually at the site; this information was combined with particle size data providing interpreted maps, which informed the status of the sediments at the site. The aim of the current study was to explore th"&amp;"e presence of marine habitats over a smaller area known as the 'Shoreham Box' in the EEC. Results showed some differences in the community composition produced by the two methods of extraction. There was also indication of enhanced number of species in th"&amp;"e area dredged by suction hopper method. Notably, slipper limpets were also observed inhabiting dredged pits and creating permanent habitats in areas cratered by the dredging activity. This study has generated ecological information on the status of speci"&amp;"es and habitats inhabiting the dredged and undredged area. Management considerations are also discussed to ensure that sound aggregate extraction practices are in place to minimised the effects of aggregate dredging over licensed areas. (C) 2010 Elsevier "&amp;"Ltd. All rights reserved.")</f>
        <v>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v>
      </c>
      <c r="C997" s="24" t="str">
        <f>IFERROR(__xludf.DUMMYFUNCTION("""COMPUTED_VALUE"""),"10.1016/j.ecss.2010.01.005")</f>
        <v>10.1016/j.ecss.2010.01.005</v>
      </c>
      <c r="D997" s="24" t="str">
        <f>IFERROR(__xludf.DUMMYFUNCTION("""COMPUTED_VALUE"""),"Keck et al")</f>
        <v>Keck et al</v>
      </c>
      <c r="E997" s="24" t="str">
        <f>IFERROR(__xludf.DUMMYFUNCTION("""COMPUTED_VALUE"""),"WOS:000277906600007")</f>
        <v>WOS:000277906600007</v>
      </c>
      <c r="F997" s="24" t="str">
        <f>IFERROR(__xludf.DUMMYFUNCTION("""COMPUTED_VALUE"""),"[""ELIGIBLE""]")</f>
        <v>["ELIGIBLE"]</v>
      </c>
    </row>
    <row r="998">
      <c r="A998" s="24" t="str">
        <f>IFERROR(__xludf.DUMMYFUNCTION("""COMPUTED_VALUE"""),"Metabarcoding of benthic ciliate communities shows high potential for environmental monitoring in salmon aquaculture")</f>
        <v>Metabarcoding of benthic ciliate communities shows high potential for environmental monitoring in salmon aquaculture</v>
      </c>
      <c r="B998" s="24" t="str">
        <f>IFERROR(__xludf.DUMMYFUNCTION("""COMPUTED_VALUE"""),"The backbone of benthic marine monitoring programs is the biological component, traditionally the macrofauna inventory. Such macrofauna-based environmental impact assessments (EIA), however, are very time consuming and expensive. To overcome these shortco"&amp;"mings, we used environmental metabarcoding to test the potential of protists as bioindicators in EIAs. Therefore, we analyzed taxonomic metabarcodes (V9 region of the SSU rRNA), obtained from sediment samples collected along a 400-m transect extending fro"&amp;"m below salmon cages towards the open sea along the predominant current flow. The obtained genetic data of protistan communities were compared to benchmark data obtained from traditional macrofauna surveys of the same samples. Ciliates emerged as the most"&amp;" powerful indicators mirroring the macrofauna benchmark patterns with statistical significance. Ordination analyses showed that ciliate communities resolved impacted sampling sites below and in immediate vicinity of the salmon cages even better than macro"&amp;"fauna communities. It can be concluded that ciliates allow for a better fine-scale resolution of impact conditions than traditional monitoring methods. Other protistan taxon groups such as diatoms and chrysophytes were not as successful as marine benthic "&amp;"indicators compared to ciliates. We conclude that the implementation of ciliate metabarcoding can substantially improve EIAs. We discuss further mandatory research needs to make ciliate metabarcoding a routine tool in official regulations for EIAs in salm"&amp;"on farming.")</f>
        <v>The backbone of benthic marine monitoring programs is the biological component, traditionally the macrofauna inventory. Such macrofauna-based environmental impact assessments (EIA), however, are very time consuming and expensive. To overcome these shortcomings, we used environmental metabarcoding to test the potential of protists as bioindicators in EIAs. Therefore, we analyzed taxonomic metabarcodes (V9 region of the SSU rRNA), obtained from sediment samples collected along a 400-m transect extending from below salmon cages towards the open sea along the predominant current flow. The obtained genetic data of protistan communities were compared to benchmark data obtained from traditional macrofauna surveys of the same samples.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It can be concluded that ciliates allow for a better fine-scale resolution of impact conditions than traditional monitoring methods. Other protistan taxon groups such as diatoms and chrysophytes were not as successful as marine benthic indicators compared to ciliates. We conclude that the implementation of ciliate metabarcoding can substantially improve EIAs. We discuss further mandatory research needs to make ciliate metabarcoding a routine tool in official regulations for EIAs in salmon farming.</v>
      </c>
      <c r="C998" s="24" t="str">
        <f>IFERROR(__xludf.DUMMYFUNCTION("""COMPUTED_VALUE"""),"10.1016/j.ecolind.2017.10.041")</f>
        <v>10.1016/j.ecolind.2017.10.041</v>
      </c>
      <c r="D998" s="24" t="str">
        <f>IFERROR(__xludf.DUMMYFUNCTION("""COMPUTED_VALUE"""),"Keck et al")</f>
        <v>Keck et al</v>
      </c>
      <c r="E998" s="24" t="str">
        <f>IFERROR(__xludf.DUMMYFUNCTION("""COMPUTED_VALUE"""),"WOS:000430634500016")</f>
        <v>WOS:000430634500016</v>
      </c>
      <c r="F998" s="24" t="str">
        <f>IFERROR(__xludf.DUMMYFUNCTION("""COMPUTED_VALUE"""),"[""ELIGIBLE""]")</f>
        <v>["ELIGIBLE"]</v>
      </c>
    </row>
    <row r="999">
      <c r="A999" s="24" t="str">
        <f>IFERROR(__xludf.DUMMYFUNCTION("""COMPUTED_VALUE"""),"Near-field changes in the seabed and associated macrobenthic communities due to marine aggregate extraction on tidal sandbanks: A spatially explicit bio-physical approach considering geological context and extraction regimes")</f>
        <v>Near-field changes in the seabed and associated macrobenthic communities due to marine aggregate extraction on tidal sandbanks: A spatially explicit bio-physical approach considering geological context and extraction regimes</v>
      </c>
      <c r="B999" s="24" t="str">
        <f>IFERROR(__xludf.DUMMYFUNCTION("""COMPUTED_VALUE"""),"Based on data from Multibeam Echosounders (MBES) and Van Veen grab samples, near-field effects of marine aggregate extraction by trailing suction hopper dredgers in the Belgian part of the North Sea were assessed on a decadal scale. The combined approach "&amp;"allowed to investigate and compare seabed and macrobenthic community characteristics for three extraction areas with similar ecological settings, but with a different geological context and each subjected to a different extraction regime. MBES measurement"&amp;"s detected slight alterations of the seabed for areas exposed to a continuous, low extraction regime (monthly average volume = 17 to 83 x 10(3) m(3)). However, no significant changes in sediment composition nor the macrobenthic community could be attribut"&amp;"ed to this low extraction regime. High and continuous extraction in the most intensely extracted area (monthly average volume = 164 x 10(3) m(3)) increased surface heterogeneity and created a local depression, hereby exposing clay and gravel from the unde"&amp;"rlying geological layer. In this area, the highest environmental impact was observed, as the physical changes in the seabed triggered a shift towards a more heterogeneous, transitional macrobenthic community including opportunistic species and species typ"&amp;"ically associated with muddy sands. Together with the species already present, this resulted in a local increase in macrobenthos density, species richness and biomass. A high but periodic extraction without screening activity on the most offshore located "&amp;"extraction area (monthly average volume = 230 x 10(3) m(3), averaged for those months where extraction took place) led to a redistribution of the medium to fine sand fraction and a winnowing of coarse sediment and shell fragments. The decreased median gra"&amp;"in size induced a shift in the macrobenthic community from a typical medium to coarse sand Hesionura elongata community towards medium to fine sand representatives of the Nephtys cirrosa community, although the overall macrobenthic density and biomass in "&amp;"this extraction area remained stable. Based on these results, we conclude that extraction regime and local geological context are important factors driving the near-field environmental impact of marine aggregate extraction on tidal sandbanks.")</f>
        <v>Based on data from Multibeam Echosounders (MBES) and Van Veen grab samples, near-field effects of marine aggregate extraction by trailing suction hopper dredgers in the Belgian part of the North Sea were assessed on a decadal scale. The combined approach allowed to investigate and compare seabed and macrobenthic community characteristics for three extraction areas with similar ecological settings, but with a different geological context and each subjected to a different extraction regime. MBES measurements detected slight alterations of the seabed for areas exposed to a continuous, low extraction regime (monthly average volume = 17 to 83 x 10(3) m(3)). However, no significant changes in sediment composition nor the macrobenthic community could be attributed to this low extraction regime. High and continuous extraction in the most intensely extracted area (monthly average volume = 164 x 10(3) m(3)) increased surface heterogeneity and created a local depression, hereby exposing clay and gravel from the underlying geological layer. In this area, the highest environmental impact was observed, as the physical changes in the seabed triggered a shift towards a more heterogeneous, transitional macrobenthic community including opportunistic species and species typically associated with muddy sands. Together with the species already present, this resulted in a local increase in macrobenthos density, species richness and biomass. A high but periodic extraction without screening activity on the most offshore located extraction area (monthly average volume = 230 x 10(3) m(3), averaged for those months where extraction took place) led to a redistribution of the medium to fine sand fraction and a winnowing of coarse sediment and shell fragments. The decreased median grain size induced a shift in the macrobenthic community from a typical medium to coarse sand Hesionura elongata community towards medium to fine sand representatives of the Nephtys cirrosa community, although the overall macrobenthic density and biomass in this extraction area remained stable. Based on these results, we conclude that extraction regime and local geological context are important factors driving the near-field environmental impact of marine aggregate extraction on tidal sandbanks.</v>
      </c>
      <c r="C999" s="24" t="str">
        <f>IFERROR(__xludf.DUMMYFUNCTION("""COMPUTED_VALUE"""),"10.1016/j.csr.2021.104546")</f>
        <v>10.1016/j.csr.2021.104546</v>
      </c>
      <c r="D999" s="24" t="str">
        <f>IFERROR(__xludf.DUMMYFUNCTION("""COMPUTED_VALUE"""),"Keck et al")</f>
        <v>Keck et al</v>
      </c>
      <c r="E999" s="24" t="str">
        <f>IFERROR(__xludf.DUMMYFUNCTION("""COMPUTED_VALUE"""),"WOS:000704902500004")</f>
        <v>WOS:000704902500004</v>
      </c>
      <c r="F999" s="24" t="str">
        <f>IFERROR(__xludf.DUMMYFUNCTION("""COMPUTED_VALUE"""),"[""ELIGIBLE""]")</f>
        <v>["ELIGIBLE"]</v>
      </c>
    </row>
    <row r="1000">
      <c r="A1000" s="24" t="str">
        <f>IFERROR(__xludf.DUMMYFUNCTION("""COMPUTED_VALUE"""),"Bee community response to local and landscape factors along an urban-rural gradient")</f>
        <v>Bee community response to local and landscape factors along an urban-rural gradient</v>
      </c>
      <c r="B1000" s="24" t="str">
        <f>IFERROR(__xludf.DUMMYFUNCTION("""COMPUTED_VALUE"""),"Over a third of the world's crops require insect pollination, and reliance on pollination services for food continues to rise as human populations increase. Furthermore, as interest in urban agriculture has grown, so has a need for studies of urban pollin"&amp;"ator ecology and pollination. Analyzing pollinator assemblages along a rural-urban gradient provides powerful mechanistic insight into how urbanization impacts pollinators. Yet, studies examining pollinators along urban-rural gradients are limited and res"&amp;"ults vary. Since pollinators vary tremendously in life history characteristics and respond to urbanization differently, studies from different regions would improve our understanding of pollinator response to urbanization. This study documents different b"&amp;"ee assemblages along a high-plains semi-arid urban-rural gradient in Denver, Colorado, USA. Percent impervious surface was used to define the extent of urbanization at 12 sites and local and landscape characteristics were estimated using field assessments"&amp;" and geospatial analysis. Wild bees were collected and the relationships between urbanization and bee communities were explored using linear modeling. Overall, bee abundance and diversity decreased with increasing urbanization, suggesting that urban areas"&amp;" negatively impact bee communities. However, all bee guilds responded positively to local floral richness and negatively to the degree of landscape urbanization, suggesting that different types of bees responded similarly to urbanization. These findings s"&amp;"uggest that providing a greater diversity of floral resources is key to mitigating the negative impacts of urbanization on pollinator communities.")</f>
        <v>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v>
      </c>
      <c r="C1000" s="24" t="str">
        <f>IFERROR(__xludf.DUMMYFUNCTION("""COMPUTED_VALUE"""),"10.1007/s11252-020-00956-w")</f>
        <v>10.1007/s11252-020-00956-w</v>
      </c>
      <c r="D1000" s="24" t="str">
        <f>IFERROR(__xludf.DUMMYFUNCTION("""COMPUTED_VALUE"""),"Keck et al")</f>
        <v>Keck et al</v>
      </c>
      <c r="E1000" s="24" t="str">
        <f>IFERROR(__xludf.DUMMYFUNCTION("""COMPUTED_VALUE"""),"WOS:000518343900001")</f>
        <v>WOS:000518343900001</v>
      </c>
      <c r="F1000" s="24" t="str">
        <f>IFERROR(__xludf.DUMMYFUNCTION("""COMPUTED_VALUE"""),"[""ELIGIBLE""]")</f>
        <v>["ELIGIBLE"]</v>
      </c>
    </row>
    <row r="1001">
      <c r="A1001" s="24" t="str">
        <f>IFERROR(__xludf.DUMMYFUNCTION("""COMPUTED_VALUE"""),"Effects of mining wastes on a seagrass ecosystem: metal accumulation and bioavailability, seagrass dynamics and associated community structure")</f>
        <v>Effects of mining wastes on a seagrass ecosystem: metal accumulation and bioavailability, seagrass dynamics and associated community structure</v>
      </c>
      <c r="B1001" s="24" t="str">
        <f>IFERROR(__xludf.DUMMYFUNCTION("""COMPUTED_VALUE"""),"Two different Cymodocea nodosa (Ucria) Ascherson beds growing in mining-contaminated sediments were compared with two reference beds in the Mar Menor coastal lagoon. The accumulation of Zn, Pb and Cd in different fractions of the plant, the sediment param"&amp;"eters that regulate the availability of metals, the seabed structure and dynamics of each seagrass bed and its associated macroinvertebrate community were studied. C nodosa accumulates metals from the sediments and reflects their bioavailability for this "&amp;"seagrass. At each station, the metal content of the rhizomes was lower than that of leaves and roots. The concentration of acid-volatile sulfides does not seem to influence the availability of metals to the seagrass, possibly due to oxygen transport to un"&amp;"derground tissues. The highest metal concentration in all the contaminated stations was found in the leaf-biofilm, due to the formation of complexes between metals and the extracellular polymeric substances that form the biofilm. All the seagrass beds wer"&amp;"e seen to be undergoing expansion, those growing in contaminated sediments accumulating great quantities of metals and showing highest photosynthetic leaf surface area and highest leaf biomass. However, these structural parameters were not seen to be resp"&amp;"onsible for the differences in the faunal composition observed between contaminated and reference beds. Moreover, the multivariate analysis identified the metal content of leaves, biofilm and sediments as important variables that may be responsible for th"&amp;"ese differences in faunal composition. In this study we have demonstrated that both the seagrass C nodosa and the biofilm on the plant leaves may be used as environmental tools in the Mar Menor lagoon. The former is an useful indicator of sediment contami"&amp;"nation, whereas the latter seems to be a good sentinel of water quality. (c) 2004 Elsevier Ltd. All rights reserved.")</f>
        <v>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v>
      </c>
      <c r="C1001" s="24" t="str">
        <f>IFERROR(__xludf.DUMMYFUNCTION("""COMPUTED_VALUE"""),"10.1016/j.marenvres.2004.11.002")</f>
        <v>10.1016/j.marenvres.2004.11.002</v>
      </c>
      <c r="D1001" s="24" t="str">
        <f>IFERROR(__xludf.DUMMYFUNCTION("""COMPUTED_VALUE"""),"Keck et al")</f>
        <v>Keck et al</v>
      </c>
      <c r="E1001" s="24" t="str">
        <f>IFERROR(__xludf.DUMMYFUNCTION("""COMPUTED_VALUE"""),"WOS:000229896700003")</f>
        <v>WOS:000229896700003</v>
      </c>
      <c r="F1001" s="24" t="str">
        <f>IFERROR(__xludf.DUMMYFUNCTION("""COMPUTED_VALUE"""),"[""ELIGIBLE""]")</f>
        <v>["ELIGIBLE"]</v>
      </c>
    </row>
    <row r="1002">
      <c r="A1002" s="24" t="str">
        <f>IFERROR(__xludf.DUMMYFUNCTION("""COMPUTED_VALUE"""),"Effects of Long-Term Nitrogen Fertilizer Application on Rhizosphere Microorganisms under Different Soil Types")</f>
        <v>Effects of Long-Term Nitrogen Fertilizer Application on Rhizosphere Microorganisms under Different Soil Types</v>
      </c>
      <c r="B1002" s="24" t="str">
        <f>IFERROR(__xludf.DUMMYFUNCTION("""COMPUTED_VALUE"""),"The application of nitrogen fertilizers can improve the soil environment and influence the nutrition and quality of plants; there are also significant impacts of soil types on soil microbial communities. Research on the coupling effects between the rates "&amp;"of nitrogen fertilizer and the soil types on soil microbial metabolic activities under field conditions are currently lacking. In this study, we investigated the effect of five different N fertilization rates on three types of soils (meadow black, alluvia"&amp;"l, and sandy soil) that were over 8-year-long planted maize. Illumina Miseq sequencing methods were used to characterize the soil microbial communities. Real-time PCR were adopted to calculate the relative abundance of N, C, and P-cycling functional micro"&amp;"bial. Results indicated that different N rates can significantly change soil available nutrients and effectively reduce soil pH. The structure of the soil bacterial communities and diversity did not change after the fertilization of N during the study per"&amp;"iod. However, it can be found that soil types can substantially influence the structure of bacterial communities in soil, meanwhile, there was a significant correlation between pH and the composition of bacterial communities. Although the composition of t"&amp;"he soil microbial community did not influence the fertilization rate of N, they can be indirectly affected by pH. There was significant difference (P&lt;0.05) in the relative abundances of the nutrient cycling functional genes of the rhizosphere soil under d"&amp;"ifferent nitrogen levels, with nitrogen application and soil type the main influencing factors. The results showed that the excessive application of N fertilizer did not increase the yields of maize, thus it is important to investigate the reasonable fert"&amp;"ilization rates of N fertilizer to protect the ecological balance of crop soils.")</f>
        <v>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v>
      </c>
      <c r="C1002" s="24" t="str">
        <f>IFERROR(__xludf.DUMMYFUNCTION("""COMPUTED_VALUE"""),"10.15244/pjoes/89583")</f>
        <v>10.15244/pjoes/89583</v>
      </c>
      <c r="D1002" s="24" t="str">
        <f>IFERROR(__xludf.DUMMYFUNCTION("""COMPUTED_VALUE"""),"Keck et al")</f>
        <v>Keck et al</v>
      </c>
      <c r="E1002" s="24" t="str">
        <f>IFERROR(__xludf.DUMMYFUNCTION("""COMPUTED_VALUE"""),"WOS:000461800200073")</f>
        <v>WOS:000461800200073</v>
      </c>
      <c r="F1002" s="24" t="str">
        <f>IFERROR(__xludf.DUMMYFUNCTION("""COMPUTED_VALUE"""),"[""ELIGIBLE""]")</f>
        <v>["ELIGIBLE"]</v>
      </c>
    </row>
    <row r="1003">
      <c r="A1003" s="24" t="str">
        <f>IFERROR(__xludf.DUMMYFUNCTION("""COMPUTED_VALUE"""),"Vegetation and ghost crabs in coastal dunes as indicators of putative stressors from tourism")</f>
        <v>Vegetation and ghost crabs in coastal dunes as indicators of putative stressors from tourism</v>
      </c>
      <c r="B1003" s="24" t="str">
        <f>IFERROR(__xludf.DUMMYFUNCTION("""COMPUTED_VALUE"""),"Coastal dunes provide important ecosystem services and are susceptible to human disturbance such as vehicle traffic and human trampling. Notwithstanding, on several Australian beaches dunes serves as camping areas, where camping sites are located on the p"&amp;"rimary dunes landwards of the foredunes. Because these activities have the potential to impact on the biota of the foredunes directly adjoining the camping zones, sustainable management of dunes for multiple uses requires that putative impacts are identif"&amp;"ied. Consequently, we quantified: (1) effects of dune camping on the vegetation in the foredunes abutting the camping zones, (2) ghost crab (Ocypode cordimana) abundance, distribution, body size, and body condition as biological indicators of human stress"&amp;"ors, and (3) the degree to which habitat attributes are correlated with ghost crab abundance. Two percent of the foredune surface was disturbed by human activity (vehicle tracks, trampling, dog prints, litter). Camping in the primary dunes had some minor "&amp;"effects on the vegetation of the foredunes, but widespread changes in plant assemblages were not detected. Ghost crabs were attracted to camp sites, significantly changing their distribution across the dune field and increasing their body condition near c"&amp;"amp sites presumably a trophic subsidy from food scraps. Except for vegetation height which had a positive influence on crab density, there were no other strong and consistent predictors of ghost crab density either in terms of physical habitat attributes"&amp;" (e.g. dune width and height) or vegetation characteristics (e.g. plant cover, diversity). Because coastal managers must increasingly reconcile multiple uses of the environment with its protection, robust data on the type, extent and magnitude of impacts "&amp;"are critical to formulate efficient management strategies for dunes. Monitoring the efficacy of such strategies requires robust indicators, and we show that ghost crabs may be good candidate species for this. (C) 2010 Elsevier Ltd. All rights reserved.")</f>
        <v>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v>
      </c>
      <c r="C1003" s="24" t="str">
        <f>IFERROR(__xludf.DUMMYFUNCTION("""COMPUTED_VALUE"""),"10.1016/j.ecolind.2010.05.006")</f>
        <v>10.1016/j.ecolind.2010.05.006</v>
      </c>
      <c r="D1003" s="24" t="str">
        <f>IFERROR(__xludf.DUMMYFUNCTION("""COMPUTED_VALUE"""),"Keck et al")</f>
        <v>Keck et al</v>
      </c>
      <c r="E1003" s="24" t="str">
        <f>IFERROR(__xludf.DUMMYFUNCTION("""COMPUTED_VALUE"""),"WOS:000285035000008")</f>
        <v>WOS:000285035000008</v>
      </c>
      <c r="F1003" s="24" t="str">
        <f>IFERROR(__xludf.DUMMYFUNCTION("""COMPUTED_VALUE"""),"[""ELIGIBLE""]")</f>
        <v>["ELIGIBLE"]</v>
      </c>
    </row>
    <row r="1004">
      <c r="A1004" s="24" t="str">
        <f>IFERROR(__xludf.DUMMYFUNCTION("""COMPUTED_VALUE"""),"Community signals of the effect of Didymosphenia geminata (Lingbye) M. Schmidt on benthic diatom communities in Chilean rivers")</f>
        <v>Community signals of the effect of Didymosphenia geminata (Lingbye) M. Schmidt on benthic diatom communities in Chilean rivers</v>
      </c>
      <c r="B1004" s="24" t="str">
        <f>IFERROR(__xludf.DUMMYFUNCTION("""COMPUTED_VALUE"""),"Background: Didymosphenia geminata (Lingbye) M. Schmidt is a freshwater invasive benthic diatom native to oligotrophic systems of the Northern Hemisphere. Since 2010, freshwater systems of south-austral Chile, have experienced a progressive invasion of th"&amp;"is species between 37 degrees 18' S and 54 degrees 30' S. This invaded area is characterized by biogeographic heterogeneity, anthropic pressure and lack of knowledge. The objective of this study was to analyze the effect of D. geminata on the community st"&amp;"ructure of benthic diatoms and the variability of this effect in Chilean rivers. Methods: The data were collected between 2010 and 2017 and pre-treated using fourth-root transformation to construct a Bray-Curtis similarity matrix and a Principal Coordinat"&amp;"e Analysis to identify groups of sites. The a diversity and beta diversity were estimated and compared using univariate indexes and the Mann-Whitney test, respectively. We used Permutational multivariate analyses of variance (PERMANOVA) and PERMDISP to es"&amp;"timate the spatial variation of communities, and an Analysis of Percentage Similarity (SIMPER) was performed to identify the species which contributed to the similarity between the groups of sites. Results: The results suggest significant differences betw"&amp;"een invaded and noninvaded rivers (54% of the total variation); the univariate indexes showed greater richness (S), greater diversity (H'), and less species turnover in invaded rivers. The PERMANOVA indicated significant interaction between D. geminata an"&amp;"d the basins; there was also a significant effect on the internal dispersion in the basins. The SIMPER analysis showed that the groups composed exclusively of invaded sites had high mean similarity in all basins and small pedunculated benthic diatoms show"&amp;"ed a significant response to the presence of D. geminata. Conclusion: We found high variability in the community structures, that determine a strong segregation between noninvaded and invaded sites by D. geminata, and that the main effect of D. geminata o"&amp;"n diatoms benthic was the homogenization of the communities. This is reflected in the increase in density of small stalked diatoms and the reduction of species turnover among rivers in the same basin, leading to the loss of community heterogeneity that ov"&amp;"ercomes the spatial heterogeneity in the area invaded in Chile.")</f>
        <v>Background: Didymosphenia geminata (Lingbye) M. Schmidt is a freshwater invasive benthic diatom native to oligotrophic systems of the Northern Hemisphere. Since 2010, freshwater systems of south-austral Chile, have experienced a progressive invasion of this species between 37 degrees 18' S and 54 degrees 30' S. This invaded area is characterized by biogeographic heterogeneity, anthropic pressure and lack of knowledge. The objective of this study was to analyze the effect of D. geminata on the community structure of benthic diatoms and the variability of this effect in Chilean rivers. Methods: The data were collected between 2010 and 2017 and pre-treated using fourth-root transformation to construct a Bray-Curtis similarity matrix and a Principal Coordinate Analysis to identify groups of sites. The a diversity and beta diversity were estimated and compared using univariate indexes and the Mann-Whitney test, respectively. We used Permutational multivariate analyses of variance (PERMANOVA) and PERMDISP to estimate the spatial variation of communities, and an Analysis of Percentage Similarity (SIMPER) was performed to identify the species which contributed to the similarity between the groups of sites. Results: The results suggest significant differences between invaded and noninvaded rivers (54% of the total variation); the univariate indexes showed greater richness (S), greater diversity (H'), and less species turnover in invaded rivers. The PERMANOVA indicated significant interaction between D. geminata and the basins; there was also a significant effect on the internal dispersion in the basins. The SIMPER analysis showed that the groups composed exclusively of invaded sites had high mean similarity in all basins and small pedunculated benthic diatoms showed a significant response to the presence of D. geminata. Conclusion: We found high variability in the community structures, that determine a strong segregation between noninvaded and invaded sites by D. geminata, and that the main effect of D. geminata on diatoms benthic was the homogenization of the communities. This is reflected in the increase in density of small stalked diatoms and the reduction of species turnover among rivers in the same basin, leading to the loss of community heterogeneity that overcomes the spatial heterogeneity in the area invaded in Chile.</v>
      </c>
      <c r="C1004" s="24" t="str">
        <f>IFERROR(__xludf.DUMMYFUNCTION("""COMPUTED_VALUE"""),"10.1186/s40693-019-0084-2")</f>
        <v>10.1186/s40693-019-0084-2</v>
      </c>
      <c r="D1004" s="24" t="str">
        <f>IFERROR(__xludf.DUMMYFUNCTION("""COMPUTED_VALUE"""),"Keck et al")</f>
        <v>Keck et al</v>
      </c>
      <c r="E1004" s="24" t="str">
        <f>IFERROR(__xludf.DUMMYFUNCTION("""COMPUTED_VALUE"""),"WOS:000476833500001")</f>
        <v>WOS:000476833500001</v>
      </c>
      <c r="F1004" s="24" t="str">
        <f>IFERROR(__xludf.DUMMYFUNCTION("""COMPUTED_VALUE"""),"[""ELIGIBLE""]")</f>
        <v>["ELIGIBLE"]</v>
      </c>
    </row>
    <row r="1005">
      <c r="A1005" s="24" t="str">
        <f>IFERROR(__xludf.DUMMYFUNCTION("""COMPUTED_VALUE"""),"Disturbance is more important than seeding or grazing in determining soil microbial communities in a semiarid grassland")</f>
        <v>Disturbance is more important than seeding or grazing in determining soil microbial communities in a semiarid grassland</v>
      </c>
      <c r="B1005" s="24" t="str">
        <f>IFERROR(__xludf.DUMMYFUNCTION("""COMPUTED_VALUE"""),"A primary goal of ecological restoration is often to return processes and functions to degraded ecosystems. Soil, while often ignored in restoration, supports diverse communities of organisms and is a fundamental actor in providing ecosystem processes and"&amp;" services. We investigated the impact of seeding and livestock grazing on plant communities, soil microorganisms, and soil fertility 3 years after the restoration of a disturbed pipeline corridor in southeastern Arizona. The initial soil disturbance and t"&amp;"opsoil treatment, regardless of seeding or grazing, was the most influential factor in determining differences in both plant and microbial communities. Compared with the control, the disturbed and restored sites had greater plant species richness, greater"&amp;" total herbaceous plant cover, greater soil organic matter, higher pH, and differed in soil nutrients. Bacteria and fungi appeared to generally correlate with micro-environment and soil physiochemical properties rather than specific plant species. The und"&amp;"isturbed control had a smaller proportion of bacterial functional groups associated with the breakdown of plant biomass (polysaccharide decomposition) and a smaller proportion of arbuscular mycorrhizal fungi (AMF) compared with disturbed and restored site"&amp;"s. The ability of the unseeded disturbed site to recover robust vegetation may be due in part to the high presence of AMF. These differences show selection for soil microorganisms that thrive in disturbed and restored sites and may contribute to increased"&amp;" plant productivity. Restoration of specific plant species or ecological processes and services would both benefit from better understanding of the impacts of disturbance on soil microorganisms and soil fertility.")</f>
        <v>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v>
      </c>
      <c r="C1005" s="24" t="str">
        <f>IFERROR(__xludf.DUMMYFUNCTION("""COMPUTED_VALUE"""),"10.1111/rec.13156")</f>
        <v>10.1111/rec.13156</v>
      </c>
      <c r="D1005" s="24" t="str">
        <f>IFERROR(__xludf.DUMMYFUNCTION("""COMPUTED_VALUE"""),"Keck et al")</f>
        <v>Keck et al</v>
      </c>
      <c r="E1005" s="24" t="str">
        <f>IFERROR(__xludf.DUMMYFUNCTION("""COMPUTED_VALUE"""),"WOS:000525768600001")</f>
        <v>WOS:000525768600001</v>
      </c>
      <c r="F1005" s="24" t="str">
        <f>IFERROR(__xludf.DUMMYFUNCTION("""COMPUTED_VALUE"""),"[""ELIGIBLE""]")</f>
        <v>["ELIGIBLE"]</v>
      </c>
    </row>
    <row r="1006">
      <c r="A1006" s="24" t="str">
        <f>IFERROR(__xludf.DUMMYFUNCTION("""COMPUTED_VALUE"""),"Diptera species and functional diversity across tropical Australian countryside landscapes")</f>
        <v>Diptera species and functional diversity across tropical Australian countryside landscapes</v>
      </c>
      <c r="B1006" s="24" t="str">
        <f>IFERROR(__xludf.DUMMYFUNCTION("""COMPUTED_VALUE"""),"Countryside landscapes are composed of a range of human-dominated ecosystems that now dominate the earth's terrestrial regions. In the tropics, the creation of these landscapes has shadowed the destruction of rainforests. Most studies of diversity across "&amp;"tropical countryside landscapes have focused on the taxonomic diversity of easily measured groups. Thus there are major gaps in our understanding of many ecologically important organisms in these landscapes. Here we examine the taxonomic and functional di"&amp;"versity of Diptera in countryside landscapes of Australia's wet tropics, focusing on some of the most common landscape elements in this region: forest remnants, forest edges, and open cattle pastures. We demonstrate that different landscape elements posse"&amp;"ss contrasting levels of dipteran diversity. Importantly, small forest fragments act as reservoirs of fly taxonomic diversity, but for some fly functional groups (pollinators and predators), small forest fragments and their edges have lower functional red"&amp;"undancy than larger forest patches and their edges. We also show that dipteran diversity is more positively associated with local forest cover than patch size alone. Our results complement the growing literature on ecologically important insect taxa in co"&amp;"untryside landscapes around the world, and contribute to a greater understanding of how landscape modification likely impacts ecosystem functions and services at landscape scales. (C) 2015 Published by Elsevier Ltd.")</f>
        <v>Countryside landscapes are composed of a range of human-dominated ecosystems that now dominate the earth's terrestrial regions. In the tropics, the creation of these landscapes has shadowed the destruction of rainforests. Most studies of diversity across tropical countryside landscapes have focused on the taxonomic diversity of easily measured groups. Thus there are major gaps in our understanding of many ecologically important organisms in these landscapes. Here we examine the taxonomic and functional diversity of Diptera in countryside landscapes of Australia's wet tropics, focusing on some of the most common landscape elements in this region: forest remnants, forest edges, and open cattle pastures. We demonstrate that different landscape elements possess contrasting levels of dipteran diversity. Importantly, small forest fragments act as reservoirs of fly taxonomic diversity, but for some fly functional groups (pollinators and predators), small forest fragments and their edges have lower functional redundancy than larger forest patches and their edges. We also show that dipteran diversity is more positively associated with local forest cover than patch size alone. Our results complement the growing literature on ecologically important insect taxa in countryside landscapes around the world, and contribute to a greater understanding of how landscape modification likely impacts ecosystem functions and services at landscape scales. (C) 2015 Published by Elsevier Ltd.</v>
      </c>
      <c r="C1006" s="24" t="str">
        <f>IFERROR(__xludf.DUMMYFUNCTION("""COMPUTED_VALUE"""),"10.1016/j.biocon.2015.07.035")</f>
        <v>10.1016/j.biocon.2015.07.035</v>
      </c>
      <c r="D1006" s="24" t="str">
        <f>IFERROR(__xludf.DUMMYFUNCTION("""COMPUTED_VALUE"""),"Keck et al")</f>
        <v>Keck et al</v>
      </c>
      <c r="E1006" s="24" t="str">
        <f>IFERROR(__xludf.DUMMYFUNCTION("""COMPUTED_VALUE"""),"WOS:000364257100050")</f>
        <v>WOS:000364257100050</v>
      </c>
      <c r="F1006" s="24" t="str">
        <f>IFERROR(__xludf.DUMMYFUNCTION("""COMPUTED_VALUE"""),"[""ELIGIBLE""]")</f>
        <v>["ELIGIBLE"]</v>
      </c>
    </row>
    <row r="1007">
      <c r="A1007" s="24" t="str">
        <f>IFERROR(__xludf.DUMMYFUNCTION("""COMPUTED_VALUE"""),"Measuring the success of reforestation for restoring biodiversity and ecosystem functioning")</f>
        <v>Measuring the success of reforestation for restoring biodiversity and ecosystem functioning</v>
      </c>
      <c r="B1007" s="24" t="str">
        <f>IFERROR(__xludf.DUMMYFUNCTION("""COMPUTED_VALUE"""),"Effective assessment of the success of ecological restoration projects is critical in justifying the use of restoration in natural resource management as well as improving best practice. One of the main goals of ecological restoration is the recovery of e"&amp;"cosystem function, yet most researchers assume that increasing species and or functional diversity equates with restoration of ecosystem function, rather than empirically demonstrating these mechanistic relationships. In this study, we assess how dung bee"&amp;"tle species diversity, community composition, functional diversity and ecological functions vary along a restoration chronosequence and compare restored areas with reference (rain forest) and degraded (pasture) systems. We also directly investigate the du"&amp;"ng beetle diversity - ecosystem functioning relationship in the context of ecological rain forest restoration by testing the predictive power of traditional taxonomic indices and functional diversity metrics for functionality. Species richness, abundance,"&amp;" biomass and functional richness all increased with restoration age, with the oldest restoration sites being most similar to rain forest, whereas functional evenness and functional divergence decreased with restoration age. Community composition in the re"&amp;"stored areas was clearly progressing towards the rain forest sites and deviating from the pasture sites with increasing restoration age. Secondary seed dispersal rates increased with restoration age, but there was only a weak positive relationship between"&amp;" dung removal and soil excavation and restoration age. Biodiversity metrics explained 47-74% of the variation in functions mediated by dung beetles; however, functional trait-based indices provided greater explanatory power of functionality than tradition"&amp;"al species-based metrics.Synthesis and applications. Our results provide empirical evidence on the potential of tropical forest restoration to mitigate biodiversity losses, recovering not only faunal species diversity, but also functional diversity and ec"&amp;"osystem functions in a relatively short period of time. We also demonstrate that functional trait-based metrics are better predictors of functionality than traditional species-based metrics but that the relationship between restoration age, diversity and "&amp;"ecosystem functioning is not straightforward and depends on the functions, traits and metrics used. Our results provide empirical evidence on the potential of tropical forest restoration to mitigate biodiversity losses, recovering not only faunal species "&amp;"diversity, but also functional diversity and ecosystem functions in a relatively short period of time. We also demonstrate that functional trait-based metrics are better predictors of functionality than traditional species-based metrics but that the relat"&amp;"ionship between restoration age, diversity and ecosystem functioning is not straightforward and depends on the functions, traits and metrics used.")</f>
        <v>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v>
      </c>
      <c r="C1007" s="24" t="str">
        <f>IFERROR(__xludf.DUMMYFUNCTION("""COMPUTED_VALUE"""),"10.1111/1365-2664.12728")</f>
        <v>10.1111/1365-2664.12728</v>
      </c>
      <c r="D1007" s="24" t="str">
        <f>IFERROR(__xludf.DUMMYFUNCTION("""COMPUTED_VALUE"""),"Keck et al")</f>
        <v>Keck et al</v>
      </c>
      <c r="E1007" s="24" t="str">
        <f>IFERROR(__xludf.DUMMYFUNCTION("""COMPUTED_VALUE"""),"WOS:000387768800009")</f>
        <v>WOS:000387768800009</v>
      </c>
      <c r="F1007" s="24" t="str">
        <f>IFERROR(__xludf.DUMMYFUNCTION("""COMPUTED_VALUE"""),"[""ELIGIBLE""]")</f>
        <v>["ELIGIBLE"]</v>
      </c>
    </row>
    <row r="1008">
      <c r="A1008" s="24" t="str">
        <f>IFERROR(__xludf.DUMMYFUNCTION("""COMPUTED_VALUE"""),"Variations in the Compositions of Soil Bacterial and Fungal Communities Due to Microhabitat Effects Induced by Simulated Nitrogen Deposition of a Bamboo Forest in Wetland")</f>
        <v>Variations in the Compositions of Soil Bacterial and Fungal Communities Due to Microhabitat Effects Induced by Simulated Nitrogen Deposition of a Bamboo Forest in Wetland</v>
      </c>
      <c r="B1008" s="24" t="str">
        <f>IFERROR(__xludf.DUMMYFUNCTION("""COMPUTED_VALUE"""),"Although numerous studies have been published on nitrogen (N) deposition, little is known about its impact on microbial communities in wetland forests. Here, we used simulated nitrogen deposition (SND) to analyze the importance of differences in soil micr"&amp;"ohabitats in promoting the diversity of soil bacteria and fungi. We compared various levels of SND (control (CK), low N (N30), medium N (N60), and high N (N90)) and found that these were associated with changes in soil microhabitats. Additionally, SND aff"&amp;"ected soil pH, clay and sand content of the soil, and specific surface area (SSA). Bacteria and fungi responded differently to increased SND levels. The alpha diversity of bacteria decreased with an increased SND level, while fungal abundance, diversity, "&amp;"and community evenness reached their maximum values at the N60 threshold. Principal coordinates analysis (PCoA), nonparametric multivariate analysis of variance (PERMANOVA), and linear discriminant analysis (LDA) coupled with effect size measurements (Lef"&amp;"Se) also confirmed that the bacterial composition was different at N90 compared to other levels of SND while that of fungi was different at N60. A higher discriminant level (LDA score &gt;= 4) may be a valuable index of selecting indicator microbial clades s"&amp;"ensitive to SND for wetland management. Further, an increased pH was associated with a greater abundance of bacteria and fungi. In addition, the volume contents of clay and SSA were negatively correlated with bacteria but fungi are associated with soil sp"&amp;"ecific gravity (SSG). Overall, in a neutral soil pH environment, pH fluctuation is the main influencing factor in terms of bacterial and fungal abundance and diversity. The diversity of fungi is more dependent on the type and relative content of solid pha"&amp;"se components in soil than that of bacteria, implying the presence of species-specific niches for bacteria and fungi. These results demonstrate that changes in SND can induce short-term microbial and microhabitat changes.")</f>
        <v>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v>
      </c>
      <c r="C1008" s="24" t="str">
        <f>IFERROR(__xludf.DUMMYFUNCTION("""COMPUTED_VALUE"""),"10.3390/f10121098")</f>
        <v>10.3390/f10121098</v>
      </c>
      <c r="D1008" s="24" t="str">
        <f>IFERROR(__xludf.DUMMYFUNCTION("""COMPUTED_VALUE"""),"Keck et al")</f>
        <v>Keck et al</v>
      </c>
      <c r="E1008" s="24" t="str">
        <f>IFERROR(__xludf.DUMMYFUNCTION("""COMPUTED_VALUE"""),"WOS:000507288400050")</f>
        <v>WOS:000507288400050</v>
      </c>
      <c r="F1008" s="24" t="str">
        <f>IFERROR(__xludf.DUMMYFUNCTION("""COMPUTED_VALUE"""),"[""ELIGIBLE""]")</f>
        <v>["ELIGIBLE"]</v>
      </c>
    </row>
    <row r="1009">
      <c r="A1009" s="24" t="str">
        <f>IFERROR(__xludf.DUMMYFUNCTION("""COMPUTED_VALUE"""),"The response of candy barrel cactus to zinc contamination is modulated by its rhizospheric microbiota")</f>
        <v>The response of candy barrel cactus to zinc contamination is modulated by its rhizospheric microbiota</v>
      </c>
      <c r="B1009" s="24" t="str">
        <f>IFERROR(__xludf.DUMMYFUNCTION("""COMPUTED_VALUE"""),"In order to better understand the mechanism of tolerance to zinc contamination, a potentially toxic element, it is relevant to analyze its effects on the rhizospheric microbiota of plants with a high tolerance to environmental stress such as cacti species"&amp;". In this work, the risk for soil contamination with zinc, its effect on bacterial diversity, microbial carbon, abundance of diazotrophs in the soil, and on the photosynthetic efficiency and absorption of zinc in Echinocactus platyacanthus were determined"&amp;". The soil was characterized physicochemically and placed in experimental pots with E. platyacanthus which were then contaminated with different concentrations of Zn+2. Changes in the rhizospheric bacterial community was analyzed before and after 30 days "&amp;"of contamination with zinc. In this study we found that even when zinc is considered a low toxic metal, their presence in soil selects bacterial groups in the rizosphere involved in stress resistance by heavy metals. Also, at high concentrations it can ha"&amp;"ve negative effects on the rhizospheric community of E. platyacanthus, which could generate serious disturbances in the ecosystem reflected in the loss of bacterial groups that participate in essential functions within the biogeochemical cycles, mainly N "&amp;"cycle. That said, the plant E. platyacanthus was not affected negatively, managing to accumulate a large concentration of metal in its stem and root and can therefore be considered as a plant with phytoaccumulation potential.")</f>
        <v>In order to better understand the mechanism of tolerance to zinc contamination, a potentially toxic element, it is relevant to analyze its effects on the rhizospheric microbiota of plants with a high tolerance to environmental stress such as cacti species. In this work, the risk for soil contamination with zinc, its effect on bacterial diversity, microbial carbon, abundance of diazotrophs in the soil, and on the photosynthetic efficiency and absorption of zinc in Echinocactus platyacanthus were determined. The soil was characterized physicochemically and placed in experimental pots with E. platyacanthus which were then contaminated with different concentrations of Zn+2. Changes in the rhizospheric bacterial community was analyzed before and after 30 days of contamination with zinc. In this study we found that even when zinc is considered a low toxic metal, their presence in soil selects bacterial groups in the rizosphere involved in stress resistance by heavy metals. Also, at high concentrations it can have negative effects on the rhizospheric community of E. platyacanthus, which could generate serious disturbances in the ecosystem reflected in the loss of bacterial groups that participate in essential functions within the biogeochemical cycles, mainly N cycle. That said, the plant E. platyacanthus was not affected negatively, managing to accumulate a large concentration of metal in its stem and root and can therefore be considered as a plant with phytoaccumulation potential.</v>
      </c>
      <c r="C1009" s="24" t="str">
        <f>IFERROR(__xludf.DUMMYFUNCTION("""COMPUTED_VALUE"""),"10.1016/j.rhisph.2019.100177")</f>
        <v>10.1016/j.rhisph.2019.100177</v>
      </c>
      <c r="D1009" s="24" t="str">
        <f>IFERROR(__xludf.DUMMYFUNCTION("""COMPUTED_VALUE"""),"Keck et al")</f>
        <v>Keck et al</v>
      </c>
      <c r="E1009" s="24" t="str">
        <f>IFERROR(__xludf.DUMMYFUNCTION("""COMPUTED_VALUE"""),"WOS:000500518800005")</f>
        <v>WOS:000500518800005</v>
      </c>
      <c r="F1009" s="24" t="str">
        <f>IFERROR(__xludf.DUMMYFUNCTION("""COMPUTED_VALUE"""),"[""ELIGIBLE""]")</f>
        <v>["ELIGIBLE"]</v>
      </c>
    </row>
    <row r="1010">
      <c r="A1010" s="24" t="str">
        <f>IFERROR(__xludf.DUMMYFUNCTION("""COMPUTED_VALUE"""),"Carabid beetles in green infrastructures: the importance of management practices for improving the biodiversity in a metropolitan city")</f>
        <v>Carabid beetles in green infrastructures: the importance of management practices for improving the biodiversity in a metropolitan city</v>
      </c>
      <c r="B1010" s="24" t="str">
        <f>IFERROR(__xludf.DUMMYFUNCTION("""COMPUTED_VALUE"""),"Green infrastructure in urbanized areas has a dual purpose that achieves both sociological and ecological goals. To benefit society and the urban ecosystem, green infrastructure should be effectively managed. We investigated carabid diversity and assembla"&amp;"ge structure as indicators of biodiversity in green infrastructures in a rapidly developing urban area to identify the habitat's values. In addition, we attempted to reveal the effect of environmental variables (e.g., vegetation structure, soil, and distu"&amp;"rbance) that strongly contribute to carabid diversity and assemblage structure. Of the collected organisms, 6,154 individuals representing 20 carabid species were identified in the green infrastructure. Those species with flight ability and that were foun"&amp;"d in dry habitats were widely distributed and dominated green infrastructures. Carabid assemblages changed significantly in response to management practices. These changes were both positive and negative, with the negative changes increasing the instabili"&amp;"ty of the carabid assemblages through the destruction of their habitat. Other factors, such as the presence of original habitat, habitat age, and habitat succession, also had a considerable effect on carabid diversity. We revealed that management practice"&amp;"s prevented habitat succession, and these interactive effects determined carabid diversity and structure in green infrastructures.")</f>
        <v>Green infrastructure in urbanized areas has a dual purpose that achieves both sociological and ecological goals. To benefit society and the urban ecosystem, green infrastructure should be effectively managed. We investigated carabid diversity and assemblage structure as indicators of biodiversity in green infrastructures in a rapidly developing urban area to identify the habitat's values. In addition, we attempted to reveal the effect of environmental variables (e.g., vegetation structure, soil, and disturbance) that strongly contribute to carabid diversity and assemblage structure. Of the collected organisms, 6,154 individuals representing 20 carabid species were identified in the green infrastructure. Those species with flight ability and that were found in dry habitats were widely distributed and dominated green infrastructures. Carabid assemblages changed significantly in response to management practices. These changes were both positive and negative, with the negative changes increasing the instability of the carabid assemblages through the destruction of their habitat. Other factors, such as the presence of original habitat, habitat age, and habitat succession, also had a considerable effect on carabid diversity. We revealed that management practices prevented habitat succession, and these interactive effects determined carabid diversity and structure in green infrastructures.</v>
      </c>
      <c r="C1010" s="24" t="str">
        <f>IFERROR(__xludf.DUMMYFUNCTION("""COMPUTED_VALUE"""),"10.1007/s11252-014-0348-1")</f>
        <v>10.1007/s11252-014-0348-1</v>
      </c>
      <c r="D1010" s="24" t="str">
        <f>IFERROR(__xludf.DUMMYFUNCTION("""COMPUTED_VALUE"""),"Keck et al")</f>
        <v>Keck et al</v>
      </c>
      <c r="E1010" s="24" t="str">
        <f>IFERROR(__xludf.DUMMYFUNCTION("""COMPUTED_VALUE"""),"WOS:000341090700002")</f>
        <v>WOS:000341090700002</v>
      </c>
      <c r="F1010" s="24" t="str">
        <f>IFERROR(__xludf.DUMMYFUNCTION("""COMPUTED_VALUE"""),"[""ELIGIBLE""]")</f>
        <v>["ELIGIBLE"]</v>
      </c>
    </row>
    <row r="1011">
      <c r="A1011" s="24" t="str">
        <f>IFERROR(__xludf.DUMMYFUNCTION("""COMPUTED_VALUE"""),"Urbanization impacts the taxonomic and functional structure of aquatic macroinvertebrate communities in a small Neotropical city")</f>
        <v>Urbanization impacts the taxonomic and functional structure of aquatic macroinvertebrate communities in a small Neotropical city</v>
      </c>
      <c r="B1011" s="24" t="str">
        <f>IFERROR(__xludf.DUMMYFUNCTION("""COMPUTED_VALUE"""),"Due to habitat fragmentation, resource disruption and pollution, urbanization is one of the most destructive forms of anthropization affecting ecosystems worldwide. Generally, human-mediated perturbations dramatically alter species diversity in urban site"&amp;"s compared to the surroundings, thus influencing the functioning of the entire ecosystem. We investigated the taxonomic and functional diversity patterns of the aquatic macroinvertebrate communities in tank bromeliads by comparing those found in a small N"&amp;"eotropical city with those from an adjacent rural site. Changes in the quality of detrital inputs in relation to lower tree diversity and the presence of synanthropic species are likely important driving forces behind the observed structural changes in th"&amp;"e urban site. Leaf-litter processors (i.e., shredders, scrapers) were positively affected in the urban site, while filter-feeders that process smaller particles produced by the activity of the shredders were negatively affected. Because we cannot ascertai"&amp;"n whether the decline in filter-feeders is related to food web-mediated effects or to competitive exclusion (Aedes aegypti mosquitoes were present in urban bromeliads only), further studies are necessary to account for the effects of intra-guild competiti"&amp;"on or inter-guild facilitation.")</f>
        <v>Due to habitat fragmentation, resource disruption and pollution, urbanization is one of the most destructive forms of anthropization affecting ecosystems worldwide. Generally, human-mediated perturbations dramatically alter species diversity in urban sites compared to the surroundings, thus influencing the functioning of the entire ecosystem. We investigated the taxonomic and functional diversity patterns of the aquatic macroinvertebrate communities in tank bromeliads by comparing those found in a small Neotropical city with those from an adjacent rural site. Changes in the quality of detrital inputs in relation to lower tree diversity and the presence of synanthropic species are likely important driving forces behind the observed structural changes in the urban site. Leaf-litter processors (i.e., shredders, scrapers) were positively affected in the urban site, while filter-feeders that process smaller particles produced by the activity of the shredders were negatively affected. Because we cannot ascertain whether the decline in filter-feeders is related to food web-mediated effects or to competitive exclusion (Aedes aegypti mosquitoes were present in urban bromeliads only), further studies are necessary to account for the effects of intra-guild competition or inter-guild facilitation.</v>
      </c>
      <c r="C1011" s="24" t="str">
        <f>IFERROR(__xludf.DUMMYFUNCTION("""COMPUTED_VALUE"""),"10.1007/s11252-017-0653-6")</f>
        <v>10.1007/s11252-017-0653-6</v>
      </c>
      <c r="D1011" s="24" t="str">
        <f>IFERROR(__xludf.DUMMYFUNCTION("""COMPUTED_VALUE"""),"Keck et al")</f>
        <v>Keck et al</v>
      </c>
      <c r="E1011" s="24" t="str">
        <f>IFERROR(__xludf.DUMMYFUNCTION("""COMPUTED_VALUE"""),"WOS:000411519400004")</f>
        <v>WOS:000411519400004</v>
      </c>
      <c r="F1011" s="24" t="str">
        <f>IFERROR(__xludf.DUMMYFUNCTION("""COMPUTED_VALUE"""),"[""ELIGIBLE""]")</f>
        <v>["ELIGIBLE"]</v>
      </c>
    </row>
    <row r="1012">
      <c r="A1012" s="24" t="str">
        <f>IFERROR(__xludf.DUMMYFUNCTION("""COMPUTED_VALUE"""),"Response of bird assemblages to windstorm and salvage logging - Insights from analyses of functional guild and indicator species")</f>
        <v>Response of bird assemblages to windstorm and salvage logging - Insights from analyses of functional guild and indicator species</v>
      </c>
      <c r="B1012" s="24" t="str">
        <f>IFERROR(__xludf.DUMMYFUNCTION("""COMPUTED_VALUE"""),"Natural disturbances, such as fire, windstorms and insect outbreaks, are important drivers of biodiversity in forest ecosystems, but at the same time cause large economic losses. Among the natural disturbances in Europe, windstorms cause the highest econo"&amp;"mic loss. After such storms, damaged forest stands are commonly salvage logged to restore economic value. However, such interventions could affect species assemblages of various taxonomic groups, including breeding birds. Despite these potential effects, "&amp;"investigations of the impacts of post-storm logging are largely lacking. We thus investigated assemblages of breeding birds in 21 logged and 21 unlogged windstorm-disturbed forest plots and 18 undisturbed, control forest plots using fixed-radius point-sto"&amp;"p counts three, five and seven years after a windstorm within the Bavarian Forest National Park as part of the European Long-Term Ecosystem Research Network. We recorded 2100 bird individuals of 55 bird species. Bird assemblages were predominantly altered"&amp;" by the consequences of the windstorm and affected only to a minor degree by subsequent logging of storm felled trees. Nevertheless, bird species richness was significantly reduced by post-storm logging within the first season. In general, the windstorm l"&amp;"ed to a shift in bird assemblage composition from typical forest species towards open- and shrub-land species. Assemblages of logged and unlogged disturbed plots consisted mainly of long-distance migrants and ground-foraging bird species, whereas assembla"&amp;"ges of undisturbed control plots consisted of resident species that forage within vegetation. Both unlogged and logged storm-felled coniferous forest stands were inhabited by endangered or declining bird species, such as Water Pipit (Anthus spinoletta) on"&amp;" logged plots and Eurasian Redstart (Phoenicurus phoenicurus) on unlogged plots. Indicator species analyses suggested that species of unlogged storm disturbed plots depended on storm-created legacies, such as pits and snags, for foraging and nesting. Henc"&amp;"e, we recommend reducing post-storm logging of these legacies to support species restricted to unlogged disturbed forest. To increase the diversity of breeding birds on the landscape scale, diverse logged and unlogged post-disturbance stands should be pro"&amp;"vided, which could be gained by a partial benign neglect strategy of storm disturbed forest stands. (C) 2015 Elsevier Ltd. All rights reserved.")</f>
        <v>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v>
      </c>
      <c r="C1012" s="24" t="str">
        <f>IFERROR(__xludf.DUMMYFUNCTION("""COMPUTED_VALUE"""),"10.1016/j.ecolind.2015.06.033")</f>
        <v>10.1016/j.ecolind.2015.06.033</v>
      </c>
      <c r="D1012" s="24" t="str">
        <f>IFERROR(__xludf.DUMMYFUNCTION("""COMPUTED_VALUE"""),"Keck et al")</f>
        <v>Keck et al</v>
      </c>
      <c r="E1012" s="24" t="str">
        <f>IFERROR(__xludf.DUMMYFUNCTION("""COMPUTED_VALUE"""),"WOS:000388157700013")</f>
        <v>WOS:000388157700013</v>
      </c>
      <c r="F1012" s="24" t="str">
        <f>IFERROR(__xludf.DUMMYFUNCTION("""COMPUTED_VALUE"""),"[""ELIGIBLE""]")</f>
        <v>["ELIGIBLE"]</v>
      </c>
    </row>
    <row r="1013">
      <c r="A1013" s="24" t="str">
        <f>IFERROR(__xludf.DUMMYFUNCTION("""COMPUTED_VALUE"""),"Shale gas development has limited effects on stream biology and geochemistry in a gradient-based, multiparameter study in Pennsylvania")</f>
        <v>Shale gas development has limited effects on stream biology and geochemistry in a gradient-based, multiparameter study in Pennsylvania</v>
      </c>
      <c r="B1013" s="24" t="str">
        <f>IFERROR(__xludf.DUMMYFUNCTION("""COMPUTED_VALUE"""),"The number of horizontally drilled shale oil and gas wells in the United States has increased from nearly 28,000 in 2007 to nearly 127,000 in 2017, and research has suggested the potential for the development of shale resources to affect nearby stream eco"&amp;"systems. However, the ability to generalize current studies is limited by the small geographic scope as well as limited breadth and integration of measured chemical and biological indicators parameters. This study tested the hypothesis that a quantifiable"&amp;", significant relationship exists between the density of oil and gas (OG) development, increasing stream water concentrations of known geochemical tracers of OG extraction, and the composition of benthic macroinvertebrate and microbial communities. Twenty"&amp;"-five headwater streams that drain lands across a gradient of shale gas development intensity were sampled. Our strategy included comprehensive measurements across multiple seasons of sampling to account for temporal variability of geochemical parameters,"&amp;" including known shale OG geochemical tracers, and microbial and benthic macroinvertebrate communities. No significant relationships were found between the intensity of OG development, shale OG geochemical tracers, or benthic macroinvertebrate or microbia"&amp;"l community composition, whereas significant seasonal differences in stream chemistry were observed. These results highlight the importance of considering spatial and temporal variability in stream chemistry and biota and not only the presence of anthropo"&amp;"genic activities in a watershed. This comprehensive, integrated study of geochemical and biological variability of headwater streams in watersheds undergoing OG development provides a robust framework for examining the effects of energy development at a r"&amp;"egional scale.")</f>
        <v>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v>
      </c>
      <c r="C1013" s="24" t="str">
        <f>IFERROR(__xludf.DUMMYFUNCTION("""COMPUTED_VALUE"""),"10.1073/pnas.1911458117")</f>
        <v>10.1073/pnas.1911458117</v>
      </c>
      <c r="D1013" s="24" t="str">
        <f>IFERROR(__xludf.DUMMYFUNCTION("""COMPUTED_VALUE"""),"Keck et al")</f>
        <v>Keck et al</v>
      </c>
      <c r="E1013" s="24" t="str">
        <f>IFERROR(__xludf.DUMMYFUNCTION("""COMPUTED_VALUE"""),"WOS:000514096400050")</f>
        <v>WOS:000514096400050</v>
      </c>
      <c r="F1013" s="24" t="str">
        <f>IFERROR(__xludf.DUMMYFUNCTION("""COMPUTED_VALUE"""),"[""ELIGIBLE""]")</f>
        <v>["ELIGIBLE"]</v>
      </c>
    </row>
    <row r="1014">
      <c r="A1014" s="24" t="str">
        <f>IFERROR(__xludf.DUMMYFUNCTION("""COMPUTED_VALUE"""),"Does a sum of toxic units exceeding 1 imply adverse impacts on macroinvertebrate assemblages? A field study in a northern Japanese river receiving treated mine discharge")</f>
        <v>Does a sum of toxic units exceeding 1 imply adverse impacts on macroinvertebrate assemblages? A field study in a northern Japanese river receiving treated mine discharge</v>
      </c>
      <c r="B1014" s="24" t="str">
        <f>IFERROR(__xludf.DUMMYFUNCTION("""COMPUTED_VALUE"""),"In ecological risk assessment, sum-of-toxic-unit approaches based on measured water quality factors such as trace metals are used to infer ecological impacts in the environment. However, it is uncertain whether the use of such approaches yields accurate r"&amp;"isk predictions. To address this issue, we investigated and compared (1) water quality, including trace metals, and (2) benthic macroinvertebrate communities in a northern Japanese river receiving treated discharge from an abandoned mine and in a nearby r"&amp;"eference river. As a sum-of-toxic-unit approach, we employed a cumulative criterion unit (CCU), namely, the sum of the ratios of the dissolved concentrations of a metal (Cu, Zn, Cd, or Pb) divided by the US Environmental Protection Agency hardness-adjuste"&amp;"d environmental water quality criterion for that metal. Compared with the reference sites, at the metal-contaminated sites, the richness, abundance, and structure of macroinvertebrate communities were little affected, with CCUs of 1.7 to 7.4, suggesting t"&amp;"hat CCU values exceeding 1 do not always indicate marked adverse impacts on these metrics. Further study is still required to derive a more compelling conclusion on the generally applicable relationships between CCUs and ecological impacts on river invert"&amp;"ebrates. This would lead to better ecological risk assessments based on sum-of-toxic-unit approaches.")</f>
        <v>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v>
      </c>
      <c r="C1014" s="24" t="str">
        <f>IFERROR(__xludf.DUMMYFUNCTION("""COMPUTED_VALUE"""),"10.1007/s10661-019-8047-2")</f>
        <v>10.1007/s10661-019-8047-2</v>
      </c>
      <c r="D1014" s="24" t="str">
        <f>IFERROR(__xludf.DUMMYFUNCTION("""COMPUTED_VALUE"""),"Keck et al")</f>
        <v>Keck et al</v>
      </c>
      <c r="E1014" s="24" t="str">
        <f>IFERROR(__xludf.DUMMYFUNCTION("""COMPUTED_VALUE"""),"WOS:000514583700001")</f>
        <v>WOS:000514583700001</v>
      </c>
      <c r="F1014" s="24" t="str">
        <f>IFERROR(__xludf.DUMMYFUNCTION("""COMPUTED_VALUE"""),"[""ELIGIBLE""]")</f>
        <v>["ELIGIBLE"]</v>
      </c>
    </row>
    <row r="1015">
      <c r="A1015" s="24" t="str">
        <f>IFERROR(__xludf.DUMMYFUNCTION("""COMPUTED_VALUE"""),"Diel Variability and Influence of Artificial Light on Fish and Macroinvertebrate Communities in Gulf of Mexico Seagrass Beds")</f>
        <v>Diel Variability and Influence of Artificial Light on Fish and Macroinvertebrate Communities in Gulf of Mexico Seagrass Beds</v>
      </c>
      <c r="B1015" s="24" t="str">
        <f>IFERROR(__xludf.DUMMYFUNCTION("""COMPUTED_VALUE"""),"Seagrasses are productive habitats that support diverse communities of economically and ecologically important fishes and macroinvertebrates. However, most seagrass faunal assessments are conducted only during daylight hours. Here, we documented diel patt"&amp;"erns in seagrass-associated fish and macroinvertebrate community structure in seagrass near Seahorse Key, Florida (USA). Artificial light is prevalent in many coastal areas and may influence day/night assemblages; therefore, we added lights to the natural"&amp;" environment to get a better understanding of its effect on community composition. Seagrass inhabitants were quantified using 25-m seine transects during different diel periods (day or night) and in areas where light was manipulated to mimic light polluti"&amp;"on (artificial + natural light or natural light). Results suggest that the magnitude of diel effects exceeded that of light addition. While total abundance was similar between day and night, communities did change, with Lagodon rhomboides (Pinfish) domina"&amp;"ting day samples and Farfantepenaeus duorarum (pink shrimp) most abundant at night. Other fishes such as Orthopristis chrysoptera (Pigfish) and Strongylura notata (Needlefish) had higher catches during the day, while invertebrates such as Callinectes sapi"&amp;"dus (blue crab) and Palaeomonetes spp. (grass shrimp) were more prominent at night. In addition to the differences in abundance and community structure, we also identified diel differences in sizes for some species. No clear patterns were observed with th"&amp;"e short-term addition of artificial light. This research highlights the role of diel variability in seagrass communities and suggests that diel movement of organisms may represent an important conduit for the transfer of energy to adjacent habitats.")</f>
        <v>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v>
      </c>
      <c r="C1015" s="24" t="str">
        <f>IFERROR(__xludf.DUMMYFUNCTION("""COMPUTED_VALUE"""),"10.1007/s12237-020-00865-3")</f>
        <v>10.1007/s12237-020-00865-3</v>
      </c>
      <c r="D1015" s="24" t="str">
        <f>IFERROR(__xludf.DUMMYFUNCTION("""COMPUTED_VALUE"""),"Keck et al")</f>
        <v>Keck et al</v>
      </c>
      <c r="E1015" s="24" t="str">
        <f>IFERROR(__xludf.DUMMYFUNCTION("""COMPUTED_VALUE"""),"WOS:000593411000001")</f>
        <v>WOS:000593411000001</v>
      </c>
      <c r="F1015" s="24" t="str">
        <f>IFERROR(__xludf.DUMMYFUNCTION("""COMPUTED_VALUE"""),"[""ELIGIBLE""]")</f>
        <v>["ELIGIBLE"]</v>
      </c>
    </row>
    <row r="1016">
      <c r="A1016" s="24" t="str">
        <f>IFERROR(__xludf.DUMMYFUNCTION("""COMPUTED_VALUE"""),"Variation of soil nitrate and bacterial diversity along soil profiles in manure disposal maize field and adjacent woodland")</f>
        <v>Variation of soil nitrate and bacterial diversity along soil profiles in manure disposal maize field and adjacent woodland</v>
      </c>
      <c r="B1016" s="24" t="str">
        <f>IFERROR(__xludf.DUMMYFUNCTION("""COMPUTED_VALUE"""),"Purpose Intensified livestock system produced large amount of bio-waste, and improper disposal of livestock manure has led to severe environmental consequences. However, knowledge about the time-dependent changes of manure-derived nitrate and soil bacteri"&amp;"al diversity along the soil profiles is limited. Materials and methods Vertical variation of soil bacterial diversity and composition in a manure-amended maize field and adjacent non-manured woodland was investigated using high-throughput sequencing techn"&amp;"ique in spring and autumn along a 1-m profile depth. The soil is classified as aquic inceptisol with a bulk density of 1.31 g cm(-3), and a sandy loam texture. Results The results showed that significant higher amount of nitrate (up to 172.13 mg kg(-1)) w"&amp;"as detected along the soil profile loaded with cattle manure compared with the adjacent non-manured woodland. Soil delta N-15-NO(3)(-)composition from maize field fall between + 5 and 25 parts per thousand, while those from woodland fall between - 5 and 1"&amp;"5 parts per thousand. No significant difference in bacterial richness between the two land uses was found, while clear separation of bacterial structure was detected even to the deep soil layers. Canonical correspondence analysis showed that soil organic "&amp;"matter, C/N ratio, nitrate content, pH, and moisture were the major factors influencing the variance of bacterial community composition. Bacterial networks in the maize field harbor more modules than those in the adjacent woodland. Negative standardized e"&amp;"ffect size measure of mean nearest taxon distance in the soils tended to be more phylogenetically clustered than expected by chance, and was more likely to be clustered along the depth. Conclusions These findings suggested that soil bacterial beta diversi"&amp;"ty was strongly affected by multi-nutrient properties in terms of high livestock manure load, and had important implications for assessing the environmental impacts on belowground biodiversity in sandy loam soils.")</f>
        <v>Purpose Intensified livestock system produced large amount of bio-waste, and improper disposal of livestock manure has led to severe environmental consequences. However, knowledge about the time-dependent changes of manure-derived nitrate and soil bacterial diversity along the soil profiles is limited. Materials and methods Vertical variation of soil bacterial diversity and composition in a manure-amended maize field and adjacent non-manured woodland was investigated using high-throughput sequencing technique in spring and autumn along a 1-m profile depth. The soil is classified as aquic inceptisol with a bulk density of 1.31 g cm(-3), and a sandy loam texture. Results The results showed that significant higher amount of nitrate (up to 172.13 mg kg(-1)) was detected along the soil profile loaded with cattle manure compared with the adjacent non-manured woodland. Soil delta N-15-NO(3)(-)composition from maize field fall between + 5 and 25 parts per thousand, while those from woodland fall between - 5 and 15 parts per thousand. No significant difference in bacterial richness between the two land uses was found, while clear separation of bacterial structure was detected even to the deep soil layers. Canonical correspondence analysis showed that soil organic matter, C/N ratio, nitrate content, pH, and moisture were the major factors influencing the variance of bacterial community composition. Bacterial networks in the maize field harbor more modules than those in the adjacent woodland. Negative standardized effect size measure of mean nearest taxon distance in the soils tended to be more phylogenetically clustered than expected by chance, and was more likely to be clustered along the depth. Conclusions These findings suggested that soil bacterial beta diversity was strongly affected by multi-nutrient properties in terms of high livestock manure load, and had important implications for assessing the environmental impacts on belowground biodiversity in sandy loam soils.</v>
      </c>
      <c r="C1016" s="24" t="str">
        <f>IFERROR(__xludf.DUMMYFUNCTION("""COMPUTED_VALUE"""),"10.1007/s11368-020-02679-z")</f>
        <v>10.1007/s11368-020-02679-z</v>
      </c>
      <c r="D1016" s="24" t="str">
        <f>IFERROR(__xludf.DUMMYFUNCTION("""COMPUTED_VALUE"""),"Keck et al")</f>
        <v>Keck et al</v>
      </c>
      <c r="E1016" s="24" t="str">
        <f>IFERROR(__xludf.DUMMYFUNCTION("""COMPUTED_VALUE"""),"WOS:000539202000001")</f>
        <v>WOS:000539202000001</v>
      </c>
      <c r="F1016" s="24" t="str">
        <f>IFERROR(__xludf.DUMMYFUNCTION("""COMPUTED_VALUE"""),"[""ELIGIBLE""]")</f>
        <v>["ELIGIBLE"]</v>
      </c>
    </row>
    <row r="1017">
      <c r="A1017" s="24" t="str">
        <f>IFERROR(__xludf.DUMMYFUNCTION("""COMPUTED_VALUE"""),"Assessing habitat quality on alpha and beta diversity of Odonata larvae (Insect) in logging areas in Amazon forest")</f>
        <v>Assessing habitat quality on alpha and beta diversity of Odonata larvae (Insect) in logging areas in Amazon forest</v>
      </c>
      <c r="B1017" s="24" t="str">
        <f>IFERROR(__xludf.DUMMYFUNCTION("""COMPUTED_VALUE"""),"The present study evaluated the effects of habitat quality on the alpha and beta diversity of odonate larvae under conditions of reduced impact and conventional logging. We hypothesized that the variation in the abiotic conditions found in areas of conven"&amp;"tional logging would result in a greater loss of alpha and beta diversity in these areas in comparison with areas of reduced-impact logging and native forest. The study area was located in northeastern Para state, in northern Brazil. We analyzed data from"&amp;" 10 control streams, located in areas of preserved native forest, 11 streams in forest harvested by reduced-impact logging, and nine streams in areas that had been logged conventionally. Environmental factors such as dissolved oxygen, woody debris, water "&amp;"temperature, sediments, and canopy cover were the principal predictors of the diversity of the Odonata. Our results showed that turnover was the principal component structuring beta diversity in the three areas (native forest, reduced impact and conventio"&amp;"nal logging). The results of the present study indicate that management initiatives based on reduced-impact logging techniques could be adopted to guarantee socio-economic benefits while minimizing the impacts of logging on local biodiversity.")</f>
        <v>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v>
      </c>
      <c r="C1017" s="24" t="str">
        <f>IFERROR(__xludf.DUMMYFUNCTION("""COMPUTED_VALUE"""),"10.1007/s10750-021-04524-x")</f>
        <v>10.1007/s10750-021-04524-x</v>
      </c>
      <c r="D1017" s="24" t="str">
        <f>IFERROR(__xludf.DUMMYFUNCTION("""COMPUTED_VALUE"""),"Keck et al")</f>
        <v>Keck et al</v>
      </c>
      <c r="E1017" s="24" t="str">
        <f>IFERROR(__xludf.DUMMYFUNCTION("""COMPUTED_VALUE"""),"WOS:000615752300001")</f>
        <v>WOS:000615752300001</v>
      </c>
      <c r="F1017" s="24" t="str">
        <f>IFERROR(__xludf.DUMMYFUNCTION("""COMPUTED_VALUE"""),"[""ELIGIBLE""]")</f>
        <v>["ELIGIBLE"]</v>
      </c>
    </row>
    <row r="1018">
      <c r="A1018" s="24" t="str">
        <f>IFERROR(__xludf.DUMMYFUNCTION("""COMPUTED_VALUE"""),"Disturbances due to increased salinity and the resilience of zooplankton communities: the potential role of the resting egg bank")</f>
        <v>Disturbances due to increased salinity and the resilience of zooplankton communities: the potential role of the resting egg bank</v>
      </c>
      <c r="B1018" s="24" t="str">
        <f>IFERROR(__xludf.DUMMYFUNCTION("""COMPUTED_VALUE"""),"When faced with disturbances such as increased salinity, aquatic communities inhabiting inland coastal systems change and may or may not be resilient after salinity decreases. The purpose of this study was to assess the potential role of the resting egg b"&amp;"ank for zooplankton community resilience. We predicted that (1) hatching of resting eggs is inhibited by increased salinities and (2) resting eggs remain viable when exposed to salinity and hatch when returned to freshwater. At the community level, we eva"&amp;"luated the hatching responses and the short-term viability of resting eggs exposed to a salinity gradient. The hatching of resting eggs was inhibited at higher salinities (16.0 and 32.0 g l(-1)). However, some resting eggs remained viable and hatched when"&amp;" returned to freshwater. Additionally, combining our experimental results to previously published field data, we observed that the pattern of hatching during exposure to salinity matches the temporal succession observed in the zooplankton community at our"&amp;" model system, after increased salinity. The recovery of zooplankton communities after disturbances involving increased salinity is likely facilitated by the presence of an egg bank. This finding has important implications for the recovery of zooplankton "&amp;"communities and the management of aquatic systems vulnerable to salinization worldwide.")</f>
        <v>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v>
      </c>
      <c r="C1018" s="24" t="str">
        <f>IFERROR(__xludf.DUMMYFUNCTION("""COMPUTED_VALUE"""),"10.1007/s10750-013-1683-6")</f>
        <v>10.1007/s10750-013-1683-6</v>
      </c>
      <c r="D1018" s="24" t="str">
        <f>IFERROR(__xludf.DUMMYFUNCTION("""COMPUTED_VALUE"""),"Keck et al")</f>
        <v>Keck et al</v>
      </c>
      <c r="E1018" s="24" t="str">
        <f>IFERROR(__xludf.DUMMYFUNCTION("""COMPUTED_VALUE"""),"WOS:000327405400009")</f>
        <v>WOS:000327405400009</v>
      </c>
      <c r="F1018" s="24" t="str">
        <f>IFERROR(__xludf.DUMMYFUNCTION("""COMPUTED_VALUE"""),"[""ELIGIBLE""]")</f>
        <v>["ELIGIBLE"]</v>
      </c>
    </row>
    <row r="1019">
      <c r="A1019" s="24" t="str">
        <f>IFERROR(__xludf.DUMMYFUNCTION("""COMPUTED_VALUE"""),"Response of Soil Bacterial Community to Application of Organic and Inorganic Phosphate Based Fertilizers under Vicia faba L. Cultivation at Two Different Phenological Stages")</f>
        <v>Response of Soil Bacterial Community to Application of Organic and Inorganic Phosphate Based Fertilizers under Vicia faba L. Cultivation at Two Different Phenological Stages</v>
      </c>
      <c r="B1019" s="24" t="str">
        <f>IFERROR(__xludf.DUMMYFUNCTION("""COMPUTED_VALUE"""),"It is essential to investigate to which extent and how specifically soil-plant-microbe interactions can be conditioned by different agricultural practices. Legumes such as Vicia faba is one of the essential functional group in intercropping and crop rotat"&amp;"ions due to its higher N fixing capacity. Hence, it is important to study the living microbial community of this legume. Further, it is also expected that fluctuations in soil microbial diversity and composition could be complemented by plant phenological"&amp;" stages and different fertilizer amendments. Thus, we investigated bacterial community composition in soil treated with phosphate-based inorganic and organic fertilizers, in the presence of Vicia faba plants at flowering and fruiting time using NGS 16S rR"&amp;"NA gene amplicon sequencing. Further, the evaluation of plant biomass parameters under different fertilizer treatments was also carried out. The presence of the Vicia faba plant increased the abundance of N fixing bacterial such as Bardyrhizobium, Microvi"&amp;"rga (Rhizobiales), Arthrobacter, and Psuedoarthrobacter (Actinomycetales) in soil. Fluctuation in composition and diversity of bacterial community was further supplemented by plant phenological stages. These alterations could be due to changes that occurr"&amp;"ed in the plant nutrient requirement and varied root exudation patterns at a specific phenological stage. Further, fertilizer treatments also have a profound effect on the diversity and structure of the bacterial community. Organic fertilizers, especially"&amp;" vegetable tanned leather waste (VTLW), have a stronger effect on the composition and diversity of bacterial community compared to inorganic fertilizer (PT-triple superphosphate). Alpha-diversity was significantly decreased by both organic and inorganic a"&amp;"mendments, especially a species evenness because each fertilizer tends to stimulate the growth of distinctive microbes that dominated the community of amended soil. Proteobacteria, Actinobacteria, and Cyanobacteria were the most abundant phyla, and Chelat"&amp;"ococcus, Cyanobacteria, Sphingomonas, and Microvirga were a most abundant genus that contributed most in co-occurrence pattern, which suggests that these generalists are adapted to a variety of environments. These indicate that plant presence was a key, d"&amp;"ominating factor, followed by fertilizers and time, in affecting soil bacterial diversity and composition. Plant recruits system (fertilization and time) -specific taxa due to differences in available nutrients and energy sources among different treatment"&amp;"s during different growth stages. Further, fertilizer treatments did not have a stronger effect on plant production as compared to the effect on microbial community, which highlights that organic fertilizers did not tend to increase plant production. Thus"&amp;", organic and inorganic amendments with matched macronutrients could have a similar impact on crop yields.")</f>
        <v>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v>
      </c>
      <c r="C1019" s="24" t="str">
        <f>IFERROR(__xludf.DUMMYFUNCTION("""COMPUTED_VALUE"""),"10.3390/su12229706")</f>
        <v>10.3390/su12229706</v>
      </c>
      <c r="D1019" s="24" t="str">
        <f>IFERROR(__xludf.DUMMYFUNCTION("""COMPUTED_VALUE"""),"Keck et al")</f>
        <v>Keck et al</v>
      </c>
      <c r="E1019" s="24" t="str">
        <f>IFERROR(__xludf.DUMMYFUNCTION("""COMPUTED_VALUE"""),"WOS:000594610000001")</f>
        <v>WOS:000594610000001</v>
      </c>
      <c r="F1019" s="24" t="str">
        <f>IFERROR(__xludf.DUMMYFUNCTION("""COMPUTED_VALUE"""),"[""ELIGIBLE""]")</f>
        <v>["ELIGIBLE"]</v>
      </c>
    </row>
    <row r="1020">
      <c r="A1020" s="24" t="str">
        <f>IFERROR(__xludf.DUMMYFUNCTION("""COMPUTED_VALUE"""),"Response of soil environment factors and microbial communities to phytoremediation with Robinia pseudoacacia in an open-cut magnesite mine")</f>
        <v>Response of soil environment factors and microbial communities to phytoremediation with Robinia pseudoacacia in an open-cut magnesite mine</v>
      </c>
      <c r="B1020" s="24" t="str">
        <f>IFERROR(__xludf.DUMMYFUNCTION("""COMPUTED_VALUE"""),"Overexploitation of magnesium has caused serious environmental pollution, and the ecological restoration of magnesite mines has attracted increasing attention in China. The aim of this study was to assess the effects of phytoremediation with Robinia pseud"&amp;"oacacia (RP) on soil quality and microbial communities in magnesite mines. Here, soil samples were collected from restored areas (R. pseudoacacia), natural forest (NF), and unrestored areas (CK), and the soil microbial communities were assessed by Illumin"&amp;"a high-throughput sequencing. Phytoremediation with R. pseudoacacia could alleviate soil alkalization and contribute to the accumulation of soil nutrients. A total of 531,329 effective 16S rRNA and 596,344 valid Internal Transcribed Spacer rRNA gene seque"&amp;"nces were obtained, which were classified into 30 bacterial and 12 fungal phyla. The predominant bacterial and fungal phyla were Proteobacteria and Ascomycota, respectively. Bacterial diversity indices of RP were higher than those of the CK, both of which"&amp;" were lower than those in the NF site. While, fungal Chao1 and ACE (abundance-based coverage estimator) indices of RP were higher than those of the CK and even surpassed those in the NF site. Soil microbial communities significantly differed among differe"&amp;"nt treatments, and the effects of soil factors on microbial communities were comprehensive and not determined by a single factor. Generally, these results indicated that phytoremediation with R. pseudoacacia could effectively improve the soil environment "&amp;"of the abandoned magnesium mine, which provide useful insights and practical references for the suitable species that would be planted on magnesite mine for restoration.")</f>
        <v>Overexploitation of magnesium has caused serious environmental pollution, and the ecological restoration of magnesite mines has attracted increasing attention in China. The aim of this study was to assess the effects of phytoremediation with Robinia pseudoacacia (RP) on soil quality and microbial communities in magnesite mines. Here, soil samples were collected from restored areas (R. pseudoacacia), natural forest (NF), and unrestored areas (CK), and the soil microbial communities were assessed by Illumina high-throughput sequencing. Phytoremediation with R. pseudoacacia could alleviate soil alkalization and contribute to the accumulation of soil nutrients. A total of 531,329 effective 16S rRNA and 596,344 valid Internal Transcribed Spacer rRNA gene sequences were obtained, which were classified into 30 bacterial and 12 fungal phyla. The predominant bacterial and fungal phyla were Proteobacteria and Ascomycota, respectively. Bacterial diversity indices of RP were higher than those of the CK, both of which were lower than those in the NF site. While, fungal Chao1 and ACE (abundance-based coverage estimator) indices of RP were higher than those of the CK and even surpassed those in the NF site. Soil microbial communities significantly differed among different treatments, and the effects of soil factors on microbial communities were comprehensive and not determined by a single factor. Generally, these results indicated that phytoremediation with R. pseudoacacia could effectively improve the soil environment of the abandoned magnesium mine, which provide useful insights and practical references for the suitable species that would be planted on magnesite mine for restoration.</v>
      </c>
      <c r="C1020" s="24" t="str">
        <f>IFERROR(__xludf.DUMMYFUNCTION("""COMPUTED_VALUE"""),"10.1002/ldr.3599")</f>
        <v>10.1002/ldr.3599</v>
      </c>
      <c r="D1020" s="24" t="str">
        <f>IFERROR(__xludf.DUMMYFUNCTION("""COMPUTED_VALUE"""),"Keck et al")</f>
        <v>Keck et al</v>
      </c>
      <c r="E1020" s="24" t="str">
        <f>IFERROR(__xludf.DUMMYFUNCTION("""COMPUTED_VALUE"""),"WOS:000526561900001")</f>
        <v>WOS:000526561900001</v>
      </c>
      <c r="F1020" s="24" t="str">
        <f>IFERROR(__xludf.DUMMYFUNCTION("""COMPUTED_VALUE"""),"[""ELIGIBLE""]")</f>
        <v>["ELIGIBLE"]</v>
      </c>
    </row>
    <row r="1021">
      <c r="A1021" s="24" t="str">
        <f>IFERROR(__xludf.DUMMYFUNCTION("""COMPUTED_VALUE"""),"Grazing and tree 'clearing' alter grass-associated invertebrate assemblages in an Australian tropical grassy woodland")</f>
        <v>Grazing and tree 'clearing' alter grass-associated invertebrate assemblages in an Australian tropical grassy woodland</v>
      </c>
      <c r="B1021" s="24" t="str">
        <f>IFERROR(__xludf.DUMMYFUNCTION("""COMPUTED_VALUE"""),"To evaluate the response of invertebrates to 'clearing' and grazing pressure impacts, a previously grazed but uncleared grassy woodland in central Queensland was manipulated to provide four grazing pressures (destocked, low, moderate and high) and two tre"&amp;"e treatments (with trees, i.e. untreated, and 'cleared', i.e. trees and saplings poisoned with herbicides), with two replicates of each, making 16 plots in total. Monitoring was carried out in 1998, approximately four years post-establishment of the treat"&amp;"ments. Two types of samples were taken: pitfall for ground-active fauna and suction for grass-associated fauna. Overall, 23 orders of invertebrates were sampled by pitfalls and 22 by suction. Significant effects of grazing on invertebrate assemblages were"&amp;" detected by both methods, but no effects were detected from `clearing'. There was a gradation in the invertebrate assemblages from low to high grazing pressure, the invertebrate assemblages in the paddocks with the highest grazing differing most from tho"&amp;"se in the destocked and low-grazing-pressure paddocks. Notwithstanding the lack of effect of 'clearing' at the assemblage level, ground-active invertebrates and some grass-associated invertebrates increased in abundance following 'clearing', possibly refl"&amp;"ecting an increase in the quality of the resource base. However, ground-active invertebrates and grass-associated invertebrates showed contrasting responses to grazing pressure, the former increasing, possibly reflecting changes in trapability due to the "&amp;"more open vegetation structure at higher grazing pressures. The abundance of grass-associated invertebrates declined by 50-80% with increased grazing - although with complex changes in assemblage structure. Despite those declines, the basic trophic pyrami"&amp;"d remained, and, along with that, the potential for recovery of invertebrate assemblages and associated ecosystem services with reduction in grazing intensity. With 80% of Queensland grazed, the reduction in invertebrate abundance has implications for the"&amp;" viability of insectivores, particularly mobile fauna such as birds, at a landscape scale. It is recommended that the utility of using suction samples as a basis for assessing ecosystem functional health be investigated and that grazing pressure be reduce"&amp;"d to increase invertebrate assemblages of rangeland pastures and to improve sustainability.")</f>
        <v>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v>
      </c>
      <c r="C1021" s="24" t="str">
        <f>IFERROR(__xludf.DUMMYFUNCTION("""COMPUTED_VALUE"""),"10.1071/RJ18062")</f>
        <v>10.1071/RJ18062</v>
      </c>
      <c r="D1021" s="24" t="str">
        <f>IFERROR(__xludf.DUMMYFUNCTION("""COMPUTED_VALUE"""),"Keck et al")</f>
        <v>Keck et al</v>
      </c>
      <c r="E1021" s="24" t="str">
        <f>IFERROR(__xludf.DUMMYFUNCTION("""COMPUTED_VALUE"""),"WOS:000451053800001")</f>
        <v>WOS:000451053800001</v>
      </c>
      <c r="F1021" s="24" t="str">
        <f>IFERROR(__xludf.DUMMYFUNCTION("""COMPUTED_VALUE"""),"[""ELIGIBLE""]")</f>
        <v>["ELIGIBLE"]</v>
      </c>
    </row>
    <row r="1022">
      <c r="A1022" s="24" t="str">
        <f>IFERROR(__xludf.DUMMYFUNCTION("""COMPUTED_VALUE"""),"Impact of crop cultivation, nitrogen and fulvic acid on soil fungal community structure in salt-affected alluvial fluvo-aquic soil")</f>
        <v>Impact of crop cultivation, nitrogen and fulvic acid on soil fungal community structure in salt-affected alluvial fluvo-aquic soil</v>
      </c>
      <c r="B1022" s="24" t="str">
        <f>IFERROR(__xludf.DUMMYFUNCTION("""COMPUTED_VALUE"""),"Aims Soil fungal communities play pivotal roles in promoting ecosystem carbon (C) and nitrogen (N) cycling, stimulating disease resistance and enhancing tolerance against salt stress of host plants. However, the impact of anthropogenic management practice"&amp;"s on the soil fungal community structure has not yet been clarified. Methods Using a four-consecutive-year field experiment and the quantitative polymerase chain reaction (qPCR) and Illumina MiSeq DNA sequencing methods, the single and interactive impacts"&amp;" of crop cultivation (CK), N fertilization (N) and fulvic acid (F) on soil fungal diversity, abundance, composition and functional groups were investigated. Results Consecutive crop cultivation improved soil chemical and microbial properties by reducing s"&amp;"oil electrical conductivity (ECe) and enhancing soil organic carbon (SOC), microbial biomass carbon (MNC), and microbial biomass nitrogen (MBN). Crop cultivation had larger contribution to fungal richness and diversity than N fertilization and fulvic acid"&amp;". Crop cultivation enriched mycorrhizal fungi and N fertilization enriched endophytic, saprophytic and pathogenic fungi. Structural equation modeling (SEM) revealed that soil ECe and pH indirectly influenced MBN through their adverse direct impact on OTUs"&amp;", Shannon index and abundance of predominant fungal taxa. N input exhibited a positive indirect influence on MBN through enhancing abundance of Funneliformis at the genus level. Conclusions Crop cultivation, N input, and fulvic acid addition in saline soi"&amp;"l environment changed the environmental niches and drove the evolution of soil fungal community. In return, the shifts in soil fungal community composition and functional groups greatly affected soil C and N transformation with potential feedback on soil "&amp;"microbial activity.")</f>
        <v>Aims Soil fungal communities play pivotal roles in promoting ecosystem carbon (C) and nitrogen (N) cycling, stimulating disease resistance and enhancing tolerance against salt stress of host plants. However, the impact of anthropogenic management practices on the soil fungal community structure has not yet been clarified. Methods Using a four-consecutive-year field experiment and the quantitative polymerase chain reaction (qPCR) and Illumina MiSeq DNA sequencing methods, the single and interactive impacts of crop cultivation (CK), N fertilization (N) and fulvic acid (F) on soil fungal diversity, abundance, composition and functional groups were investigated. Results Consecutive crop cultivation improved soil chemical and microbial properties by reducing soil electrical conductivity (ECe) and enhancing soil organic carbon (SOC), microbial biomass carbon (MNC), and microbial biomass nitrogen (MBN). Crop cultivation had larger contribution to fungal richness and diversity than N fertilization and fulvic acid. Crop cultivation enriched mycorrhizal fungi and N fertilization enriched endophytic, saprophytic and pathogenic fungi. Structural equation modeling (SEM) revealed that soil ECe and pH indirectly influenced MBN through their adverse direct impact on OTUs, Shannon index and abundance of predominant fungal taxa. N input exhibited a positive indirect influence on MBN through enhancing abundance of Funneliformis at the genus level. Conclusions Crop cultivation, N input, and fulvic acid addition in saline soil environment changed the environmental niches and drove the evolution of soil fungal community. In return, the shifts in soil fungal community composition and functional groups greatly affected soil C and N transformation with potential feedback on soil microbial activity.</v>
      </c>
      <c r="C1022" s="24" t="str">
        <f>IFERROR(__xludf.DUMMYFUNCTION("""COMPUTED_VALUE"""),"10.1007/s11104-021-04979-w")</f>
        <v>10.1007/s11104-021-04979-w</v>
      </c>
      <c r="D1022" s="24" t="str">
        <f>IFERROR(__xludf.DUMMYFUNCTION("""COMPUTED_VALUE"""),"Keck et al")</f>
        <v>Keck et al</v>
      </c>
      <c r="E1022" s="24" t="str">
        <f>IFERROR(__xludf.DUMMYFUNCTION("""COMPUTED_VALUE"""),"WOS:000645521400001")</f>
        <v>WOS:000645521400001</v>
      </c>
      <c r="F1022" s="24" t="str">
        <f>IFERROR(__xludf.DUMMYFUNCTION("""COMPUTED_VALUE"""),"[""ELIGIBLE""]")</f>
        <v>["ELIGIBLE"]</v>
      </c>
    </row>
    <row r="1023">
      <c r="A1023" s="24" t="str">
        <f>IFERROR(__xludf.DUMMYFUNCTION("""COMPUTED_VALUE"""),"Ecological implications of intertidal mariculture: observed differences in bivalve community structure between farm and reference sites")</f>
        <v>Ecological implications of intertidal mariculture: observed differences in bivalve community structure between farm and reference sites</v>
      </c>
      <c r="B1023" s="24" t="str">
        <f>IFERROR(__xludf.DUMMYFUNCTION("""COMPUTED_VALUE"""),"1. Despite recent growth in shellfish aquaculture in British Columbia, Canada, the impacts of common practices on non-target species are poorly understood. Two practices employed on clam farms to increase production of the exotic clam Venerupis philippina"&amp;"rum include the addition of juvenile 'seed' clams to the sediment and covering seeded clam beds with protective netting, ostensibly to exclude large mobile epibenthic predators. 2. We expected the effects of predator exclusion to be most evident among oth"&amp;"er bivalves, which made up more than 80% of the infaunal macrobenthos at all sites surveyed. A field study across three regions collected infaunal bivalve density and biomass data. We compared species richness, composition and abundances of communities be"&amp;"tween clam farms and reference sites, paired on the basis of physical characteristics such as sediment type, slope and aspect. 3. Venerupis philippinarum was the only species found in higher abundance on farm sites in low intertidal areas (227 +/- 241.6 c"&amp;"lams m(-2), P = 0.02; 872.9 +/- 792.9 g m(-2), P = 0.037). Farmed sites showed no difference in mid-intertidal areas, nor in density of the other 25 bivalve species, although an increase would be expected if netting excluded important predators. Although "&amp;"statistically non-significant, there were indications that biomass of species other than V. philippinarum may have been lower on farm sites. 4. Bivalve species composition was not significantly different between farm and reference sites. Nevertheless, far"&amp;"m sites were more similar to each other as a group than reference sites, leading to a loss of regional distinctness that was evident among reference sites. 5. Synthesis and applications. Our findings support the hypothesis that predation and competition p"&amp;"lay minor roles in structuring communities in soft-bottomed environments. Given the potential for cumulative effects of seeding and netting at large scales, a precautionary approach is recommended in future development of intertidal clam aquaculture.")</f>
        <v>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v>
      </c>
      <c r="C1023" s="24" t="str">
        <f>IFERROR(__xludf.DUMMYFUNCTION("""COMPUTED_VALUE"""),"10.1111/j.1365-2664.2007.01283.x")</f>
        <v>10.1111/j.1365-2664.2007.01283.x</v>
      </c>
      <c r="D1023" s="24" t="str">
        <f>IFERROR(__xludf.DUMMYFUNCTION("""COMPUTED_VALUE"""),"Keck et al")</f>
        <v>Keck et al</v>
      </c>
      <c r="E1023" s="24" t="str">
        <f>IFERROR(__xludf.DUMMYFUNCTION("""COMPUTED_VALUE"""),"WOS:000246621700004")</f>
        <v>WOS:000246621700004</v>
      </c>
      <c r="F1023" s="24" t="str">
        <f>IFERROR(__xludf.DUMMYFUNCTION("""COMPUTED_VALUE"""),"[""ELIGIBLE""]")</f>
        <v>["ELIGIBLE"]</v>
      </c>
    </row>
    <row r="1024">
      <c r="A1024" s="24" t="str">
        <f>IFERROR(__xludf.DUMMYFUNCTION("""COMPUTED_VALUE"""),"Indigenous peoples' habitation history drives present-day forest biodiversity in British Columbia's coastal temperate rainforest")</f>
        <v>Indigenous peoples' habitation history drives present-day forest biodiversity in British Columbia's coastal temperate rainforest</v>
      </c>
      <c r="B1024" s="24" t="str">
        <f>IFERROR(__xludf.DUMMYFUNCTION("""COMPUTED_VALUE"""),"Long-term human habitation has transformed the earth's surface. The combination of time and complex human-environment interactions in remote regions of North America has likely resulted in modified landscapes, though we often consider these regions free o"&amp;"f human influence due to the absence of industrial development. We examined long-term impacts of human resource-use on British Columbia's coastal rainforest communities. We focused on the region's widespread habitation sites with extensive shell middens t"&amp;"o test the legacy of ancient human occupation in present-day plant communities. Ten habitation sites and 10 control sites in similar locales were selected for floristic surveys and soil sampling. We tested whether plant communities at habitation sites ref"&amp;"lected a 'cultural plant-use legacy', with greater presence of culturally significant plant species, and/or a 'marine nutrient subsidy legacy' from human use, with increases in species that prefer nutrient-rich soils. We found that the habitation sites ha"&amp;"d different plant assemblages than the control sites and were dominated by plants with both higher nutrient requirements and cultural significance. We demonstrate that long-term occupation has led to strong differences in plant community structure between"&amp;" sites, countering the notion that this is a pristine landscape. We emphasize the value of interdisciplinary approaches and considering past human resource-use when examining current plant communities. A plain language summary is available for this articl"&amp;"e. Plain Language Summary")</f>
        <v>Long-term human habitation has transformed the earth's surface. The combination of time and complex human-environment interactions in remote regions of North America has likely resulted in modified landscapes, though we often consider these regions free of human influence due to the absence of industrial development. We examined long-term impacts of human resource-use on British Columbia's coastal rainforest communities. We focused on the region's widespread habitation sites with extensive shell middens to test the legacy of ancient human occupation in present-day plant communities. Ten habitation sites and 10 control sites in similar locales were selected for floristic surveys and soil sampling. We tested whether plant communities at habitation sites reflected a 'cultural plant-use legacy', with greater presence of culturally significant plant species, and/or a 'marine nutrient subsidy legacy' from human use, with increases in species that prefer nutrient-rich soils. We found that the habitation sites had different plant assemblages than the control sites and were dominated by plants with both higher nutrient requirements and cultural significance. We demonstrate that long-term occupation has led to strong differences in plant community structure between sites, countering the notion that this is a pristine landscape. We emphasize the value of interdisciplinary approaches and considering past human resource-use when examining current plant communities. A plain language summary is available for this article. Plain Language Summary</v>
      </c>
      <c r="C1024" s="24" t="str">
        <f>IFERROR(__xludf.DUMMYFUNCTION("""COMPUTED_VALUE"""),"10.1002/pan3.16")</f>
        <v>10.1002/pan3.16</v>
      </c>
      <c r="D1024" s="24" t="str">
        <f>IFERROR(__xludf.DUMMYFUNCTION("""COMPUTED_VALUE"""),"Keck et al")</f>
        <v>Keck et al</v>
      </c>
      <c r="E1024" s="24" t="str">
        <f>IFERROR(__xludf.DUMMYFUNCTION("""COMPUTED_VALUE"""),"WOS:000657177700009")</f>
        <v>WOS:000657177700009</v>
      </c>
      <c r="F1024" s="24" t="str">
        <f>IFERROR(__xludf.DUMMYFUNCTION("""COMPUTED_VALUE"""),"[""ELIGIBLE""]")</f>
        <v>["ELIGIBLE"]</v>
      </c>
    </row>
    <row r="1025">
      <c r="A1025" s="24" t="str">
        <f>IFERROR(__xludf.DUMMYFUNCTION("""COMPUTED_VALUE"""),"Effects of Ocean Acidification and Microplastics on Microflora Community Composition in the Digestive Tract of the Thick Shell Mussel Mytilus coruscus Through 16S RNA Gene Sequencing")</f>
        <v>Effects of Ocean Acidification and Microplastics on Microflora Community Composition in the Digestive Tract of the Thick Shell Mussel Mytilus coruscus Through 16S RNA Gene Sequencing</v>
      </c>
      <c r="B1025" s="24" t="str">
        <f>IFERROR(__xludf.DUMMYFUNCTION("""COMPUTED_VALUE"""),"Ocean acidification and microplastic pollution is a global environmental threat, this research evaluated the effects of ocean acidification and microplastics on mussel digestive tract microbial community. The 16S rRNA gene was sequenced to characterize th"&amp;"e flora. Species diversity in the samples was assessed by clustering valid tags on 97% similarity. Bacteroidetes, Firmicutes and Proteobacteria were the three most abundant genera in the four groups, with Bacteroidetes showing the highest diversity. Howev"&amp;"er, no differences in flora structure were evident under various treatments. Phylogenetic relationship analysis revealed Bacteroidetes and Firmicutes had the highest OTU diversity. The weighted UniFrac distance, principal coordinate analysis (PCoA), unwei"&amp;"ghted pair group method with arithmetic mean (UPGMA) cluster tree and analysis of molecular variance (AMOVA) evaluation results for all samples also showed that changes in pH and microplastics concentration did not significantly affect the microbial commu"&amp;"nity structure in the mussel digestive tract. The results presented the no significant effects of ocean acidification and microplastics intake on mussel intestinal diversity.")</f>
        <v>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v>
      </c>
      <c r="C1025" s="24" t="str">
        <f>IFERROR(__xludf.DUMMYFUNCTION("""COMPUTED_VALUE"""),"10.1007/s00128-020-03022-5")</f>
        <v>10.1007/s00128-020-03022-5</v>
      </c>
      <c r="D1025" s="24" t="str">
        <f>IFERROR(__xludf.DUMMYFUNCTION("""COMPUTED_VALUE"""),"Keck et al")</f>
        <v>Keck et al</v>
      </c>
      <c r="E1025" s="24" t="str">
        <f>IFERROR(__xludf.DUMMYFUNCTION("""COMPUTED_VALUE"""),"WOS:000588584500001")</f>
        <v>WOS:000588584500001</v>
      </c>
      <c r="F1025" s="24" t="str">
        <f>IFERROR(__xludf.DUMMYFUNCTION("""COMPUTED_VALUE"""),"[""ELIGIBLE""]")</f>
        <v>["ELIGIBLE"]</v>
      </c>
    </row>
    <row r="1026">
      <c r="A1026" s="24" t="str">
        <f>IFERROR(__xludf.DUMMYFUNCTION("""COMPUTED_VALUE"""),"Urban Land use Affects Resident Fish Communities and Associated Salt Marsh Habitat in Alabama and West Florida, USA")</f>
        <v>Urban Land use Affects Resident Fish Communities and Associated Salt Marsh Habitat in Alabama and West Florida, USA</v>
      </c>
      <c r="B1026" s="24" t="str">
        <f>IFERROR(__xludf.DUMMYFUNCTION("""COMPUTED_VALUE"""),"Urban land-use has been shown to impact aquatic environments however not much is known about the effects of low to medium density residential development. Fish and associated habitat were sampled along 23 salt marshes (dominated by Juncus roemerianus) acr"&amp;"oss three urban and three reference tidal creeks of Alabama and west-Florida. Reference creeks had very little surrounding development while urban creeks were surrounded by residential neighborhoods typical for the region. Fish were sampled seasonally for"&amp;" one year along the marsh-water edge using baited minnow traps. Tidal creeks and marsh edges were also surveyed for various environmental attributes including: marsh species composition, stem density and biomass, sediment contaminants, marsh slope, salini"&amp;"ty, and water temperature. Urban creeks showed evidence of longer freshwater conditions and greater salinity fluctuation. Total fish abundance and biomass were significantly lower in urban marshes (10.1 +/- 1.3 fish trap(-1) and 34.8 +/- 5.1 g trap(-1)) c"&amp;"ompared to reference marshes (14.3 +/- 1.8 fish trap(-1) and 77.4 +/- 10.0 g trap(-1)). Based on nonmetric multidimensional scaling (NMDS), urban and reference fish assemblages were clearly clustered and correlated with salinity, marsh slope and sediment "&amp;"Cd concentration. These results suggest that marshes in urban-residential tidal creeks may support modified habitats compared to undeveloped creeks.")</f>
        <v>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v>
      </c>
      <c r="C1026" s="24" t="str">
        <f>IFERROR(__xludf.DUMMYFUNCTION("""COMPUTED_VALUE"""),"10.1007/s13157-017-0902-8")</f>
        <v>10.1007/s13157-017-0902-8</v>
      </c>
      <c r="D1026" s="24" t="str">
        <f>IFERROR(__xludf.DUMMYFUNCTION("""COMPUTED_VALUE"""),"Keck et al")</f>
        <v>Keck et al</v>
      </c>
      <c r="E1026" s="24" t="str">
        <f>IFERROR(__xludf.DUMMYFUNCTION("""COMPUTED_VALUE"""),"WOS:000408670000010")</f>
        <v>WOS:000408670000010</v>
      </c>
      <c r="F1026" s="24" t="str">
        <f>IFERROR(__xludf.DUMMYFUNCTION("""COMPUTED_VALUE"""),"[""ELIGIBLE""]")</f>
        <v>["ELIGIBLE"]</v>
      </c>
    </row>
    <row r="1027">
      <c r="A1027" s="24" t="str">
        <f>IFERROR(__xludf.DUMMYFUNCTION("""COMPUTED_VALUE"""),"Tree species composition and similarity in semideciduous forest fragments of southeastern Brazil")</f>
        <v>Tree species composition and similarity in semideciduous forest fragments of southeastern Brazil</v>
      </c>
      <c r="B1027" s="24" t="str">
        <f>IFERROR(__xludf.DUMMYFUNCTION("""COMPUTED_VALUE"""),"This study investigates the influence of fragment size on tree species composition, species richness and on individual groups of species within 11 semideciduous forest fragments in southeastern Brazil. We compared same-sized samples of 500 trees from 10 f"&amp;"ragments &lt; 100 ha, allocated to three size categories, with three 500-tree samples collected in different areas within a large forest, used as a reference forest. The variation in species richness, in the proportion of species/individuals in dispersal mod"&amp;"es, and in the proportion of rare species was not related to fragmerit size. Nonetheless, comparisons between the mean values of these variables of each fragment size categories, using 95% confidence intervals, showed a wider range of variation within the"&amp;" category of small-sized fragments than in the other size categories. NMS ordination plot also suggested the absence of a relationship between fragment area and tree species composition. However, multiple regressions using the scores from the NMS ordinati"&amp;"on as response variables, and area and disturbance intensities as predictor variables, suggested that the interaction of area and disturbance might be a good predictor of species composition. Pre-existing environmental heterogeneity and geographical proxi"&amp;"mity also appeared to play a role in the variations of forest composition among the fragments studied. Our results demonstrated the high conservation value of small forest fragments. (c) 2006 Elsevier Ltd. All rights reserved.")</f>
        <v>This study investigates the influence of fragment size on tree species composition, species richness and on individual groups of species within 11 semideciduous forest fragments in southeastern Brazil. We compared same-sized samples of 500 trees from 10 fragments &lt; 100 ha, allocated to three size categories, with three 500-tree samples collected in different areas within a large forest, used as a reference forest. The variation in species richness, in the proportion of species/individuals in dispersal modes, and in the proportion of rare species was not related to fragmerit size. Nonetheless, comparisons between the mean values of these variables of each fragment size categories, using 95% confidence intervals, showed a wider range of variation within the category of small-sized fragments than in the other size categories. NMS ordination plot also suggested the absence of a relationship between fragment area and tree species composition. However, multiple regressions using the scores from the NMS ordination as response variables, and area and disturbance intensities as predictor variables, suggested that the interaction of area and disturbance might be a good predictor of species composition. Pre-existing environmental heterogeneity and geographical proximity also appeared to play a role in the variations of forest composition among the fragments studied. Our results demonstrated the high conservation value of small forest fragments. (c) 2006 Elsevier Ltd. All rights reserved.</v>
      </c>
      <c r="C1027" s="24" t="str">
        <f>IFERROR(__xludf.DUMMYFUNCTION("""COMPUTED_VALUE"""),"10.1016/j.biocon.2006.10.027")</f>
        <v>10.1016/j.biocon.2006.10.027</v>
      </c>
      <c r="D1027" s="24" t="str">
        <f>IFERROR(__xludf.DUMMYFUNCTION("""COMPUTED_VALUE"""),"Keck et al")</f>
        <v>Keck et al</v>
      </c>
      <c r="E1027" s="24" t="str">
        <f>IFERROR(__xludf.DUMMYFUNCTION("""COMPUTED_VALUE"""),"WOS:000245492600011")</f>
        <v>WOS:000245492600011</v>
      </c>
      <c r="F1027" s="24" t="str">
        <f>IFERROR(__xludf.DUMMYFUNCTION("""COMPUTED_VALUE"""),"[""ELIGIBLE""]")</f>
        <v>["ELIGIBLE"]</v>
      </c>
    </row>
    <row r="1028">
      <c r="A1028" s="24" t="str">
        <f>IFERROR(__xludf.DUMMYFUNCTION("""COMPUTED_VALUE"""),"Effects of the invasive clam Corbicula fluminea (Muller, 1774) on an estuarine microbial community")</f>
        <v>Effects of the invasive clam Corbicula fluminea (Muller, 1774) on an estuarine microbial community</v>
      </c>
      <c r="B1028" s="24" t="str">
        <f>IFERROR(__xludf.DUMMYFUNCTION("""COMPUTED_VALUE"""),"The Asian clam Corbicula fluminea (Muller, 1774) is well recognized for its invasive behavior and high ecological and economic impacts, being classified as one of the 100 worst invasive alien species (IAS) in Europe. In this study, we performed a manipula"&amp;"tive experiment under natural conditions to assess the effects of C. fluminea on sediments biochemistry and on the structure of an estuarine microbial (fungi and bacteria) community. We placed 5 treatments (control, rock, closed, live and open) for 2 mont"&amp;"hs in the Minho estuary (NWI berian Peninsula). No differences were detected between treatments regarding the values of carbon (C), nitrite (NO2-), ammonium (NH4+), phosphate (PO43-) and calcium (Ca) in the sediments; however, potassium (K) had higher val"&amp;"ues in the open treatment. Furthermore, we found that the presence of live C. fluminea stimulated fungal biomass (but not diversity) and bacterial diversity. Bioturbation activities by C. fluminea are possibly the main mechanism explaining these results; "&amp;"however, other factors such as the presence of other macroinvertebrate species and/or production of feces and pseudofeces by C. fluminea cannot be excluded. To our knowledge, this is the first manipulative experiment under natural conditions that clearly "&amp;"shows the effects of C. fluminea on an estuarine microbial community. Given the widespread distribution of this IAS and the paucity of quantitative assessments of invasive bivalves' effects on microbial communities, it will be important that future studie"&amp;"s further investigate these processes. (C) 2016 Elsevier B.V. All rights reserved.")</f>
        <v>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v>
      </c>
      <c r="C1028" s="24" t="str">
        <f>IFERROR(__xludf.DUMMYFUNCTION("""COMPUTED_VALUE"""),"10.1016/j.scitotenv.2016.05.167")</f>
        <v>10.1016/j.scitotenv.2016.05.167</v>
      </c>
      <c r="D1028" s="24" t="str">
        <f>IFERROR(__xludf.DUMMYFUNCTION("""COMPUTED_VALUE"""),"Keck et al")</f>
        <v>Keck et al</v>
      </c>
      <c r="E1028" s="24" t="str">
        <f>IFERROR(__xludf.DUMMYFUNCTION("""COMPUTED_VALUE"""),"WOS:000381060900111")</f>
        <v>WOS:000381060900111</v>
      </c>
      <c r="F1028" s="24" t="str">
        <f>IFERROR(__xludf.DUMMYFUNCTION("""COMPUTED_VALUE"""),"[""ELIGIBLE""]")</f>
        <v>["ELIGIBLE"]</v>
      </c>
    </row>
    <row r="1029">
      <c r="A1029" s="24" t="str">
        <f>IFERROR(__xludf.DUMMYFUNCTION("""COMPUTED_VALUE"""),"Titanium dioxide nanoparticle exposure reduces algal biomass and alters algal assemblage composition in wastewater effluent-dominated stream mesocosms")</f>
        <v>Titanium dioxide nanoparticle exposure reduces algal biomass and alters algal assemblage composition in wastewater effluent-dominated stream mesocosms</v>
      </c>
      <c r="B1029" s="24" t="str">
        <f>IFERROR(__xludf.DUMMYFUNCTION("""COMPUTED_VALUE"""),"A 5-week mesocosm experiment was conducted to investigate the toxicity of titanium dioxide nanoparticles (TiO(2)NPs) to periphytic algae in an environmentally-realistic scenario. We used outdoor experimental streams to simulate the characteristics of cent"&amp;"ral Texas streams receiving large discharges of wastewater treatment plant effluent during prolonged periods of drought. The streams were continually dosed and maintained at two concentrations. The first represents an environmentally relevant concentratio"&amp;"n of 0.05 mg L-1 (low concentration). The second treatment of 5 mg L-1 (high concentration) was selected to represent a scenario where TiO(2)NPs are used for photocatalytic degradation of pharmaceuticals in wastewater. Algal cell density, chlorophyll- a, "&amp;"ash-free dry mass, algal assemblage composition, and Ti accumulation were determined for the periphyton in the riffle sections of each stream. The high concentration treatment of TiO(2)NPs significantly decreased algal cell density, ash-free dry mass, and"&amp;" chlorophyll-a, and altered algal assemblage composition. Decreased abundance of three typically pollution-sensitive taxa and increased abundance of two genera associated with heavy metal sorption and organic pollution significantly contributed to algal a"&amp;"ssemblage composition changes in response to TiO(2)NPs. Benefits of the use of TiO(2)NPs in wastewater treatment plants will need to be carefully weighed against the demonstrated ability of these NPs to cause large changes in periphyton that would likely "&amp;"propagate significant effects throughout the stream ecosystem, even in the absence of direct toxicity to higher trophic level organisms. (c) 2018 Elsevier B.V. All rights reserved.")</f>
        <v>A 5-week mesocosm experiment was conducted to investigate the toxicity of titanium dioxide nanoparticles (TiO(2)NPs) to periphytic algae in an environmentally-realistic scenario. We used outdoor experimental streams to simulate the characteristics of central Texas streams receiving large discharges of wastewater treatment plant effluent during prolonged periods of drought. The streams were continually dosed and maintained at two concentrations. The first represents an environmentally relevant concentration of 0.05 mg L-1 (low concentration). The second treatment of 5 mg L-1 (high concentration) was selected to represent a scenario where TiO(2)NPs are used for photocatalytic degradation of pharmaceuticals in wastewater. Algal cell density, chlorophyll- a, ash-free dry mass, algal assemblage composition, and Ti accumulation were determined for the periphyton in the riffle sections of each stream. The high concentration treatment of TiO(2)NPs significantly decreased algal cell density, ash-free dry mass, and chlorophyll-a, and altered algal assemblage composition. Decreased abundance of three typically pollution-sensitive taxa and increased abundance of two genera associated with heavy metal sorption and organic pollution significantly contributed to algal assemblage composition changes in response to TiO(2)NPs. Benefits of the use of TiO(2)NPs in wastewater treatment plants will need to be carefully weighed against the demonstrated ability of these NPs to cause large changes in periphyton that would likely propagate significant effects throughout the stream ecosystem, even in the absence of direct toxicity to higher trophic level organisms. (c) 2018 Elsevier B.V. All rights reserved.</v>
      </c>
      <c r="C1029" s="24" t="str">
        <f>IFERROR(__xludf.DUMMYFUNCTION("""COMPUTED_VALUE"""),"10.1016/j.scitotenv.2018.01.050")</f>
        <v>10.1016/j.scitotenv.2018.01.050</v>
      </c>
      <c r="D1029" s="24" t="str">
        <f>IFERROR(__xludf.DUMMYFUNCTION("""COMPUTED_VALUE"""),"Keck et al")</f>
        <v>Keck et al</v>
      </c>
      <c r="E1029" s="24" t="str">
        <f>IFERROR(__xludf.DUMMYFUNCTION("""COMPUTED_VALUE"""),"WOS:000428194000036")</f>
        <v>WOS:000428194000036</v>
      </c>
      <c r="F1029" s="24" t="str">
        <f>IFERROR(__xludf.DUMMYFUNCTION("""COMPUTED_VALUE"""),"[""ELIGIBLE""]")</f>
        <v>["ELIGIBLE"]</v>
      </c>
    </row>
    <row r="1030">
      <c r="A1030" s="24" t="str">
        <f>IFERROR(__xludf.DUMMYFUNCTION("""COMPUTED_VALUE"""),"Influence of farmland abandonment on the species composition of wetland ground beetles in Kushiro, Japan")</f>
        <v>Influence of farmland abandonment on the species composition of wetland ground beetles in Kushiro, Japan</v>
      </c>
      <c r="B1030" s="24" t="str">
        <f>IFERROR(__xludf.DUMMYFUNCTION("""COMPUTED_VALUE"""),"Depopulation trends in many developed regions are resulting in an increase in areas of abandoned farmland, which could provide an alternative habitat for species endangered by past conversion of wetlands for agriculture. Additionally, various spatial and "&amp;"temporal factors (landscape structure, local habitat quality, and abandonment age) could influence species composition in abandoned farmland. In this study, we explored the spatio-temporal effects of land abandonment on the species composition of wetland "&amp;"ground beetles (Coleoptera: Carabidae) to examine whether abandoned farmland can contribute to conserve wetland species' habitats. We first compared ground beetle assemblages among four land uses (grassland, wetland, and newly and previously abandoned far"&amp;"mland) in the Kushiro region, eastern Hokkaido, Japan. We then examined the factors influencing differences in wetland species composition between abandoned farmland and wetland. We found that the composition of wetland species in abandoned farmland was m"&amp;"ore similar to that of wetland than that of grassland. Our results also showed that soil moisture in abandoned farmland was positively related to the land abandonment age and that differences in wetland species composition between abandoned farmland and w"&amp;"etland were negatively related to both soil moisture and surrounding wetland area. Our findings suggest that abandoned farmland can serve as an alternative habitat for wetland ground beetles. Maintaining a high level of soil moisture in abandoned farmland"&amp;" and conserving the surrounding wetland could be an effective strategy for restoring natural habitats for these species.")</f>
        <v>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v>
      </c>
      <c r="C1030" s="24" t="str">
        <f>IFERROR(__xludf.DUMMYFUNCTION("""COMPUTED_VALUE"""),"10.1016/j.agee.2017.07.027")</f>
        <v>10.1016/j.agee.2017.07.027</v>
      </c>
      <c r="D1030" s="24" t="str">
        <f>IFERROR(__xludf.DUMMYFUNCTION("""COMPUTED_VALUE"""),"Keck et al")</f>
        <v>Keck et al</v>
      </c>
      <c r="E1030" s="24" t="str">
        <f>IFERROR(__xludf.DUMMYFUNCTION("""COMPUTED_VALUE"""),"WOS:000412256000005")</f>
        <v>WOS:000412256000005</v>
      </c>
      <c r="F1030" s="24" t="str">
        <f>IFERROR(__xludf.DUMMYFUNCTION("""COMPUTED_VALUE"""),"[""ELIGIBLE""]")</f>
        <v>["ELIGIBLE"]</v>
      </c>
    </row>
    <row r="1031">
      <c r="A1031" s="24" t="str">
        <f>IFERROR(__xludf.DUMMYFUNCTION("""COMPUTED_VALUE"""),"Effects of Recreational Traffic on Alpine Plant Communities in the Northern Canadian Rockies")</f>
        <v>Effects of Recreational Traffic on Alpine Plant Communities in the Northern Canadian Rockies</v>
      </c>
      <c r="B1031" s="24" t="str">
        <f>IFERROR(__xludf.DUMMYFUNCTION("""COMPUTED_VALUE"""),"Recreational activities in alpine areas have been increasing in recent decades, creating the need to improve our understanding of the impacts of these activities and how they are best managed. We explored impacts of recreational trail use on dry alpine me"&amp;"adows in the northern Canadian Rockies of Alberta. Data collected in 142 plots (0.5 m X I m) were used to compare plant community metrics among (1) a recreational trail, (2) intact tundra meadows (undisturbed), and (3) sparsely vegetated gravel steps form"&amp;"ed by frost disturbance (naturally disturbed). As compared to undisturbed tundra, trails had substantially lower cover of vascular plants (4% vs. 35%), lichen (0% vs. 10%), and cryptogamic crust (0% vs. 4%); trails also had lower species richness (7 vs. 1"&amp;"1 species per plot), but greater soil compaction (2.75 vs. 1.25 kg cm(-2)). Trails differed from natural gravel steps, which had three times more biotic cover and different composition. This highlights the difference in effects of human and natural distur"&amp;"bance. Positive feedback effects of trampling in tundra ecosystems may lead to altered environmental conditions, including decreased infiltration capacity and nutrient cycles in soils, and more extreme temperatures at the soil surface. These feedbacks cou"&amp;"ld inhibit regeneration of abandoned trails.")</f>
        <v>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v>
      </c>
      <c r="C1031" s="24" t="str">
        <f>IFERROR(__xludf.DUMMYFUNCTION("""COMPUTED_VALUE"""),"10.1657/1938-4246-44.3.277")</f>
        <v>10.1657/1938-4246-44.3.277</v>
      </c>
      <c r="D1031" s="24" t="str">
        <f>IFERROR(__xludf.DUMMYFUNCTION("""COMPUTED_VALUE"""),"Keck et al")</f>
        <v>Keck et al</v>
      </c>
      <c r="E1031" s="24" t="str">
        <f>IFERROR(__xludf.DUMMYFUNCTION("""COMPUTED_VALUE"""),"WOS:000307990800002")</f>
        <v>WOS:000307990800002</v>
      </c>
      <c r="F1031" s="24" t="str">
        <f>IFERROR(__xludf.DUMMYFUNCTION("""COMPUTED_VALUE"""),"[""ELIGIBLE""]")</f>
        <v>["ELIGIBLE"]</v>
      </c>
    </row>
    <row r="1032">
      <c r="A1032" s="24" t="str">
        <f>IFERROR(__xludf.DUMMYFUNCTION("""COMPUTED_VALUE"""),"Selective logging: does the imprint remain on tree structure and composition after 45 years?")</f>
        <v>Selective logging: does the imprint remain on tree structure and composition after 45 years?</v>
      </c>
      <c r="B1032" s="24" t="str">
        <f>IFERROR(__xludf.DUMMYFUNCTION("""COMPUTED_VALUE"""),"Selective logging of tropical forests is increasing in extent and intensity. The duration over which impacts of selective logging persist, however, remains an unresolved question, particularly for African forests. Here, we investigate the extent to which "&amp;"a past selective logging event continues to leave its imprint on different components of an East African forest 45 years later. We inventoried 2358 stems &gt;= 10 cm in diameter in 26 plots (200 m x 10 m) within a 5.2 ha area in Kibale National Park, Uganda,"&amp;" in logged and unlogged forest. In these surveys, we characterized the forest light environment, taxonomic composition, functional trait composition using three traits (wood density, maximum height and maximum diameter) and forest structure based on three"&amp;" measures (stem density, total basal area and total above-ground biomass). In comparison to unlogged forests, selectively logged forest plots in Kibale National Park on average had higher light levels, different structure characterized by lower stem densi"&amp;"ty, lower total basal area and lower above-ground biomass, and a distinct taxonomic composition driven primarily by changes in the relative abundance of species. Conversely, selectively logged forest plots were like unlogged plots in functional compositio"&amp;"n, having similar community-weighted mean values for wood density, maximum height and maximum diameter. This similarity in functional composition irrespective of logging history may be due to functional recovery of logged forest or background changes in f"&amp;"unctional attributes of unlogged forest. Despite the passage of 45 years, the legacy of selective logging on the tree community in Kibale National Park is still evident, as indicated by distinct taxonomic and structural composition and reduced carbon stor"&amp;"age in logged forest compared with unlogged forest. The effects of selective logging are exerted via influences on tree demography rather than functional trait composition.")</f>
        <v>Selective logging of tropical forests is increasing in extent and intensity. The duration over which impacts of selective logging persist, however, remains an unresolved question, particularly for African forests. Here, we investigate the extent to which a past selective logging event continues to leave its imprint on different components of an East African forest 45 years later. We inventoried 2358 stems &gt;= 10 cm in diameter in 26 plots (200 m x 10 m) within a 5.2 ha area in Kibale National Park, Uganda, in logged and unlogged forest. In these surveys, we characterized the forest light environment, taxonomic composition, functional trait composition using three traits (wood density, maximum height and maximum diameter) and forest structure based on three measures (stem density, total basal area and total above-ground biomass). In comparison to unlogged forests, selectively logged forest plots in Kibale National Park on average had higher light levels, different structure characterized by lower stem density, lower total basal area and lower above-ground biomass, and a distinct taxonomic composition driven primarily by changes in the relative abundance of species. Conversely, selectively logged forest plots were like unlogged plots in functional composition, having similar community-weighted mean values for wood density, maximum height and maximum diameter. This similarity in functional composition irrespective of logging history may be due to functional recovery of logged forest or background changes in functional attributes of unlogged forest. Despite the passage of 45 years, the legacy of selective logging on the tree community in Kibale National Park is still evident, as indicated by distinct taxonomic and structural composition and reduced carbon storage in logged forest compared with unlogged forest. The effects of selective logging are exerted via influences on tree demography rather than functional trait composition.</v>
      </c>
      <c r="C1032" s="24" t="str">
        <f>IFERROR(__xludf.DUMMYFUNCTION("""COMPUTED_VALUE"""),"10.1093/conphys/cov012")</f>
        <v>10.1093/conphys/cov012</v>
      </c>
      <c r="D1032" s="24" t="str">
        <f>IFERROR(__xludf.DUMMYFUNCTION("""COMPUTED_VALUE"""),"Keck et al")</f>
        <v>Keck et al</v>
      </c>
      <c r="E1032" s="24" t="str">
        <f>IFERROR(__xludf.DUMMYFUNCTION("""COMPUTED_VALUE"""),"WOS:000375196300001")</f>
        <v>WOS:000375196300001</v>
      </c>
      <c r="F1032" s="24" t="str">
        <f>IFERROR(__xludf.DUMMYFUNCTION("""COMPUTED_VALUE"""),"[""ELIGIBLE""]")</f>
        <v>["ELIGIBLE"]</v>
      </c>
    </row>
    <row r="1033">
      <c r="A1033" s="24" t="str">
        <f>IFERROR(__xludf.DUMMYFUNCTION("""COMPUTED_VALUE"""),"Effects of Prescribed Burning on Ant Nesting Ecology in Oak Savannas")</f>
        <v>Effects of Prescribed Burning on Ant Nesting Ecology in Oak Savannas</v>
      </c>
      <c r="B1033" s="24" t="str">
        <f>IFERROR(__xludf.DUMMYFUNCTION("""COMPUTED_VALUE"""),"Oak savannas in the Midwestern United States are rare ecosystems heavily altered by human activity. Common land management practices, like prescribed fire can control invasive species and restore native plants, but few studies have examined the impacts of"&amp;" such practices on oak savanna invertebrate communities. We examined impacts of prescribed fire on ant nesting ecology in the Oak Openings of NW Ohio. We measured ant use of natural nests and colonization of artificial nests in savannas to examine ant nes"&amp;"t-site limitation and colonization. We collected 376 potential natural nests (362 acorns, 12 twigs and 2 other hollow nuts); 161 in burned sites and 215 in unburned sites. In burned sites, seven (or 4.34%) nests were occupied by ants and in unburned sites"&amp;" three (or 1.4%) were occupied, but nest occupation did not differ between burned and unburned areas. Overall 6.85% of artificial nests were occupied; 5.56% in burned and 7.59% in unburned areas, but again, the difference was not significant. Two pieces o"&amp;"f evidence - ant use of artificial nest sites and negative correlations between natural nest occupation and natural nest availability - suggest that ants may be nest-site limited within the Oak Openings savannas. Ant richness and composition of ants found"&amp;" in natural nests was similar in burned and unburned areas; however, composition of ants in artificial nests tended to differ between habitats. These results suggest that burning did not impact frequency of nest occupation, or species composition of exist"&amp;"ing cavity-nesting ant colonies, but burning may alter colonization processes for cavity-nesting ants within savannas in the Oak Openings.")</f>
        <v>Oak savannas in the Midwestern United States are rare ecosystems heavily altered by human activity. Common land management practices, like prescribed fire can control invasive species and restore native plants, but few studies have examined the impacts of such practices on oak savanna invertebrate communities. We examined impacts of prescribed fire on ant nesting ecology in the Oak Openings of NW Ohio. We measured ant use of natural nests and colonization of artificial nests in savannas to examine ant nest-site limitation and colonization. We collected 376 potential natural nests (362 acorns, 12 twigs and 2 other hollow nuts); 161 in burned sites and 215 in unburned sites. In burned sites, seven (or 4.34%) nests were occupied by ants and in unburned sites three (or 1.4%) were occupied, but nest occupation did not differ between burned and unburned areas. Overall 6.85% of artificial nests were occupied; 5.56% in burned and 7.59% in unburned areas, but again, the difference was not significant. Two pieces of evidence - ant use of artificial nest sites and negative correlations between natural nest occupation and natural nest availability - suggest that ants may be nest-site limited within the Oak Openings savannas. Ant richness and composition of ants found in natural nests was similar in burned and unburned areas; however, composition of ants in artificial nests tended to differ between habitats. These results suggest that burning did not impact frequency of nest occupation, or species composition of existing cavity-nesting ant colonies, but burning may alter colonization processes for cavity-nesting ants within savannas in the Oak Openings.</v>
      </c>
      <c r="C1033" s="24" t="str">
        <f>IFERROR(__xludf.DUMMYFUNCTION("""COMPUTED_VALUE"""),"10.1674/0003-0031-166.1.98")</f>
        <v>10.1674/0003-0031-166.1.98</v>
      </c>
      <c r="D1033" s="24" t="str">
        <f>IFERROR(__xludf.DUMMYFUNCTION("""COMPUTED_VALUE"""),"Keck et al")</f>
        <v>Keck et al</v>
      </c>
      <c r="E1033" s="24" t="str">
        <f>IFERROR(__xludf.DUMMYFUNCTION("""COMPUTED_VALUE"""),"WOS:000292803700009")</f>
        <v>WOS:000292803700009</v>
      </c>
      <c r="F1033" s="24" t="str">
        <f>IFERROR(__xludf.DUMMYFUNCTION("""COMPUTED_VALUE"""),"[""ELIGIBLE""]")</f>
        <v>["ELIGIBLE"]</v>
      </c>
    </row>
    <row r="1034">
      <c r="A1034" s="24" t="str">
        <f>IFERROR(__xludf.DUMMYFUNCTION("""COMPUTED_VALUE"""),"Anthropogenic disturbance homogenizes seagrass fish communities")</f>
        <v>Anthropogenic disturbance homogenizes seagrass fish communities</v>
      </c>
      <c r="B1034" s="24" t="str">
        <f>IFERROR(__xludf.DUMMYFUNCTION("""COMPUTED_VALUE"""),"Anthropogenic activities have led to the biotic homogenization of many ecological communities, yet in coastal systems this phenomenon remains understudied. In particular, activities that locally affect marine habitat-forming foundation species may perturb"&amp;" habitat and promote species with generalist, opportunistic traits, in turn affecting spatial patterns of biodiversity. Here, we quantified fish diversity in seagrass communities across 89 sites spanning 6 degrees latitude along the Pacific coast of Canad"&amp;"a, to test the hypothesis that anthropogenic disturbances homogenize (i.e., lower beta-diversity) assemblages within coastal ecosystems. We test for patterns of biotic homogenization at sites within different anthropogenic disturbance categories (low, med"&amp;"ium, and high) at two spatial scales (within and across regions) using both abundance- and incidence-based beta-diversity metrics. Our models provide clear evidence that fish communities in high anthropogenic disturbance seagrass areas are homogenized rel"&amp;"ative to those in low disturbance areas. These results were consistent across within-region comparisons using abundance- and incidence-based measures of beta-diversity, and in across-region comparisons using incidence-based measures. Physical and biotic c"&amp;"haracteristics of seagrass meadows also influenced fish beta-diversity. Biotic habitat characteristics including seagrass biomass and shoot density were more differentiated among high disturbance sites, potentially indicative of a perturbed environment. I"&amp;"ndicator species and trait analyses revealed fishes associated with low disturbance sites had characteristics including stenotopy, lower swimming ability, and egg guarding behavior. Our study is the first to show biotic homogenization of fishes across sea"&amp;"grass meadows within areas of relatively high human impact. These results support the importance of targeting conservation efforts in low anthropogenic disturbance areas across land- and seascapes, as well as managing anthropogenic impacts in high activit"&amp;"y areas.")</f>
        <v>Anthropogenic activities have led to the biotic homogenization of many ecological communities, yet in coastal systems this phenomenon remains understudied. In particular, activities that locally affect marine habitat-forming foundation species may perturb habitat and promote species with generalist, opportunistic traits, in turn affecting spatial patterns of biodiversity. Here, we quantified fish diversity in seagrass communities across 89 sites spanning 6 degrees latitude along the Pacific coast of Canada, to test the hypothesis that anthropogenic disturbances homogenize (i.e., lower beta-diversity) assemblages within coastal ecosystems. We test for patterns of biotic homogenization at sites within different anthropogenic disturbance categories (low, medium, and high) at two spatial scales (within and across regions) using both abundance- and incidence-based beta-diversity metrics. Our models provide clear evidence that fish communities in high anthropogenic disturbance seagrass areas are homogenized relative to those in low disturbance areas. These results were consistent across within-region comparisons using abundance- and incidence-based measures of beta-diversity, and in across-region comparisons using incidence-based measures. Physical and biotic characteristics of seagrass meadows also influenced fish beta-diversity. Biotic habitat characteristics including seagrass biomass and shoot density were more differentiated among high disturbance sites, potentially indicative of a perturbed environment. Indicator species and trait analyses revealed fishes associated with low disturbance sites had characteristics including stenotopy, lower swimming ability, and egg guarding behavior. Our study is the first to show biotic homogenization of fishes across seagrass meadows within areas of relatively high human impact. These results support the importance of targeting conservation efforts in low anthropogenic disturbance areas across land- and seascapes, as well as managing anthropogenic impacts in high activity areas.</v>
      </c>
      <c r="C1034" s="24" t="str">
        <f>IFERROR(__xludf.DUMMYFUNCTION("""COMPUTED_VALUE"""),"10.1111/gcb.14090")</f>
        <v>10.1111/gcb.14090</v>
      </c>
      <c r="D1034" s="24" t="str">
        <f>IFERROR(__xludf.DUMMYFUNCTION("""COMPUTED_VALUE"""),"Keck et al")</f>
        <v>Keck et al</v>
      </c>
      <c r="E1034" s="24" t="str">
        <f>IFERROR(__xludf.DUMMYFUNCTION("""COMPUTED_VALUE"""),"WOS:000428879800008")</f>
        <v>WOS:000428879800008</v>
      </c>
      <c r="F1034" s="24" t="str">
        <f>IFERROR(__xludf.DUMMYFUNCTION("""COMPUTED_VALUE"""),"[""ELIGIBLE""]")</f>
        <v>["ELIGIBLE"]</v>
      </c>
    </row>
    <row r="1035">
      <c r="A1035" s="24" t="str">
        <f>IFERROR(__xludf.DUMMYFUNCTION("""COMPUTED_VALUE"""),"Functional diversity in a fragmented landscape - Habitat alterations affect functional trait composition of frog assemblages in Madagascar")</f>
        <v>Functional diversity in a fragmented landscape - Habitat alterations affect functional trait composition of frog assemblages in Madagascar</v>
      </c>
      <c r="B1035" s="24" t="str">
        <f>IFERROR(__xludf.DUMMYFUNCTION("""COMPUTED_VALUE"""),"Anthropogenic habitat alterations cause biodiversity loss, which in turn negatively affects ecosystem functioning and services, and thus human well-being. To be able to consider ecosystem functioning in conservation actions, analyzing the effects of habit"&amp;"at alteration on functional diversity is essential. Some altered habitats can maintain a significant part of regional biodiversity, however, functional diversity information in altered habitats is so far mostly lacking. We compared functional richness and"&amp;" functional beta-diversity based on resource-use traits of frogs between three land-use categories in a rainforest ecosystem in Madagascar. Land-use categories represent a habitat alteration gradient ranging from continuous forest over forest fragments to"&amp;" matrix habitats including different agricultures. Our study revealed distinct changes in resource-use trait composition and complex patterns in the relationship between species richness and functional richness. Thus, the functional structure of frog asse"&amp;"mblages changed due to habitat alterations. However, altered habitats likely provide different, rather than fewer functions compared to intact forest. Streams in all land-use categories were the functionally richest habitats, and thus important for ecosys"&amp;"tem functioning. Species richness was one, but not the only driver of functional richness in our system. Functional clustering, potentially due to environmental filters depending on resource availability, was caused by anthropogenic and natural drivers. O"&amp;"ur study shows that, even in systems where fragmented landscapes still maintain high species diversity, functional diversity can be altered in human altered habitats, which may affect ecosystem processes like productivity, nutrient cycling, and energy flo"&amp;"ws. (C) 2017 The Authors. Published by Elsevier B.V.")</f>
        <v>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v>
      </c>
      <c r="C1035" s="24" t="str">
        <f>IFERROR(__xludf.DUMMYFUNCTION("""COMPUTED_VALUE"""),"10.1016/j.gecco.2017.03.005")</f>
        <v>10.1016/j.gecco.2017.03.005</v>
      </c>
      <c r="D1035" s="24" t="str">
        <f>IFERROR(__xludf.DUMMYFUNCTION("""COMPUTED_VALUE"""),"Keck et al")</f>
        <v>Keck et al</v>
      </c>
      <c r="E1035" s="24" t="str">
        <f>IFERROR(__xludf.DUMMYFUNCTION("""COMPUTED_VALUE"""),"WOS:000413278400017")</f>
        <v>WOS:000413278400017</v>
      </c>
      <c r="F1035" s="24" t="str">
        <f>IFERROR(__xludf.DUMMYFUNCTION("""COMPUTED_VALUE"""),"[""ELIGIBLE""]")</f>
        <v>["ELIGIBLE"]</v>
      </c>
    </row>
    <row r="1036">
      <c r="A1036" s="24" t="str">
        <f>IFERROR(__xludf.DUMMYFUNCTION("""COMPUTED_VALUE"""),"Comparative assessment of autochthonous bacterial and fungal communities and microbial biomarkers of polluted agricultural soils of the Terra dei Fuochi")</f>
        <v>Comparative assessment of autochthonous bacterial and fungal communities and microbial biomarkers of polluted agricultural soils of the Terra dei Fuochi</v>
      </c>
      <c r="B1036" s="24" t="str">
        <f>IFERROR(__xludf.DUMMYFUNCTION("""COMPUTED_VALUE"""),"Organic and inorganic xenobiotic compounds can affect the potential ecological function of the soil, altering its biodiversity. Therefore, the response of microbial communities to environmental pollution is a critical issue in soil ecology. Here, a high-t"&amp;"hroughput sequencing approach was used to investigate the indigenous bacterial and fungal community structure as well as the impact of pollutants on their diversity and richness in contaminated and noncontaminated soils of a National Interest Priority Sit"&amp;"e of Campania Region (Italy) called Terra dei Fuochi. The microbial populations shifted in the polluted soils via their mechanism of adaptation to contamination, establishing a new balance among prokaryotic and eukaryotic populations. Statistical analyses"&amp;" showed that the indigenous microbial communities were most strongly affected by contamination rather than by site of origin. Overabundant taxa and Actinobacteria were identified as sensitive biomarkers for assessing soil pollution and could provide gener"&amp;"al information on the health of the environment. This study has important implications for microbial ecology in contaminated environments, increasing our knowledge of the capacity of natural ecosystems to develop microbiota adapted to polluted soil in sit"&amp;"es with high agricultural potential and providing a possible approach for modeling pollution indicators for bioremediation purposes.")</f>
        <v>Organic and inorganic xenobiotic compounds can affect the potential ecological function of the soil, altering its biodiversity. Therefore, the response of microbial communities to environmental pollution is a critical issue in soil ecology. Here, a high-throughput sequencing approach was used to investigate the indigenous bacterial and fungal community structure as well as the impact of pollutants on their diversity and richness in contaminated and noncontaminated soils of a National Interest Priority Site of Campania Region (Italy) called Terra dei Fuochi. The microbial populations shifted in the polluted soils via their mechanism of adaptation to contamination, establishing a new balance among prokaryotic and eukaryotic populations. Statistical analyses showed that the indigenous microbial communities were most strongly affected by contamination rather than by site of origin. Overabundant taxa and Actinobacteria were identified as sensitive biomarkers for assessing soil pollution and could provide general information on the health of the environment. This study has important implications for microbial ecology in contaminated environments, increasing our knowledge of the capacity of natural ecosystems to develop microbiota adapted to polluted soil in sites with high agricultural potential and providing a possible approach for modeling pollution indicators for bioremediation purposes.</v>
      </c>
      <c r="C1036" s="24" t="str">
        <f>IFERROR(__xludf.DUMMYFUNCTION("""COMPUTED_VALUE"""),"10.1038/s41598-018-32688-5")</f>
        <v>10.1038/s41598-018-32688-5</v>
      </c>
      <c r="D1036" s="24" t="str">
        <f>IFERROR(__xludf.DUMMYFUNCTION("""COMPUTED_VALUE"""),"Keck et al")</f>
        <v>Keck et al</v>
      </c>
      <c r="E1036" s="24" t="str">
        <f>IFERROR(__xludf.DUMMYFUNCTION("""COMPUTED_VALUE"""),"WOS:000445336600049")</f>
        <v>WOS:000445336600049</v>
      </c>
      <c r="F1036" s="24" t="str">
        <f>IFERROR(__xludf.DUMMYFUNCTION("""COMPUTED_VALUE"""),"[""ELIGIBLE""]")</f>
        <v>["ELIGIBLE"]</v>
      </c>
    </row>
    <row r="1037">
      <c r="A1037" s="24" t="str">
        <f>IFERROR(__xludf.DUMMYFUNCTION("""COMPUTED_VALUE"""),"Short-term effect of Eucalyptus plantations on soil microbial communities and soil-atmosphere methane and nitrous oxide exchange")</f>
        <v>Short-term effect of Eucalyptus plantations on soil microbial communities and soil-atmosphere methane and nitrous oxide exchange</v>
      </c>
      <c r="B1037" s="24" t="str">
        <f>IFERROR(__xludf.DUMMYFUNCTION("""COMPUTED_VALUE"""),"Soil greenhouse gas (GHG) emissions are a significant environmental problem resulting from microbially-mediated nitrogen (N) and carbon (C) cycling. This study aimed to investigate the impact of Eucalyptus plantations on the structure and function of a so"&amp;"il microbial community, and how resulting alterations may be linked to GHG fluxes. We sampled and monitored two adjacent Eucalyptus plantations-a recently logged site that harbored new seedlings and an adult plantation-and compared them to a site hosting "&amp;"native vegetation. We used 165 rRNA gene sequencing and qPCR amplifications of key nitrogen and methane cycle genes to characterize microbial structure and functional gene abundance and compared our data with soil parameters and GHG fluxes. Both microbial"&amp;" community attributes were significantly affected by land use and logging of Eucalyptus plantations. The genes nosZ and archaeal amoA were significantly more abundant in native forest than in either young or old Eucalyptus plantations. Statistical analyse"&amp;"s suggest that land use type has a greater impact on microbial community structure and functional gene abundance than Eucalyptus rotation. There was no correlation between GHG fluxes and shifts in microbial community, suggesting that microbial community s"&amp;"tructure and functional gene abundance are not the main drivers of GHG fluxes in this system.")</f>
        <v>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v>
      </c>
      <c r="C1037" s="24" t="str">
        <f>IFERROR(__xludf.DUMMYFUNCTION("""COMPUTED_VALUE"""),"10.1038/s41598-018-33594-6")</f>
        <v>10.1038/s41598-018-33594-6</v>
      </c>
      <c r="D1037" s="24" t="str">
        <f>IFERROR(__xludf.DUMMYFUNCTION("""COMPUTED_VALUE"""),"Keck et al")</f>
        <v>Keck et al</v>
      </c>
      <c r="E1037" s="24" t="str">
        <f>IFERROR(__xludf.DUMMYFUNCTION("""COMPUTED_VALUE"""),"WOS:000447083100024")</f>
        <v>WOS:000447083100024</v>
      </c>
      <c r="F1037" s="24" t="str">
        <f>IFERROR(__xludf.DUMMYFUNCTION("""COMPUTED_VALUE"""),"[""ELIGIBLE""]")</f>
        <v>["ELIGIBLE"]</v>
      </c>
    </row>
    <row r="1038">
      <c r="A1038" s="24" t="str">
        <f>IFERROR(__xludf.DUMMYFUNCTION("""COMPUTED_VALUE"""),"Microplastic residues in wetland ecosystems: Do they truly threaten the plant-microbe-soil system?")</f>
        <v>Microplastic residues in wetland ecosystems: Do they truly threaten the plant-microbe-soil system?</v>
      </c>
      <c r="B1038" s="24" t="str">
        <f>IFERROR(__xludf.DUMMYFUNCTION("""COMPUTED_VALUE"""),"The ecological stress of microplastic contamination to ecosystem functioning and biota raises concerns worldwide, but the impacts of microplastics on wetland ecosystems (e.g., plants, microbes, and soil) have not been fully elucidated. In this study, we u"&amp;"sed a controlled pot experiment to determine the effects of different types (PS, PVC, PP and PE) of microplastics on the growth performance of wetland plants, soil chemical properties, enzyme systems and microbial communities. Microplastics can change the"&amp;" germination strategies of seeds, and there was also a reduction in fresh weight and plant height in Bacopa sp. Chlorophyll b synthesis was significantly reduced in mixed microplastic treatments compared with controls. Microplastic addition in soil caused"&amp;" higher concentrations of reactive oxygen species in plants, which led to increased lipid peroxidation and activation of the antioxidant defence system. The organic matter, potassium, total nitrogen and phosphorus changed significantly in the presence of "&amp;"the four forms of microplastics, while soil pH was not substantially affected. Microplastics had a negative effect on soil enzyme activity, for example, PS MP particles significantly decreased sucrase activities in the soil after 40 days. The results of t"&amp;"his study showed that microplastic addition decreased the richness and diversity of bacterial. When soil was exposed to polystyrene microplastics, the richness and diversity of algae significantly increased on the soil surface. Thus, microplastics can alt"&amp;"ers the structure of soil microbial communities, resulting in the enrichment of some special soil microbial taxa involved in nitrogen cycling. These results indicate both the direct and indirect effects of plastic residues on the plant-microbe-soil system"&amp;", which has implications for potential further impacts on wetland ecosystem functioning.")</f>
        <v>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v>
      </c>
      <c r="C1038" s="24" t="str">
        <f>IFERROR(__xludf.DUMMYFUNCTION("""COMPUTED_VALUE"""),"10.1016/j.envint.2021.106708")</f>
        <v>10.1016/j.envint.2021.106708</v>
      </c>
      <c r="D1038" s="24" t="str">
        <f>IFERROR(__xludf.DUMMYFUNCTION("""COMPUTED_VALUE"""),"Keck et al")</f>
        <v>Keck et al</v>
      </c>
      <c r="E1038" s="24" t="str">
        <f>IFERROR(__xludf.DUMMYFUNCTION("""COMPUTED_VALUE"""),"WOS:000686786000006")</f>
        <v>WOS:000686786000006</v>
      </c>
      <c r="F1038" s="24" t="str">
        <f>IFERROR(__xludf.DUMMYFUNCTION("""COMPUTED_VALUE"""),"[""ELIGIBLE""]")</f>
        <v>["ELIGIBLE"]</v>
      </c>
    </row>
    <row r="1039">
      <c r="A1039" s="24" t="str">
        <f>IFERROR(__xludf.DUMMYFUNCTION("""COMPUTED_VALUE"""),"Invasion of floating fern alters freshwater macroinvertebrate community structure with implications for bottom-up processes")</f>
        <v>Invasion of floating fern alters freshwater macroinvertebrate community structure with implications for bottom-up processes</v>
      </c>
      <c r="B1039" s="24" t="str">
        <f>IFERROR(__xludf.DUMMYFUNCTION("""COMPUTED_VALUE"""),"The non-native aquatic fern giant salvinia, Salvinia molesta Mitchell (Salviniaceae), poses a risk to freshwater ecosystems through limiting light penetration, decreasing submerged aquatic vegetation (SAV) abundance, altering water quality, and potentiall"&amp;"y leading to changes in macroinvertebrate community structure. Here, we conducted repeated quarterly field surveys and measured light, nutrients, water quality, and aquatic macroinvertebrate community composition and energetic value to detect effects from"&amp;" giant salvinia invasion. Giant salvinia reduced dissolved oxygen, pH and light availability in the aquatic environment, and increased the concentration of orthophosphate and ammonium. Following initial colonization, macroinvertebrate communities in giant"&amp;" salvinia resembled SAV communities dominated by aquatic insects, however, richness and relative abundance in giant salvinia decreased over time, resulting in a community populated by few taxa, primarily crustaceans. Total macroinvertebrate energetic valu"&amp;"e in giant salvinia was significantly lower than SAV communities. Giant salvinia invasion changed habitat composition, triggered internal nutrient loading, and reduced macroinvertebrate abundance, diversity, and ecosystem productivity. Our findings demons"&amp;"trate larger ecological impacts from giant salvinia than previously reported, including potential disruption to the transfer of energy between trophic levels.")</f>
        <v>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v>
      </c>
      <c r="C1039" s="24" t="str">
        <f>IFERROR(__xludf.DUMMYFUNCTION("""COMPUTED_VALUE"""),"10.1007/s10750-021-04571-4")</f>
        <v>10.1007/s10750-021-04571-4</v>
      </c>
      <c r="D1039" s="24" t="str">
        <f>IFERROR(__xludf.DUMMYFUNCTION("""COMPUTED_VALUE"""),"Keck et al")</f>
        <v>Keck et al</v>
      </c>
      <c r="E1039" s="24" t="str">
        <f>IFERROR(__xludf.DUMMYFUNCTION("""COMPUTED_VALUE"""),"WOS:000635029100001")</f>
        <v>WOS:000635029100001</v>
      </c>
      <c r="F1039" s="24" t="str">
        <f>IFERROR(__xludf.DUMMYFUNCTION("""COMPUTED_VALUE"""),"[""ELIGIBLE""]")</f>
        <v>["ELIGIBLE"]</v>
      </c>
    </row>
    <row r="1040">
      <c r="A1040" s="24" t="str">
        <f>IFERROR(__xludf.DUMMYFUNCTION("""COMPUTED_VALUE"""),"Biological corridors as important habitat structures for maintaining bees in a tropical fragmented landscape")</f>
        <v>Biological corridors as important habitat structures for maintaining bees in a tropical fragmented landscape</v>
      </c>
      <c r="B1040" s="24" t="str">
        <f>IFERROR(__xludf.DUMMYFUNCTION("""COMPUTED_VALUE"""),"Biological corridors are an important conservation strategy to increase connectivity between populations-mainly vertebrates-in fragmented landscapes, which often require habitat restoration to achieve physical connections. Non-target groups such as bees c"&amp;"ould benefit from corridors while contributing to the restoration process given their role as pollinators, but little is known about the use of corridors by bees. Here we assessed the habitat value for bees of four biological corridors in the Colombian An"&amp;"des by comparing bee species richness, community composition and functional diversity between corridors (which had two land-cover sections: riparian forest and restored forest), forest patches being connected by corridors and surrounding pastures. We foun"&amp;"d a higher species richness in riparian than in restored sections of corridors, which was comparable to that in forest and higher than in pasture. Community composition in forest and riparian sections were similar and differed from that in pasture. In con"&amp;"trast, functional diversity was similar among all land-use types, suggesting a higher species redundancy in forest and riparian corridors, given the higher species richness, compared to pastures. Our results show that riparian corridors are holding forest"&amp;"-associated species that could not survive in pastures, and given the higher redundancy, can significantly contribute to the maintenance of pollination services in fragmented landscapes. Our results also indicate that 13 years of restoration process have "&amp;"not been sufficient to reach reference levels (i.e. forest/riparian) in terms of bee species richness, but the recovery of some forest-associated species points to the potential of biological corridors to functionally connect forest patches.")</f>
        <v>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v>
      </c>
      <c r="C1040" s="24" t="str">
        <f>IFERROR(__xludf.DUMMYFUNCTION("""COMPUTED_VALUE"""),"10.1007/s10841-019-00205-2")</f>
        <v>10.1007/s10841-019-00205-2</v>
      </c>
      <c r="D1040" s="24" t="str">
        <f>IFERROR(__xludf.DUMMYFUNCTION("""COMPUTED_VALUE"""),"Keck et al")</f>
        <v>Keck et al</v>
      </c>
      <c r="E1040" s="24" t="str">
        <f>IFERROR(__xludf.DUMMYFUNCTION("""COMPUTED_VALUE"""),"WOS:000517845300015")</f>
        <v>WOS:000517845300015</v>
      </c>
      <c r="F1040" s="24" t="str">
        <f>IFERROR(__xludf.DUMMYFUNCTION("""COMPUTED_VALUE"""),"[""ELIGIBLE""]")</f>
        <v>["ELIGIBLE"]</v>
      </c>
    </row>
    <row r="1041">
      <c r="A1041" s="24" t="str">
        <f>IFERROR(__xludf.DUMMYFUNCTION("""COMPUTED_VALUE"""),"Effects of Power-line Maintenance on Forest Structure in a Fragmented Urban Forest, Raleigh, NC")</f>
        <v>Effects of Power-line Maintenance on Forest Structure in a Fragmented Urban Forest, Raleigh, NC</v>
      </c>
      <c r="B1041" s="24" t="str">
        <f>IFERROR(__xludf.DUMMYFUNCTION("""COMPUTED_VALUE"""),"With the increase in urban development, forest fragments are becoming more prevalent. In urban areas, there is a tendency to hide power-lines within or on the edges of these fragmented forests; however, it is unknown how the maintenance of vegetation unde"&amp;"r and along power-lines impacts the forest composition and structure of an adjacent fragmented, urban forest. An urban, fragmented maple-oak-hickory forest is located on the Meredith College campus, Raleigh, NC. A 1-ha plot with a hundred 10- x 10-m subpl"&amp;"ots was established in 2007 to initiate a long-term project supporting undergraduate research. An adjacent meadow is cut and maintained regularly up to the forest and plot edge for power-line clearance and access. We identified, tagged, and measured all o"&amp;"f the trees with a diameter at breast height (DBH) &gt;= 5 cm in this permanent plot, and compared the tree species richness (S), Shannon-Weiner diversity index (H), Sorenson's similarity index (Ss), DBH, stem density, and basal area along the 100-m gradient"&amp;" from the forest edge. We also used a non-metric multidimensional scaling (NMS) analysis to describe how species composition changed along the gradient. Our findings showed that S, H, and Ss did not change along the 100-m gradient. The NMS confirmed that "&amp;"species composition was not different in the edge subplots (0-10 m from edge) compared to all other subplots and therefore was not impacted by continual, local disturbance along forest edges. However, we found that forest structure changed along the gradi"&amp;"ent with the exception of mean DBH; stem density and total basal area varied along the 100-m gradient. There was greater stem density along the edge of the forest (0-5 m and 10-20 m from edge) compared to the other interior subplots. Some of the interior "&amp;"subplots (10-20 m and 60-70 m from the edge) had a higher total basal area than the remaining plots. As expected, we also found that there was a negative linear relationship between DBH and stem density for all subplots. Our results confirm trends found i"&amp;"n previous studies that community structure parameters (stand density and basal area) differ between forest edges and their respective forest interiors, but did not agree with previous research, which found species composition to be affected by edges. We "&amp;"believe the regular pruning of the forest edge adjacent to the power-lines explains our observed differences in forest structure, but tree species richness, diversity, similarity, and composition may be determined by the disturbance of larger-scale ecolog"&amp;"ical processes. Our results show how power-line placement within a fragmented urban forest can affect the structure of the adjacent forest, and we recommend that the ecological effects of power-line corridors should be further investigated and incorporate"&amp;"d into the larger body of literature on forest fragmentation.")</f>
        <v>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v>
      </c>
      <c r="C1041" s="24" t="str">
        <f>IFERROR(__xludf.DUMMYFUNCTION("""COMPUTED_VALUE"""),"10.1656/058.010.0103")</f>
        <v>10.1656/058.010.0103</v>
      </c>
      <c r="D1041" s="24" t="str">
        <f>IFERROR(__xludf.DUMMYFUNCTION("""COMPUTED_VALUE"""),"Keck et al")</f>
        <v>Keck et al</v>
      </c>
      <c r="E1041" s="24" t="str">
        <f>IFERROR(__xludf.DUMMYFUNCTION("""COMPUTED_VALUE"""),"WOS:000306600900003")</f>
        <v>WOS:000306600900003</v>
      </c>
      <c r="F1041" s="24" t="str">
        <f>IFERROR(__xludf.DUMMYFUNCTION("""COMPUTED_VALUE"""),"[""ELIGIBLE""]")</f>
        <v>["ELIGIBLE"]</v>
      </c>
    </row>
    <row r="1042">
      <c r="A1042" s="24" t="str">
        <f>IFERROR(__xludf.DUMMYFUNCTION("""COMPUTED_VALUE"""),"Diversity declines in Microstegium vimineum (Japanese stiltgrass) patches")</f>
        <v>Diversity declines in Microstegium vimineum (Japanese stiltgrass) patches</v>
      </c>
      <c r="B1042" s="24" t="str">
        <f>IFERROR(__xludf.DUMMYFUNCTION("""COMPUTED_VALUE"""),"The spread of invasive plant species and their impacts on plant communities have received international attention as global trade and global environmental change enhance the colonization and establishment of introduced species and threaten the integrity o"&amp;"f native ecosystems. Because introduced species vary in their impact, studying the relationship between invasion and native communities is necessary to guide allocation of finite management resources. By studying adjacent pairs of invaded and uninvaded pl"&amp;"ots across an eastern United States forested landscape, we demonstrate Microstegium vimineum was associated with local declines in species richness and cover of native species. Negative impacts of M. vimineum on species richness did not emerge until Augus"&amp;"t when M. vimineum cover and height were greatest, highlighting the value of following study subjects through the growing season. In contrast, native species cover was already lower in invaded plots early in the growing season. M. vimineum invasion was no"&amp;"t the only important driver of species richness and community composition within the study region: abiotic environmental gradients, such as soil nitrate concentration and pH, across the six study sites were also important in affecting species richness and"&amp;" cover, but lessened in explanatory power through the growing season. We conclude that M. vimineum has effects on community structure that may have long-term consequences for biodiversity. Studies which track sites through time and consider multiple scale"&amp;"s are required as invaders impact multiple biotic and abiotic factors operating at different spatial and temporal scales. (C) 2009 Elsevier Ltd. All rights reserved.")</f>
        <v>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v>
      </c>
      <c r="C1042" s="24" t="str">
        <f>IFERROR(__xludf.DUMMYFUNCTION("""COMPUTED_VALUE"""),"10.1016/j.biocon.2009.01.009")</f>
        <v>10.1016/j.biocon.2009.01.009</v>
      </c>
      <c r="D1042" s="24" t="str">
        <f>IFERROR(__xludf.DUMMYFUNCTION("""COMPUTED_VALUE"""),"Keck et al")</f>
        <v>Keck et al</v>
      </c>
      <c r="E1042" s="24" t="str">
        <f>IFERROR(__xludf.DUMMYFUNCTION("""COMPUTED_VALUE"""),"WOS:000265338600008")</f>
        <v>WOS:000265338600008</v>
      </c>
      <c r="F1042" s="24" t="str">
        <f>IFERROR(__xludf.DUMMYFUNCTION("""COMPUTED_VALUE"""),"[""ELIGIBLE""]")</f>
        <v>["ELIGIBLE"]</v>
      </c>
    </row>
    <row r="1043">
      <c r="A1043" s="24" t="str">
        <f>IFERROR(__xludf.DUMMYFUNCTION("""COMPUTED_VALUE"""),"Habitat patch size and tree species richness shape the bird community in urban green spaces of rapidly urbanizing Himalayan foothill region of India")</f>
        <v>Habitat patch size and tree species richness shape the bird community in urban green spaces of rapidly urbanizing Himalayan foothill region of India</v>
      </c>
      <c r="B1043" s="24" t="str">
        <f>IFERROR(__xludf.DUMMYFUNCTION("""COMPUTED_VALUE"""),"Rapid urbanization is emerging as one of the leading threats to the biodiversity globally. But is especially a cause of concern for tropical countries which are urbanizing much faster and with relatively less urban planning than temperate ones. Urban gree"&amp;"n spaces are established to reduce the negative impacts of urbanization by conserving a large suite of species. Yet our knowledge on the significance of urban green spaces for supporting urban fauna and enhancing species richness is lacking for tropical c"&amp;"ountries such as India. We examined how landscape and local scale features of urban green spaces influence bird species richness, density, fine-foraging guild richness and composition during breeding and non-breeding season in Dehradun, India. We quantifi"&amp;"ed landscape level variables in the 250 m buffer around 18 urban green spaces. We sampled vegetation and bird community during breeding and non-breeding season through 52 intensive sampling point spread across 18 urban green spaces. Size of the urban gree"&amp;"n space at landscape level and tree species richness at the local scale emerged as important predictors influencing bird species richness, density and richness of imperilled insectivorous guild across seasons. Urban green spaces within education instituti"&amp;"ons and offices experiencing less vegetation management supported higher bird species richness and density whereas city parks were species poor. Community composition was affected more strongly by built-up cover and barren area in the landscape matrix and"&amp;" also by tree species richness at the local scale within urban green spaces. City planners should focus on allocating green spaces within urban settings and expand the formal green spaces. Existing green spaces could be improved by augmenting compositiona"&amp;"l and structural heterogeneity of vegetation as well as conservation of large old native trees.")</f>
        <v>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v>
      </c>
      <c r="C1043" s="24" t="str">
        <f>IFERROR(__xludf.DUMMYFUNCTION("""COMPUTED_VALUE"""),"10.1007/s11252-021-01165-9")</f>
        <v>10.1007/s11252-021-01165-9</v>
      </c>
      <c r="D1043" s="24" t="str">
        <f>IFERROR(__xludf.DUMMYFUNCTION("""COMPUTED_VALUE"""),"Keck et al")</f>
        <v>Keck et al</v>
      </c>
      <c r="E1043" s="24" t="str">
        <f>IFERROR(__xludf.DUMMYFUNCTION("""COMPUTED_VALUE"""),"WOS:000694787600001")</f>
        <v>WOS:000694787600001</v>
      </c>
      <c r="F1043" s="24" t="str">
        <f>IFERROR(__xludf.DUMMYFUNCTION("""COMPUTED_VALUE"""),"[""ELIGIBLE""]")</f>
        <v>["ELIGIBLE"]</v>
      </c>
    </row>
    <row r="1044">
      <c r="A1044" s="24" t="str">
        <f>IFERROR(__xludf.DUMMYFUNCTION("""COMPUTED_VALUE"""),"Mycorrhizal community dynamics following nitrogen fertilization: A cross-site test in five grasslands")</f>
        <v>Mycorrhizal community dynamics following nitrogen fertilization: A cross-site test in five grasslands</v>
      </c>
      <c r="B1044" s="24" t="str">
        <f>IFERROR(__xludf.DUMMYFUNCTION("""COMPUTED_VALUE"""),"Arbuscular mycorrhizal fungi (AMF) are considered both ecologically and physiologically important to many plant communities. As a result, any alteration in AMF community structure following soil nitrogen (N) enrichment may impact plant community function "&amp;"and contribute to widespread changes in grassland productivity. We evaluated the responses of AMF communities to N fertilization (&gt;= 100 kg N center dot ha(-1)center dot yr(-1)) in five perennial grasslands within the Long-Term Ecological Research network"&amp;" to generate a broader understanding of the drivers contributing to AMF species richness and diversity with increasing soil N fertility, and subsequent effects to host-plant communities. AMF spore and hyphal community data at three mesic sites (Cedar Cree"&amp;"k, Kellogg Biological Station, Konza Prairie) and two semiarid sites (Sevilleta, Shortgrass Steppe) were collected over two consecutive years and used to test four hypotheses about AMF responses to N fertilization. Under ambient soil N, plant annual net p"&amp;"rimary productivity and soil phosphorus (P) were strongly related to climatic differences in AMF communities (semiarid vs. mesic). Following N fertilization, the drivers of AMF community structure were soil N availability, N:P supply ratio, and host-plant"&amp;" photosynthetic strategy (C-3 vs. C-4) but not climate. In P-rich soils (low N:P), N fertilization reduced AMF productivity, species richness, and diversity and intensified AMF community convergence due to the loss of rare AMF species and the increased ab"&amp;"undance of Glomus species. In P-limited soils (high N:P), AMF productivity, species richness, and diversity increased with N fertilization; the most responsive AMF taxa were Acaulospora, Scutellospora, and Gigaspora. Soil N or N:P x host-plant (C-3, C-4) "&amp;"interactions further modified these responses: AMF hyphae (primarily Gigasporaceae) associated with C-3 plants increased in abundance with N fertilization, whereas C-4 plants hosted nitrophilous Glomus species. Such responses were independent of the durat"&amp;"ion or quantity of N fertilization, or the time since cessation of N fertilization. This synthesis provides a new understanding of AMF community patterns and processes, and it identifies three key drivers (soil N, N:P, host plant) of AMF community structu"&amp;"re that may be tested in other communities.")</f>
        <v>Arbuscular mycorrhizal fungi (AMF) are considered both ecologically and physiologically important to many plant communities. As a result, any alteration in AMF community structure following soil nitrogen (N) enrichment may impact plant community function and contribute to widespread changes in grassland productivity. We evaluated the responses of AMF communities to N fertilization (&gt;= 100 kg N center dot ha(-1)center dot yr(-1)) in five perennial grasslands within the Long-Term Ecological Research network to generate a broader understanding of the drivers contributing to AMF species richness and diversity with increasing soil N fertility, and subsequent effects to host-plant communities. AMF spore and hyphal community data at three mesic sites (Cedar Creek, Kellogg Biological Station, Konza Prairie) and two semiarid sites (Sevilleta, Shortgrass Steppe) were collected over two consecutive years and used to test four hypotheses about AMF responses to N fertilization. Under ambient soil N, plant annual net primary productivity and soil phosphorus (P) were strongly related to climatic differences in AMF communities (semiarid vs. mesic). Following N fertilization, the drivers of AMF community structure were soil N availability, N:P supply ratio, and host-plant photosynthetic strategy (C-3 vs. C-4) but not climate. In P-rich soils (low N:P), N fertilization reduced AMF productivity, species richness, and diversity and intensified AMF community convergence due to the loss of rare AMF species and the increased abundance of Glomus species. In P-limited soils (high N:P), AMF productivity, species richness, and diversity increased with N fertilization; the most responsive AMF taxa were Acaulospora, Scutellospora, and Gigaspora. Soil N or N:P x host-plant (C-3, C-4) interactions further modified these responses: AMF hyphae (primarily Gigasporaceae) associated with C-3 plants increased in abundance with N fertilization, whereas C-4 plants hosted nitrophilous Glomus species. Such responses were independent of the duration or quantity of N fertilization, or the time since cessation of N fertilization. This synthesis provides a new understanding of AMF community patterns and processes, and it identifies three key drivers (soil N, N:P, host plant) of AMF community structure that may be tested in other communities.</v>
      </c>
      <c r="C1044" s="24" t="str">
        <f>IFERROR(__xludf.DUMMYFUNCTION("""COMPUTED_VALUE"""),"10.1890/06-1772.1")</f>
        <v>10.1890/06-1772.1</v>
      </c>
      <c r="D1044" s="24" t="str">
        <f>IFERROR(__xludf.DUMMYFUNCTION("""COMPUTED_VALUE"""),"Keck et al")</f>
        <v>Keck et al</v>
      </c>
      <c r="E1044" s="24" t="str">
        <f>IFERROR(__xludf.DUMMYFUNCTION("""COMPUTED_VALUE"""),"WOS:000250915400003")</f>
        <v>WOS:000250915400003</v>
      </c>
      <c r="F1044" s="24" t="str">
        <f>IFERROR(__xludf.DUMMYFUNCTION("""COMPUTED_VALUE"""),"[""ELIGIBLE""]")</f>
        <v>["ELIGIBLE"]</v>
      </c>
    </row>
    <row r="1045">
      <c r="A1045" s="24" t="str">
        <f>IFERROR(__xludf.DUMMYFUNCTION("""COMPUTED_VALUE"""),"Biological consequences of environmental pollution in running water ecosystems: A case study in zooplankton")</f>
        <v>Biological consequences of environmental pollution in running water ecosystems: A case study in zooplankton</v>
      </c>
      <c r="B1045" s="24" t="str">
        <f>IFERROR(__xludf.DUMMYFUNCTION("""COMPUTED_VALUE"""),"Biodiversity in running water ecosystems such as streams and rivers is threatened by chemical pollution derived from anthropogenic activities. Zooplankton are ecologically indicative in aquatic ecosystems, owing to their position of linking the top-down a"&amp;"nd bottom-up regulators in aquatic food webs, and thus of great potential to assess ecological effects of human-induced pollution. Here we investigated the influence of water pollution on zooplankton communities characterized by metabarcoding in Songhua R"&amp;"iver Basin in northeast China. Our results clearly showed that varied levels of anthropogenic disturbance significantly influenced water quality, leading to distinct environmental pollution gradients (p &lt; 0.001), particularly derived from total nitrogen, "&amp;"nitrate nitrogen and pH. Redundancy analysis showed that such environmental gradients significantly influenced the geographical distribution of zooplankton biodiversity (R = 0.283, p = 0.001). In addition, along with the trend of increasing environmental "&amp;"pollution, habitat-related indicator taxa were shifted in constituents, altering from large-sized species (e.g. arthropods) in lightly disturbed areas to small-sized organisms (e.g. rotifers and ciliates) in highly disturbed areas. All these findings clea"&amp;"rly showed that anthropogenic activity-derived water pollution significantly influenced biological communities. Thus, biotic consequences of human-induced environmental pollution in running water ecosystems should be deeply investigated. More importantly,"&amp;" the findings of biotic consequences should be well integrated into existing monitoring programs to further assess impacts of anthropogenic disturbance, as well as to advance the management of running water ecosystems for conservation and ecological resto"&amp;"ration. (C) 2019 Elsevier Ltd. All rights reserved.")</f>
        <v>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v>
      </c>
      <c r="C1045" s="24" t="str">
        <f>IFERROR(__xludf.DUMMYFUNCTION("""COMPUTED_VALUE"""),"10.1016/j.envpol.2019.06.055")</f>
        <v>10.1016/j.envpol.2019.06.055</v>
      </c>
      <c r="D1045" s="24" t="str">
        <f>IFERROR(__xludf.DUMMYFUNCTION("""COMPUTED_VALUE"""),"Keck et al")</f>
        <v>Keck et al</v>
      </c>
      <c r="E1045" s="24" t="str">
        <f>IFERROR(__xludf.DUMMYFUNCTION("""COMPUTED_VALUE"""),"WOS:000483405400059")</f>
        <v>WOS:000483405400059</v>
      </c>
      <c r="F1045" s="24" t="str">
        <f>IFERROR(__xludf.DUMMYFUNCTION("""COMPUTED_VALUE"""),"[""ELIGIBLE""]")</f>
        <v>["ELIGIBLE"]</v>
      </c>
    </row>
    <row r="1046">
      <c r="A1046" s="24" t="str">
        <f>IFERROR(__xludf.DUMMYFUNCTION("""COMPUTED_VALUE"""),"Responses of fish assemblages of sandy beaches to different anthropogenic and hydrodynamic influences")</f>
        <v>Responses of fish assemblages of sandy beaches to different anthropogenic and hydrodynamic influences</v>
      </c>
      <c r="B1046" s="24" t="str">
        <f>IFERROR(__xludf.DUMMYFUNCTION("""COMPUTED_VALUE"""),"This study tested whether some attributes of the diversity, communities and populations of surf-zone fish assemblages varied with different hydrodynamic and anthropogenic influences at four Guanabara Bay sandy beaches: Dentro (sheltered with limited human"&amp;" access), Fora (exposed with limited human access), Urca (sheltered with unlimited human access) and Vermelha (exposed with unlimited human access), between autumn 2011 and summer 2012. Twenty-nine species and 1613 individuals were recorded from 76 trawls"&amp;". The 10 most abundant species accounted for 94.5% of the total number, but only four species (Diplodus argenteus, Harengula clupeola, Sardinella brasiliensis and Sphoeroides greeleyi) were recorded at all four beaches, revealing a high level of species s"&amp;"ubstitution. Fish assemblages differed not only for diversity attributes, but also at community and population levels, with lower values of the Shannon-Wiener index, richness and total fish abundance and biomass at Vermelha beach, and higher densities of "&amp;"Trachinotus carolinus, Atherinella brasiliensis and S. greeleyi related to beaches with high anthropogenic influence. The findings reveal that fish assemblages of Dentro, Fora, Urca and Vermelha beaches differed not only in response to hydrodynamic influe"&amp;"nces, but also due to the effects of different degrees of human interference (i.e. presence of solid residues, population density and fishing impacts), emphasizing the importance of the sheltered and less anthropogenically affected beaches, as spawning, n"&amp;"ursery and growth areas. (C) 2016 The Fisheries Society of the British Isles")</f>
        <v>This study tested whether some attributes of the diversity, communities and populations of surf-zone fish assemblages varied with different hydrodynamic and anthropogenic influences at four Guanabara Bay sandy beaches: Dentro (sheltered with limited human access), Fora (exposed with limited human access), Urca (sheltered with unlimited human access) and Vermelha (exposed with unlimited human access), between autumn 2011 and summer 2012. Twenty-nine species and 1613 individuals were recorded from 76 trawls. The 10 most abundant species accounted for 94.5% of the total number, but only four species (Diplodus argenteus, Harengula clupeola, Sardinella brasiliensis and Sphoeroides greeleyi) were recorded at all four beaches, revealing a high level of species substitution. Fish assemblages differed not only for diversity attributes, but also at community and population levels, with lower values of the Shannon-Wiener index, richness and total fish abundance and biomass at Vermelha beach, and higher densities of Trachinotus carolinus, Atherinella brasiliensis and S. greeleyi related to beaches with high anthropogenic influence. The findings reveal that fish assemblages of Dentro, Fora, Urca and Vermelha beaches differed not only in response to hydrodynamic influences, but also due to the effects of different degrees of human interference (i.e. presence of solid residues, population density and fishing impacts), emphasizing the importance of the sheltered and less anthropogenically affected beaches, as spawning, nursery and growth areas. (C) 2016 The Fisheries Society of the British Isles</v>
      </c>
      <c r="C1046" s="24" t="str">
        <f>IFERROR(__xludf.DUMMYFUNCTION("""COMPUTED_VALUE"""),"10.1111/jfb.12889")</f>
        <v>10.1111/jfb.12889</v>
      </c>
      <c r="D1046" s="24" t="str">
        <f>IFERROR(__xludf.DUMMYFUNCTION("""COMPUTED_VALUE"""),"Keck et al")</f>
        <v>Keck et al</v>
      </c>
      <c r="E1046" s="24" t="str">
        <f>IFERROR(__xludf.DUMMYFUNCTION("""COMPUTED_VALUE"""),"WOS:000384307300054")</f>
        <v>WOS:000384307300054</v>
      </c>
      <c r="F1046" s="24" t="str">
        <f>IFERROR(__xludf.DUMMYFUNCTION("""COMPUTED_VALUE"""),"[""ELIGIBLE""]")</f>
        <v>["ELIGIBLE"]</v>
      </c>
    </row>
    <row r="1047">
      <c r="A1047" s="24" t="str">
        <f>IFERROR(__xludf.DUMMYFUNCTION("""COMPUTED_VALUE"""),"Assessment of benthic biological indicators for evaluating the environmental impact of tuna farming")</f>
        <v>Assessment of benthic biological indicators for evaluating the environmental impact of tuna farming</v>
      </c>
      <c r="B1047" s="24" t="str">
        <f>IFERROR(__xludf.DUMMYFUNCTION("""COMPUTED_VALUE"""),"The overall impact of tuna farming on soft-bottom habitat was assessed at three tuna farms over a period of 3years, using benthic macroinvertebrates as indicators. Polychaetes and amphipods served as better indicators of the impact of tuna farming compare"&amp;"d with molluscs and decapods. Lower number and Shannon-Wiener diversity of polychaete and amphipod taxa were recorded over time at the impacted plots compared with the control plots, while the polychaete/amphipod index indicated that the Ecological Qualit"&amp;"y Status at the impacted plots changed from Poor/Moderate to Good during the study period. Results of the multivariate analyses indicated significantly higher dispersion of samples of the polychaete and amphipod assemblages over time at the impacted plots"&amp;" compared with the control plots, indicative of stressed assemblages. Differences in the macroinvertebrate assemblages between impacted and control plots were consistent across faunal groups except for molluscs, which showed no response. Results must be i"&amp;"nterpreted with caution due to the high spatiotemporal variation in the influence of tuna farming on the macroinvertebrate assemblages, which highlights the importance of including multiple impacted and reference areas, as well as replicate sampling times"&amp;", in assessing the environmental impact of tuna farms.")</f>
        <v>The overall impact of tuna farming on soft-bottom habitat was assessed at three tuna farms over a period of 3years, using benthic macroinvertebrates as indicators. Polychaetes and amphipods served as better indicators of the impact of tuna farming compared with molluscs and decapods. Lower number and Shannon-Wiener diversity of polychaete and amphipod taxa were recorded over time at the impacted plots compared with the control plots, while the polychaete/amphipod index indicated that the Ecological Quality Status at the impacted plots changed from Poor/Moderate to Good during the study period. Results of the multivariate analyses indicated significantly higher dispersion of samples of the polychaete and amphipod assemblages over time at the impacted plots compared with the control plots, indicative of stressed assemblages. Differences in the macroinvertebrate assemblages between impacted and control plots were consistent across faunal groups except for molluscs, which showed no response. Results must be interpreted with caution due to the high spatiotemporal variation in the influence of tuna farming on the macroinvertebrate assemblages, which highlights the importance of including multiple impacted and reference areas, as well as replicate sampling times, in assessing the environmental impact of tuna farms.</v>
      </c>
      <c r="C1047" s="24" t="str">
        <f>IFERROR(__xludf.DUMMYFUNCTION("""COMPUTED_VALUE"""),"10.1111/are.13403")</f>
        <v>10.1111/are.13403</v>
      </c>
      <c r="D1047" s="24" t="str">
        <f>IFERROR(__xludf.DUMMYFUNCTION("""COMPUTED_VALUE"""),"Keck et al")</f>
        <v>Keck et al</v>
      </c>
      <c r="E1047" s="24" t="str">
        <f>IFERROR(__xludf.DUMMYFUNCTION("""COMPUTED_VALUE"""),"WOS:000414941000011")</f>
        <v>WOS:000414941000011</v>
      </c>
      <c r="F1047" s="24" t="str">
        <f>IFERROR(__xludf.DUMMYFUNCTION("""COMPUTED_VALUE"""),"[""ELIGIBLE""]")</f>
        <v>["ELIGIBLE"]</v>
      </c>
    </row>
    <row r="1048">
      <c r="A1048" s="24" t="str">
        <f>IFERROR(__xludf.DUMMYFUNCTION("""COMPUTED_VALUE"""),"Invasive cattail reduces fish diversity and abundance in the emergent marsh of a Great Lakes coastal wetland")</f>
        <v>Invasive cattail reduces fish diversity and abundance in the emergent marsh of a Great Lakes coastal wetland</v>
      </c>
      <c r="B1048" s="24" t="str">
        <f>IFERROR(__xludf.DUMMYFUNCTION("""COMPUTED_VALUE"""),"Great Lakes coastal wetlands (GLCWs) provide critical fish habitat. The invasion of GLCWs by hybrid and narrow-leaved cattail, Typha x glauca and Typha angustifolia (hereafter Typha), homogenizes wetlands by out-competing native plant species and producin"&amp;"g copious litter. However, the effect of this invasion on fish communities is little known. To measure the effect of Typha on fishes, we established plots in Typha invaded and native wetland emergent zones in a northern Lake Michigan coastal wetland, and "&amp;"measured environmental variables, plants, and fishes in each zone over two summers. Dissolved oxygen and water temperature were significantly lower in invaded compared to native plots. Invaded plots were dominated by Typha and its litter; whereas. sedges "&amp;"(Carex spp.) were the most abundant species in native plots. Fish abundance and species richness were significantly lower in Typha compared to native wetland plots. The Typha fish community was dominated by hypoxia tolerant mudminnow whereas other small, "&amp;"schooling, fusiform species such as cyprinids and fundulids were absent. These results illustrate the negative impact of a dominant invasive plant on Great Lakes fishes that is expected to be found in Typha invasions in other GLCWs. (C) 2019 International"&amp;" Association for Great Lakes Research. Published by Elsevier B.V. All rights reserved.")</f>
        <v>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v>
      </c>
      <c r="C1048" s="24" t="str">
        <f>IFERROR(__xludf.DUMMYFUNCTION("""COMPUTED_VALUE"""),"10.1016/j.jglr.2019.09.013")</f>
        <v>10.1016/j.jglr.2019.09.013</v>
      </c>
      <c r="D1048" s="24" t="str">
        <f>IFERROR(__xludf.DUMMYFUNCTION("""COMPUTED_VALUE"""),"Keck et al")</f>
        <v>Keck et al</v>
      </c>
      <c r="E1048" s="24" t="str">
        <f>IFERROR(__xludf.DUMMYFUNCTION("""COMPUTED_VALUE"""),"WOS:000504780900021")</f>
        <v>WOS:000504780900021</v>
      </c>
      <c r="F1048" s="24" t="str">
        <f>IFERROR(__xludf.DUMMYFUNCTION("""COMPUTED_VALUE"""),"[""ELIGIBLE""]")</f>
        <v>["ELIGIBLE"]</v>
      </c>
    </row>
    <row r="1049">
      <c r="A1049" s="24" t="str">
        <f>IFERROR(__xludf.DUMMYFUNCTION("""COMPUTED_VALUE"""),"Effects of an introduced polychaete, Sabella spallanzanii, on the development of epifaunal assemblages")</f>
        <v>Effects of an introduced polychaete, Sabella spallanzanii, on the development of epifaunal assemblages</v>
      </c>
      <c r="B1049" s="24" t="str">
        <f>IFERROR(__xludf.DUMMYFUNCTION("""COMPUTED_VALUE"""),"Increasing awareness of the ecological and economic problems caused by marine introductions has brought calls for the development of predictive models of their impacts on other species. We examined the effects of an introduced marine polychaete, Sabella s"&amp;"pallanzanii (Gmelin, 1791), on the development of subtidal marine epifaunal assemblages. As an invader of hard subtidal substrata, S. spallanzanii alters the structure of the habitat by forming a canopy of filamentous feeding structures suspended above th"&amp;"e substratum on long, slender tubes. As resident species (including S. spallanzanii) can strongly affect the recruitment of sessile taxa into these assemblages, we predicted that one of the effects of this introduction would be to change the relative abun"&amp;"dances of understorey species and hence the assemblage structure. In this study we aimed to determine whether the effects of S. spallanzanii on sessile assemblages would be apparent after periods of 2 or 6 mo, and to evaluate the mechanisms underlying any"&amp;" of such observed effects. Further experiments on individual taxa were done to assess the influence of this exotic species on growth rate and mortality of sessile invertebrates as possible reasons for observed effects. The abundances of 9 taxa were affect"&amp;"ed by the presence of S. spallanzanii after 10 wk of assemblage development on cleared and canopy-covered areas. Multivariate analyses showed that assemblages beneath canopies were significantly different from those outside canopies. After 6 mo, however, "&amp;"there were few differences between canopy-covered and cleared areas, and assemblages did not differ. We found little evidence that S. spallanzanii canopies could affect already established assemblages. There were significant effects of the S. spallanzanii"&amp;" canopy on survival and growth rates of epifaunal taxa, although the results were not consistent among experiments, suggesting temporal variability in the processes that cause such changes. There are several implications of these results for the assessmen"&amp;"t of the impacts of exotic species, including the appropriate choice of timescale over which to conduct experiments and the generality of such experiments.")</f>
        <v>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v>
      </c>
      <c r="C1049" s="24" t="str">
        <f>IFERROR(__xludf.DUMMYFUNCTION("""COMPUTED_VALUE"""),"10.3354/meps236137")</f>
        <v>10.3354/meps236137</v>
      </c>
      <c r="D1049" s="24" t="str">
        <f>IFERROR(__xludf.DUMMYFUNCTION("""COMPUTED_VALUE"""),"Keck et al")</f>
        <v>Keck et al</v>
      </c>
      <c r="E1049" s="24" t="str">
        <f>IFERROR(__xludf.DUMMYFUNCTION("""COMPUTED_VALUE"""),"WOS:000177007100014")</f>
        <v>WOS:000177007100014</v>
      </c>
      <c r="F1049" s="24" t="str">
        <f>IFERROR(__xludf.DUMMYFUNCTION("""COMPUTED_VALUE"""),"[""ELIGIBLE""]")</f>
        <v>["ELIGIBLE"]</v>
      </c>
    </row>
    <row r="1050">
      <c r="A1050" s="24" t="str">
        <f>IFERROR(__xludf.DUMMYFUNCTION("""COMPUTED_VALUE"""),"Meiobenthos as food for farmed shrimps in the earthen ponds: Implications for sustainable feeding")</f>
        <v>Meiobenthos as food for farmed shrimps in the earthen ponds: Implications for sustainable feeding</v>
      </c>
      <c r="B1050" s="24" t="str">
        <f>IFERROR(__xludf.DUMMYFUNCTION("""COMPUTED_VALUE"""),"Shrimp farming in earthen pond is one of the largest seafood growing industries among coastal mariculture, but it has faced environmental issues in recent years, e.g. overloading of supplementary feed cause deterioration of pond environments. In order to "&amp;"assess the impact of pond shrimp farming on the benthic environment, we investigated the changes in environmental variables and meiobenthic community structure during January to August in the earthen ponds rearing Marsupenaeus japonicas and Litopenaeus va"&amp;"nnamei. Water and sediment samples were taken in January (before aquaculture), May (early stage) and August (late stage). We found sedimentary redox potential showed values below -150 mV in all ponds in the early and late rearing stages, indicating overal"&amp;"l reduced and anoxic conditions. Sedimentary bulk organic matter (total nitrogen and organic carbon) accumulated along with the feeding addition during the rearing period. We found meiobenthic community structure to change over different rearing stages ma"&amp;"inly because of an increase in nematode densities that was associated with shrimp farming activity in the studied ponds. We also investigated the functional roles of pond biota and supplementary feed by studying the benthic food web in these ponds by mean"&amp;"s of natural stable isotope ratios of carbon and nitrogen and fatty acid biomarkers in the early (May) and late (August) rearing stages. Pond biota (i.e. microalgae and meiobenthos) contributed abundantly to the diets of the two shrimp species. In the ear"&amp;"ly stage, meiobenthos shared similar diets with shrimps (with both feeding on primary organic sources) and they could thus potentially compete for resources. At late rearing stages, meiobenthos represented however a functional link between primary produce"&amp;"rs and shrimps, serving as nutritional food sources for shrimp and providing them high amounts of polyunsaturated fatty acids (PUFAs). We found that the supplementary feed was not substantially consumed by the two shrimp species, which might pose an overf"&amp;"eeding threat to deteriorate the pond environment.")</f>
        <v>Shrimp farming in earthen pond is one of the largest seafood growing industries among coastal mariculture, but it has faced environmental issues in recent years, e.g. overloading of supplementary feed cause deterioration of pond environments. In order to assess the impact of pond shrimp farming on the benthic environment, we investigated the changes in environmental variables and meiobenthic community structure during January to August in the earthen ponds rearing Marsupenaeus japonicas and Litopenaeus vannamei. Water and sediment samples were taken in January (before aquaculture), May (early stage) and August (late stage). We found sedimentary redox potential showed values below -150 mV in all ponds in the early and late rearing stages, indicating overall reduced and anoxic conditions. Sedimentary bulk organic matter (total nitrogen and organic carbon) accumulated along with the feeding addition during the rearing period. We found meiobenthic community structure to change over different rearing stages mainly because of an increase in nematode densities that was associated with shrimp farming activity in the studied ponds. We also investigated the functional roles of pond biota and supplementary feed by studying the benthic food web in these ponds by means of natural stable isotope ratios of carbon and nitrogen and fatty acid biomarkers in the early (May) and late (August) rearing stages. Pond biota (i.e. microalgae and meiobenthos) contributed abundantly to the diets of the two shrimp species. In the early stage, meiobenthos shared similar diets with shrimps (with both feeding on primary organic sources) and they could thus potentially compete for resources. At late rearing stages, meiobenthos represented however a functional link between primary producers and shrimps, serving as nutritional food sources for shrimp and providing them high amounts of polyunsaturated fatty acids (PUFAs). We found that the supplementary feed was not substantially consumed by the two shrimp species, which might pose an overfeeding threat to deteriorate the pond environment.</v>
      </c>
      <c r="C1050" s="24" t="str">
        <f>IFERROR(__xludf.DUMMYFUNCTION("""COMPUTED_VALUE"""),"10.1016/j.aquaculture.2020.735094")</f>
        <v>10.1016/j.aquaculture.2020.735094</v>
      </c>
      <c r="D1050" s="24" t="str">
        <f>IFERROR(__xludf.DUMMYFUNCTION("""COMPUTED_VALUE"""),"Keck et al")</f>
        <v>Keck et al</v>
      </c>
      <c r="E1050" s="24" t="str">
        <f>IFERROR(__xludf.DUMMYFUNCTION("""COMPUTED_VALUE"""),"WOS:000521282400054")</f>
        <v>WOS:000521282400054</v>
      </c>
      <c r="F1050" s="24" t="str">
        <f>IFERROR(__xludf.DUMMYFUNCTION("""COMPUTED_VALUE"""),"[""ELIGIBLE""]")</f>
        <v>["ELIGIBLE"]</v>
      </c>
    </row>
    <row r="1051">
      <c r="A1051" s="24" t="str">
        <f>IFERROR(__xludf.DUMMYFUNCTION("""COMPUTED_VALUE"""),"Comparison of Ground Beetle (Coleoptera: Carabidae) Assemblages in Rocky Mountain Savannas Invaded and Un-invaded by an Exotic Forb, Spotted Knapweed")</f>
        <v>Comparison of Ground Beetle (Coleoptera: Carabidae) Assemblages in Rocky Mountain Savannas Invaded and Un-invaded by an Exotic Forb, Spotted Knapweed</v>
      </c>
      <c r="B1051" s="24" t="str">
        <f>IFERROR(__xludf.DUMMYFUNCTION("""COMPUTED_VALUE"""),"We compared ground beetle (Carabidae) assemblages between spotted knapweed (Centaurea maculosa Lam.) -invaded (invaded) and un-invaded (native) habitats in Rocky Mountain savannas. Carabids play important roles in biotic communities and are known as a goo"&amp;"d indictor group of environmental change. Carabid species activity-abundance and diversity were estimated, and environmental measurements were taken at four transects at each of six study sites in 1999 and 2000. Data on carabid trap captures were analyzed"&amp;" at both the species and functional group level. We found that species belonging to specialist predator and omnivore functional groups were more abundant on transects at invaded sites, whereas generalist predator species were more abundant within native s"&amp;"ites. Carabid species richness was similar between invaded and native sites; however, evenness was greater at invaded compared to native sites. Greater species evenness in invaded versus native sites was primarily due to an increase in activity-abundance "&amp;"of species in the omnivore and specialist predator functional groups and a decrease in activity-abundance of dominant species belonging to the generalist predator functional group. Our results suggest that spotted knapweed invasion results in an alteratio"&amp;"n of carabid community structure and leads to the homogenization of carabid assemblages in Rocky Mountain savannas. Biotic homogenization, the increase in taxonomic similarity of once-diverse communities, is often a direct outcome of exotic invasions and "&amp;"an important concern currently facing biodiversity conservation.")</f>
        <v>We compared ground beetle (Carabidae) assemblages between spotted knapweed (Centaurea maculosa Lam.) -invaded (invaded) and un-invaded (native) habitats in Rocky Mountain savannas. Carabids play important roles in biotic communities and are known as a good indictor group of environmental change. Carabid species activity-abundance and diversity were estimated, and environmental measurements were taken at four transects at each of six study sites in 1999 and 2000. Data on carabid trap captures were analyzed at both the species and functional group level. We found that species belonging to specialist predator and omnivore functional groups were more abundant on transects at invaded sites, whereas generalist predator species were more abundant within native sites. Carabid species richness was similar between invaded and native sites; however, evenness was greater at invaded compared to native sites. Greater species evenness in invaded versus native sites was primarily due to an increase in activity-abundance of species in the omnivore and specialist predator functional groups and a decrease in activity-abundance of dominant species belonging to the generalist predator functional group. Our results suggest that spotted knapweed invasion results in an alteration of carabid community structure and leads to the homogenization of carabid assemblages in Rocky Mountain savannas. Biotic homogenization, the increase in taxonomic similarity of once-diverse communities, is often a direct outcome of exotic invasions and an important concern currently facing biodiversity conservation.</v>
      </c>
      <c r="C1051" s="24" t="str">
        <f>IFERROR(__xludf.DUMMYFUNCTION("""COMPUTED_VALUE"""),"10.3955/046.083.0406")</f>
        <v>10.3955/046.083.0406</v>
      </c>
      <c r="D1051" s="24" t="str">
        <f>IFERROR(__xludf.DUMMYFUNCTION("""COMPUTED_VALUE"""),"Keck et al")</f>
        <v>Keck et al</v>
      </c>
      <c r="E1051" s="24" t="str">
        <f>IFERROR(__xludf.DUMMYFUNCTION("""COMPUTED_VALUE"""),"WOS:000270930100006")</f>
        <v>WOS:000270930100006</v>
      </c>
      <c r="F1051" s="24" t="str">
        <f>IFERROR(__xludf.DUMMYFUNCTION("""COMPUTED_VALUE"""),"[""ELIGIBLE""]")</f>
        <v>["ELIGIBLE"]</v>
      </c>
    </row>
    <row r="1052">
      <c r="A1052" s="24" t="str">
        <f>IFERROR(__xludf.DUMMYFUNCTION("""COMPUTED_VALUE"""),"Disentangling the responses of boreal stream assemblages to low stressor levels of diffuse pollution and altered channel morphology")</f>
        <v>Disentangling the responses of boreal stream assemblages to low stressor levels of diffuse pollution and altered channel morphology</v>
      </c>
      <c r="B1052" s="24" t="str">
        <f>IFERROR(__xludf.DUMMYFUNCTION("""COMPUTED_VALUE"""),"Non-point diffuse pollution from land use and alteration of hydromorphology are among the most detrimental stressors to stream ecosystems. We explored the independent and interactive effects of morphological channel alteration (channelization for water tr"&amp;"ansport of timber) and diffuse pollution on species richness and community structure of four organism groups in boreal streams: diatoms, macrophytes, macroinvertebrates, and fish. Furthermore, the effect of these stressors on stream condition was evaluate"&amp;"d by Ecological Quality Ratios (EQR) from the national Water Framework Directive (WFD) assessment system. We grouped 91 study sites into four groups that were impacted by either diffuse pollution or hydromorphological alteration, by both stressors, or by "&amp;"neither one. Macroinvertebrate richness was reduced by diffuse pollution, whereas other biological groups were unaltered. Hydromorphological modification had no effect on taxon richness of any of the assemblages. Community structure of all groups was sign"&amp;"ificantly affected by diffuse pollution but not by hydromorphology. Similarly, EQRs indicated negative response by diatoms, macroinvertebrates and fish to diffuse pollution, but not to hydromorphological alteration. Agricultural diffuse pollution thus aff"&amp;"ected species identities and abundances rather than taxonomic richness. Our results suggest that channelization of boreal streams for timber transport has not altered hydromorphological conditions sufficiently to have a strong impact on stream biota, wher"&amp;"eas even moderate nutrient enrichment may be ecologically harmful. Controlling diffuse pollution and associated land use stressors should be prioritized over restoration of in-stream habitat structure to improve the ecological condition of boreal streams."&amp;" (C) 2015 Elsevier B.V. All rights reserved.")</f>
        <v>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v>
      </c>
      <c r="C1052" s="24" t="str">
        <f>IFERROR(__xludf.DUMMYFUNCTION("""COMPUTED_VALUE"""),"10.1016/j.scitotenv.2015.12.031")</f>
        <v>10.1016/j.scitotenv.2015.12.031</v>
      </c>
      <c r="D1052" s="24" t="str">
        <f>IFERROR(__xludf.DUMMYFUNCTION("""COMPUTED_VALUE"""),"Keck et al")</f>
        <v>Keck et al</v>
      </c>
      <c r="E1052" s="24" t="str">
        <f>IFERROR(__xludf.DUMMYFUNCTION("""COMPUTED_VALUE"""),"WOS:000369491500101")</f>
        <v>WOS:000369491500101</v>
      </c>
      <c r="F1052" s="24" t="str">
        <f>IFERROR(__xludf.DUMMYFUNCTION("""COMPUTED_VALUE"""),"[""ELIGIBLE""]")</f>
        <v>["ELIGIBLE"]</v>
      </c>
    </row>
    <row r="1053">
      <c r="A1053" s="24" t="str">
        <f>IFERROR(__xludf.DUMMYFUNCTION("""COMPUTED_VALUE"""),"Impacts of physical disturbance on the recovery of a macrofaunal community: A comparative analysis using traditional and novel approaches")</f>
        <v>Impacts of physical disturbance on the recovery of a macrofaunal community: A comparative analysis using traditional and novel approaches</v>
      </c>
      <c r="B1053" s="24" t="str">
        <f>IFERROR(__xludf.DUMMYFUNCTION("""COMPUTED_VALUE"""),"The recovery of macrofaunal communities after marine aggregate dredging was assessed using both traditional indices (abundance, biomass and species diversity), and functional analysis techniques (Somatic Production, Taxonomic Distinctness, Infaunal Trophi"&amp;"c Index, Biological Traits Analysis and Rao's Quadratic Entropy). A previously dredged area (Area 222). located off the southeast coast of England was selected for this investigation. Area 222 was split into sites that had been subjected to relatively hig"&amp;"h dredging intensity, relatively low dredging intensity, and undisturbed reference areas. Both traditional and functional analyses indicated that macrofauna at the low dredging intensity site had fully recovered at least 7 years after the dredging ceased."&amp;" Recovery times at the high intensity site had a greater variability and most of the techniques recorded the recovery had yet to take place even 11 years after the dredging had ceased. Since Area 222 was dredged for a long period of time (approx. 25 years"&amp;"), it is suggested that a longer time series of study be carried out so that the definitive recovery period in this high intensity site can be determined. While a longer time series study is not always a realistic or cost effective, the present study coul"&amp;"d be useful to facilitate the selection of metrics to support in the assessment of macrofaunal recovery. Crown Copyright (C) 2011 Published by Elsevier Ltd. All rights reserved.")</f>
        <v>The recovery of macrofaunal communities after marine aggregate dredging was assessed using both traditional indices (abundance, biomass and species diversity), and functional analysis techniques (Somatic Production, Taxonomic Distinctness, Infaunal Trophic Index, Biological Traits Analysis and Rao's Quadratic Entropy). A previously dredged area (Area 222). located off the southeast coast of England was selected for this investigation. Area 222 was split into sites that had been subjected to relatively high dredging intensity, relatively low dredging intensity, and undisturbed reference areas. Both traditional and functional analyses indicated that macrofauna at the low dredging intensity site had fully recovered at least 7 years after the dredging ceased. Recovery times at the high intensity site had a greater variability and most of the techniques recorded the recovery had yet to take place even 11 years after the dredging had ceased. Since Area 222 was dredged for a long period of time (approx. 25 years), it is suggested that a longer time series of study be carried out so that the definitive recovery period in this high intensity site can be determined. While a longer time series study is not always a realistic or cost effective, the present study could be useful to facilitate the selection of metrics to support in the assessment of macrofaunal recovery. Crown Copyright (C) 2011 Published by Elsevier Ltd. All rights reserved.</v>
      </c>
      <c r="C1053" s="24" t="str">
        <f>IFERROR(__xludf.DUMMYFUNCTION("""COMPUTED_VALUE"""),"10.1016/j.ecolind.2011.03.016")</f>
        <v>10.1016/j.ecolind.2011.03.016</v>
      </c>
      <c r="D1053" s="24" t="str">
        <f>IFERROR(__xludf.DUMMYFUNCTION("""COMPUTED_VALUE"""),"Keck et al")</f>
        <v>Keck et al</v>
      </c>
      <c r="E1053" s="24" t="str">
        <f>IFERROR(__xludf.DUMMYFUNCTION("""COMPUTED_VALUE"""),"WOS:000295437200005")</f>
        <v>WOS:000295437200005</v>
      </c>
      <c r="F1053" s="24" t="str">
        <f>IFERROR(__xludf.DUMMYFUNCTION("""COMPUTED_VALUE"""),"[""ELIGIBLE""]")</f>
        <v>["ELIGIBLE"]</v>
      </c>
    </row>
    <row r="1054">
      <c r="A1054" s="24" t="str">
        <f>IFERROR(__xludf.DUMMYFUNCTION("""COMPUTED_VALUE"""),"Response mechanisms of sediment microbial communities in different habitat types in a shall ow lake")</f>
        <v>Response mechanisms of sediment microbial communities in different habitat types in a shall ow lake</v>
      </c>
      <c r="B1054" s="24" t="str">
        <f>IFERROR(__xludf.DUMMYFUNCTION("""COMPUTED_VALUE"""),"Microorganisms are important drivers of material and energy circulation in freshwater ecosystems. Altered aquatic sedimentary environments disturbed by human activities affect microbial community composition. Concentrations of heavy metals, and sediment p"&amp;"hysicochemical properties, are described for 25 sediment samples collected from five habitat types (residential, duck farm, lotus pond, fish farm, and a reference reserve shallow freshwater lake site) around Baiyangdian Lake, China. Bacterial and fungal c"&amp;"ommunities in sediments were determined using 16S rRNA and 18S rRNA high-throughput sequencing technology. Sediment physicochemical properties and heavy metal concentrations vary significantly among habitat types. Bacterial genera involved in S and N cycl"&amp;"es are most abundant, followed by those that degrade organic pollutants, and are tolerant of heavy metals. Sediment bacterial Chao1 index is predominantly regulated by cobalt concentrations. The microbial communities within replicate samples within habita"&amp;"ts are more similar to each other than they are between habitats. Redundancy analysis indicates Zn, pH, and TP are the main environment factors structuring bacterial communities, while fungal communities are most significantly influenced by Co and TP. The"&amp;" genus Cryptomonas is a food source for small zooplankton and fishes, and is mainly distributed in fish farm and lotus pond habitats. Species of Pseudallescheria that cause mycetoma, maduromycosis, and other infections in humans are highly abundant in duc"&amp;"k farm and residential habitats. Species of Aleuria are saprobes; decompose organic matter, dead organisms, or biological excrement; and are highly accumulated in duck farm habitat.")</f>
        <v>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v>
      </c>
      <c r="C1054" s="24" t="str">
        <f>IFERROR(__xludf.DUMMYFUNCTION("""COMPUTED_VALUE"""),"10.1002/ecs2.2948")</f>
        <v>10.1002/ecs2.2948</v>
      </c>
      <c r="D1054" s="24" t="str">
        <f>IFERROR(__xludf.DUMMYFUNCTION("""COMPUTED_VALUE"""),"Keck et al")</f>
        <v>Keck et al</v>
      </c>
      <c r="E1054" s="24" t="str">
        <f>IFERROR(__xludf.DUMMYFUNCTION("""COMPUTED_VALUE"""),"WOS:000512727700040")</f>
        <v>WOS:000512727700040</v>
      </c>
      <c r="F1054" s="24" t="str">
        <f>IFERROR(__xludf.DUMMYFUNCTION("""COMPUTED_VALUE"""),"[""ELIGIBLE""]")</f>
        <v>["ELIGIBLE"]</v>
      </c>
    </row>
    <row r="1055">
      <c r="A1055" s="24" t="str">
        <f>IFERROR(__xludf.DUMMYFUNCTION("""COMPUTED_VALUE"""),"Evaluating expected outcomes of acid remediation in an intensively mined Appalachian watershed")</f>
        <v>Evaluating expected outcomes of acid remediation in an intensively mined Appalachian watershed</v>
      </c>
      <c r="B1055" s="24" t="str">
        <f>IFERROR(__xludf.DUMMYFUNCTION("""COMPUTED_VALUE"""),"Assessments of watershed-based restoration efforts are rare but are essential for the science of stream restoration to advance. We conducted a watershed scale assessment of Abram Creek before and after implementation of a watershed-based plan designed to "&amp;"maximize ecological recovery from acid mine drainage (AMD) impairment. We surveyed water chemistry, physical habitat, benthic macroinvertebrates, and fish community structure in three stream types: AMD-impacted(14 streams), AMD-treated (13 streams), and u"&amp;"nimpaired reference (4 streams). We used in-stream measurements to quantify ecological loss from AMD, the amount of ecological recovery expected through remediation, and the observed degree of post-treatment recovery. Sites impaired by AMD improved in wat"&amp;"er quality with AMD treatment. Dissolved metals and acidity declined significantly in treated streams, but sulfate and specific conductance did not. Likewise, sites impaired by AMD improved in bio-condition scores with AMD treatment. EPT genera increased "&amp;"significantly but were lower compared to unimpaired streams. We found fish at nine treated sites that had none before treatment. Community-level analyses indicated improved but altered assemblages with AMD treatment. Analysis of pretreatment conditions in"&amp;"dicated that only 30% of the historic fishery remained. Remediation was expected to recover 66% of the historic fishery value, and assessment of posttreatment conditions indicates that 52% of the historic fishery has been recovered after 3 years. Developi"&amp;"ng expected endpoints for restoration outcomes provides a tool to objectively evaluate successes and can guide adaptive management strategies.")</f>
        <v>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v>
      </c>
      <c r="C1055" s="24" t="str">
        <f>IFERROR(__xludf.DUMMYFUNCTION("""COMPUTED_VALUE"""),"10.1007/s10661-017-6036-x")</f>
        <v>10.1007/s10661-017-6036-x</v>
      </c>
      <c r="D1055" s="24" t="str">
        <f>IFERROR(__xludf.DUMMYFUNCTION("""COMPUTED_VALUE"""),"Keck et al")</f>
        <v>Keck et al</v>
      </c>
      <c r="E1055" s="24" t="str">
        <f>IFERROR(__xludf.DUMMYFUNCTION("""COMPUTED_VALUE"""),"WOS:000404652900036")</f>
        <v>WOS:000404652900036</v>
      </c>
      <c r="F1055" s="24" t="str">
        <f>IFERROR(__xludf.DUMMYFUNCTION("""COMPUTED_VALUE"""),"[""ELIGIBLE""]")</f>
        <v>["ELIGIBLE"]</v>
      </c>
    </row>
    <row r="1056">
      <c r="A1056" s="24" t="str">
        <f>IFERROR(__xludf.DUMMYFUNCTION("""COMPUTED_VALUE"""),"Response of soil bacterial communities to lead and zinc pollution revealed by Illumina MiSeq sequencing investigation")</f>
        <v>Response of soil bacterial communities to lead and zinc pollution revealed by Illumina MiSeq sequencing investigation</v>
      </c>
      <c r="B1056" s="24" t="str">
        <f>IFERROR(__xludf.DUMMYFUNCTION("""COMPUTED_VALUE"""),"Soil provides a critical environment for microbial community development. However, microorganisms may be sensitive to substances such as heavy metals (HMs), which are common soil contaminants. This study investigated bacterial communities using 16S riboso"&amp;"mal RNA (rRNA) gene fragment sequencing in geographic regions with and without HM pollution to elucidate the effects of soil properties and HMs on bacterial communities. No obvious changes in the richness or diversity of bacterial communities were observe"&amp;"d between samples from mining and control areas. Significant differences in bacterial richness and diversity were detected between samples from different geographic regions, indicating that the basic soil characteristics were the most important factors af"&amp;"fecting bacterial communities other than HMs. However, the abundances of several phyla and genera differed significantly between mining and control samples, suggesting that Zn and Pb pollution may impact the soil bacterial community composition. Moreover,"&amp;" regression analyses showed that the relative abundances of these phyla and genera were correlated significantly with the soil-available Zn and Pb contents. Redundancy analysis indicated that the soil K, ammoniacal nitrogen (NH4 (+)-N), total Cu, and avai"&amp;"lable Zn and Cu contents were the most important factors. Our results not only suggested that the soil bacteria were sensitive to HM stresses but also indicated that other soil properties may affect soil microorganisms to a greater extent.")</f>
        <v>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v>
      </c>
      <c r="C1056" s="24" t="str">
        <f>IFERROR(__xludf.DUMMYFUNCTION("""COMPUTED_VALUE"""),"10.1007/s11356-016-7826-3")</f>
        <v>10.1007/s11356-016-7826-3</v>
      </c>
      <c r="D1056" s="24" t="str">
        <f>IFERROR(__xludf.DUMMYFUNCTION("""COMPUTED_VALUE"""),"Keck et al")</f>
        <v>Keck et al</v>
      </c>
      <c r="E1056" s="24" t="str">
        <f>IFERROR(__xludf.DUMMYFUNCTION("""COMPUTED_VALUE"""),"WOS:000392105700063")</f>
        <v>WOS:000392105700063</v>
      </c>
      <c r="F1056" s="24" t="str">
        <f>IFERROR(__xludf.DUMMYFUNCTION("""COMPUTED_VALUE"""),"[""ELIGIBLE""]")</f>
        <v>["ELIGIBLE"]</v>
      </c>
    </row>
    <row r="1057">
      <c r="A1057" s="24" t="str">
        <f>IFERROR(__xludf.DUMMYFUNCTION("""COMPUTED_VALUE"""),"Comparison between epiphyte assemblages of leaves and rhizomes of the seagrass Posidonia oceanica subjected to different levels of anthropogenic eutrophication")</f>
        <v>Comparison between epiphyte assemblages of leaves and rhizomes of the seagrass Posidonia oceanica subjected to different levels of anthropogenic eutrophication</v>
      </c>
      <c r="B1057" s="24" t="str">
        <f>IFERROR(__xludf.DUMMYFUNCTION("""COMPUTED_VALUE"""),"This paper aimed to compare epiphyte assemblages of leaves and rhizomes of Posidonia oceanica exposed to different levels of concentration of nutrients. The same design including a potentially impacted meadow and two reference meadows was used in each of "&amp;"two locations, characterized by the presence of a city or of suspended cages of a fish farm, respectively. This allowed to test for the consistency of responses of epiphytic assemblages to different sources of eutrophication. In both studies, results docu"&amp;"mented differences in patterns of composition and abundance of epiphytic assemblages on leaves between disturbed and reference meadows, while assemblages on rhizomes did not appear sensitive to this kind of disturbance. Moreover, in potentially impacted m"&amp;"eadows, both assemblages showed different patterns of spatial variability compared to reference assemblages. Species composition and abundance of epiphyte assemblages seemed suitable for detecting moderate nutrient increases, even if adequate sampling des"&amp;"igns are needed to separate patterns related to the large natural spatial variability of these systems from those related to changes in environmental conditions. (C) 2008 Elsevier Ltd. All rights reserved.")</f>
        <v>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v>
      </c>
      <c r="C1057" s="24" t="str">
        <f>IFERROR(__xludf.DUMMYFUNCTION("""COMPUTED_VALUE"""),"10.1016/j.ecss.2008.05.009")</f>
        <v>10.1016/j.ecss.2008.05.009</v>
      </c>
      <c r="D1057" s="24" t="str">
        <f>IFERROR(__xludf.DUMMYFUNCTION("""COMPUTED_VALUE"""),"Keck et al")</f>
        <v>Keck et al</v>
      </c>
      <c r="E1057" s="24" t="str">
        <f>IFERROR(__xludf.DUMMYFUNCTION("""COMPUTED_VALUE"""),"WOS:000259731900021")</f>
        <v>WOS:000259731900021</v>
      </c>
      <c r="F1057" s="24" t="str">
        <f>IFERROR(__xludf.DUMMYFUNCTION("""COMPUTED_VALUE"""),"[""ELIGIBLE""]")</f>
        <v>["ELIGIBLE"]</v>
      </c>
    </row>
    <row r="1058">
      <c r="A1058" s="24" t="str">
        <f>IFERROR(__xludf.DUMMYFUNCTION("""COMPUTED_VALUE"""),"Fish assemblages from touristic and non-visited headwater streams differ")</f>
        <v>Fish assemblages from touristic and non-visited headwater streams differ</v>
      </c>
      <c r="B1058" s="24" t="str">
        <f>IFERROR(__xludf.DUMMYFUNCTION("""COMPUTED_VALUE"""),"Nature-based tourism is a growing industry in recent years, including underwater trails in clear headwater streams. These activities, however, bring little known impacts, most of them in the individual and population levels. To investigate if human presen"&amp;"ce can affect the fish community, we compared similar reference and tourism areas in terms of species accumulation curve, ecological indicators (richness, total abundance, diversity and dominance), composition similarity and indicator species. Only fish a"&amp;"bundance did not differ between reference and tourism areas. Richness, diversity and dominance were all higher in tourism areas. Fish species composition also differed between reference and tourism, guided by species substitution. We add ecological data t"&amp;"o previous behavioral studies that have already evidenced the effects of tourism on fish. We also suggest a strict control of the number and permanence of visitors in the water, the forbiddance of fish feeding and maintenance of the riparian coverage to a"&amp;"void irreversible damages to these fragile environments.")</f>
        <v>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v>
      </c>
      <c r="C1058" s="24" t="str">
        <f>IFERROR(__xludf.DUMMYFUNCTION("""COMPUTED_VALUE"""),"10.1007/s10641-017-0586-1")</f>
        <v>10.1007/s10641-017-0586-1</v>
      </c>
      <c r="D1058" s="24" t="str">
        <f>IFERROR(__xludf.DUMMYFUNCTION("""COMPUTED_VALUE"""),"Keck et al")</f>
        <v>Keck et al</v>
      </c>
      <c r="E1058" s="24" t="str">
        <f>IFERROR(__xludf.DUMMYFUNCTION("""COMPUTED_VALUE"""),"WOS:000400073300009")</f>
        <v>WOS:000400073300009</v>
      </c>
      <c r="F1058" s="24" t="str">
        <f>IFERROR(__xludf.DUMMYFUNCTION("""COMPUTED_VALUE"""),"[""ELIGIBLE""]")</f>
        <v>["ELIGIBLE"]</v>
      </c>
    </row>
    <row r="1059">
      <c r="A1059" s="24" t="str">
        <f>IFERROR(__xludf.DUMMYFUNCTION("""COMPUTED_VALUE"""),"Application of environmental DNA for assessment of contamination downstream of a legacy base metal mine")</f>
        <v>Application of environmental DNA for assessment of contamination downstream of a legacy base metal mine</v>
      </c>
      <c r="B1059" s="24" t="str">
        <f>IFERROR(__xludf.DUMMYFUNCTION("""COMPUTED_VALUE"""),"Acid Rock Drainage (ARD) from legacy mines can negatively impact the biota in sediments and waters for tens of kilometers downstream. Here we used environmental (e)DNA metabarcoding to assess the impacts of metal contaminants on biota in sediment and wate"&amp;"r downstream of a legacy base metal sulfide mine in southeastern Australia, as exemplar of similar mines elsewhere. Concentrations of metals in water were below Australian water quality guideline values at 20 km downstream for copper (Cu), 40 km downstrea"&amp;"m for zinc (Zn) and 10 km downstream for lead (Pb). Sediment metal concentrations were below national guideline concentrations at 10 km downstream for Cu, 60 km downstream for Zn and 20 km downstream for Pb. In contrast, metabarcoding showed that biologic"&amp;"al communities from sediment samples at 10 km and 20 km downstream were similar to sites close to the mine and thus indicative of being impacted, despite metal concentrations being relatively low. As we illustrate, when combined with sediment and water ch"&amp;"emistry, metabarcoding can provide more ecological robust perspective on the downstream effects of legacy mines, capturing the sensitivities of a diverse range of organisms.")</f>
        <v>Acid Rock Drainage (ARD) from legacy mines can negatively impact the biota in sediments and waters for tens of kilometers downstream. Here we used environmental (e)DNA metabarcoding to assess the impacts of metal contaminants on biota in sediment and water downstream of a legacy base metal sulfide mine in southeastern Australia, as exemplar of similar mines elsewhere. Concentrations of metals in water were below Australian water quality guideline values at 20 km downstream for copper (Cu), 40 km downstream for zinc (Zn) and 10 km downstream for lead (Pb). Sediment metal concentrations were below national guideline concentrations at 10 km downstream for Cu, 60 km downstream for Zn and 20 km downstream for Pb. In contrast, metabarcoding showed that biological communities from sediment samples at 10 km and 20 km downstream were similar to sites close to the mine and thus indicative of being impacted, despite metal concentrations being relatively low. As we illustrate, when combined with sediment and water chemistry, metabarcoding can provide more ecological robust perspective on the downstream effects of legacy mines, capturing the sensitivities of a diverse range of organisms.</v>
      </c>
      <c r="C1059" s="24" t="str">
        <f>IFERROR(__xludf.DUMMYFUNCTION("""COMPUTED_VALUE"""),"10.1016/j.jhazmat.2021.125794")</f>
        <v>10.1016/j.jhazmat.2021.125794</v>
      </c>
      <c r="D1059" s="24" t="str">
        <f>IFERROR(__xludf.DUMMYFUNCTION("""COMPUTED_VALUE"""),"Keck et al")</f>
        <v>Keck et al</v>
      </c>
      <c r="E1059" s="24" t="str">
        <f>IFERROR(__xludf.DUMMYFUNCTION("""COMPUTED_VALUE"""),"WOS:000664749100001")</f>
        <v>WOS:000664749100001</v>
      </c>
      <c r="F1059" s="24" t="str">
        <f>IFERROR(__xludf.DUMMYFUNCTION("""COMPUTED_VALUE"""),"[""ELIGIBLE""]")</f>
        <v>["ELIGIBLE"]</v>
      </c>
    </row>
    <row r="1060">
      <c r="A1060" s="24" t="str">
        <f>IFERROR(__xludf.DUMMYFUNCTION("""COMPUTED_VALUE"""),"Fish as indicators of diving and fishing pressure on high-latitude coral reefs")</f>
        <v>Fish as indicators of diving and fishing pressure on high-latitude coral reefs</v>
      </c>
      <c r="B1060" s="24" t="str">
        <f>IFERROR(__xludf.DUMMYFUNCTION("""COMPUTED_VALUE"""),"Despite the proclamation of South Africa's coral reef marine protected areas (MPAs) more than 20 years ago, the effects of human activities on the fish communities have not been investigated. This study used a multi-species Fish-index to compare ecologica"&amp;"l indicators such as biomass, abundance, trophic structure and reproductive potential between multiple-use and no-take sanctuary zones. Seven study reefs were surveyed; six in South Africa and a non-MPA reef in southern Mozambique. Randomly stratified und"&amp;"erwater visual censuses (UVC) using the point count technique were used to survey fish communities. Environmental variables and habitat characteristics were also recorded. Nonmetric multidimensional scaling ordinations were similar for abundance and bioma"&amp;"ss trends and revealed a high degree of overlap between all zones, except for the no-take Sanctuaries. The latter formed discrete clusters and were significantly different (Analysis of Similarity) to the other zones. Total abundance and biomass were highe"&amp;"st in the Sanctuary zones and lowest in the Open zone. Differences in trophic composition between zones were largely due to predatory species. This was supported by similarity percentages analysis (SIMPER) which identified six discriminating species. Leng"&amp;"th-frequency analysis of these species revealed consistent trends with higher numbers of large individuals in the Sanctuary zones and reduced numbers of small individuals in zones open to human activity. These results along with those of the Generalised L"&amp;"inear Models (GLM) demonstrate that human activities are affecting the southern African coral reef fish communities. Marginal differences between the multiple-use MPA zones on the South African reefs and the non-MPA reef in southern Mozambique suggest tha"&amp;"t MPA management objectives require re-evaluation. (C) 2013 Elsevier Ltd. All rights reserved.")</f>
        <v>Despite the proclamation of South Africa's coral reef marine protected areas (MPAs) more than 20 years ago, the effects of human activities on the fish communities have not been investigated. This study used a multi-species Fish-index to compare ecological indicators such as biomass, abundance, trophic structure and reproductive potential between multiple-use and no-take sanctuary zones. Seven study reefs were surveyed; six in South Africa and a non-MPA reef in southern Mozambique. Randomly stratified underwater visual censuses (UVC) using the point count technique were used to survey fish communities. Environmental variables and habitat characteristics were also recorded. Nonmetric multidimensional scaling ordinations were similar for abundance and biomass trends and revealed a high degree of overlap between all zones, except for the no-take Sanctuaries. The latter formed discrete clusters and were significantly different (Analysis of Similarity) to the other zones. Total abundance and biomass were highest in the Sanctuary zones and lowest in the Open zone. Differences in trophic composition between zones were largely due to predatory species. This was supported by similarity percentages analysis (SIMPER) which identified six discriminating species. Length-frequency analysis of these species revealed consistent trends with higher numbers of large individuals in the Sanctuary zones and reduced numbers of small individuals in zones open to human activity. These results along with those of the Generalised Linear Models (GLM) demonstrate that human activities are affecting the southern African coral reef fish communities. Marginal differences between the multiple-use MPA zones on the South African reefs and the non-MPA reef in southern Mozambique suggest that MPA management objectives require re-evaluation. (C) 2013 Elsevier Ltd. All rights reserved.</v>
      </c>
      <c r="C1060" s="24" t="str">
        <f>IFERROR(__xludf.DUMMYFUNCTION("""COMPUTED_VALUE"""),"10.1016/j.ocecoaman.2013.08.005")</f>
        <v>10.1016/j.ocecoaman.2013.08.005</v>
      </c>
      <c r="D1060" s="24" t="str">
        <f>IFERROR(__xludf.DUMMYFUNCTION("""COMPUTED_VALUE"""),"Keck et al")</f>
        <v>Keck et al</v>
      </c>
      <c r="E1060" s="24" t="str">
        <f>IFERROR(__xludf.DUMMYFUNCTION("""COMPUTED_VALUE"""),"WOS:000326364100013")</f>
        <v>WOS:000326364100013</v>
      </c>
      <c r="F1060" s="24" t="str">
        <f>IFERROR(__xludf.DUMMYFUNCTION("""COMPUTED_VALUE"""),"[""ELIGIBLE""]")</f>
        <v>["ELIGIBLE"]</v>
      </c>
    </row>
    <row r="1061">
      <c r="A1061" s="24" t="str">
        <f>IFERROR(__xludf.DUMMYFUNCTION("""COMPUTED_VALUE"""),"Invertebrate community composition differs between invasive herb alligator weed and native sedges")</f>
        <v>Invertebrate community composition differs between invasive herb alligator weed and native sedges</v>
      </c>
      <c r="B1061" s="24" t="str">
        <f>IFERROR(__xludf.DUMMYFUNCTION("""COMPUTED_VALUE"""),"Chemical and/or architectural differences between native and exotic plants may influence invertebrate community composition. According to the enemy release hypothesis, invasive weeds should host fewer and less specialised invertebrates than native vegetat"&amp;"ion. Invertebrate communities were compared on invasive Alternanthera philoxeroides (alligator weed) and native sedges (Isolepis prolifer and Schoenoplectus tabernaemontani) in a New Zealand lake. A. philoxeroides is more architecturally and chemically si"&amp;"milar to I. prolifer than to S. tabernaemontani. Lower invertebrate abundance, richness and proportionally fewer specialists were predicted on A. philoxeroides compared to native sedges, but with greatest differences between A. philoxeroides and S. tabern"&amp;"aemontani. A. philoxeroides is more architecturally and chemically similar to I. prolifer than to S. tabernaemontani. Invertebrate abundance showed taxa-specific responses, rather than consistently lower abundance on A. philoxeroides. Nevertheless, as pre"&amp;"dicted, invertebrate fauna of A. philoxeroides was more similar to that of I. prolifer than to S. tabernaemontani. The prediction of a depauperate native fauna on A. philoxeroides received support from some but not all taxa. All vegetation types hosted ge"&amp;"neralist-dominated invertebrate communities with simple guild structures. The enemy release hypothesis thus had minimal ability to predict patterns in this system. Results suggest the extent of architectural and chemical differences between native and inv"&amp;"asive vegetation may be useful in predicting the extent to which they will host different invertebrate communities. However, invertebrate ecology also affects whether invertebrate taxa respond positively or negatively to weed invasion. Thus, exotic vegeta"&amp;"tion may support distinct invertebrate communities despite similar overall invertebrate abundance to native vegetation. (C) 2012 Published by Elsevier Masson SAS.")</f>
        <v>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v>
      </c>
      <c r="C1061" s="24" t="str">
        <f>IFERROR(__xludf.DUMMYFUNCTION("""COMPUTED_VALUE"""),"10.1016/j.actao.2012.04.007")</f>
        <v>10.1016/j.actao.2012.04.007</v>
      </c>
      <c r="D1061" s="24" t="str">
        <f>IFERROR(__xludf.DUMMYFUNCTION("""COMPUTED_VALUE"""),"Keck et al")</f>
        <v>Keck et al</v>
      </c>
      <c r="E1061" s="24" t="str">
        <f>IFERROR(__xludf.DUMMYFUNCTION("""COMPUTED_VALUE"""),"WOS:000306090700008")</f>
        <v>WOS:000306090700008</v>
      </c>
      <c r="F1061" s="24" t="str">
        <f>IFERROR(__xludf.DUMMYFUNCTION("""COMPUTED_VALUE"""),"[""ELIGIBLE""]")</f>
        <v>["ELIGIBLE"]</v>
      </c>
    </row>
    <row r="1062">
      <c r="A1062" s="24" t="str">
        <f>IFERROR(__xludf.DUMMYFUNCTION("""COMPUTED_VALUE"""),"Effects of Mercury (Hg) on Soil Nematodes: A Microcosm Approach")</f>
        <v>Effects of Mercury (Hg) on Soil Nematodes: A Microcosm Approach</v>
      </c>
      <c r="B1062" s="24" t="str">
        <f>IFERROR(__xludf.DUMMYFUNCTION("""COMPUTED_VALUE"""),"Mercury (Hg), one of the most toxic heavy metals, is commonly used in the gold extraction process in small-scale mining operations in many countries. Our previous field work on the impact of mining on soil nematode assemblages in a small-scale mining area"&amp;" in Sibutad, the Philippines, revealed no significant negative effects despite sometimes strongly elevated Hg concentrations. Using a microcosm approach, we now applied similar Hg concentrations as commonly found in these field sites (2.5, 5, and 10 mg/kg"&amp;" Hg) and determined their impact on nematode assemblages from a different soil with different physicochemical soil attributes. Our results demonstrate (a) limited bottling effects (incubation effects) after a 45-day incubation period: a nematode abundance"&amp;" decrease of up to 37%, but absence of significant differences in diversity and nematode assemblage composition; (b) that total nematode abundance already decreased at Hg concentrations (2.5 mg/kg), which did not yield significant impacts on other nematod"&amp;"e assemblage descriptors, such as assemblage composition and different diversity indices; and (c) that the Hg concentrations found in the Sibutad field sites can be detrimental to soil nematode assemblages. The discrepancy between our microcosm and the fi"&amp;"eld-based results is probably related to differences in physicochemical soil attributes (e.g., OM contents, soil pH), which suggests that nematode-based environmental assessments should be interpreted in a context-dependent manner.")</f>
        <v>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v>
      </c>
      <c r="C1062" s="24" t="str">
        <f>IFERROR(__xludf.DUMMYFUNCTION("""COMPUTED_VALUE"""),"10.1007/s00244-019-00652-7")</f>
        <v>10.1007/s00244-019-00652-7</v>
      </c>
      <c r="D1062" s="24" t="str">
        <f>IFERROR(__xludf.DUMMYFUNCTION("""COMPUTED_VALUE"""),"Keck et al")</f>
        <v>Keck et al</v>
      </c>
      <c r="E1062" s="24" t="str">
        <f>IFERROR(__xludf.DUMMYFUNCTION("""COMPUTED_VALUE"""),"WOS:000485315400010")</f>
        <v>WOS:000485315400010</v>
      </c>
      <c r="F1062" s="24" t="str">
        <f>IFERROR(__xludf.DUMMYFUNCTION("""COMPUTED_VALUE"""),"[""ELIGIBLE""]")</f>
        <v>["ELIGIBLE"]</v>
      </c>
    </row>
    <row r="1063">
      <c r="A1063" s="24" t="str">
        <f>IFERROR(__xludf.DUMMYFUNCTION("""COMPUTED_VALUE"""),"Assessing baseline levels of coral health in a newly established marine protected area in a global scuba diving hotspot")</f>
        <v>Assessing baseline levels of coral health in a newly established marine protected area in a global scuba diving hotspot</v>
      </c>
      <c r="B1063" s="24" t="str">
        <f>IFERROR(__xludf.DUMMYFUNCTION("""COMPUTED_VALUE"""),"While coral reefs are increasingly threatened worldwide, they are also increasingly used for recreational activities. Given the environmental and socio-economic significance of coral reefs, understanding the links between human activities and coral health"&amp;" and evaluating the efficacy of marine protected areas (MPAs) as a management regime to prevent further deterioration are critically important. The aim of this study was to quantify indicators of coral health at sites inside and outside a newly rezoned MP"&amp;"A framework in the dive tourism hotspot of Koh Tao, Thailand. We found that patterns in the health and diversity of coral communities one year on did not reflect the protected status conferred by newly zoned MPAs, but instead reflected past history of rec"&amp;"reational use around the island. Sites characterised as past high-use sites had lower mean percent cover of hard corals overall and of corals in the typically disease- and disturbance-susceptible family Acroporidae, but higher mean cover of species in the"&amp;" more weedy family Agariciidae. Past high use sites also had higher mean prevalence of infectious diseases and other indicators of compromised health. Sites within the newly established MPAs are currently subjected to higher levels of environmental and an"&amp;"thropogenic pressures, with sedimentation, algal overgrowth, feeding scars from Drupella snails, and breakage particularly prevalent compared to sites in non-MPA areas. Given the greater prevalence of these factors within protected sites, the capacity of "&amp;"the MPA framework to effectively prevent further deterioration of Koh Tao's reefs is unclear. Nevertheless, our study constitutes a strong baseline for future long-term evaluations of the potential of MPAs to maintain coral health and diversity on highly "&amp;"threatened reefs. (C) 2014 Elsevier Ltd. All rights reserved.")</f>
        <v>While coral reefs are increasingly threatened worldwide, they are also increasingly used for recreational activities. Given the environmental and socio-economic significance of coral reefs, understanding the links between human activities and coral health and evaluating the efficacy of marine protected areas (MPAs) as a management regime to prevent further deterioration are critically important. The aim of this study was to quantify indicators of coral health at sites inside and outside a newly rezoned MPA framework in the dive tourism hotspot of Koh Tao, Thailand. We found that patterns in the health and diversity of coral communities one year on did not reflect the protected status conferred by newly zoned MPAs, but instead reflected past history of recreational use around the island. Sites characterised as past high-use sites had lower mean percent cover of hard corals overall and of corals in the typically disease- and disturbance-susceptible family Acroporidae, but higher mean cover of species in the more weedy family Agariciidae. Past high use sites also had higher mean prevalence of infectious diseases and other indicators of compromised health. Sites within the newly established MPAs are currently subjected to higher levels of environmental and anthropogenic pressures, with sedimentation, algal overgrowth, feeding scars from Drupella snails, and breakage particularly prevalent compared to sites in non-MPA areas. Given the greater prevalence of these factors within protected sites, the capacity of the MPA framework to effectively prevent further deterioration of Koh Tao's reefs is unclear. Nevertheless, our study constitutes a strong baseline for future long-term evaluations of the potential of MPAs to maintain coral health and diversity on highly threatened reefs. (C) 2014 Elsevier Ltd. All rights reserved.</v>
      </c>
      <c r="C1063" s="24" t="str">
        <f>IFERROR(__xludf.DUMMYFUNCTION("""COMPUTED_VALUE"""),"10.1016/j.marenvres.2014.11.008")</f>
        <v>10.1016/j.marenvres.2014.11.008</v>
      </c>
      <c r="D1063" s="24" t="str">
        <f>IFERROR(__xludf.DUMMYFUNCTION("""COMPUTED_VALUE"""),"Keck et al")</f>
        <v>Keck et al</v>
      </c>
      <c r="E1063" s="24" t="str">
        <f>IFERROR(__xludf.DUMMYFUNCTION("""COMPUTED_VALUE"""),"WOS:000348258300007")</f>
        <v>WOS:000348258300007</v>
      </c>
      <c r="F1063" s="24" t="str">
        <f>IFERROR(__xludf.DUMMYFUNCTION("""COMPUTED_VALUE"""),"[""ELIGIBLE""]")</f>
        <v>["ELIGIBLE"]</v>
      </c>
    </row>
    <row r="1064">
      <c r="A1064" s="24" t="str">
        <f>IFERROR(__xludf.DUMMYFUNCTION("""COMPUTED_VALUE"""),"Rove beetles respond heterogeneously to urbanization")</f>
        <v>Rove beetles respond heterogeneously to urbanization</v>
      </c>
      <c r="B1064" s="24" t="str">
        <f>IFERROR(__xludf.DUMMYFUNCTION("""COMPUTED_VALUE"""),"Effects of urbanization on rove beetles were studied along a rural-suburban-urban forested gradient characterized by increasing human disturbance in and around Debrecen city (Hungary). Three classical and six novel hypotheses regarding the response of spe"&amp;"cies to urbanization were tested. We found that overall species richness increased significantly with decreasing urbanization (i) as it is predicted by the increasing disturbance hypothesis, and contradicting (ii) the intermediate disturbance hypothesis t"&amp;"hat predicts the highest species richness in the moderately disturbed suburban area. (iii) The number of forest-associated species was significantly lower in the urban area compared to suburban and rural areas, as predicted by the habitat specialist hypot"&amp;"hesis. All of the proposed novel hypotheses are about habitat alteration caused by the urbanization were corroborated. The (iv) richness of hygrophilous species was the highest in the rural area (hygrophilous species hypothesis), while (v) the number of t"&amp;"hermophilous species was higher in the urban area (thermophilous species hypothesis). The richness of species directly or indirectly feeding on decaying organic materials ((vi) saprophilous, (vii) phytodetriticol, (viii) myrmecophilous, (ix) mycetophilous"&amp;" species hypotheses) was also highest in the rural area compared to the urban one. We stress that overall species richness is not the most appropriate indicator of the impacts of urbanization and accompanying disturbance on these beetles. Instead, habitat"&amp;" affinity and ecological traits of the species give more information about what habitat properties and environmental variables change drastically during urbanization.")</f>
        <v>Effects of urbanization on rove beetles were studied along a rural-suburban-urban forested gradient characterized by increasing human disturbance in and around Debrecen city (Hungary). Three classical and six novel hypotheses regarding the response of species to urbanization were tested. We found that overall species richness increased significantly with decreasing urbanization (i) as it is predicted by the increasing disturbance hypothesis, and contradicting (ii) the intermediate disturbance hypothesis that predicts the highest species richness in the moderately disturbed suburban area. (iii) The number of forest-associated species was significantly lower in the urban area compared to suburban and rural areas, as predicted by the habitat specialist hypothesis. All of the proposed novel hypotheses are about habitat alteration caused by the urbanization were corroborated. The (iv) richness of hygrophilous species was the highest in the rural area (hygrophilous species hypothesis), while (v) the number of thermophilous species was higher in the urban area (thermophilous species hypothesis). The richness of species directly or indirectly feeding on decaying organic materials ((vi) saprophilous, (vii) phytodetriticol, (viii) myrmecophilous, (ix) mycetophilous species hypotheses) was also highest in the rural area compared to the urban one. We stress that overall species richness is not the most appropriate indicator of the impacts of urbanization and accompanying disturbance on these beetles. Instead, habitat affinity and ecological traits of the species give more information about what habitat properties and environmental variables change drastically during urbanization.</v>
      </c>
      <c r="C1064" s="24" t="str">
        <f>IFERROR(__xludf.DUMMYFUNCTION("""COMPUTED_VALUE"""),"10.1007/s10841-013-9555-y")</f>
        <v>10.1007/s10841-013-9555-y</v>
      </c>
      <c r="D1064" s="24" t="str">
        <f>IFERROR(__xludf.DUMMYFUNCTION("""COMPUTED_VALUE"""),"Keck et al")</f>
        <v>Keck et al</v>
      </c>
      <c r="E1064" s="24" t="str">
        <f>IFERROR(__xludf.DUMMYFUNCTION("""COMPUTED_VALUE"""),"WOS:000321951500007")</f>
        <v>WOS:000321951500007</v>
      </c>
      <c r="F1064" s="24" t="str">
        <f>IFERROR(__xludf.DUMMYFUNCTION("""COMPUTED_VALUE"""),"[""ELIGIBLE""]")</f>
        <v>["ELIGIBLE"]</v>
      </c>
    </row>
    <row r="1065">
      <c r="A1065" s="24" t="str">
        <f>IFERROR(__xludf.DUMMYFUNCTION("""COMPUTED_VALUE"""),"Prokaryotic footprints in urban water ecosystems: A case study of urban landscape ponds in a coastal city, China")</f>
        <v>Prokaryotic footprints in urban water ecosystems: A case study of urban landscape ponds in a coastal city, China</v>
      </c>
      <c r="B1065" s="24" t="str">
        <f>IFERROR(__xludf.DUMMYFUNCTION("""COMPUTED_VALUE"""),"The urban water ecosystems, such as the landscape ponds are commonly considered under the influence of anthropogenic disturbances, which can lead to the deterioration of the water quality. The prokaryotic communities are considered as one of the best indi"&amp;"cators of the water quality. However, there are significant gaps in understanding the ecological processes that shape the composition and function of prokaryotic communities in the urban water ecosystems. Here, we investigated the biogeographic distributi"&amp;"on of prokaryotic assemblages in water environments including landscape ponds, drinking water reservoirs, influents (IFs) and effluents (EFs) of wastewater treatment plants of a coastal city (Xiamen), China, by using 16S rDNA amplicon sequencing. Our resu"&amp;"lts indicated that the ponds had higher alpha-diversity of prokaryotic communities than those in the reservoirs, while there were significant variations in the community compositions among ponds, reservoirs, IFs and EFs. Moreover, ponds harbored a signifi"&amp;"cantly higher proportion of sewage- and fecal-indicator taxa than those in the reservoirs, suggesting the occurrence of exogenous pollution in the urban ponds. Null model analysis revealed that dispersal limitation was the main ecological processes result"&amp;"ing in the divergence of prokaryotic community compositions between ponds and other environments, while dispersal limitation and variable selection played an essential role in the formation of unique prokaryotic assemblages in the reservoirs. Function pre"&amp;"dication analysis demonstrated that the ponds shared more similar functional profiles with IFs or EFs (e.g., chemoheterotrophy, fermentation, chlorate reducers, nitrate reduction and respiration) than the reservoirs, whereas dominance of photoautotrophy w"&amp;"as observed in the reservoirs. Overall, this study provides a profound insight of the ecological mechanisms underlying the responses of prokaryotic communities in the urban landscape ponds to the anthropogenic disturbances. (C) 2018 Elsevier Ltd. All righ"&amp;"ts reserved.")</f>
        <v>The urban water ecosystems, such as the landscape ponds are commonly considered under the influence of anthropogenic disturbances, which can lead to the deterioration of the water quality. The prokaryotic communities are considered as one of the best indicators of the water quality. However, there are significant gaps in understanding the ecological processes that shape the composition and function of prokaryotic communities in the urban water ecosystems. Here, we investigated the biogeographic distribution of prokaryotic assemblages in water environments including landscape ponds, drinking water reservoirs, influents (IFs) and effluents (EFs) of wastewater treatment plants of a coastal city (Xiamen), China, by using 16S rDNA amplicon sequencing. Our results indicated that the ponds had higher alpha-diversity of prokaryotic communities than those in the reservoirs, while there were significant variations in the community compositions among ponds, reservoirs, IFs and EFs. Moreover, ponds harbored a significantly higher proportion of sewage- and fecal-indicator taxa than those in the reservoirs, suggesting the occurrence of exogenous pollution in the urban ponds. Null model analysis revealed that dispersal limitation was the main ecological processes resulting in the divergence of prokaryotic community compositions between ponds and other environments, while dispersal limitation and variable selection played an essential role in the formation of unique prokaryotic assemblages in the reservoirs. Function predication analysis demonstrated that the ponds shared more similar functional profiles with IFs or EFs (e.g., chemoheterotrophy, fermentation, chlorate reducers, nitrate reduction and respiration) than the reservoirs, whereas dominance of photoautotrophy was observed in the reservoirs. Overall, this study provides a profound insight of the ecological mechanisms underlying the responses of prokaryotic communities in the urban landscape ponds to the anthropogenic disturbances. (C) 2018 Elsevier Ltd. All rights reserved.</v>
      </c>
      <c r="C1065" s="24" t="str">
        <f>IFERROR(__xludf.DUMMYFUNCTION("""COMPUTED_VALUE"""),"10.1016/j.envpol.2018.07.097")</f>
        <v>10.1016/j.envpol.2018.07.097</v>
      </c>
      <c r="D1065" s="24" t="str">
        <f>IFERROR(__xludf.DUMMYFUNCTION("""COMPUTED_VALUE"""),"Keck et al")</f>
        <v>Keck et al</v>
      </c>
      <c r="E1065" s="24" t="str">
        <f>IFERROR(__xludf.DUMMYFUNCTION("""COMPUTED_VALUE"""),"WOS:000446282600075")</f>
        <v>WOS:000446282600075</v>
      </c>
      <c r="F1065" s="24" t="str">
        <f>IFERROR(__xludf.DUMMYFUNCTION("""COMPUTED_VALUE"""),"[""ELIGIBLE""]")</f>
        <v>["ELIGIBLE"]</v>
      </c>
    </row>
    <row r="1066">
      <c r="A1066" s="24" t="str">
        <f>IFERROR(__xludf.DUMMYFUNCTION("""COMPUTED_VALUE"""),"Assessing and monitoring ecological community health in marine systems")</f>
        <v>Assessing and monitoring ecological community health in marine systems</v>
      </c>
      <c r="B1066" s="24" t="str">
        <f>IFERROR(__xludf.DUMMYFUNCTION("""COMPUTED_VALUE"""),"The increased potential for long-term degradative change associated with large-scale diffuse impacts in urban marine environments highlights the need to develop methods for assessing the ecological significance of any observed changes. This study defines "&amp;"health on the basis of the range of communities observed along gradients of anthropogenic impacts. This definition identifies both acute effects and broader scale degradation in community structure. Three multivariate constrained ordination techniques wer"&amp;"e used to assess changes in communities occurring along an anthropogenic disturbance gradient of stormwater pollution in two different habitats (estuaries and harbors). All three techniques detected changes, even when historical data sets, not specificall"&amp;"y designed for the purpose, were utilized. Comparison with five diversity indices suggested that the multivariate approach was more successful in defining change and, thus, ecological health. Moreover, the information can easily be examined for changes in"&amp;" individual species, or for changes in function, trophic status, or biomass/size structure, improving interpretation of the ecological consequences of change. As this multivariate approach allows for monitoring community composition to determine whether s"&amp;"ites are improving or degrading over time, it would be useful for aiding management decisions and assessing the efficiency of management actions. While this study occurred in one region only, the approach should be able to be utilized in other marine (or "&amp;"freshwater or terrestrial) systems where commensurable regional-scale multivariate databases exist.")</f>
        <v>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v>
      </c>
      <c r="C1066" s="24" t="str">
        <f>IFERROR(__xludf.DUMMYFUNCTION("""COMPUTED_VALUE"""),"10.1890/04-0732")</f>
        <v>10.1890/04-0732</v>
      </c>
      <c r="D1066" s="24" t="str">
        <f>IFERROR(__xludf.DUMMYFUNCTION("""COMPUTED_VALUE"""),"Keck et al")</f>
        <v>Keck et al</v>
      </c>
      <c r="E1066" s="24" t="str">
        <f>IFERROR(__xludf.DUMMYFUNCTION("""COMPUTED_VALUE"""),"WOS:000229723400013")</f>
        <v>WOS:000229723400013</v>
      </c>
      <c r="F1066" s="24" t="str">
        <f>IFERROR(__xludf.DUMMYFUNCTION("""COMPUTED_VALUE"""),"[""ELIGIBLE""]")</f>
        <v>["ELIGIBLE"]</v>
      </c>
    </row>
    <row r="1067">
      <c r="A1067" s="24" t="str">
        <f>IFERROR(__xludf.DUMMYFUNCTION("""COMPUTED_VALUE"""),"The response of benthic foraminifera to aquaculture and industrial pollution: A case study from the Northern Persian Gulf")</f>
        <v>The response of benthic foraminifera to aquaculture and industrial pollution: A case study from the Northern Persian Gulf</v>
      </c>
      <c r="B1067" s="24" t="str">
        <f>IFERROR(__xludf.DUMMYFUNCTION("""COMPUTED_VALUE"""),"The aquaculture and industrial sewage impacts on benthic foraminifera investigated at two reefs across the northern Persian Gulf. The foraminifera assemblages at a single sewaged reef were compared with two non-sewaged reefs. A low-diversity assemblage, d"&amp;"ominated by stress-tolerant species Quinqueloculina sp. and larger symbiont-bearing Amphistegina sp., was characteristic of the industrial sewaged reef. The opportunistic species Ammonia sp. and Elphidiwn sp. were common in aquaculture sewaged reef. The d"&amp;"ensity of foraminifera in sewaged reefs was lower than non-sewaged reefs. The lower diversity was only detected in the industrial sew aged reef. Assemblage structure was significantly different between sewaged and non-sewaged reefs. The industrial sewaged"&amp;" reef displayed high FORAM Index values ( &gt; 4.0), reflecting favorable environments for supporting relatively healthy reefs. FORAM Index in aquaculture sewaged reef ranged from 2.0 to 4.0 indicated that the water with organic pollution may support living "&amp;"coral community, but any damage would not be followed by recovery.")</f>
        <v>The aquaculture and industrial sewage impacts on benthic foraminifera investigated at two reefs across the northern Persian Gulf. The foraminifera assemblages at a single sewaged reef were compared with two non-sewaged reefs. A low-diversity assemblage, dominated by stress-tolerant species Quinqueloculina sp. and larger symbiont-bearing Amphistegina sp., was characteristic of the industrial sewaged reef. The opportunistic species Ammonia sp. and Elphidiwn sp. were common in aquaculture sewaged reef. The density of foraminifera in sewaged reefs was lower than non-sewaged reefs. The lower diversity was only detected in the industrial sew aged reef. Assemblage structure was significantly different between sewaged and non-sewaged reefs. The industrial sewaged reef displayed high FORAM Index values ( &gt; 4.0), reflecting favorable environments for supporting relatively healthy reefs. FORAM Index in aquaculture sewaged reef ranged from 2.0 to 4.0 indicated that the water with organic pollution may support living coral community, but any damage would not be followed by recovery.</v>
      </c>
      <c r="C1067" s="24" t="str">
        <f>IFERROR(__xludf.DUMMYFUNCTION("""COMPUTED_VALUE"""),"10.1016/j.marpolbul.2018.07.073")</f>
        <v>10.1016/j.marpolbul.2018.07.073</v>
      </c>
      <c r="D1067" s="24" t="str">
        <f>IFERROR(__xludf.DUMMYFUNCTION("""COMPUTED_VALUE"""),"Keck et al")</f>
        <v>Keck et al</v>
      </c>
      <c r="E1067" s="24" t="str">
        <f>IFERROR(__xludf.DUMMYFUNCTION("""COMPUTED_VALUE"""),"WOS:000448094200075")</f>
        <v>WOS:000448094200075</v>
      </c>
      <c r="F1067" s="24" t="str">
        <f>IFERROR(__xludf.DUMMYFUNCTION("""COMPUTED_VALUE"""),"[""ELIGIBLE""]")</f>
        <v>["ELIGIBLE"]</v>
      </c>
    </row>
    <row r="1068">
      <c r="A1068" s="24" t="str">
        <f>IFERROR(__xludf.DUMMYFUNCTION("""COMPUTED_VALUE"""),"Changes in midge assemblages (Diptera Chironomidae) in an alpine lake from the Italian Western Alps: the role and importance of fish introduction")</f>
        <v>Changes in midge assemblages (Diptera Chironomidae) in an alpine lake from the Italian Western Alps: the role and importance of fish introduction</v>
      </c>
      <c r="B1068" s="24" t="str">
        <f>IFERROR(__xludf.DUMMYFUNCTION("""COMPUTED_VALUE"""),"Introduction of exotic species is one of the major human impacts for decline in autochthonous biodiversity. In freshwater lentic environments, alien fish introduction heavily shapes macrobenthic invertebrate structure, with special regard for Chironomidae"&amp;" (Diptera) community. These effects could be more evident in alpine lakes whose environments are considered as remote and undisturbed, but extremely susceptible and vulnerable to both natural and anthropogenic impacts. In this context, modern and subfossi"&amp;"l chironomid assemblages were studied in a high-altitude lake (Balma Lake, Piedmont, Italy) which was not previously investigated and subject to brook trout introduction for recreational fishing at the end of the twentieth century (after 1970). Seasonal s"&amp;"amplings (summer, autumn) were performed in five littoral and three deep sites, while a core sample was extracted from the deepest point of the lake. The analysis highlighted significant differences in subfossil chironomid communities before and after fis"&amp;"h introduction and between subfossil and modern communities, with notable decrease in recent diversities. Dissimilarities were mainly related to Corynocera oliveri, Zavrelimyia, Micropsectra, Metriocnemus, and Heterotrissocladius marcidus type. Therefore,"&amp;" this study highlights the importance and effects of anthropic environmental events, such as fish introduction, in climate reconstructions and their interpretation, especially regarding the last 100/200-year period, when human environmental issues have be"&amp;"come more significant.")</f>
        <v>Introduction of exotic species is one of the major human impacts for decline in autochthonous biodiversity. In freshwater lentic environments, alien fish introduction heavily shapes macrobenthic invertebrate structure, with special regard for Chironomidae (Diptera) community. These effects could be more evident in alpine lakes whose environments are considered as remote and undisturbed, but extremely susceptible and vulnerable to both natural and anthropogenic impacts. In this context, modern and subfossil chironomid assemblages were studied in a high-altitude lake (Balma Lake, Piedmont, Italy) which was not previously investigated and subject to brook trout introduction for recreational fishing at the end of the twentieth century (after 1970). Seasonal samplings (summer, autumn) were performed in five littoral and three deep sites, while a core sample was extracted from the deepest point of the lake. The analysis highlighted significant differences in subfossil chironomid communities before and after fish introduction and between subfossil and modern communities, with notable decrease in recent diversities. Dissimilarities were mainly related to Corynocera oliveri, Zavrelimyia, Micropsectra, Metriocnemus, and Heterotrissocladius marcidus type. Therefore, this study highlights the importance and effects of anthropic environmental events, such as fish introduction, in climate reconstructions and their interpretation, especially regarding the last 100/200-year period, when human environmental issues have become more significant.</v>
      </c>
      <c r="C1068" s="24" t="str">
        <f>IFERROR(__xludf.DUMMYFUNCTION("""COMPUTED_VALUE"""),"10.1007/s10750-020-04257-3")</f>
        <v>10.1007/s10750-020-04257-3</v>
      </c>
      <c r="D1068" s="24" t="str">
        <f>IFERROR(__xludf.DUMMYFUNCTION("""COMPUTED_VALUE"""),"Keck et al")</f>
        <v>Keck et al</v>
      </c>
      <c r="E1068" s="24" t="str">
        <f>IFERROR(__xludf.DUMMYFUNCTION("""COMPUTED_VALUE"""),"WOS:000528124600002")</f>
        <v>WOS:000528124600002</v>
      </c>
      <c r="F1068" s="24" t="str">
        <f>IFERROR(__xludf.DUMMYFUNCTION("""COMPUTED_VALUE"""),"[""ELIGIBLE""]")</f>
        <v>["ELIGIBLE"]</v>
      </c>
    </row>
    <row r="1069">
      <c r="A1069" s="24" t="str">
        <f>IFERROR(__xludf.DUMMYFUNCTION("""COMPUTED_VALUE"""),"Agriculture impairs stream ecosystem functioning in a tropical catchment")</f>
        <v>Agriculture impairs stream ecosystem functioning in a tropical catchment</v>
      </c>
      <c r="B1069" s="24" t="str">
        <f>IFERROR(__xludf.DUMMYFUNCTION("""COMPUTED_VALUE"""),"The expansion of agriculture is particularly worrying in tropical regions of the world, where native forests are being replaced by crops at alarming rates, with severe consequences for biodiversity and ecosystems. However, there is little information abou"&amp;"t the potential effects of agriculture on the functioning of tropical streams, which is essential if we are to assess the condition and ecological integrity of these ecosystems. We conducted a litter decomposition experiment in streams within a tropical c"&amp;"atchment, which were subjected to different degrees of agricultural influence: low (protected area, PA), medium (buffer area, BA) and high (agricultural area, AA). We quantified decomposition rates of litter enclosed within coarse-mesh and fine-mesh bags,"&amp;" which allowed the distinction of microbial and detritivore-mediated decomposition pathways. We used litter of three riparian species representing a gradient in litter quality (Alnus acuminate &gt; Ficus irtsipida &gt; Querns burnelioides), and examined detriti"&amp;"vore assemblages through the contents of litterbags and benthic samples. We found that the increasing agricultural influence promoted microbial decomposition, probably due to nutrient-mediated stimulation; and inhibited detritivore-mediated and total deco"&amp;"mposition because of reduced detritivore numbers, most likely caused by pesticides and sedimentation. Effects were evident for Alnus and Ficus, but not for Querns, which was barely decomposed across the gradient. Our study provides key evidence about the "&amp;"impact of agriculture on topical stream ecosystem functioning, which is associated to changes in stream assemblages and may have far-reaching repercussions for global biochemical cycles. (C) 2020 The Authors. Published by Elsevier B.V.")</f>
        <v>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v>
      </c>
      <c r="C1069" s="24" t="str">
        <f>IFERROR(__xludf.DUMMYFUNCTION("""COMPUTED_VALUE"""),"10.1016/j.scitotenv.2020.140950")</f>
        <v>10.1016/j.scitotenv.2020.140950</v>
      </c>
      <c r="D1069" s="24" t="str">
        <f>IFERROR(__xludf.DUMMYFUNCTION("""COMPUTED_VALUE"""),"Keck et al")</f>
        <v>Keck et al</v>
      </c>
      <c r="E1069" s="24" t="str">
        <f>IFERROR(__xludf.DUMMYFUNCTION("""COMPUTED_VALUE"""),"WOS:000579365600004")</f>
        <v>WOS:000579365600004</v>
      </c>
      <c r="F1069" s="24" t="str">
        <f>IFERROR(__xludf.DUMMYFUNCTION("""COMPUTED_VALUE"""),"[""ELIGIBLE""]")</f>
        <v>["ELIGIBLE"]</v>
      </c>
    </row>
    <row r="1070">
      <c r="A1070" s="24" t="str">
        <f>IFERROR(__xludf.DUMMYFUNCTION("""COMPUTED_VALUE"""),"Lichens as indicators of environmental quality in southern Brazil: An integrative approach based on community composition and functional parameters")</f>
        <v>Lichens as indicators of environmental quality in southern Brazil: An integrative approach based on community composition and functional parameters</v>
      </c>
      <c r="B1070" s="24" t="str">
        <f>IFERROR(__xludf.DUMMYFUNCTION("""COMPUTED_VALUE"""),"Lichens are widely used to assess the consequences of human activities, including urbanization, which has strong influence on the structure of their communities. Our hypothesis is that increasing human population density and modifying land use and cover c"&amp;"ause structural and functional changes in lichen communities. The main objective of this study was to evaluate changes in lichen species composition and functional patterns along a gradient of urbanization in southern Brazil. The study was carried out in "&amp;"nine sites, classified a priori according to the matrix where they were inserted, as rural, suburban and urban, in which the lichen community was sampled in 10 phorophytes using the rubber band method. Several environmental variables and lichen functional"&amp;" traits were quantified. The sites inserted in the rural matrix were characterized by phorophytes with higher bark pH, higher percentage of agriculture areas in the vicinity of the sampling sites, and by the following functional groups: loosely attached c"&amp;"rustose thalli, Trentepohlia photobiont, reproduction by thallus fragmentation and apothecia. The sites located in the urban matrix showed greater demographic density, vehicular fleet, percentage of urban and open fields coverage, foliose narrow lobed tha"&amp;"lli, photobiont Chlorococcoid algae and reproduction by soredia. Regarding lichen functional patterns, sites located in the rural matrix presented higher species richness, functional richness, evenness and diversity. Based on our results, we showed that u"&amp;"rbanization has a strong influence on lichen communities, since it has affected both species composition and functional patterns, besides species richness. The combined use of species composition, richness, functional composition and functional indexes pr"&amp;"oved to be effective in obtaining detailed information on the changes suffered by lichen communities and can be used as a tool to evaluate the environmental quality in urban environments.")</f>
        <v>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v>
      </c>
      <c r="C1070" s="24" t="str">
        <f>IFERROR(__xludf.DUMMYFUNCTION("""COMPUTED_VALUE"""),"10.1016/j.ecolind.2019.105587")</f>
        <v>10.1016/j.ecolind.2019.105587</v>
      </c>
      <c r="D1070" s="24" t="str">
        <f>IFERROR(__xludf.DUMMYFUNCTION("""COMPUTED_VALUE"""),"Keck et al")</f>
        <v>Keck et al</v>
      </c>
      <c r="E1070" s="24" t="str">
        <f>IFERROR(__xludf.DUMMYFUNCTION("""COMPUTED_VALUE"""),"WOS:000490757500049")</f>
        <v>WOS:000490757500049</v>
      </c>
      <c r="F1070" s="24" t="str">
        <f>IFERROR(__xludf.DUMMYFUNCTION("""COMPUTED_VALUE"""),"[""ELIGIBLE""]")</f>
        <v>["ELIGIBLE"]</v>
      </c>
    </row>
    <row r="1071">
      <c r="A1071" s="24" t="str">
        <f>IFERROR(__xludf.DUMMYFUNCTION("""COMPUTED_VALUE"""),"Measuring stream macroinvertebrate responses to gradients of vegetation cover: when is enough enough?")</f>
        <v>Measuring stream macroinvertebrate responses to gradients of vegetation cover: when is enough enough?</v>
      </c>
      <c r="B1071" s="24" t="str">
        <f>IFERROR(__xludf.DUMMYFUNCTION("""COMPUTED_VALUE"""),"P&gt;1. Management of stream biodiversity is often tightly linked with the restoration and protection of riparian and catchment vegetation. Despite that, there are no established guidelines on how much forest should be retained or replanted in riparian zones"&amp;" and surrounding catchments to maintain or re-establish instream ecological integrity. In this study, we assess relationships between vegetation cover at multiple spatial scales (reach, segment and catchment) and macroinvertebrate metrics that reflect com"&amp;"munity structure, ecological condition and biodiversity at 138 Waikato, New Zealand, stream sites sampled in 2006. 2. Percentage of catchment vegetation in native forest had stronger relationships with measured diversity and condition metrics than segment"&amp;" or reach scale measures of riparian vegetation. Functional feeding group metrics were weakly associated with upstream catchment vegetation cover. 3. Of the macroinvertebrate metrics tested, the RIVPAC O/E and an organic pollution tolerance metric based o"&amp;"n species presence-absence (Macroinvertebrate Community Index; MCI) had the strongest relationships with percentage native riparian vegetation, followed by the quantitative MCI and measures of the richness and relative abundance of Ephemeroptera, Plecopte"&amp;"ra and Trichoptera faunas. The O/E and MCI indicated that catchments with 80-90% in native forest or scrub (low-growing trees) were associated with faunas indicative of clean water quality. 4. Of the biodiversity indices considered Fisher's alpha Index of"&amp;" species richness had the strongest relationship with percent native riparian vegetation in the upstream catchment. There are no established thresholds for measuring biodiversity loss in New Zealand streams, but this analysis indicates that on average str"&amp;"eams draining catchments with 40-60% upstream native vegetation cover retain 80% of the mean biodiversity present in pristine forest streams. 5. This research indicates that riparian management aimed at enhancing macroinvertebrate biodiversity and the eco"&amp;"logical condition of streams is likely to be more successful when focused on protecting and/or restoring headwater catchments rather than short stretches of stream.")</f>
        <v>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v>
      </c>
      <c r="C1071" s="24" t="str">
        <f>IFERROR(__xludf.DUMMYFUNCTION("""COMPUTED_VALUE"""),"10.1111/j.1365-2427.2009.02233.x")</f>
        <v>10.1111/j.1365-2427.2009.02233.x</v>
      </c>
      <c r="D1071" s="24" t="str">
        <f>IFERROR(__xludf.DUMMYFUNCTION("""COMPUTED_VALUE"""),"Keck et al")</f>
        <v>Keck et al</v>
      </c>
      <c r="E1071" s="24" t="str">
        <f>IFERROR(__xludf.DUMMYFUNCTION("""COMPUTED_VALUE"""),"WOS:000278566100006")</f>
        <v>WOS:000278566100006</v>
      </c>
      <c r="F1071" s="24" t="str">
        <f>IFERROR(__xludf.DUMMYFUNCTION("""COMPUTED_VALUE"""),"[""ELIGIBLE""]")</f>
        <v>["ELIGIBLE"]</v>
      </c>
    </row>
    <row r="1072">
      <c r="A1072" s="24" t="str">
        <f>IFERROR(__xludf.DUMMYFUNCTION("""COMPUTED_VALUE"""),"Changes in biological traits of macro-benthic communities subjected to different intensities of demersal trawling along the west coast of southern Africa")</f>
        <v>Changes in biological traits of macro-benthic communities subjected to different intensities of demersal trawling along the west coast of southern Africa</v>
      </c>
      <c r="B1072" s="24" t="str">
        <f>IFERROR(__xludf.DUMMYFUNCTION("""COMPUTED_VALUE"""),"Biological traits analysis (BTA) is considered to be a powerful technique for describing the ecological functioning of marine benthic assemblages. This study is the first to apply BTA to assess differences in the traits of benthic faunal assemblages betwe"&amp;"en areas exposed to heavy and light trawling in a major upwelling ecosystem along the west coast of southern Africa. The data were collected from two sampling locations in Namibia and six sampling locations in South Africa. The intensity of trawling varie"&amp;"d from area to area. Significant differences in biological traits (BT) were detected between heavily and lightly trawled areas. Weighted infaunal traits showed significant differences between heavily and lightly trawled areas for 17% of the traits investi"&amp;"gated, while 24% of epifaunal traits investigated were significantly different between areas of different trawling intensities. This suggests that the measured BTs of the epifauna might be more sensitive to trawling disturbances than BTs of the infauna. T"&amp;"he infaunal traits differed significantly between areas with larger or smaller proportions of sand and mud. Nevertheless, more of the significant differences in infaunal BTs were related to variations in trawling intensity than to variations in sediment c"&amp;"omposition. Significant modifications of BTs are likely to lead to modified functioning of the community and provide more general potential indicators for management than those based on species. The study confirms the need for more basic biological and li"&amp;"fe history data on macro-benthic invertebrates but nevertheless shows that BTA detected specific features that correlate with trawling intensity and that these features may be important for epifaunal assemblage functioning.")</f>
        <v>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v>
      </c>
      <c r="C1072" s="24" t="str">
        <f>IFERROR(__xludf.DUMMYFUNCTION("""COMPUTED_VALUE"""),"10.1017/S0025315413000647")</f>
        <v>10.1017/S0025315413000647</v>
      </c>
      <c r="D1072" s="24" t="str">
        <f>IFERROR(__xludf.DUMMYFUNCTION("""COMPUTED_VALUE"""),"Keck et al")</f>
        <v>Keck et al</v>
      </c>
      <c r="E1072" s="24" t="str">
        <f>IFERROR(__xludf.DUMMYFUNCTION("""COMPUTED_VALUE"""),"WOS:000330474000003")</f>
        <v>WOS:000330474000003</v>
      </c>
      <c r="F1072" s="24" t="str">
        <f>IFERROR(__xludf.DUMMYFUNCTION("""COMPUTED_VALUE"""),"[""ELIGIBLE""]")</f>
        <v>["ELIGIBLE"]</v>
      </c>
    </row>
    <row r="1073">
      <c r="A1073" s="24" t="str">
        <f>IFERROR(__xludf.DUMMYFUNCTION("""COMPUTED_VALUE"""),"Macrozoobenthic community responses to sedimentary contaminations by anthropogenic toxic substances in the Geum River Estuary, South Korea")</f>
        <v>Macrozoobenthic community responses to sedimentary contaminations by anthropogenic toxic substances in the Geum River Estuary, South Korea</v>
      </c>
      <c r="B1073" s="24" t="str">
        <f>IFERROR(__xludf.DUMMYFUNCTION("""COMPUTED_VALUE"""),"We investigated the sedimentary pollution by persistent toxic substances (PTSs) and their potential impacts on the macrobenthic faunal community in the Geum River Estuary, South Korea. Sediment and benthic macrofauna samples were collected from eight site"&amp;"s every two months during the period of February to December in 2015. Target PTSs encompassed metals (Cd, Cr, Cu, Hg, Ni, Pb, and Zn), one metalloid (As), polycyclic aromatic hydrocarbons (PAHs), and alkylphenols (APs). The significant difference to the e"&amp;"nvironment of the inner and outer parts of the estuary (p &lt; 0.05) was found with relatively high concentrations of PTSs in sediment from the inner estuary. The concentrations of Cu and Zn exceeded the sediment quality guidelines of Korea representing a po"&amp;"tential risk to aquatic organisms. The primary source of PAHs was by-products of diesel and gasoline combustion (37%), followed by a coke oven (32%) and oil-burning (31%). The macrofaunal community was spatially distinguished between the inner and outer p"&amp;"arts of the estuary (p &lt; 0.05), regardless of the season. In the inner part of the estuary, the density of the macrofaunal community was high, clue to the increased opportunistic species and/or some indicator species (organic polluted or enrichment), impl"&amp;"ying that the given environment was disturbed. Among the environmental parameters analyzed by the distance-based linear model (DistLM), salinity, chlorophyll-a, and nutrient concentrations were found to be key factors controlling the changes in macrofauna"&amp;"l community structure. Such changes in the closed estuary system would indicate that each taxonomic group had to adjust to lower salinities and alternative food sources. Overall, the distribution of PTSs and macrozoobenthic communities in the Geum River E"&amp;"stuary collectively reflected the environmental gradients caused by surrounding activities in the inner part of the estuary together with direct effects by the irregular inflow of freshwater. (C) 2020 Elsevier B.V. All rights reserved.")</f>
        <v>We investigated the sedimentary pollution by persistent toxic substances (PTSs) and their potential impacts on the macrobenthic faunal community in the Geum River Estuary, South Korea. Sediment and benthic macrofauna samples were collected from eight sites every two months during the period of February to December in 2015. Target PTSs encompassed metals (Cd, Cr, Cu, Hg, Ni, Pb, and Zn), one metalloid (As), polycyclic aromatic hydrocarbons (PAHs), and alkylphenols (APs). The significant difference to the environment of the inner and outer parts of the estuary (p &lt; 0.05) was found with relatively high concentrations of PTSs in sediment from the inner estuary. The concentrations of Cu and Zn exceeded the sediment quality guidelines of Korea representing a potential risk to aquatic organisms. The primary source of PAHs was by-products of diesel and gasoline combustion (37%), followed by a coke oven (32%) and oil-burning (31%). The macrofaunal community was spatially distinguished between the inner and outer parts of the estuary (p &lt; 0.05), regardless of the season. In the inner part of the estuary, the density of the macrofaunal community was high, clue to the increased opportunistic species and/or some indicator species (organic polluted or enrichment), implying that the given environment was disturbed. Among the environmental parameters analyzed by the distance-based linear model (DistLM), salinity, chlorophyll-a, and nutrient concentrations were found to be key factors controlling the changes in macrofaunal community structure. Such changes in the closed estuary system would indicate that each taxonomic group had to adjust to lower salinities and alternative food sources. Overall, the distribution of PTSs and macrozoobenthic communities in the Geum River Estuary collectively reflected the environmental gradients caused by surrounding activities in the inner part of the estuary together with direct effects by the irregular inflow of freshwater. (C) 2020 Elsevier B.V. All rights reserved.</v>
      </c>
      <c r="C1073" s="24" t="str">
        <f>IFERROR(__xludf.DUMMYFUNCTION("""COMPUTED_VALUE"""),"10.1016/j.scitotenv.2020.142938")</f>
        <v>10.1016/j.scitotenv.2020.142938</v>
      </c>
      <c r="D1073" s="24" t="str">
        <f>IFERROR(__xludf.DUMMYFUNCTION("""COMPUTED_VALUE"""),"Keck et al")</f>
        <v>Keck et al</v>
      </c>
      <c r="E1073" s="24" t="str">
        <f>IFERROR(__xludf.DUMMYFUNCTION("""COMPUTED_VALUE"""),"WOS:000608188700007")</f>
        <v>WOS:000608188700007</v>
      </c>
      <c r="F1073" s="24" t="str">
        <f>IFERROR(__xludf.DUMMYFUNCTION("""COMPUTED_VALUE"""),"[""ELIGIBLE""]")</f>
        <v>["ELIGIBLE"]</v>
      </c>
    </row>
    <row r="1074">
      <c r="A1074" s="24" t="str">
        <f>IFERROR(__xludf.DUMMYFUNCTION("""COMPUTED_VALUE"""),"Influences of Dimethyl Phthalate on Bacterial Community and Enzyme Activity in Vertical Flow Constructed Wetland")</f>
        <v>Influences of Dimethyl Phthalate on Bacterial Community and Enzyme Activity in Vertical Flow Constructed Wetland</v>
      </c>
      <c r="B1074" s="24" t="str">
        <f>IFERROR(__xludf.DUMMYFUNCTION("""COMPUTED_VALUE"""),"Dimethyl phthalate (DMP), belonging to the family of Phthalate esters (PAEs), is a plasticizer and has been widely used in the world for many years. Nowadays, it has become a ubiquitous environmental pollutant and is listed as an environmental priority po"&amp;"llutant by China's Environmental Monitoring Center. The purpose of this study is to estimate the responses of the bacterial community and enzyme activity to DMP contamination in three vertical flow constructed wetlands (VFCW), namely the constructed wetla"&amp;"nd A (planted with Pennisetum sinese Roxb), constructed wetland B (planted with Pennisetum purpureum Schum.), and constructed wetland C (unplanted), respectively. The results showed that the relative percentages of some genera associated with nitrogen met"&amp;"abolism and the function of degrading aromatic hydrocarbons were increased by DMP contamination, such as Dechloromonas agitata, Pleomorphomonas sp., Denitratisoma oestradiolicum, Plasticicumulans lactativorans, Novosphingobium sp., Alicycliphilus denitrif"&amp;"icans, and Thauera sp. Meanwhile, principal coordinate analysis (PCA) analysis showed that the addition of DMP divided 12 samples into two groups as followed: one was the DMP group containing a-1, a-2, b-1, b-2, c-1 and c-2 while the other was no DMP grou"&amp;"p including A-1, A-2, B-1, B-2, C-1 and C-2. It indicated that DMP was the main reason for this change. In addition, by monitoring the activity of substrate enzymes, the activity of urease, phosphatase, catalase, and invertase in the wetlands before and a"&amp;"fter the experiment, these were significantly higher in the upper layer than in the lower layer and maintained high activity. Ultimately, the average influent concentration of DMP in three VFCWs was 8.12 mg/L and the average removal efficiency of the effl"&amp;"uent was over 90%. Our results suggested that DMP was an important factor affecting the microbial community structure of wetland and the upper layer of the VFCW was the main site for the degradation of DMP. VFCW has great potential for the removal of the "&amp;"high concentration of DMP and it can be a good choice for the treatment of PAEs.")</f>
        <v>Dimethyl phthalate (DMP), belonging to the family of Phthalate esters (PAEs), is a plasticizer and has been widely used in the world for many years. Nowadays, it has become a ubiquitous environmental pollutant and is listed as an environmental priority pollutant by China's Environmental Monitoring Center. The purpose of this study is to estimate the responses of the bacterial community and enzyme activity to DMP contamination in three vertical flow constructed wetlands (VFCW), namely the constructed wetland A (planted with Pennisetum sinese Roxb), constructed wetland B (planted with Pennisetum purpureum Schum.), and constructed wetland C (unplanted), respectively. The results showed that the relative percentages of some genera associated with nitrogen metabolism and the function of degrading aromatic hydrocarbons were increased by DMP contamination, such as Dechloromonas agitata, Pleomorphomonas sp., Denitratisoma oestradiolicum, Plasticicumulans lactativorans, Novosphingobium sp., Alicycliphilus denitrificans, and Thauera sp. Meanwhile, principal coordinate analysis (PCA) analysis showed that the addition of DMP divided 12 samples into two groups as followed: one was the DMP group containing a-1, a-2, b-1, b-2, c-1 and c-2 while the other was no DMP group including A-1, A-2, B-1, B-2, C-1 and C-2. It indicated that DMP was the main reason for this change. In addition, by monitoring the activity of substrate enzymes, the activity of urease, phosphatase, catalase, and invertase in the wetlands before and after the experiment, these were significantly higher in the upper layer than in the lower layer and maintained high activity. Ultimately, the average influent concentration of DMP in three VFCWs was 8.12 mg/L and the average removal efficiency of the effluent was over 90%. Our results suggested that DMP was an important factor affecting the microbial community structure of wetland and the upper layer of the VFCW was the main site for the degradation of DMP. VFCW has great potential for the removal of the high concentration of DMP and it can be a good choice for the treatment of PAEs.</v>
      </c>
      <c r="C1074" s="24" t="str">
        <f>IFERROR(__xludf.DUMMYFUNCTION("""COMPUTED_VALUE"""),"10.3390/w13060788")</f>
        <v>10.3390/w13060788</v>
      </c>
      <c r="D1074" s="24" t="str">
        <f>IFERROR(__xludf.DUMMYFUNCTION("""COMPUTED_VALUE"""),"Keck et al")</f>
        <v>Keck et al</v>
      </c>
      <c r="E1074" s="24" t="str">
        <f>IFERROR(__xludf.DUMMYFUNCTION("""COMPUTED_VALUE"""),"WOS:000652003400001")</f>
        <v>WOS:000652003400001</v>
      </c>
      <c r="F1074" s="24" t="str">
        <f>IFERROR(__xludf.DUMMYFUNCTION("""COMPUTED_VALUE"""),"[""ELIGIBLE""]")</f>
        <v>["ELIGIBLE"]</v>
      </c>
    </row>
    <row r="1075">
      <c r="A1075" s="24" t="str">
        <f>IFERROR(__xludf.DUMMYFUNCTION("""COMPUTED_VALUE"""),"Large-scale salmon farming in Norway impacts the epiphytic community of Laminaria hyperborea")</f>
        <v>Large-scale salmon farming in Norway impacts the epiphytic community of Laminaria hyperborea</v>
      </c>
      <c r="B1075" s="24" t="str">
        <f>IFERROR(__xludf.DUMMYFUNCTION("""COMPUTED_VALUE"""),"Large-scale finfish farms are increasingly located in dispersive hard-bottom environments where Laminaria hyperborea forests dominate; however, the interactions between farm effluents and kelp forests are poorly understood. Effects of 2 levels of salmonid"&amp;" fish-farming effluents (high and low) on L. hyperborea epiphytic communities were studied by sampling canopy plants from 12 sites in 2 high-energy dispersive environments. Specifically, we assessed if farm effluents stimulated fast-growing epiphytic alga"&amp;"e and faunal species on L. hyperborea stipes- as this can impact the kelp forest community composition- and/or an increased lamina epiphytic growth, which could negatively impact the kelp itself. We found that bryozoan biomass on the stipes was significan"&amp;"tly higher at high-effluent farm sites compared to low-effluent farm and reference sites, resulting in a significantly different epiphytic community. Macroalgal biomass also increased with increasing effluent levels, including opportunistic Ectocarpus spp"&amp;"., resulting in a less heterogeneous macroalgae community at high-effluent farm sites. This habitat heterogeneity was further reduced by the high bryozoan biomass at the high-effluent sites. Such changes in the epiphyte community could have implications f"&amp;"or the faunal community that relies on the epiphytes for food and refuge. On the kelp lamina, no clear response to farm effluents was found.")</f>
        <v>Large-scale finfish farms are increasingly located in dispersive hard-bottom environments where Laminaria hyperborea forests dominate; however, the interactions between farm effluents and kelp forests are poorly understood. Effects of 2 levels of salmonid fish-farming effluents (high and low) on L. hyperborea epiphytic communities were studied by sampling canopy plants from 12 sites in 2 high-energy dispersive environments. Specifically, we assessed if farm effluents stimulated fast-growing epiphytic algae and faunal species on L. hyperborea stipes- as this can impact the kelp forest community composition- and/or an increased lamina epiphytic growth, which could negatively impact the kelp itself. We found that bryozoan biomass on the stipes was significantly higher at high-effluent farm sites compared to low-effluent farm and reference sites, resulting in a significantly different epiphytic community. Macroalgal biomass also increased with increasing effluent levels, including opportunistic Ectocarpus spp., resulting in a less heterogeneous macroalgae community at high-effluent farm sites. This habitat heterogeneity was further reduced by the high bryozoan biomass at the high-effluent sites. Such changes in the epiphyte community could have implications for the faunal community that relies on the epiphytes for food and refuge. On the kelp lamina, no clear response to farm effluents was found.</v>
      </c>
      <c r="C1075" s="24" t="str">
        <f>IFERROR(__xludf.DUMMYFUNCTION("""COMPUTED_VALUE"""),"10.3354/aei00392")</f>
        <v>10.3354/aei00392</v>
      </c>
      <c r="D1075" s="24" t="str">
        <f>IFERROR(__xludf.DUMMYFUNCTION("""COMPUTED_VALUE"""),"Keck et al")</f>
        <v>Keck et al</v>
      </c>
      <c r="E1075" s="24" t="str">
        <f>IFERROR(__xludf.DUMMYFUNCTION("""COMPUTED_VALUE"""),"WOS:000634852000001")</f>
        <v>WOS:000634852000001</v>
      </c>
      <c r="F1075" s="24" t="str">
        <f>IFERROR(__xludf.DUMMYFUNCTION("""COMPUTED_VALUE"""),"[""ELIGIBLE""]")</f>
        <v>["ELIGIBLE"]</v>
      </c>
    </row>
    <row r="1076">
      <c r="A1076" s="24" t="str">
        <f>IFERROR(__xludf.DUMMYFUNCTION("""COMPUTED_VALUE"""),"Structure, Variation, and Co-occurrence of Soil Microbial Communities in Abandoned Sites of a Rare Earth Elements Mine")</f>
        <v>Structure, Variation, and Co-occurrence of Soil Microbial Communities in Abandoned Sites of a Rare Earth Elements Mine</v>
      </c>
      <c r="B1076" s="24" t="str">
        <f>IFERROR(__xludf.DUMMYFUNCTION("""COMPUTED_VALUE"""),"Mining activity for rare earth elements (REEs) has caused serious environmental pollution, particularly for soil ecosystems. However, the effects of REEs on soil microbiota are still poorly understood. In this study, soils were collected from abandoned si"&amp;"tes of a REEs mine, and the structure, diversity, and co-occurrence patterns of soil microbiota were evaluated by Illumina high-throughput sequencing targeting 16S rRNA genes. Although microbiota developed significantly along with the natural restoration,"&amp;" the microbial structure on the site abandoned for 10 years still significantly differed from that on the unmined site. Potential plant growth promoting bacteria (PGPB) were identified by comparing 16S sequences against a self-constructed PGPB database vi"&amp;"a BLAST, and it was found that siderophore-producing and phosphorus-solubilizing bacteria were more abundant in the studied soils than in reference soils. Canonical correspondence analysis indicated that species richness of plant community was the prime f"&amp;"actor affecting microbial structure, followed by limiting nutrients (total carbon and total nitrogen) and REEs content. Further co-occurring network analysis revealed nonrandom assembly patterns of microbiota in the studied soils. These results increase o"&amp;"ur understanding of microbial variation and assembly pattern during natural restoration in REE contaminated soils.")</f>
        <v>Mining activity for rare earth elements (REEs) has caused serious environmental pollution, particularly for soil ecosystems. However, the effects of REEs on soil microbiota are still poorly understood. In this study, soils were collected from abandoned sites of a REEs mine, and the structure, diversity, and co-occurrence patterns of soil microbiota were evaluated by Illumina high-throughput sequencing targeting 16S rRNA genes. Although microbiota developed significantly along with the natural restoration, the microbial structure on the site abandoned for 10 years still significantly differed from that on the unmined site. Potential plant growth promoting bacteria (PGPB) were identified by comparing 16S sequences against a self-constructed PGPB database via BLAST, and it was found that siderophore-producing and phosphorus-solubilizing bacteria were more abundant in the studied soils than in reference soils. Canonical correspondence analysis indicated that species richness of plant community was the prime factor affecting microbial structure, followed by limiting nutrients (total carbon and total nitrogen) and REEs content. Further co-occurring network analysis revealed nonrandom assembly patterns of microbiota in the studied soils. These results increase our understanding of microbial variation and assembly pattern during natural restoration in REE contaminated soils.</v>
      </c>
      <c r="C1076" s="24" t="str">
        <f>IFERROR(__xludf.DUMMYFUNCTION("""COMPUTED_VALUE"""),"10.1021/acs.est.6b02284")</f>
        <v>10.1021/acs.est.6b02284</v>
      </c>
      <c r="D1076" s="24" t="str">
        <f>IFERROR(__xludf.DUMMYFUNCTION("""COMPUTED_VALUE"""),"Keck et al")</f>
        <v>Keck et al</v>
      </c>
      <c r="E1076" s="24" t="str">
        <f>IFERROR(__xludf.DUMMYFUNCTION("""COMPUTED_VALUE"""),"WOS:000386991100007")</f>
        <v>WOS:000386991100007</v>
      </c>
      <c r="F1076" s="24" t="str">
        <f>IFERROR(__xludf.DUMMYFUNCTION("""COMPUTED_VALUE"""),"[""ELIGIBLE""]")</f>
        <v>["ELIGIBLE"]</v>
      </c>
    </row>
    <row r="1077">
      <c r="A1077" s="24" t="str">
        <f>IFERROR(__xludf.DUMMYFUNCTION("""COMPUTED_VALUE"""),"Assessment of benthic invertebrate diversity and river ecological status along an urbanized gradient using environmental DNA metabarcoding and a traditional survey method")</f>
        <v>Assessment of benthic invertebrate diversity and river ecological status along an urbanized gradient using environmental DNA metabarcoding and a traditional survey method</v>
      </c>
      <c r="B1077" s="24" t="str">
        <f>IFERROR(__xludf.DUMMYFUNCTION("""COMPUTED_VALUE"""),"Benthic invertebrate diversity is one of the most commonly used bioindicators for assessing aquatic ecosystem health in river systems. Although an increasing number of studies have focused on assessing benthic invertebrate diversity using environmental DN"&amp;"A metabarcoding and traditional survey methods, benthic invertebrate diver-sity and ecological status assessments performed across different landscapes within river systems have not been well documented. Here, the diversity and ecological status of benthi"&amp;"c invertebrates and the influence of water quality on the invertebrate assemblage distribution along an urbanization gradient in rivers from the Jingjinji (JJJ) region, China, were investigated using eDNA metabarcoding and the traditional method. With the"&amp;" combination of the two methods, 395 benthic invertebrates from 6 phyla, 27 orders, 94 families, and 222 genera were identified. The species richness of the benthic invertebrate community in the mountain area was significantly higher than that in the urba"&amp;"n and agricultural areas. Compared to the traditional results, eDNA metabarcoding obtained a significantly greater number of species from every sampling site (P = 0.000) and detected a notably higher abundance in Annelida (P = 0.000). Furthermore, the non"&amp;"metric multidimensional scaling (NMDS) and permutational multivariate analysis of variance (PERMANOVA) based on the Bray-Curtis dissimilarity index indicated that the benthic invertebrate communities from the different habitats were discriminated more acc"&amp;"urately and easily using eDNA metabarcoding (P = 0.038) than with the traditional method (P = 0.829). Additionally, the assemblages identified by eDNA metabarcoding were more closely linked to water quality and could be realistically used to assess the ec"&amp;"ological status of rivers. Our findings highlight that eDNA metabarcoding could represent a rapid and reliable method for estimating benthic invertebrate diversity and ecological status in river systems. (c) 2021 Elsevier B.V. All rights reserved.")</f>
        <v>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v>
      </c>
      <c r="C1077" s="24" t="str">
        <f>IFERROR(__xludf.DUMMYFUNCTION("""COMPUTED_VALUE"""),"10.1016/j.scitotenv.2021.150587")</f>
        <v>10.1016/j.scitotenv.2021.150587</v>
      </c>
      <c r="D1077" s="24" t="str">
        <f>IFERROR(__xludf.DUMMYFUNCTION("""COMPUTED_VALUE"""),"Keck et al")</f>
        <v>Keck et al</v>
      </c>
      <c r="E1077" s="24" t="str">
        <f>IFERROR(__xludf.DUMMYFUNCTION("""COMPUTED_VALUE"""),"WOS:000709711800001")</f>
        <v>WOS:000709711800001</v>
      </c>
      <c r="F1077" s="24" t="str">
        <f>IFERROR(__xludf.DUMMYFUNCTION("""COMPUTED_VALUE"""),"[""ELIGIBLE""]")</f>
        <v>["ELIGIBLE"]</v>
      </c>
    </row>
    <row r="1078">
      <c r="A1078" s="24" t="str">
        <f>IFERROR(__xludf.DUMMYFUNCTION("""COMPUTED_VALUE"""),"Woody lianas increase in dominance and maintain compositional integrity across an Amazonian dam-induced fragmented landscape")</f>
        <v>Woody lianas increase in dominance and maintain compositional integrity across an Amazonian dam-induced fragmented landscape</v>
      </c>
      <c r="B1078" s="24" t="str">
        <f>IFERROR(__xludf.DUMMYFUNCTION("""COMPUTED_VALUE"""),"Tropical forest fragmentation creates insular biological communities that undergo species loss and changes in community composition over time, due to area-and edge-effects. Woody lianas thrive in degraded and secondary forests, due to their competitive ad"&amp;"vantage over trees in these habitats. Lianas compete both directly and indirectly with trees, increasing tree mortality and turnover. Despite our growing understanding of liana-tree dynamics, we lack detailed knowledge of the assemblage-level responses of"&amp;" lianas themselves to fragmentation, particularly in evergreen tropical forests. We examine the responses of both sapling and mature liana communities to landscape-scale forest insularization induced by a mega hydroelectric dam in the Brazilian Amazon. De"&amp;"tailed field inventories were conducted on islands created during reservoir filling, and in nearby mainland continuous forest. We assess the relative importance of variables associated with habitat fragmentation such as area, isolation, surrounding forest"&amp;" cover, fire and wind disturbance, on liana community attributes including abundance, basal area, diversity, and composition. We also explore patterns of liana dominance relative to tree saplings and adults &gt;= 10 cm diameter at breast height. We find that"&amp;" 1) liana community composition remains remarkably similar across mainland continuous forest and islands, regardless of extreme area-and edge-effects and the loss of vertebrate dispersers in the latter; and 2) lianas are increasing in dominance relative t"&amp;"o trees in the sapling layer in the most degraded islands, with both the amount of forest cover surrounding islands and fire disturbance history predicting liana dominance. Our data suggest that liana communities persist intact in isolated forests, regard"&amp;"less of extreme area-and edge-effects; while in contrast, tree communities simultaneously show evidence of increased turnover and supressed recruitment. These processes may lead to lianas becoming a dominant component of this dam-induced fragmented landsc"&amp;"ape in the future, due to their competitive advantage over trees in degraded forest habitats. Additional loss of tree biomass and diversity brought about through competition with lianas, and the concurrent loss of carbon storage, should be accounted for i"&amp;"n impact assessments of future dam development.")</f>
        <v>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v>
      </c>
      <c r="C1078" s="24" t="str">
        <f>IFERROR(__xludf.DUMMYFUNCTION("""COMPUTED_VALUE"""),"10.1371/journal.pone.0185527")</f>
        <v>10.1371/journal.pone.0185527</v>
      </c>
      <c r="D1078" s="24" t="str">
        <f>IFERROR(__xludf.DUMMYFUNCTION("""COMPUTED_VALUE"""),"Keck et al")</f>
        <v>Keck et al</v>
      </c>
      <c r="E1078" s="24" t="str">
        <f>IFERROR(__xludf.DUMMYFUNCTION("""COMPUTED_VALUE"""),"WOS:000413167500005")</f>
        <v>WOS:000413167500005</v>
      </c>
      <c r="F1078" s="24" t="str">
        <f>IFERROR(__xludf.DUMMYFUNCTION("""COMPUTED_VALUE"""),"[""ELIGIBLE""]")</f>
        <v>["ELIGIBLE"]</v>
      </c>
    </row>
    <row r="1079">
      <c r="A1079" s="24" t="str">
        <f>IFERROR(__xludf.DUMMYFUNCTION("""COMPUTED_VALUE"""),"Impacts of shrimp farming cultivation cycles on macrobenthic assemblages and chemistry of sediments")</f>
        <v>Impacts of shrimp farming cultivation cycles on macrobenthic assemblages and chemistry of sediments</v>
      </c>
      <c r="B1079" s="24" t="str">
        <f>IFERROR(__xludf.DUMMYFUNCTION("""COMPUTED_VALUE"""),"The aim of this study was to evaluate the influence of a shrimp farm cultivation cycle in the composition of sediments and on the structure of macrobenthic assemblages. Concentrations of nutrients, Zn and Cu were significantly higher in impact than contro"&amp;"l areas. In general, the level of contaminants was highest during the harvesting period and in sites closest to the discharge of effluents. Abundances and number of taxa of benthic invertebrates were at least one order of magnitude smaller in impacted are"&amp;"as than in controls. The structure of the benthic assemblages was significantly different at these two treatments. The combined use of biological and chemical data showed to be efficient to provide precise answers regarding the extent of impacts caused by"&amp;" shrimp cultivation. The results provide the basis for a better understanding of impacts of this activity and can subsidize the development of better management practices for coastal areas. (C) 2015 Elsevier Ltd. All rights reserved.")</f>
        <v>The aim of this study was to evaluate the influence of a shrimp farm cultivation cycle in the composition of sediments and on the structure of macrobenthic assemblages. Concentrations of nutrients, Zn and Cu were significantly higher in impact than control areas. In general, the level of contaminants was highest during the harvesting period and in sites closest to the discharge of effluents. Abundances and number of taxa of benthic invertebrates were at least one order of magnitude smaller in impacted areas than in controls. The structure of the benthic assemblages was significantly different at these two treatments. The combined use of biological and chemical data showed to be efficient to provide precise answers regarding the extent of impacts caused by shrimp cultivation. The results provide the basis for a better understanding of impacts of this activity and can subsidize the development of better management practices for coastal areas. (C) 2015 Elsevier Ltd. All rights reserved.</v>
      </c>
      <c r="C1079" s="24" t="str">
        <f>IFERROR(__xludf.DUMMYFUNCTION("""COMPUTED_VALUE"""),"10.1016/j.envpol.2015.12.031")</f>
        <v>10.1016/j.envpol.2015.12.031</v>
      </c>
      <c r="D1079" s="24" t="str">
        <f>IFERROR(__xludf.DUMMYFUNCTION("""COMPUTED_VALUE"""),"Keck et al")</f>
        <v>Keck et al</v>
      </c>
      <c r="E1079" s="24" t="str">
        <f>IFERROR(__xludf.DUMMYFUNCTION("""COMPUTED_VALUE"""),"WOS:000376696800034")</f>
        <v>WOS:000376696800034</v>
      </c>
      <c r="F1079" s="24" t="str">
        <f>IFERROR(__xludf.DUMMYFUNCTION("""COMPUTED_VALUE"""),"[""ELIGIBLE""]")</f>
        <v>["ELIGIBLE"]</v>
      </c>
    </row>
    <row r="1080">
      <c r="A1080" s="24" t="str">
        <f>IFERROR(__xludf.DUMMYFUNCTION("""COMPUTED_VALUE"""),"The ecology of the plastisphere: Microbial composition, function, assembly, and network in the freshwater and seawater ecosystems")</f>
        <v>The ecology of the plastisphere: Microbial composition, function, assembly, and network in the freshwater and seawater ecosystems</v>
      </c>
      <c r="B1080" s="24" t="str">
        <f>IFERROR(__xludf.DUMMYFUNCTION("""COMPUTED_VALUE"""),"Microplastics provide a unique habitat for microorganisms, forming the plastisphere. Yet the ecology of the plastisphere, including the microbial composition, functions, assembly processes, and interaction networks, needs to be understood. Here, we collec"&amp;"ted microplastics and their surrounding water samples in freshwater and seawater ecosystems. The bacterial and fungal communities of the plastisphere and the aquatic environment were studied based on 16S and internal transcribed spacer (ITS) high-throughp"&amp;"ut sequencing. We found that the plastisphere had a distinct microbial community and recruited a noteworthy proportion of unique species compared to the aquatic environment community, potentially altering ecosystem microbial community and causing microbia"&amp;"l invasion. Using a random-forest machine-learning model, we identified a group of biomarkers that could best distinguish the plastisphere from the aquatic environment. Significant differences exist in microbial functions between the plastisphere and the "&amp;"aquatic environment, including functions of pathogenicity, compound degradation, as well as functions related to the cycling of carbon, nitrogen, and sulfur. And these functional differences were expressed differently in freshwater and seawater ecosystems"&amp;". The oxidation-reduction potential, salinity, the concentrations of nitrogen-related ions (NO3-, NO2-, and NH4+), and the concentration of dissolved organic carbon in the surrounding environment drive the variation of the plastisphere. But environmental "&amp;"physicochemical properties explain less of the microbial community variation in the plastisphere than that in the aquatic environment. Niche-based processes govern the assembly of the plastisphere community, while neutral-based processes dominate the comm"&amp;"unity assembly of the aquatic environment. Furthermore, compared to the aquatic environment, the plastisphere has a network of less complexity, more modules, higher modularity, and more competitive links in freshwater ecosystems, but the pattern is revers"&amp;"ed in seawater ecosystems. Altogether, the microbial ecology of the new anthropogenic ecosystem-plastisphere-is unique and exerts different effects in freshwater and seawater ecosystems.")</f>
        <v>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v>
      </c>
      <c r="C1080" s="24" t="str">
        <f>IFERROR(__xludf.DUMMYFUNCTION("""COMPUTED_VALUE"""),"10.1016/j.watres.2021.117428")</f>
        <v>10.1016/j.watres.2021.117428</v>
      </c>
      <c r="D1080" s="24" t="str">
        <f>IFERROR(__xludf.DUMMYFUNCTION("""COMPUTED_VALUE"""),"Keck et al")</f>
        <v>Keck et al</v>
      </c>
      <c r="E1080" s="24" t="str">
        <f>IFERROR(__xludf.DUMMYFUNCTION("""COMPUTED_VALUE"""),"WOS:000691522600004")</f>
        <v>WOS:000691522600004</v>
      </c>
      <c r="F1080" s="24" t="str">
        <f>IFERROR(__xludf.DUMMYFUNCTION("""COMPUTED_VALUE"""),"[""ELIGIBLE""]")</f>
        <v>["ELIGIBLE"]</v>
      </c>
    </row>
    <row r="1081">
      <c r="A1081" s="24" t="str">
        <f>IFERROR(__xludf.DUMMYFUNCTION("""COMPUTED_VALUE"""),"Centipede assemblages along an urbanization gradient in the city of Heraklion, Crete (Greece)")</f>
        <v>Centipede assemblages along an urbanization gradient in the city of Heraklion, Crete (Greece)</v>
      </c>
      <c r="B1081" s="24" t="str">
        <f>IFERROR(__xludf.DUMMYFUNCTION("""COMPUTED_VALUE"""),"Global urbanization is a major force that causes alteration and loss of natural habitats. Urban ecosystems are strongly affected by humans and there is a gradient of decreasing human influence from city centers to natural habitats. To study ecological cha"&amp;"nges along this continuum, researchers introduced the urban-rural gradient approach. The responses of centipedes to an urbanization gradient (urban-suburban-rural areas) were studied using pitfall traps in and near the city of Heraklion, in the island of "&amp;"Crete, Greece, from November 2010 to November 2011. Our results do not support the intermediate disturbance hypothesis, in which suburban areas located in the transitional zone between urban and rural habitats failed to indicate significant increase in te"&amp;"rms of species richness and diversity.")</f>
        <v>Global urbanization is a major force that causes alteration and loss of natural habitats. Urban ecosystems are strongly affected by humans and there is a gradient of decreasing human influence from city centers to natural habitats. To study ecological changes along this continuum, researchers introduced the urban-rural gradient approach. The responses of centipedes to an urbanization gradient (urban-suburban-rural areas) were studied using pitfall traps in and near the city of Heraklion, in the island of Crete, Greece, from November 2010 to November 2011. Our results do not support the intermediate disturbance hypothesis, in which suburban areas located in the transitional zone between urban and rural habitats failed to indicate significant increase in terms of species richness and diversity.</v>
      </c>
      <c r="C1081" s="24" t="str">
        <f>IFERROR(__xludf.DUMMYFUNCTION("""COMPUTED_VALUE"""),"10.3897/zookeys.510.8414")</f>
        <v>10.3897/zookeys.510.8414</v>
      </c>
      <c r="D1081" s="24" t="str">
        <f>IFERROR(__xludf.DUMMYFUNCTION("""COMPUTED_VALUE"""),"Keck et al")</f>
        <v>Keck et al</v>
      </c>
      <c r="E1081" s="24" t="str">
        <f>IFERROR(__xludf.DUMMYFUNCTION("""COMPUTED_VALUE"""),"WOS:000357601500012")</f>
        <v>WOS:000357601500012</v>
      </c>
      <c r="F1081" s="24" t="str">
        <f>IFERROR(__xludf.DUMMYFUNCTION("""COMPUTED_VALUE"""),"[""ELIGIBLE""]")</f>
        <v>["ELIGIBLE"]</v>
      </c>
    </row>
    <row r="1082">
      <c r="A1082" s="24" t="str">
        <f>IFERROR(__xludf.DUMMYFUNCTION("""COMPUTED_VALUE"""),"Nutrient enrichment and variation in community structure on rocky shores: The potential of molluscan assemblages for biomonitoring")</f>
        <v>Nutrient enrichment and variation in community structure on rocky shores: The potential of molluscan assemblages for biomonitoring</v>
      </c>
      <c r="B1082" s="24" t="str">
        <f>IFERROR(__xludf.DUMMYFUNCTION("""COMPUTED_VALUE"""),"Consideration of the impacts of pollutants on elements of biodiversity and the development of cost-effective biomonitoring tools to measure those impacts are essential to coastal biodiversity conservation. To examine the effects of nutrient enrichment and"&amp;" to develop biomonitoring tools, a network of 11 rocky intertidal sites differing in nutrient contamination levels was established on the west coast of Ireland. Communities of molluscs on the lower shore were sampled at the sites and a range of physicoche"&amp;"mical variables was measured to characterize levels of contamination on the shores. Total abundance and number of taxa of molluscs were reduced in contaminated sites compared to control sites. Multivariate analyses showed that the structure of the mollusc"&amp;"an assemblages differed between contaminated and control sites, discriminating between species that were more abundant at contaminated sites and those that were more abundant at control sites. Multivariate multiple regression analysis showed that nitrite,"&amp;" phosphate and ammonia levels in seawater accounted for more than 45% of the variability in the community structure of molluscs. This study suggests that molluscan assemblages could be a cost-effective tool to monitor and detect changes induced by nutrien"&amp;"t enrichment in coastal areas. (C) 2012 Elsevier Ltd. All rights reserved.")</f>
        <v>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v>
      </c>
      <c r="C1082" s="24" t="str">
        <f>IFERROR(__xludf.DUMMYFUNCTION("""COMPUTED_VALUE"""),"10.1016/j.ecss.2011.12.034")</f>
        <v>10.1016/j.ecss.2011.12.034</v>
      </c>
      <c r="D1082" s="24" t="str">
        <f>IFERROR(__xludf.DUMMYFUNCTION("""COMPUTED_VALUE"""),"Keck et al")</f>
        <v>Keck et al</v>
      </c>
      <c r="E1082" s="24" t="str">
        <f>IFERROR(__xludf.DUMMYFUNCTION("""COMPUTED_VALUE"""),"WOS:000302448300016")</f>
        <v>WOS:000302448300016</v>
      </c>
      <c r="F1082" s="24" t="str">
        <f>IFERROR(__xludf.DUMMYFUNCTION("""COMPUTED_VALUE"""),"[""ELIGIBLE""]")</f>
        <v>["ELIGIBLE"]</v>
      </c>
    </row>
    <row r="1083">
      <c r="A1083" s="24" t="str">
        <f>IFERROR(__xludf.DUMMYFUNCTION("""COMPUTED_VALUE"""),"Spartina alterniflora invasions reduce soil fungal diversity and simplify co-occurrence networks in a salt marsh ecosystem")</f>
        <v>Spartina alterniflora invasions reduce soil fungal diversity and simplify co-occurrence networks in a salt marsh ecosystem</v>
      </c>
      <c r="B1083" s="24" t="str">
        <f>IFERROR(__xludf.DUMMYFUNCTION("""COMPUTED_VALUE"""),"Soil fungal communities drive diverse ecological processes and are critical in maintaining ecosystems' stability, but the effects of plant invasion on soil fungal diversity, community composition, and functional groups are not well understood. Here, we in"&amp;"vestigated soil fungal communities in a salt marsh ecosystem with both native (Suaeda salsa) and exotic (Spartina alterniflora) species in the YellowRiver Delta. We characterized fungal diversity based on the PCR-amplified Internal Transcribed Spacer 2 (I"&amp;"TS2) DNA sequences from soil extracted total DNA. The plant invasion evidently decreased fungal richness and phylogenetic diversity and significantly altered the taxonomic community composition (indicated by the permutation test, P &lt; 0.001). Co-occurrence"&amp;" networks between fungal species showed fewer network links but were more assembled because of the high modularity after the invasion. As indicated by the fungal Bray-Curtis and weighted UniFrac distances, the fungal community became homogenized with the "&amp;"invasion. FUNGuild database analyses revealed that the invaded sites had a higher proportion of saprophytic fungi, suggesting higher organic matter decomposition potential with the invasion. The plant invasion dramatically inhibited the growth of pathogen"&amp;"ic fungi, which may facilitate the expansion of invasive plants in the intertidal habitats. Soil pH and salinity were identified as the most important edaphic factors in shaping the fungal community structures in the context of Spartina alterniflora invas"&amp;"ion. Overall, this study elucidates the linkage between plant invasion and soil fungal communities and poses potential consequences for fungal contribution to ecosystem function, including the decomposition of soil organic substrates. (C) 2020 Elsevier B."&amp;"V. All rights reserved.")</f>
        <v>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v>
      </c>
      <c r="C1083" s="24" t="str">
        <f>IFERROR(__xludf.DUMMYFUNCTION("""COMPUTED_VALUE"""),"10.1016/j.scitotenv.2020.143667")</f>
        <v>10.1016/j.scitotenv.2020.143667</v>
      </c>
      <c r="D1083" s="24" t="str">
        <f>IFERROR(__xludf.DUMMYFUNCTION("""COMPUTED_VALUE"""),"Keck et al")</f>
        <v>Keck et al</v>
      </c>
      <c r="E1083" s="24" t="str">
        <f>IFERROR(__xludf.DUMMYFUNCTION("""COMPUTED_VALUE"""),"WOS:000605623800076")</f>
        <v>WOS:000605623800076</v>
      </c>
      <c r="F1083" s="24" t="str">
        <f>IFERROR(__xludf.DUMMYFUNCTION("""COMPUTED_VALUE"""),"[""ELIGIBLE""]")</f>
        <v>["ELIGIBLE"]</v>
      </c>
    </row>
    <row r="1084">
      <c r="A1084" s="24" t="str">
        <f>IFERROR(__xludf.DUMMYFUNCTION("""COMPUTED_VALUE"""),"A single pulse of diffuse contaminants alters the size distribution of natural phytoplankton communities")</f>
        <v>A single pulse of diffuse contaminants alters the size distribution of natural phytoplankton communities</v>
      </c>
      <c r="B1084" s="24" t="str">
        <f>IFERROR(__xludf.DUMMYFUNCTION("""COMPUTED_VALUE"""),"The presence of a multitude of bioactive organic pollutants collectively classified as pharmaceuticals and personal care products (PPCPs) in freshwaters is of concern, considering that ecological assessments of their potential impacts on natural systems a"&amp;"re still scarce. In this field experiment we tested whether a single pulse exposure to a mixture of 12 pharmaceuticals and personal care products, which are commonly found in European inland waters, can influence the size distributions of natural lake phy"&amp;"toplankton communities. Size is one of the most influential determinants of community structure and functioning, particularly in planktonic communities and food webs. Using an in-situ microcosm approach, phytoplankton communities in two lakes with differe"&amp;"nt nutrient levels (mesotrophic and eutrophic) were exposed to a concentration gradient of the PPCPs mixture at five levels. We tested whether sub-lethal PPCPs doses affect the scaling of organisms' abundances with their size, and the slope of these size "&amp;"spectra, which describe changes in the abundances of small relative to large phytoplankton. Our results showed that a large proportion (approximately 80%) of the dataset followed a power-law distribution, thus suggesting evidence of scale invariance of ab"&amp;"undances, as expected in steady state ecosystems. PPCPs were however found to induce significant changes in the size spectra and community structure of natural phytoplankton assemblages. The two highest treatment levels of PPCPs were associated with decre"&amp;"ased abundance of the most dominant size class (nano-phytoplankton: 2-5 mu m), leading to a flattening of the size spectra slope. These results suggest that a pulse exposure to PPCPs induce changes that potentially lead to unsteady ecosystem states and ca"&amp;"scading effects in the aquatic food webs, by favoring larger non-edible algae at the expense of small edible species. We propose higher susceptibility due to higher surface to volume ratio in small species as the likely cause of these structural changes. "&amp;"(C) 2019 The Authors. Published by Elsevier B.V.")</f>
        <v>The presence of a multitude of bioactive organic pollutants collectively classified as pharmaceuticals and personal care products (PPCPs) in freshwaters is of concern, considering that ecological assessments of their potential impacts on natural systems are still scarce. In this field experiment we tested whether a single pulse exposure to a mixture of 12 pharmaceuticals and personal care products, which are commonly found in European inland waters, can influence the size distributions of natural lake phytoplankton communities. Size is one of the most influential determinants of community structure and functioning, particularly in planktonic communities and food webs. Using an in-situ microcosm approach, phytoplankton communities in two lakes with different nutrient levels (mesotrophic and eutrophic) were exposed to a concentration gradient of the PPCPs mixture at five levels. We tested whether sub-lethal PPCPs doses affect the scaling of organisms' abundances with their size, and the slope of these size spectra, which describe changes in the abundances of small relative to large phytoplankton. Our results showed that a large proportion (approximately 80%) of the dataset followed a power-law distribution, thus suggesting evidence of scale invariance of abundances, as expected in steady state ecosystems. PPCPs were however found to induce significant changes in the size spectra and community structure of natural phytoplankton assemblages. The two highest treatment levels of PPCPs were associated with decreased abundance of the most dominant size class (nano-phytoplankton: 2-5 mu m), leading to a flattening of the size spectra slope. These results suggest that a pulse exposure to PPCPs induce changes that potentially lead to unsteady ecosystem states and cascading effects in the aquatic food webs, by favoring larger non-edible algae at the expense of small edible species. We propose higher susceptibility due to higher surface to volume ratio in small species as the likely cause of these structural changes. (C) 2019 The Authors. Published by Elsevier B.V.</v>
      </c>
      <c r="C1084" s="24" t="str">
        <f>IFERROR(__xludf.DUMMYFUNCTION("""COMPUTED_VALUE"""),"10.1016/j.scitotenv.2019.05.229")</f>
        <v>10.1016/j.scitotenv.2019.05.229</v>
      </c>
      <c r="D1084" s="24" t="str">
        <f>IFERROR(__xludf.DUMMYFUNCTION("""COMPUTED_VALUE"""),"Keck et al")</f>
        <v>Keck et al</v>
      </c>
      <c r="E1084" s="24" t="str">
        <f>IFERROR(__xludf.DUMMYFUNCTION("""COMPUTED_VALUE"""),"WOS:000471657600059")</f>
        <v>WOS:000471657600059</v>
      </c>
      <c r="F1084" s="24" t="str">
        <f>IFERROR(__xludf.DUMMYFUNCTION("""COMPUTED_VALUE"""),"[""ELIGIBLE""]")</f>
        <v>["ELIGIBLE"]</v>
      </c>
    </row>
    <row r="1085">
      <c r="A1085" s="24" t="str">
        <f>IFERROR(__xludf.DUMMYFUNCTION("""COMPUTED_VALUE"""),"Changes in Fish Assemblages following the Establishment of a Network of No-Take Marine Reserves and Partially-Protected Areas")</f>
        <v>Changes in Fish Assemblages following the Establishment of a Network of No-Take Marine Reserves and Partially-Protected Areas</v>
      </c>
      <c r="B1085" s="24" t="str">
        <f>IFERROR(__xludf.DUMMYFUNCTION("""COMPUTED_VALUE"""),"Networks of no-take marine reserves and partially-protected areas (with limited fishing) are being increasingly promoted as a means of conserving biodiversity. We examined changes in fish assemblages across a network of marine reserves and two different t"&amp;"ypes of partially-protected areas within a marine park over the first 5 years of its establishment. We used Baited Remote Underwater Video (BRUV) to quantify fish communities on rocky reefs at 20-40 m depth between 2008-2011. Each year, we sampled 12 site"&amp;"s in 6 no-take marine reserves and 12 sites in two types of partially-protected areas with contrasting levels of protection (n = 4 BRUV stations per site). Fish abundances were 38% greater across the network of marine reserves compared to the partially-pr"&amp;"otected areas, although not all individual reserves performed equally. Compliance actions were positively associated with marine reserve responses, while reserve size had no apparent relationship with reserve performance after 5 years. The richness and ab"&amp;"undance of fishes did not consistently differ between the two types of partially-protected areas. There was, therefore, no evidence that the more regulated partially-protected areas had additional conservation benefits for reef fish assemblages. Overall, "&amp;"our results demonstrate conservation benefits to fish assemblages from a newly established network of temperate marine reserves. They also show that ecological monitoring can contribute to adaptive management of newly established marine reserve networks, "&amp;"but the extent of this contribution is limited by the rate of change in marine communities in response to protection.")</f>
        <v>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v>
      </c>
      <c r="C1085" s="24" t="str">
        <f>IFERROR(__xludf.DUMMYFUNCTION("""COMPUTED_VALUE"""),"10.1371/journal.pone.0085825")</f>
        <v>10.1371/journal.pone.0085825</v>
      </c>
      <c r="D1085" s="24" t="str">
        <f>IFERROR(__xludf.DUMMYFUNCTION("""COMPUTED_VALUE"""),"Keck et al")</f>
        <v>Keck et al</v>
      </c>
      <c r="E1085" s="24" t="str">
        <f>IFERROR(__xludf.DUMMYFUNCTION("""COMPUTED_VALUE"""),"WOS:000330235100135")</f>
        <v>WOS:000330235100135</v>
      </c>
      <c r="F1085" s="24" t="str">
        <f>IFERROR(__xludf.DUMMYFUNCTION("""COMPUTED_VALUE"""),"[""ELIGIBLE""]")</f>
        <v>["ELIGIBLE"]</v>
      </c>
    </row>
    <row r="1086">
      <c r="A1086" s="24" t="str">
        <f>IFERROR(__xludf.DUMMYFUNCTION("""COMPUTED_VALUE"""),"Shoreline hardening alters freshwater shoreline ecosystems")</f>
        <v>Shoreline hardening alters freshwater shoreline ecosystems</v>
      </c>
      <c r="B1086" s="24" t="str">
        <f>IFERROR(__xludf.DUMMYFUNCTION("""COMPUTED_VALUE"""),"Shoreline 'hardening' is a common anthropogenic activity that involves installation of structures, such as seawalls or riprap, at the waterline to protect waterfront property. Despite the ubiquity of this activity, the effects of hardening on shoreline ec"&amp;"osystems are not well understood. We evaluated the geomorphology, organic matter decomposition, washed-up organic material (wrack), and invertebrate communities on both aquatic and terrestrial (riparian) habitats of 7 natural and 7 riprap-hardened shoreli"&amp;"nes of Lake St Clair (Michigan, USA). Shorelines hardened by riprap differed from their natural counterparts in structure and function, with particularly pronounced effects in terrestrial shoreline habitats. Hardened shorelines were steeper and drier, and"&amp;" sediments were orders of magnitude larger than on natural shorelines. Organic-matter decomposition was slower at riprap than natural shorelines in terrestrial habitats, but did not differ between natural and riprap shorelines in aquatic habitats. Natural"&amp;" shorelines had much greater quantities of wrack, a lake-derived subsidy, than riprap shorelines in summer and autumn. The finding that natural shorelines had more wrack despite faster decomposition suggests that subsidy retention is impaired by riprap. P"&amp;"ath analysis indicates that the large sediment size of riprap is the mechanism responsible for disrupting wrack accumulation. Invertebrate community composition in terrestrial habitats also differed between shoreline types, with snails and beetles more ab"&amp;"undant on natural shorelines and ants more abundant on riprap. Exotic taxa, such as Asian earthworms (Amynthas sp.), cyanobacteria (Lyngbya wollei), and Phragmites, were prevalent on both natural and riprap shorelines. Overall, riprap shorelines differ gr"&amp;"eatly from natural shorelines in their structure and functioning, particularly in terrestrial habitats, and possess attributes of 'novel ecosystems'.")</f>
        <v>Shoreline 'hardening' is a common anthropogenic activity that involves installation of structures, such as seawalls or riprap, at the waterline to protect waterfront property. Despite the ubiquity of this activity, the effects of hardening on shoreline ecosystems are not well understood. We evaluated the geomorphology, organic matter decomposition, washed-up organic material (wrack), and invertebrate communities on both aquatic and terrestrial (riparian) habitats of 7 natural and 7 riprap-hardened shorelines of Lake St Clair (Michigan, USA). Shorelines hardened by riprap differed from their natural counterparts in structure and function, with particularly pronounced effects in terrestrial shoreline habitats. Hardened shorelines were steeper and drier, and sediments were orders of magnitude larger than on natural shorelines. Organic-matter decomposition was slower at riprap than natural shorelines in terrestrial habitats, but did not differ between natural and riprap shorelines in aquatic habitats. Natural shorelines had much greater quantities of wrack, a lake-derived subsidy, than riprap shorelines in summer and autumn. The finding that natural shorelines had more wrack despite faster decomposition suggests that subsidy retention is impaired by riprap. Path analysis indicates that the large sediment size of riprap is the mechanism responsible for disrupting wrack accumulation. Invertebrate community composition in terrestrial habitats also differed between shoreline types, with snails and beetles more abundant on natural shorelines and ants more abundant on riprap. Exotic taxa, such as Asian earthworms (Amynthas sp.), cyanobacteria (Lyngbya wollei), and Phragmites, were prevalent on both natural and riprap shorelines. Overall, riprap shorelines differ greatly from natural shorelines in their structure and functioning, particularly in terrestrial habitats, and possess attributes of 'novel ecosystems'.</v>
      </c>
      <c r="C1086" s="24" t="str">
        <f>IFERROR(__xludf.DUMMYFUNCTION("""COMPUTED_VALUE"""),"10.1086/687279")</f>
        <v>10.1086/687279</v>
      </c>
      <c r="D1086" s="24" t="str">
        <f>IFERROR(__xludf.DUMMYFUNCTION("""COMPUTED_VALUE"""),"Keck et al")</f>
        <v>Keck et al</v>
      </c>
      <c r="E1086" s="24" t="str">
        <f>IFERROR(__xludf.DUMMYFUNCTION("""COMPUTED_VALUE"""),"WOS:000381446500002")</f>
        <v>WOS:000381446500002</v>
      </c>
      <c r="F1086" s="24" t="str">
        <f>IFERROR(__xludf.DUMMYFUNCTION("""COMPUTED_VALUE"""),"[""ELIGIBLE""]")</f>
        <v>["ELIGIBLE"]</v>
      </c>
    </row>
    <row r="1087">
      <c r="A1087" s="24" t="str">
        <f>IFERROR(__xludf.DUMMYFUNCTION("""COMPUTED_VALUE"""),"Landscape matrix and species traits mediate responses of Neotropical resident birds to forest fragmentation in Jamaica")</f>
        <v>Landscape matrix and species traits mediate responses of Neotropical resident birds to forest fragmentation in Jamaica</v>
      </c>
      <c r="B1087" s="24" t="str">
        <f>IFERROR(__xludf.DUMMYFUNCTION("""COMPUTED_VALUE"""),"Land cover and land use surrounding, fragmented habitat can greatly impact species persistence by altering resource availability, edge effects, or the movement of individuals throughout a landscape. Despite the potential importance of the landscape matrix"&amp;", ecologists still have limited understanding of the relative effects of different types of land cover and land uses on species patterns and processes in natural systems. Here we investigated whether Neotropical resident bird communities in limestone fore"&amp;"st patches differed if they were embedded in three different human-dominated matrix types (agriculture, pert-urban development, and bauxite mining) relative to sites in continuous forest in central Jamaica. We found that species richness, community compos"&amp;"ition, and abundances were matrix-dependent, with agricultural landscapes supporting greater avian diversity and more intact community assemblages than either pen-urban or bauxite landscapes. Abundance of almost 70% of species differed in forest embedded "&amp;"in the different landscape matrix types. Traits related to resource use best predicted species responses, including diet guild, nest height, habitat association, and foraging strata. Insectivores, frugivores, canopy nesters, understory and canopy foragers"&amp;", and forest-restricted species rarely observed in matrix habitats had lower abundances in forest fragments embedded in human-dominated matrix types than in continuous forest. In contrast, nectarivores, omnivores, granivores, ground and multi-strata neste"&amp;"rs, ground foragers, and species regularly in matrix habitats were least sensitive to forest fragmentation. Results suggest that structure, composition, and land use disturbance regimes in matrix areas impact overall habitat quality in landscapes by poten"&amp;"tially mediating resource availability inside as well as outside forest habitat. This study reinforces the importance of differentiating among land cover and land uses in fragmentation research and lends support to the hypothesis that resource availabilit"&amp;"y may be a primary factor driving Neotropical bird responses to fragmentation.")</f>
        <v>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v>
      </c>
      <c r="C1087" s="24" t="str">
        <f>IFERROR(__xludf.DUMMYFUNCTION("""COMPUTED_VALUE"""),"10.1890/09-0904.1")</f>
        <v>10.1890/09-0904.1</v>
      </c>
      <c r="D1087" s="24" t="str">
        <f>IFERROR(__xludf.DUMMYFUNCTION("""COMPUTED_VALUE"""),"Keck et al")</f>
        <v>Keck et al</v>
      </c>
      <c r="E1087" s="24" t="str">
        <f>IFERROR(__xludf.DUMMYFUNCTION("""COMPUTED_VALUE"""),"WOS:000283478800007")</f>
        <v>WOS:000283478800007</v>
      </c>
      <c r="F1087" s="24" t="str">
        <f>IFERROR(__xludf.DUMMYFUNCTION("""COMPUTED_VALUE"""),"[""ELIGIBLE""]")</f>
        <v>["ELIGIBLE"]</v>
      </c>
    </row>
    <row r="1088">
      <c r="A1088" s="24" t="str">
        <f>IFERROR(__xludf.DUMMYFUNCTION("""COMPUTED_VALUE"""),"Pollution alters methanogenic and methanotrophic communities and increases dissolved methane in small ponds")</f>
        <v>Pollution alters methanogenic and methanotrophic communities and increases dissolved methane in small ponds</v>
      </c>
      <c r="B1088" s="24" t="str">
        <f>IFERROR(__xludf.DUMMYFUNCTION("""COMPUTED_VALUE"""),"Small ponds have become a hotspot of greenhouse gas emissions, but our understanding of methane (CH4) cycling and its biological regulation in small polluted ponds remains limited. To assess how pollution affects CH4 content, we investigated dissolved CH4"&amp;" concentrations, water and sediments properties, methanogenic and methanotrophic communities in two types of small polluted ponds. Compared with low pollution (LP) ponds, high pollution (HP) ponds showed significantly (P &lt; 0.05) higher dissolved CH4 in wa"&amp;"ter. Sequencing of methyl coenzyme M reductase (mcrA) and particulate methane monooxygenase (pmoA) genes showed that HP led to significant (P &lt; 0.05) shifts of CH4-cycling microbial communities, with increased Shannon index of sediment methanogenic commun"&amp;"ities and water methanotrophic communities. There were also strong negative associations (P &lt; 0.05) between dissolved CH4 concentrations and interdomain methanogen-methanotroph network connectivity in water and sediments, respectively. The partial least s"&amp;"quares path modeling indicated that dissolved oxygen, total organic carbon, ammonium nitrogen and nitrate nitrogen of water, and total nitrogen and total carbon of sediment, and CH4-cycling microbes could regulate the CH4 content. This study clarified the"&amp;" effects of environmental deterioration on CH4 cycling in small ponds, highlighting the use of methanogen-methanotroph network connectivity to assess the CH4 production. (C) 2021 Elsevier B.V. All rights reserved.")</f>
        <v>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v>
      </c>
      <c r="C1088" s="24" t="str">
        <f>IFERROR(__xludf.DUMMYFUNCTION("""COMPUTED_VALUE"""),"10.1016/j.scitotenv.2021.149723")</f>
        <v>10.1016/j.scitotenv.2021.149723</v>
      </c>
      <c r="D1088" s="24" t="str">
        <f>IFERROR(__xludf.DUMMYFUNCTION("""COMPUTED_VALUE"""),"Keck et al")</f>
        <v>Keck et al</v>
      </c>
      <c r="E1088" s="24" t="str">
        <f>IFERROR(__xludf.DUMMYFUNCTION("""COMPUTED_VALUE"""),"WOS:000701585200009")</f>
        <v>WOS:000701585200009</v>
      </c>
      <c r="F1088" s="24" t="str">
        <f>IFERROR(__xludf.DUMMYFUNCTION("""COMPUTED_VALUE"""),"[""ELIGIBLE""]")</f>
        <v>["ELIGIBLE"]</v>
      </c>
    </row>
    <row r="1089">
      <c r="A1089" s="24" t="str">
        <f>IFERROR(__xludf.DUMMYFUNCTION("""COMPUTED_VALUE"""),"Dynamics and determinants of amoeba community, occurrence and abundance in subtropical reservoirs and rivers")</f>
        <v>Dynamics and determinants of amoeba community, occurrence and abundance in subtropical reservoirs and rivers</v>
      </c>
      <c r="B1089" s="24" t="str">
        <f>IFERROR(__xludf.DUMMYFUNCTION("""COMPUTED_VALUE"""),"Free-living amoebae are widespread in freshwater ecosystems. Although many studies have investigated changes in their communities across space, the temporal variability and the drivers of community changes across different habitat types are poorly underst"&amp;"ood. A total of 108 surface water samples were collected on a seasonal basis from four reservoirs and two rivers in Xiamen city, subtropical China. We used high throughput sequencing and qPCR methods to explore the occurrence and abundance of free-living "&amp;"amoebae. In total, 335 amoeba OTUs were detected, and only 32 OTUs were shared by reservoir and river habitats. The reservoirs and rivers harbored unique amoebae communities and exhibited distinct seasonal patterns in community composition. High abundance"&amp;" of the 18S rRNA gene of Acanthamoeba was observed in spring and summer, whereas the abundance was low in autumn and winter. In addition, the abundance of Hartmannella was significantly higher when isolated from reservoirs in summer/autumn and from river "&amp;"in spring/summer. Moreover, the temporal patterns of amoebae communities were significantly associated with water temperature, indicating that temperature is an important variable controlling the ecological dynamics of amoebae populations. However, our co"&amp;"mparative analysis indicated that both environmental selection, and neutral processes, significantly contributed to amoeba community assembly. The genera detected here include pathogenic species and species that can act as vectors for microbial pathogens,"&amp;" which can cause human infections. (C) 2018 Elsevier Ltd. All rights reserved.")</f>
        <v>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v>
      </c>
      <c r="C1089" s="24" t="str">
        <f>IFERROR(__xludf.DUMMYFUNCTION("""COMPUTED_VALUE"""),"10.1016/j.watres.2018.09.011")</f>
        <v>10.1016/j.watres.2018.09.011</v>
      </c>
      <c r="D1089" s="24" t="str">
        <f>IFERROR(__xludf.DUMMYFUNCTION("""COMPUTED_VALUE"""),"Keck et al")</f>
        <v>Keck et al</v>
      </c>
      <c r="E1089" s="24" t="str">
        <f>IFERROR(__xludf.DUMMYFUNCTION("""COMPUTED_VALUE"""),"WOS:000452565400016")</f>
        <v>WOS:000452565400016</v>
      </c>
      <c r="F1089" s="24" t="str">
        <f>IFERROR(__xludf.DUMMYFUNCTION("""COMPUTED_VALUE"""),"[""ELIGIBLE""]")</f>
        <v>["ELIGIBLE"]</v>
      </c>
    </row>
    <row r="1090">
      <c r="A1090" s="24" t="str">
        <f>IFERROR(__xludf.DUMMYFUNCTION("""COMPUTED_VALUE"""),"Nitrogen fertilization increases fungal diversity and abundance of saprotrophs while reducing nitrogen fixation potential in a semiarid grassland")</f>
        <v>Nitrogen fertilization increases fungal diversity and abundance of saprotrophs while reducing nitrogen fixation potential in a semiarid grassland</v>
      </c>
      <c r="B1090" s="24" t="str">
        <f>IFERROR(__xludf.DUMMYFUNCTION("""COMPUTED_VALUE"""),"Aims Nitrogen (N) fertilizer is applied to the soil to increase the nutrient level and plant productivity, but the effects of N addition on the soil microbial community diversity and functions are unclear. This study aimed to determine how changes in soil"&amp;" N influence soil microbial community diversity and potential functions. Methods We evaluated plant characteristics, soil chemical properties, microbial composition, and potential functions (N-fixation and functional fungal guild) after 3 years of urea fe"&amp;"rtilization at four different levels (0, 25, 50, and 100 kg N ha(-1) year(-1)) in a semiarid grassland in China. Compositions of bacterial and fungal communities were determined by high-throughput sequencing, and their potential functions were predicted b"&amp;"y comparing their data with those in the Tax4Fun and FUNGuild databases, respectively. Results Compared with the grassland without N input (N0), N fertilization significantly reduced soil bacterial diversity, possibly by reducing plant diversity. Fungal d"&amp;"iversity increased with N fertilization and peaked in the N50 treatment, while the aboveground biomass showed a parallel increase and peak. A lower abundance of nif genes was found in the N100 than in the N0 treatment because the enhanced NO3- and NH4+ co"&amp;"ntent alleviated the dependence of plants on biological N-fixation and reduced the N-fixation potential. N fertilization increased the relative abundance of saprotrophs (wood, plant, and dung saprotrophs) and pathogens (plant and animal pathogens). Howeve"&amp;"r, this promotion could be weakened when the excessive N fertilization was applied due to the lower abundance in the N100 than in the N50 treatment, and these changes could be attributed to the variation in aboveground biomass and soil organic C. Changes "&amp;"in the abundance of arbuscular mycorrhizal fungi were related to their host plants, exhibiting a transient increase in the N25 compared to the N0 treatment and then sharply decreasing. Conclusions Our results show that N-induced environmental changes have"&amp;" considerable influence on the composition and potential functions of soil bacterial and fungal communities, which are likely to be dependent on interactions between plants and soil.")</f>
        <v>Aims Nitrogen (N) fertilizer is applied to the soil to increase the nutrient level and plant productivity, but the effects of N addition on the soil microbial community diversity and functions are unclear. This study aimed to determine how changes in soil N influence soil microbial community diversity and potential functions. Methods We evaluated plant characteristics, soil chemical properties, microbial composition, and potential functions (N-fixation and functional fungal guild) after 3 years of urea fertilization at four different levels (0, 25, 50, and 100 kg N ha(-1) year(-1)) in a semiarid grassland in China. Compositions of bacterial and fungal communities were determined by high-throughput sequencing, and their potential functions were predicted by comparing their data with those in the Tax4Fun and FUNGuild databases, respectively. Results Compared with the grassland without N input (N0), N fertilization significantly reduced soil bacterial diversity, possibly by reducing plant diversity. Fungal diversity increased with N fertilization and peaked in the N50 treatment, while the aboveground biomass showed a parallel increase and peak. A lower abundance of nif genes was found in the N100 than in the N0 treatment because the enhanced NO3- and NH4+ content alleviated the dependence of plants on biological N-fixation and reduced the N-fixation potential. N fertilization increased the relative abundance of saprotrophs (wood, plant, and dung saprotrophs) and pathogens (plant and animal pathogens). However, this promotion could be weakened when the excessive N fertilization was applied due to the lower abundance in the N100 than in the N50 treatment, and these changes could be attributed to the variation in aboveground biomass and soil organic C. Changes in the abundance of arbuscular mycorrhizal fungi were related to their host plants, exhibiting a transient increase in the N25 compared to the N0 treatment and then sharply decreasing. Conclusions Our results show that N-induced environmental changes have considerable influence on the composition and potential functions of soil bacterial and fungal communities, which are likely to be dependent on interactions between plants and soil.</v>
      </c>
      <c r="C1090" s="24" t="str">
        <f>IFERROR(__xludf.DUMMYFUNCTION("""COMPUTED_VALUE"""),"10.1007/s11104-021-05012-w")</f>
        <v>10.1007/s11104-021-05012-w</v>
      </c>
      <c r="D1090" s="24" t="str">
        <f>IFERROR(__xludf.DUMMYFUNCTION("""COMPUTED_VALUE"""),"Keck et al")</f>
        <v>Keck et al</v>
      </c>
      <c r="E1090" s="24" t="str">
        <f>IFERROR(__xludf.DUMMYFUNCTION("""COMPUTED_VALUE"""),"WOS:000659817000002")</f>
        <v>WOS:000659817000002</v>
      </c>
      <c r="F1090" s="24" t="str">
        <f>IFERROR(__xludf.DUMMYFUNCTION("""COMPUTED_VALUE"""),"[""ELIGIBLE""]")</f>
        <v>["ELIGIBLE"]</v>
      </c>
    </row>
    <row r="1091">
      <c r="A1091" s="24" t="str">
        <f>IFERROR(__xludf.DUMMYFUNCTION("""COMPUTED_VALUE"""),"Ground beetle (Coleoptera, Carabidae) life history traits as indicators of habitat recovering processes in postindustrial areas")</f>
        <v>Ground beetle (Coleoptera, Carabidae) life history traits as indicators of habitat recovering processes in postindustrial areas</v>
      </c>
      <c r="B1091" s="24" t="str">
        <f>IFERROR(__xludf.DUMMYFUNCTION("""COMPUTED_VALUE"""),"The recovery of postindustrial ecosystems is difficult to predict and depends on numerous factors. Afforestation whereby trees are planted without improvement of soil properties is a popular means of landfill reclamation in Europe, to inhibit the effect o"&amp;"f soil erosion. This slows down or completely prevents effective recolonization of many natural ecosystem components. The aim of the study was to test a method using the life-history traits of ground beetle assemblages as a predictor of the effectiveness "&amp;"of ecological restoration in afforested areas. The study was conducted on 45 sampling transects located in three ecosystem types: afforested landfills, landfills where spontaneous succession took place and reference forests. The following carabid life his"&amp;"tory traits were analysed: body size, dispersal power, food preferences, breeding type, and habitat preferences. In total, 2036 specimens belonging to 36 Carabidae species were collected. Non-metric multidimensional scaling was used to classify ground bee"&amp;"tle assemblages according to ecosystem types (analysis of dissimilarity showed significant distance differences, p &lt; .001). We noted shifts in life history traits towards early succession in assemblages of afforested areas. Generalized linear mixed models"&amp;" of afforested sites revealed significantly higher abundance of herbivorous, open-area species with medium body size, high dispersal power and a spring breeding cycle. In contrast, sites where spontaneous succession occured were dominated by carabids whos"&amp;"e life history traits were similar to those of assemblages inhabiting the reference forests, i.e. medium body-sized predators with low dispersal power and an autumn breeding cycle. We conclude that an approach based on ground beetle life-history traits ca"&amp;"n be a useful tool indicating the direction and effectiveness of ecosystem recovery in postindustrial areas and can be used as a measurable criterion for assessment of restoration activities.")</f>
        <v>The recovery of postindustrial ecosystems is difficult to predict and depends on numerous factors. Afforestation whereby trees are planted without improvement of soil properties is a popular means of landfill reclamation in Europe, to inhibit the effect of soil erosion. This slows down or completely prevents effective recolonization of many natural ecosystem components. The aim of the study was to test a method using the life-history traits of ground beetle assemblages as a predictor of the effectiveness of ecological restoration in afforested areas. The study was conducted on 45 sampling transects located in three ecosystem types: afforested landfills, landfills where spontaneous succession took place and reference forests. The following carabid life history traits were analysed: body size, dispersal power, food preferences, breeding type, and habitat preferences. In total, 2036 specimens belonging to 36 Carabidae species were collected. Non-metric multidimensional scaling was used to classify ground beetle assemblages according to ecosystem types (analysis of dissimilarity showed significant distance differences, p &lt; .001). We noted shifts in life history traits towards early succession in assemblages of afforested areas. Generalized linear mixed models of afforested sites revealed significantly higher abundance of herbivorous, open-area species with medium body size, high dispersal power and a spring breeding cycle. In contrast, sites where spontaneous succession occured were dominated by carabids whose life history traits were similar to those of assemblages inhabiting the reference forests, i.e. medium body-sized predators with low dispersal power and an autumn breeding cycle. We conclude that an approach based on ground beetle life-history traits can be a useful tool indicating the direction and effectiveness of ecosystem recovery in postindustrial areas and can be used as a measurable criterion for assessment of restoration activities.</v>
      </c>
      <c r="C1091" s="24" t="str">
        <f>IFERROR(__xludf.DUMMYFUNCTION("""COMPUTED_VALUE"""),"10.1016/j.ecoleng.2019.105615")</f>
        <v>10.1016/j.ecoleng.2019.105615</v>
      </c>
      <c r="D1091" s="24" t="str">
        <f>IFERROR(__xludf.DUMMYFUNCTION("""COMPUTED_VALUE"""),"Keck et al")</f>
        <v>Keck et al</v>
      </c>
      <c r="E1091" s="24" t="str">
        <f>IFERROR(__xludf.DUMMYFUNCTION("""COMPUTED_VALUE"""),"WOS:000497646800002")</f>
        <v>WOS:000497646800002</v>
      </c>
      <c r="F1091" s="24" t="str">
        <f>IFERROR(__xludf.DUMMYFUNCTION("""COMPUTED_VALUE"""),"[""ELIGIBLE""]")</f>
        <v>["ELIGIBLE"]</v>
      </c>
    </row>
    <row r="1092">
      <c r="A1092" s="24" t="str">
        <f>IFERROR(__xludf.DUMMYFUNCTION("""COMPUTED_VALUE"""),"Dynamics of Cyanobacteria and Related Environmental Drivers in Freshwater Bodies Affected by Mitten Crab Culturing: A Study of Lake Guchenghu, China")</f>
        <v>Dynamics of Cyanobacteria and Related Environmental Drivers in Freshwater Bodies Affected by Mitten Crab Culturing: A Study of Lake Guchenghu, China</v>
      </c>
      <c r="B1092" s="24" t="str">
        <f>IFERROR(__xludf.DUMMYFUNCTION("""COMPUTED_VALUE"""),"Mitten crab aquaculture is prevalent in China, however, knowledge about the threat of cyanobacteria in mitten crab aquaculture-impacted water bodies is limited. Here, seasonal variations of cyanobacteria and their relationships with environmental factors "&amp;"were investigated for Lake Guchenghu area. Results suggested the changes of cyanobacteria community in crab ponds distinguished from the adjacent lake. In the lake, cyanobacterial biomass (3.86 mg/L, 34.6% of the total phytoplankton) was the highest in au"&amp;"tumn with the dominance of Oscillatoria, Aphanocapsa and Pesudanabaena. By contrast, in crab ponds, cyanobacteria (46.80 mg/L, 97.2% of the total phytoplankton biomass) were the most abundant in summer when Pesudanabaena and Raphidiopsis were the dominant"&amp;" species. Of particular note was that obviously higher abundance of filamentous and potentially harmful species (e.g., Raphidiopsis raciborskii and Dolichospermum circinale) were observed in ponds compared to the lake. Specifically, water depth (WD), perm"&amp;"anganate index (CODMn), total phosphorus (TP), N:P ratio, and NO2(-)-N were the key environmental variables affected cyanobacteria composition. For crab ponds, N:P ratio, water temperature (WT) and TP were the potential environmental drivers of cyanobacte"&amp;"ria development. This study highlighted the fact that mitten crab culture had non-negligible influences on the cyanobacteria community and additional attention should be paid to the cyanobacteria dynamics in mitten crab culture-impacted water bodies, espe"&amp;"cially for those potentially harmful species.")</f>
        <v>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v>
      </c>
      <c r="C1092" s="24" t="str">
        <f>IFERROR(__xludf.DUMMYFUNCTION("""COMPUTED_VALUE"""),"10.3390/w11122468")</f>
        <v>10.3390/w11122468</v>
      </c>
      <c r="D1092" s="24" t="str">
        <f>IFERROR(__xludf.DUMMYFUNCTION("""COMPUTED_VALUE"""),"Keck et al")</f>
        <v>Keck et al</v>
      </c>
      <c r="E1092" s="24" t="str">
        <f>IFERROR(__xludf.DUMMYFUNCTION("""COMPUTED_VALUE"""),"WOS:000507378600041")</f>
        <v>WOS:000507378600041</v>
      </c>
      <c r="F1092" s="24" t="str">
        <f>IFERROR(__xludf.DUMMYFUNCTION("""COMPUTED_VALUE"""),"[""ELIGIBLE""]")</f>
        <v>["ELIGIBLE"]</v>
      </c>
    </row>
    <row r="1093">
      <c r="A1093" s="24" t="str">
        <f>IFERROR(__xludf.DUMMYFUNCTION("""COMPUTED_VALUE"""),"Enriched root bacterial microbiome in invaded vs native ranges of the model grass allotetraploid Brachypodium hybridum")</f>
        <v>Enriched root bacterial microbiome in invaded vs native ranges of the model grass allotetraploid Brachypodium hybridum</v>
      </c>
      <c r="B1093" s="24" t="str">
        <f>IFERROR(__xludf.DUMMYFUNCTION("""COMPUTED_VALUE"""),"Invasive species can shift the composition of key soil microbial groups, thus creating novel soil microbial communities. To better understand the biological drivers of invasion, we studied plant-microbial interactions in species of the Brachypodium distac"&amp;"hyon complex, a model system for functional genomic studies of temperate grasses and bioenergy crops. While Brachypodium hybridum invasion in California is in an incipient stage, threatening natural and agricultural systems, its diploid progenitor species"&amp;" B. distachyon is not invasive in California. We investigated the root, soil, and rhizosphere bacterial composition of Brachypodium hybridum in both its native and invaded range, and of B. distachyon in the native range. We used high-throughput, amplicon "&amp;"sequencing to evaluate if the bacteria associated with these plants differ, and whether biotic controls may be driving B. hybridum invasion. Bacterial community composition of B. hybridum differed based on provenance (native or invaded range) for root, rh"&amp;"izosphere, and bulk soils, as did the abundance of dominant bacterial taxa. Bacteroidetes, Cyanobacteria and Bacillus spp. (species) were significantly more abundant in B. hybridum roots from the invaded range, whereas Proteobacteria, Firmicutes, Erwinia "&amp;"and Pseudomonas were more abundant in the native range roots. Brachypodium hybridum forms novel biotic interactions with a diverse suite of rhizosphere microbes from the invaded range, which may not exert a similar influence within its native range, osten"&amp;"sibly contributing to B. hybridum's invasiveness. These associated plant microbiomes could inform future management approaches for B. hybridum in its invaded range and could be key to understanding, predicting, and preventing future plant invasions.")</f>
        <v>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v>
      </c>
      <c r="C1093" s="24" t="str">
        <f>IFERROR(__xludf.DUMMYFUNCTION("""COMPUTED_VALUE"""),"10.1007/s10530-021-02692-4")</f>
        <v>10.1007/s10530-021-02692-4</v>
      </c>
      <c r="D1093" s="24" t="str">
        <f>IFERROR(__xludf.DUMMYFUNCTION("""COMPUTED_VALUE"""),"Keck et al")</f>
        <v>Keck et al</v>
      </c>
      <c r="E1093" s="24" t="str">
        <f>IFERROR(__xludf.DUMMYFUNCTION("""COMPUTED_VALUE"""),"WOS:000731373500001")</f>
        <v>WOS:000731373500001</v>
      </c>
      <c r="F1093" s="24" t="str">
        <f>IFERROR(__xludf.DUMMYFUNCTION("""COMPUTED_VALUE"""),"[""ELIGIBLE""]")</f>
        <v>["ELIGIBLE"]</v>
      </c>
    </row>
    <row r="1094">
      <c r="A1094" s="24" t="str">
        <f>IFERROR(__xludf.DUMMYFUNCTION("""COMPUTED_VALUE"""),"Impact of ecotourism on the fish fauna of Bonito region (Mato Grosso do Sul State, Brazil): ecological, behavioural and physiological measures")</f>
        <v>Impact of ecotourism on the fish fauna of Bonito region (Mato Grosso do Sul State, Brazil): ecological, behavioural and physiological measures</v>
      </c>
      <c r="B1094" s="24" t="str">
        <f>IFERROR(__xludf.DUMMYFUNCTION("""COMPUTED_VALUE"""),"Bonito, in Mato Grosso do Sul State, is an important destination for ecotourism in Brazil and the main challenge of sustainable ecotourism here has been to accommodate and adjust the increase of tourism without compromising the ecological integrity of the"&amp;" local ecosystems. In this study we aimed to assess the environmental impact of ecotourism on the fish fauna of Sucuri River in Bonito by integrating ecological, behaviour and physiological criteria and using the fish species Crenicichla lepidota and Moen"&amp;"khausia bonita as indicators. Two distinct sites were defined to collect data: (1) affected daily by ecotourism (Tourism) and (2) undisturbed (No Tourism). The stationary point count method was performed to assess variations in ecological parameters and a"&amp;"d libitum and focal animal methods were used to collect behaviour data. The cortisol response of M. bonita to a stress protocol was measured from holding-water. Results showed a significantly increase in species richness, density and diversity at the Tour"&amp;"ism site. Nevertheless, behaviour patterns indicated a higher stress at the Tourism site for both species as well higher cortisol levels for M. bonita. In opposition to the ecological measures, the behaviour and physiological ones may be interpreted as an"&amp;" early sign of negative impact caused by ecotourism, prior to changes at community level.")</f>
        <v>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v>
      </c>
      <c r="C1094" s="24" t="str">
        <f>IFERROR(__xludf.DUMMYFUNCTION("""COMPUTED_VALUE"""),"10.1590/S1679-62252014000100014")</f>
        <v>10.1590/S1679-62252014000100014</v>
      </c>
      <c r="D1094" s="24" t="str">
        <f>IFERROR(__xludf.DUMMYFUNCTION("""COMPUTED_VALUE"""),"Keck et al")</f>
        <v>Keck et al</v>
      </c>
      <c r="E1094" s="24" t="str">
        <f>IFERROR(__xludf.DUMMYFUNCTION("""COMPUTED_VALUE"""),"WOS:000336157100014")</f>
        <v>WOS:000336157100014</v>
      </c>
      <c r="F1094" s="24" t="str">
        <f>IFERROR(__xludf.DUMMYFUNCTION("""COMPUTED_VALUE"""),"[""ELIGIBLE""]")</f>
        <v>["ELIGIBLE"]</v>
      </c>
    </row>
    <row r="1095">
      <c r="A1095" s="24" t="str">
        <f>IFERROR(__xludf.DUMMYFUNCTION("""COMPUTED_VALUE"""),"Effects of in situ phosphorus enrichment on the benthos in a subalpine karst stream and implications for bioassessment in nature reserves")</f>
        <v>Effects of in situ phosphorus enrichment on the benthos in a subalpine karst stream and implications for bioassessment in nature reserves</v>
      </c>
      <c r="B1095" s="24" t="str">
        <f>IFERROR(__xludf.DUMMYFUNCTION("""COMPUTED_VALUE"""),"Park managers in nature reserves need scientifically defensible and operationally feasible ecological indicators to better manage protected areas for both nature conservation and tourism. Such needs are much more urgent in karst aquatic ecosystems where s"&amp;"pectacular natural scenic wonders attract millions of visitors to natural areas with streams and lakes that are particularly vulnerable to nutrient pollution. To identify a set of biotic indicators of phosphorus (P) pollution in a karst stream, we conduct"&amp;"ed an in situ P enrichment experiment in a nearly pristine karst stream located at a UNESCO world heritage site in China. Our results show that both benthic algal assemblages and macroinvertebrates were sensitive to P enrichment. Changes in diatoms (e.g.,"&amp;" Achnanthidium minutissimum, Delicata delicatula) and macroinvertebrates (e.g., collectors) were indicative of P enrichment. The color change of travertine bryophyte beds from creamy white to green was largely due to increase in filamentous green algae su"&amp;"ch as Zygnema sp., which may provide a visual cue for P enrichment and pollution. Our findings, in conjunction with further studies that directly link these indicators with human disturbance (e.g., tourist activities) throughout the park, could improve th"&amp;"e operation of park managers in minimizing tourist-induced nutrient pollution and in operationalizing these indicators in the current environmental monitoring and assessment program. Published by Elsevier Ltd.")</f>
        <v>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v>
      </c>
      <c r="C1095" s="24" t="str">
        <f>IFERROR(__xludf.DUMMYFUNCTION("""COMPUTED_VALUE"""),"10.1016/j.ecolind.2016.09.055")</f>
        <v>10.1016/j.ecolind.2016.09.055</v>
      </c>
      <c r="D1095" s="24" t="str">
        <f>IFERROR(__xludf.DUMMYFUNCTION("""COMPUTED_VALUE"""),"Keck et al")</f>
        <v>Keck et al</v>
      </c>
      <c r="E1095" s="24" t="str">
        <f>IFERROR(__xludf.DUMMYFUNCTION("""COMPUTED_VALUE"""),"WOS:000398334400028")</f>
        <v>WOS:000398334400028</v>
      </c>
      <c r="F1095" s="24" t="str">
        <f>IFERROR(__xludf.DUMMYFUNCTION("""COMPUTED_VALUE"""),"[""ELIGIBLE""]")</f>
        <v>["ELIGIBLE"]</v>
      </c>
    </row>
    <row r="1096">
      <c r="A1096" s="24" t="str">
        <f>IFERROR(__xludf.DUMMYFUNCTION("""COMPUTED_VALUE"""),"Rainforest Conversion to Rubber Plantation May Not Result in Lower Soil Diversity of Bacteria, Fungi, and Nematodes")</f>
        <v>Rainforest Conversion to Rubber Plantation May Not Result in Lower Soil Diversity of Bacteria, Fungi, and Nematodes</v>
      </c>
      <c r="B1096" s="24" t="str">
        <f>IFERROR(__xludf.DUMMYFUNCTION("""COMPUTED_VALUE"""),"Large areas of rainforest in Asia have been converted to plantations, with uncertain effects on soil biodiversity. Using standard metagenetic methods, we compared the soil biota of bacteria, fungi, and nematodes at three rainforest sites in Malaysia with "&amp;"two rubber plantation sites with similar soils and geology. We predicted the following: (1) that the rubber sites would have a lower alpha- and beta-diversity than the rainforest sites, due to the monospecific canopy cover and intensive management with he"&amp;"rbicides, pesticides, and fertilizers, and (2) that due to differences in the physical and biotic environment associated with cultivation, there would be distinct communities of bacteria, fungi, and nematodes. However, regarding (1), the results showed no"&amp;" consistent difference in alpha- and beta-diversity of bacteria, fungi, or nematodes between rainforest and rubber plantation sites. It appears that conversion of rainforest to rubber plantations does not necessarily result in a decrease in diversity of s"&amp;"oil biota. It may be that heterogeneity associated with the cultivation regimen compensates for loss of biotically imposed heterogeneity of the original rainforest. Regarding (2), as predicted there were statistically significant differences in community "&amp;"composition between rainforest and rubber plantation for bacteria, fungi, and nematodes. These differences could be related to a range of factors including light level, litter fall composition, pH, C and N, selecting a distinct set of soil taxa, and it is"&amp;" possible that this in itself would affect long-term soil function.")</f>
        <v>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v>
      </c>
      <c r="C1096" s="24" t="str">
        <f>IFERROR(__xludf.DUMMYFUNCTION("""COMPUTED_VALUE"""),"10.1007/s00248-016-0790-0")</f>
        <v>10.1007/s00248-016-0790-0</v>
      </c>
      <c r="D1096" s="24" t="str">
        <f>IFERROR(__xludf.DUMMYFUNCTION("""COMPUTED_VALUE"""),"Keck et al")</f>
        <v>Keck et al</v>
      </c>
      <c r="E1096" s="24" t="str">
        <f>IFERROR(__xludf.DUMMYFUNCTION("""COMPUTED_VALUE"""),"WOS:000379708500009")</f>
        <v>WOS:000379708500009</v>
      </c>
      <c r="F1096" s="24" t="str">
        <f>IFERROR(__xludf.DUMMYFUNCTION("""COMPUTED_VALUE"""),"[""ELIGIBLE""]")</f>
        <v>["ELIGIBLE"]</v>
      </c>
    </row>
    <row r="1097">
      <c r="A1097" s="24" t="str">
        <f>IFERROR(__xludf.DUMMYFUNCTION("""COMPUTED_VALUE"""),"Direct evidence of native ant displacement by the Argentine ant in island ecosystems")</f>
        <v>Direct evidence of native ant displacement by the Argentine ant in island ecosystems</v>
      </c>
      <c r="B1097" s="24" t="str">
        <f>IFERROR(__xludf.DUMMYFUNCTION("""COMPUTED_VALUE"""),"Ecological impacts associated with ant introductions have received considerable attention, but most studies that report on these impacts contrast species assemblages between invaded and uninvaded sites. Given the low inferential power of this type of spac"&amp;"e-for-time comparison, alternative approaches are needed to evaluate claims that ant invasions drive native species loss. Here, we use long-term data sets from two different Argentine ant eradication programs on the California Channel Islands to examine h"&amp;"ow the richness and composition of native ant assemblages change before and after invasion (but prior to the initiation of treatments). At four different sites on two different islands, pre-invasion native ant assemblages closely resembled those at uninva"&amp;"ded (control) sites in terms of species richness, species composition, and the presence of multiple indicator species. Invader arrival coincided with large (&gt; 75%) and rapid (within 1 year) declines in species richness, shifts in species composition, and "&amp;"the loss of indicator species. These impacts will hopefully be reversed by the recolonization of formerly invaded areas by native ant species following Argentine ant treatment, and long-term studies of native ant recovery at these sites are ongoing. Unche"&amp;"cked spread of the Argentine ant on other islands in this archipelago, however, poses a grave threat to native ants, which include a number of endemic taxa.")</f>
        <v>Ecological impacts associated with ant introductions have received considerable attention, but most studies that report on these impacts contrast species assemblages between invaded and uninvaded sites. Given the low inferential power of this type of space-for-time comparison, alternative approaches are needed to evaluate claims that ant invasions drive native species loss. Here, we use long-term data sets from two different Argentine ant eradication programs on the California Channel Islands to examine how the richness and composition of native ant assemblages change before and after invasion (but prior to the initiation of treatments). At four different sites on two different islands, pre-invasion native ant assemblages closely resembled those at uninvaded (control) sites in terms of species richness, species composition, and the presence of multiple indicator species. Invader arrival coincided with large (&gt; 75%) and rapid (within 1 year) declines in species richness, shifts in species composition, and the loss of indicator species. These impacts will hopefully be reversed by the recolonization of formerly invaded areas by native ant species following Argentine ant treatment, and long-term studies of native ant recovery at these sites are ongoing. Unchecked spread of the Argentine ant on other islands in this archipelago, however, poses a grave threat to native ants, which include a number of endemic taxa.</v>
      </c>
      <c r="C1097" s="24" t="str">
        <f>IFERROR(__xludf.DUMMYFUNCTION("""COMPUTED_VALUE"""),"10.1007/s10530-019-02121-7")</f>
        <v>10.1007/s10530-019-02121-7</v>
      </c>
      <c r="D1097" s="24" t="str">
        <f>IFERROR(__xludf.DUMMYFUNCTION("""COMPUTED_VALUE"""),"Keck et al")</f>
        <v>Keck et al</v>
      </c>
      <c r="E1097" s="24" t="str">
        <f>IFERROR(__xludf.DUMMYFUNCTION("""COMPUTED_VALUE"""),"WOS:000495307000001")</f>
        <v>WOS:000495307000001</v>
      </c>
      <c r="F1097" s="24" t="str">
        <f>IFERROR(__xludf.DUMMYFUNCTION("""COMPUTED_VALUE"""),"[""ELIGIBLE""]")</f>
        <v>["ELIGIBLE"]</v>
      </c>
    </row>
    <row r="1098">
      <c r="A1098" s="24" t="str">
        <f>IFERROR(__xludf.DUMMYFUNCTION("""COMPUTED_VALUE"""),"Microbial community structure in the river sediments from upstream of Guanting Reservoir: Potential impacts of reclaimed water recharge")</f>
        <v>Microbial community structure in the river sediments from upstream of Guanting Reservoir: Potential impacts of reclaimed water recharge</v>
      </c>
      <c r="B1098" s="24" t="str">
        <f>IFERROR(__xludf.DUMMYFUNCTION("""COMPUTED_VALUE"""),"This work systematically investigated the microbial community structure in the river sediments from upstream of Guanting Reservoir, Beijing. China. A total of 6 wastewater treatment plants (WWTPs) locate along the main rivers connected to the reservoir. W"&amp;"ater and sediment samples were collected at sites near the effluents of WWTPs (regarded as W groups) or at the upstream/downstream rivers (R groups) to reveal the roles of the reclaimed water recharge. Multivariate techniques including typical statistical"&amp;" analysis, redundancy analysis (RDA), nonmetric multidimensional scaling analysis, and molecular ecological network analysis were used to evaluate the results and their relationships. The representative C/N/P water parameters and concentrations of target "&amp;"organic contaminants kept stable for W and R sites, while the microbial community parameters varied greatly for two groups. The microbial population at W sites were higher but with a lower biological diversity (with a lower Shannon index) than that at R s"&amp;"ites, indicating WWTPs greatly altered the microbial community structure at the local reach. RDA results revealed that total organic carbon (TOC) and organophosphorus pesticides (OPPs) were two dominant factors affecting the function and composition of mi"&amp;"crobial communities at the phylum level. The network analysis revealed that the microbes with the most interactions mainly from R sites and they had closer relationships with each other. (C) 2020 Elsevier B.V. All rights reserved.")</f>
        <v>This work systematically investigated the microbial community structure in the river sediments from upstream of Guanting Reservoir, Beijing. China. A total of 6 wastewater treatment plants (WWTPs) locate along the main rivers connected to the reservoir. Water and sediment samples were collected at sites near the effluents of WWTPs (regarded as W groups) or at the upstream/downstream rivers (R groups) to reveal the roles of the reclaimed water recharge. Multivariate techniques including typical statistical analysis, redundancy analysis (RDA), nonmetric multidimensional scaling analysis, and molecular ecological network analysis were used to evaluate the results and their relationships. The representative C/N/P water parameters and concentrations of target organic contaminants kept stable for W and R sites, while the microbial community parameters varied greatly for two groups. The microbial population at W sites were higher but with a lower biological diversity (with a lower Shannon index) than that at R sites, indicating WWTPs greatly altered the microbial community structure at the local reach. RDA results revealed that total organic carbon (TOC) and organophosphorus pesticides (OPPs) were two dominant factors affecting the function and composition of microbial communities at the phylum level. The network analysis revealed that the microbes with the most interactions mainly from R sites and they had closer relationships with each other. (C) 2020 Elsevier B.V. All rights reserved.</v>
      </c>
      <c r="C1098" s="24" t="str">
        <f>IFERROR(__xludf.DUMMYFUNCTION("""COMPUTED_VALUE"""),"10.1016/j.scitotenv.2020.142609")</f>
        <v>10.1016/j.scitotenv.2020.142609</v>
      </c>
      <c r="D1098" s="24" t="str">
        <f>IFERROR(__xludf.DUMMYFUNCTION("""COMPUTED_VALUE"""),"Keck et al")</f>
        <v>Keck et al</v>
      </c>
      <c r="E1098" s="24" t="str">
        <f>IFERROR(__xludf.DUMMYFUNCTION("""COMPUTED_VALUE"""),"WOS:000617676800035")</f>
        <v>WOS:000617676800035</v>
      </c>
      <c r="F1098" s="24" t="str">
        <f>IFERROR(__xludf.DUMMYFUNCTION("""COMPUTED_VALUE"""),"[""ELIGIBLE""]")</f>
        <v>["ELIGIBLE"]</v>
      </c>
    </row>
    <row r="1099">
      <c r="A1099" s="24" t="str">
        <f>IFERROR(__xludf.DUMMYFUNCTION("""COMPUTED_VALUE"""),"Influence of exotic horses on the use of water by communities of native wildlife in a semi-arid environment")</f>
        <v>Influence of exotic horses on the use of water by communities of native wildlife in a semi-arid environment</v>
      </c>
      <c r="B1099" s="24" t="str">
        <f>IFERROR(__xludf.DUMMYFUNCTION("""COMPUTED_VALUE"""),"Introduced species can impact native communities by altering competition dynamics. Large exotic species, such as the horse (Equus caballus), may have a competitive advantage over smaller native species and could exclude them from access to limited resourc"&amp;"es. Our objective was to determine the influence of the exotic horse on the use of water by native species in a semi-arid environment where availability of water is limited. From July 2010 to August 2011, we used remote cameras to monitor water sources in"&amp;" the Great Basin Desert where horses had drinking access and where horses were excluded (with fencing) to compare 1) composition of native communities and 2) water usage by native species. We captured 96,601 images representing 40 species of birds (29,396"&amp;" images) and 13 species of mammals (67,205 images). Of the 67,205 images of mammals, 79% contained horses. Horses were associated with decreased richness and diversity of native species at water sources. Furthermore, native species had fewer visits and sp"&amp;"ent less time at water sources frequented by horses. Our results indicated that horses displaced other species at water sources providing evidence of a negative influence on how communities of native wildlife access a limited resource in an arid environme"&amp;"nt. (C) 2015 The Authors. Published by Elsevier Ltd.")</f>
        <v>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v>
      </c>
      <c r="C1099" s="24" t="str">
        <f>IFERROR(__xludf.DUMMYFUNCTION("""COMPUTED_VALUE"""),"10.1016/j.jaridenv.2015.11.008")</f>
        <v>10.1016/j.jaridenv.2015.11.008</v>
      </c>
      <c r="D1099" s="24" t="str">
        <f>IFERROR(__xludf.DUMMYFUNCTION("""COMPUTED_VALUE"""),"Keck et al")</f>
        <v>Keck et al</v>
      </c>
      <c r="E1099" s="24" t="str">
        <f>IFERROR(__xludf.DUMMYFUNCTION("""COMPUTED_VALUE"""),"WOS:000370893900011")</f>
        <v>WOS:000370893900011</v>
      </c>
      <c r="F1099" s="24" t="str">
        <f>IFERROR(__xludf.DUMMYFUNCTION("""COMPUTED_VALUE"""),"[""ELIGIBLE""]")</f>
        <v>["ELIGIBLE"]</v>
      </c>
    </row>
    <row r="1100">
      <c r="A1100" s="24" t="str">
        <f>IFERROR(__xludf.DUMMYFUNCTION("""COMPUTED_VALUE"""),"Direct and indirect effects of an anti-fouling biocide on benthic microalgae and meiofauna")</f>
        <v>Direct and indirect effects of an anti-fouling biocide on benthic microalgae and meiofauna</v>
      </c>
      <c r="B1100" s="24" t="str">
        <f>IFERROR(__xludf.DUMMYFUNCTION("""COMPUTED_VALUE"""),"When multitrophic, natural communities are exposed to a contaminant, indirect, food-web mediated effects may become as important as direct toxic effects. In this study the antifouling agent copper pyrithione (CPT) was used as a model toxicant to study tox"&amp;"ic effects on microphytobenthos (MPB) and meiofauna, as well as on the interaction between them. The hypothesis was that exposure to CPT will decrease meiofaunal grazing pressure and that this effect would result in increased primary production and biomas"&amp;"s of MPB. Two laboratory experiments (16 and 29days long) were performed, using natural sediment that was exposed to both acute and repeated exposure of CPT (final dose 5 nmol CPT per g dry weight sediment). Variables measured included light utilization e"&amp;"fficiency of MPB (PAM fluorometry), primary production (C-14-uptake), chi a content of the sediment, algal composition, meiofauna biomass and meiofaunal grazing pressure on MPB (C-14-incubations). Although CPT, added as a single dose or repeatedly, affect"&amp;"ed both MPB and meiofauna, no strong mechanistic evidence for a top-down control was found. The clearest direct CPT effects were seen for MPB function (light utilization efficiency and primary production), while algal biomass and composition were only mar"&amp;"ginally affected. MPB recovered rapidly from the toxicant exposure, a finding that verified the conclusion from previous experiments that the MPB community is highly resilient. The magnitude of the direct response of the microalgae depended on whether the"&amp;" total dose of CPT was added as one initial dose or divided between several additions; effects were larger after one initial dose. Although meiofauna biomass decreased at CPT exposure in both experiments, this decline was not reflected in decreased grazin"&amp;"g pressure on MPB. Meiofauna grazed between 1 and 12% of the algal biomass per day. The lack of a clear top-down effect from CPT on MPB could have several both biological and methodological reasons, such as low sensitivity of the meiofaunal species to CPT"&amp;", and a combination of simultaneously operating bottom-up and top-down effects from CPT. (C) 2007 Elsevier B.V. All rights reserved.")</f>
        <v>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v>
      </c>
      <c r="C1100" s="24" t="str">
        <f>IFERROR(__xludf.DUMMYFUNCTION("""COMPUTED_VALUE"""),"10.1016/j.jembe.2007.06.006")</f>
        <v>10.1016/j.jembe.2007.06.006</v>
      </c>
      <c r="D1100" s="24" t="str">
        <f>IFERROR(__xludf.DUMMYFUNCTION("""COMPUTED_VALUE"""),"Keck et al")</f>
        <v>Keck et al</v>
      </c>
      <c r="E1100" s="24" t="str">
        <f>IFERROR(__xludf.DUMMYFUNCTION("""COMPUTED_VALUE"""),"WOS:000250152400006")</f>
        <v>WOS:000250152400006</v>
      </c>
      <c r="F1100" s="24" t="str">
        <f>IFERROR(__xludf.DUMMYFUNCTION("""COMPUTED_VALUE"""),"[""ELIGIBLE""]")</f>
        <v>["ELIGIBLE"]</v>
      </c>
    </row>
    <row r="1101">
      <c r="A1101" s="24" t="str">
        <f>IFERROR(__xludf.DUMMYFUNCTION("""COMPUTED_VALUE"""),"Recolonization patterns of benthic assemblages after relict sand dredging in the central Tyrrhenian sea")</f>
        <v>Recolonization patterns of benthic assemblages after relict sand dredging in the central Tyrrhenian sea</v>
      </c>
      <c r="B1101" s="24" t="str">
        <f>IFERROR(__xludf.DUMMYFUNCTION("""COMPUTED_VALUE"""),"Recolonization patterns of benthic assemblages after relict sand dredging were investigated in an area offshore of Capo d'Anzio (central Tyrrhenian Sea). Surveys were performed before, during, and after dredging in 2007. Sampling stations were located wit"&amp;"hin and outside the dredging site in water depths between 40 and 56 m. Defaunation due to sand extraction was the main impact observed in the inner stations and in stations located in proximity of the dredging site. At the inner stations, 9 months after d"&amp;"redging, a significant increase in species richness and diversity was observed: the sediment removal led to an increase of the sandy sediment fraction, favouring the settlement of sabulicolous species. A decrease in number of individuals and species was a"&amp;"lso observed in most of the outer stations, probably due to fine sediment redeposition. Recolonization of macrobenthic assemblages was essentially achieved at inner stations both in terms of abundance and species richness, while at outer stations it was s"&amp;"till in progress. Results of this study, providing a picture of recovery times and processes in the Tyrrhenian Sea, could be used to develop predictions of the effects of future offshore sand dredging projects in comparable areas. Monitoring programs and "&amp;"research have a key role to provide a more detailed overview of biological recovery processes and times in different regions and with different dredging intensity.")</f>
        <v>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v>
      </c>
      <c r="C1101" s="24" t="str">
        <f>IFERROR(__xludf.DUMMYFUNCTION("""COMPUTED_VALUE"""),"10.1111/maec.12615")</f>
        <v>10.1111/maec.12615</v>
      </c>
      <c r="D1101" s="24" t="str">
        <f>IFERROR(__xludf.DUMMYFUNCTION("""COMPUTED_VALUE"""),"Keck et al")</f>
        <v>Keck et al</v>
      </c>
      <c r="E1101" s="24" t="str">
        <f>IFERROR(__xludf.DUMMYFUNCTION("""COMPUTED_VALUE"""),"WOS:000570195200001")</f>
        <v>WOS:000570195200001</v>
      </c>
      <c r="F1101" s="24" t="str">
        <f>IFERROR(__xludf.DUMMYFUNCTION("""COMPUTED_VALUE"""),"[""ELIGIBLE""]")</f>
        <v>["ELIGIBLE"]</v>
      </c>
    </row>
    <row r="1102">
      <c r="A1102" s="24" t="str">
        <f>IFERROR(__xludf.DUMMYFUNCTION("""COMPUTED_VALUE"""),"LDPE microplastic films alter microbial community composition and enzymatic activities in soil")</f>
        <v>LDPE microplastic films alter microbial community composition and enzymatic activities in soil</v>
      </c>
      <c r="B1102" s="24" t="str">
        <f>IFERROR(__xludf.DUMMYFUNCTION("""COMPUTED_VALUE"""),"Concerns regarding microplastic contamination have spread from aquatic environments to terrestrial systems with a growing number of studies have been reported. Notwithstanding, the potential effects on soil ecosystems remain largely unexplored. In this st"&amp;"udy, the effects of polyethylene microplastics on soil enzymatic activities and the bacterial community were evaluated, and the microbiota colonizing on microplastics were also investigated. Microplastic amendment (2000 fragments per kg soil) significantl"&amp;"y increased the urease and catalase activities in soil after 15 days, and no discernible alteration of invertase activities was detected. Results from high-throughput sequencing of 165 rRNA revealed that the alpha diversities (richness, evenness, and dive"&amp;"rsity) of the microbiota in soil were not obviously changed by the PE amendment, whereas the diversity indexes of microbiota on plastic fragments were significantly lower than those in the control and amended soils. Different taxonomic composition was obs"&amp;"erved in between the control and amended soils after 90 days of incubation. Bacterial assemblages with distinct community structure colonized the PE microplastics. Additionally, several taxa including plastic-degrading bacteria and pathogens were more abu"&amp;"ndant on microplastics. Simultaneously, the predicted functional profiles showed that the pathways of amino acid metabolism and xenobiotics biodegradation and metabolism were higher on the microplastics. These results indicated that micro plastics in soil"&amp;", compared with those in aquatic environments, can also act as a distinct microbial habitat, potentially altering the ecological functions of soil ecosystems. (C) 2019 Elsevier Ltd. All rights reserved.")</f>
        <v>Concerns regarding microplastic contamination have spread from aquatic environments to terrestrial systems with a growing number of studies have been reported. Notwithstanding, the potential effects on soil ecosystems remain largely unexplored. In this study, the effects of polyethylene microplastics on soil enzymatic activities and the bacterial community were evaluated, and the microbiota colonizing on microplastics were also investigated. Microplastic amendment (2000 fragments per kg soil) significantly increased the urease and catalase activities in soil after 15 days, and no discernible alteration of invertase activities was detected. Results from high-throughput sequencing of 165 rRNA revealed that the alpha diversities (richness, evenness, and diversity) of the microbiota in soil were not obviously changed by the PE amendment, whereas the diversity indexes of microbiota on plastic fragments were significantly lower than those in the control and amended soils. Different taxonomic composition was observed in between the control and amended soils after 90 days of incubation. Bacterial assemblages with distinct community structure colonized the PE microplastics. Additionally, several taxa including plastic-degrading bacteria and pathogens were more abundant on microplastics. Simultaneously, the predicted functional profiles showed that the pathways of amino acid metabolism and xenobiotics biodegradation and metabolism were higher on the microplastics. These results indicated that micro plastics in soil, compared with those in aquatic environments, can also act as a distinct microbial habitat, potentially altering the ecological functions of soil ecosystems. (C) 2019 Elsevier Ltd. All rights reserved.</v>
      </c>
      <c r="C1102" s="24" t="str">
        <f>IFERROR(__xludf.DUMMYFUNCTION("""COMPUTED_VALUE"""),"10.1016/j.envpol.2019.112983")</f>
        <v>10.1016/j.envpol.2019.112983</v>
      </c>
      <c r="D1102" s="24" t="str">
        <f>IFERROR(__xludf.DUMMYFUNCTION("""COMPUTED_VALUE"""),"Keck et al")</f>
        <v>Keck et al</v>
      </c>
      <c r="E1102" s="24" t="str">
        <f>IFERROR(__xludf.DUMMYFUNCTION("""COMPUTED_VALUE"""),"WOS:000488887500091")</f>
        <v>WOS:000488887500091</v>
      </c>
      <c r="F1102" s="24" t="str">
        <f>IFERROR(__xludf.DUMMYFUNCTION("""COMPUTED_VALUE"""),"[""ELIGIBLE""]")</f>
        <v>["ELIGIBLE"]</v>
      </c>
    </row>
    <row r="1103">
      <c r="A1103" s="24" t="str">
        <f>IFERROR(__xludf.DUMMYFUNCTION("""COMPUTED_VALUE"""),"Anthropogenic Litter in Urban Freshwater Ecosystems: Distribution and Microbial Interactions")</f>
        <v>Anthropogenic Litter in Urban Freshwater Ecosystems: Distribution and Microbial Interactions</v>
      </c>
      <c r="B1103" s="24" t="str">
        <f>IFERROR(__xludf.DUMMYFUNCTION("""COMPUTED_VALUE"""),"Accumulation of anthropogenic litter (i.e. garbage; AL) and its ecosystem effects in marine environments are well documented. Rivers receive AL from terrestrial habitats and represent a major source of AL to marine environments, but AL is rarely studied w"&amp;"ithin freshwater ecosystems. Our objectives were to 1) quantify AL density in urban freshwaters, 2) compare AL abundance among freshwater, terrestrial, and marine ecosystems, and 3) characterize the activity and composition of AL biofilms in freshwater ha"&amp;"bitats. We quantified AL from the Chicago River and Chicago's Lake Michigan shoreline, and found that AL abundance in Chicago freshwater ecosystems was comparable to previously reported data for marine and terrestrial ecosystems, although AL density and c"&amp;"omposition differed among habitats. To assess microbial interactions with AL, we incubated AL and natural substrates in 3 freshwater ecosystems, quantified biofilm metabolism as gross primary production (GPP) and community respiration (CR), and characteri"&amp;"zed biofilm bacterial community composition via high-throughput sequencing of 16S rRNA genes. The main driver of biofilm community composition was incubation location (e.g., river vs pond), but there were some significant differences in biofilm compositio"&amp;"n and metabolism among substrates. For example, biofilms on organic substrates (cardboard and leaves) had lower GPP than hard substrates (glass, plastic, aluminum and tiles). In addition, bacterial communities on organic substrates were distinct in compos"&amp;"ition from those on hard substrates, with higher relative abundances of bacteria associated with cellulose decomposition. Finally, we used our results to develop a conceptual diagram designed to unite the study of AL in terrestrial and freshwater environm"&amp;"ents with the well-established field of marine debris research. We suggest this broad perspective will be useful for future studies which synthesize AL sources, ecosystem effects, and fate across multiple ecosystem types, and will benefit management and r"&amp;"eduction of global AL accumulations.")</f>
        <v>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v>
      </c>
      <c r="C1103" s="24" t="str">
        <f>IFERROR(__xludf.DUMMYFUNCTION("""COMPUTED_VALUE"""),"10.1371/journal.pone.0098485")</f>
        <v>10.1371/journal.pone.0098485</v>
      </c>
      <c r="D1103" s="24" t="str">
        <f>IFERROR(__xludf.DUMMYFUNCTION("""COMPUTED_VALUE"""),"Keck et al")</f>
        <v>Keck et al</v>
      </c>
      <c r="E1103" s="24" t="str">
        <f>IFERROR(__xludf.DUMMYFUNCTION("""COMPUTED_VALUE"""),"WOS:000338917900002")</f>
        <v>WOS:000338917900002</v>
      </c>
      <c r="F1103" s="24" t="str">
        <f>IFERROR(__xludf.DUMMYFUNCTION("""COMPUTED_VALUE"""),"[""ELIGIBLE""]")</f>
        <v>["ELIGIBLE"]</v>
      </c>
    </row>
    <row r="1104">
      <c r="A1104" s="24" t="str">
        <f>IFERROR(__xludf.DUMMYFUNCTION("""COMPUTED_VALUE"""),"Biotic and abiotic changes in subtropical seasonal deciduous forest associated with invasion by Hovenia dulcis Thunb. (Rhamnaceae)")</f>
        <v>Biotic and abiotic changes in subtropical seasonal deciduous forest associated with invasion by Hovenia dulcis Thunb. (Rhamnaceae)</v>
      </c>
      <c r="B1104" s="24" t="str">
        <f>IFERROR(__xludf.DUMMYFUNCTION("""COMPUTED_VALUE"""),"Several tree species are found among the most well-know and impacting invasive plants that produce changes in richness, abundance and composition of native plant species as well as in environmental characteristics and ecosystem functioning. Hovenia dulcis"&amp;" Thunb. (Rhamnaceae) is a tree native to East Asia, invasive in southern South America in different forest ecosystems. This study was aimed at assessing the effects of H. dulcis on richness, abundance and composition of regenerating species in seasonal de"&amp;"ciduous forest (SDF) by comparing invaded and non-invaded areas. The existence of correlations between abundance and richness of regenerating species with age and density of the invasive species, as well as with characteristics of canopy openness, litter "&amp;"thickness, slope, and soil moisture, was investigated in areas invaded by H. dulcis. Differences observed in canopy openness and litter tickness between areas invaded by H. dulcis and control areas suggest that H. dulcis is able to change environmental co"&amp;"nditions on a local scale. Although no difference was observed in species richness between areas with and without H. dulcis, the differences registered in abundance and composition of regenerating species make the impact by H. dulcis on regeneration patte"&amp;"rns in SDF fragments evident. The impacts caused by H. dulcis on SDF confirmed by this study highlight the need for its control in legally protected areas and their immediate surroundings, as well as for the adoption of public policies to promote the subs"&amp;"titution of H. dulcis for locally native species.")</f>
        <v>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v>
      </c>
      <c r="C1104" s="24" t="str">
        <f>IFERROR(__xludf.DUMMYFUNCTION("""COMPUTED_VALUE"""),"10.1007/s10530-019-02089-4")</f>
        <v>10.1007/s10530-019-02089-4</v>
      </c>
      <c r="D1104" s="24" t="str">
        <f>IFERROR(__xludf.DUMMYFUNCTION("""COMPUTED_VALUE"""),"Keck et al")</f>
        <v>Keck et al</v>
      </c>
      <c r="E1104" s="24" t="str">
        <f>IFERROR(__xludf.DUMMYFUNCTION("""COMPUTED_VALUE"""),"WOS:000511569700011")</f>
        <v>WOS:000511569700011</v>
      </c>
      <c r="F1104" s="24" t="str">
        <f>IFERROR(__xludf.DUMMYFUNCTION("""COMPUTED_VALUE"""),"[""ELIGIBLE""]")</f>
        <v>["ELIGIBLE"]</v>
      </c>
    </row>
    <row r="1105">
      <c r="A1105" s="24" t="str">
        <f>IFERROR(__xludf.DUMMYFUNCTION("""COMPUTED_VALUE"""),"Effects of co-contamination of heavy metals and total petroleum hydrocarbons on soil bacterial community and function network reconstitution")</f>
        <v>Effects of co-contamination of heavy metals and total petroleum hydrocarbons on soil bacterial community and function network reconstitution</v>
      </c>
      <c r="B1105" s="24" t="str">
        <f>IFERROR(__xludf.DUMMYFUNCTION("""COMPUTED_VALUE"""),"Due to the accumulation of heavy metals in soil ecosystems, the response of soil microorganisms to the disturbance of heavy metals were widely studied. However, little was known about the interactions among microorganisms in heavy metals and total petrole"&amp;"um hydrocarbons (TPH) co-contaminated soils. In the present study, the microbiota shifts of 2 different contamination types of heavy metal-TPH polluted soils were investigated. NGS sequencing approach was adopted to illustrate the microbial community stru"&amp;"cture and to predict community function. Networks were established to reveal the interactions between microbes and environmental pollutants. Results showed that the alpha diversity and OTUs number of soil microbiota were reduced under heavy metals and TPH"&amp;" pollutants. TPH was the major pollutant in HT1 group, in which Proteobacteria phylum increased significantly, including Arenimonas genus, Sphingomonadaceae family and Burkholderiaceae family. Moreover, the function structures based on the KEGG database o"&amp;"f HT1 group was enriched in the benzene matter metabolism and bacterial motoricity in microbiota. In contrast, severe Cr-Pb-TPH co-pollutants in HT2 increased the abundance of Firmicutes. In details, the relative abundance of Streptococcus genus and Bacil"&amp;"li class raised sharply. The DNA replication functions in microbiota were enriched under severely contaminated soil as a result of high concentrations of heavy metals and TPH pollutants' damage to bacteria. Furthermore, according to the correlation analys"&amp;"is between microbes and the pollutants, Streptococcus, Neisseria, Aeromonas, Porphyromonas and Acinetobacter were suggested as the bioremediation bacteria for Cr and Pb polluted soils, while Syntrophaceae spp. and Immundisolibacter were suggested as the b"&amp;"ioremediation bacteria for TPH polluted soil. The study took a survey on the microbiota shifts of the heavy metals and TPH polluted soils, and the microbe's biomarkers provided new insights for the candidate strains of biodegradation, while further resear"&amp;"ches are required to verify the biodegradation mechanism of these biomarkers.")</f>
        <v>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v>
      </c>
      <c r="C1105" s="24" t="str">
        <f>IFERROR(__xludf.DUMMYFUNCTION("""COMPUTED_VALUE"""),"10.1016/j.ecoenv.2020.111083")</f>
        <v>10.1016/j.ecoenv.2020.111083</v>
      </c>
      <c r="D1105" s="24" t="str">
        <f>IFERROR(__xludf.DUMMYFUNCTION("""COMPUTED_VALUE"""),"Keck et al")</f>
        <v>Keck et al</v>
      </c>
      <c r="E1105" s="24" t="str">
        <f>IFERROR(__xludf.DUMMYFUNCTION("""COMPUTED_VALUE"""),"WOS:000574852400002")</f>
        <v>WOS:000574852400002</v>
      </c>
      <c r="F1105" s="24" t="str">
        <f>IFERROR(__xludf.DUMMYFUNCTION("""COMPUTED_VALUE"""),"[""ELIGIBLE""]")</f>
        <v>["ELIGIBLE"]</v>
      </c>
    </row>
    <row r="1106">
      <c r="A1106" s="24" t="str">
        <f>IFERROR(__xludf.DUMMYFUNCTION("""COMPUTED_VALUE"""),"Water quality and macroinvertebrate community response following pesticide applications in a banana plantation, Limon, Costa Rica")</f>
        <v>Water quality and macroinvertebrate community response following pesticide applications in a banana plantation, Limon, Costa Rica</v>
      </c>
      <c r="B1106" s="24" t="str">
        <f>IFERROR(__xludf.DUMMYFUNCTION("""COMPUTED_VALUE"""),"Pesticides used in banana production may enter watercourses and pose ecological risks for aquatic ecosystems. The occurrence and effects of pesticides in a stream draining a banana plantation was evaluated using chemical characterization, toxicity testing"&amp;" and macrobenthic community composition. All nematicides studied were detected in the surface waters of the banana plantation during application periods, with peak concentrations following applications. Toxicity tests were limited to the carbofuran applic"&amp;"ation and no toxicity was observed with the acute tests used. However, since pesticide concentrations were generally below the lowest LC50 value for crustaceans but above calculated aquatic quality criteria, there remains a risk of chronic toxicity. Accur"&amp;"ate ecological assessments of pesticide use in banana plantations are currently limited by the lack of local short-term chronic toxicity tests and tests using sensitive native species. Relatively constant levels of four pesticides (imazalil, thiabendazole"&amp;", chlorpyrifos and propiconazole), which had toxic effects according to the 96h hydra and 21d daphnia chronic test, were recorded in the effluent of the packing plant throughout the study, indicating that the solid waste trap used in this facility was not"&amp;" effective in eliminating toxic chemicals. Certain taxa, such as Heterelmis sp. (Elmidae), Heteragrion sp. (Megapodagrionidae, Odonata), Caenis sp. (Caenidae, Ephemerotera), and Smicridea sp. (Hidropsychidae, Trichoptera), were more abundant at reference "&amp;"sites than in the banana farm waters, and may be good candidates for toxicity testing. Multivariate analyses of the macroinvertebrate communities clearly showed that the banana plantation sites were significantly different from the reference sites. Moreov"&amp;"er, following the pesticide applications, all the banana plantation sites showed significant changes in community composition, with the same genera being affected at all sites and for all pesticides (terbufas, cadusafos and carbofuran). Consequently, the "&amp;"results presented here show that multivariate analysis of community composition was more sensitive in distinguishing pesticide effects than the toxicity tests and richness and composition measures used. We conclude that monitoring macroinvertebrate commun"&amp;"ities can be a powerful tool in the assessment of ecological effects of banana production. (c) 2006 Elsevier B.V All rights reserved.")</f>
        <v>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v>
      </c>
      <c r="C1106" s="24" t="str">
        <f>IFERROR(__xludf.DUMMYFUNCTION("""COMPUTED_VALUE"""),"10.1016/j.scitotenv.2006.02.052")</f>
        <v>10.1016/j.scitotenv.2006.02.052</v>
      </c>
      <c r="D1106" s="24" t="str">
        <f>IFERROR(__xludf.DUMMYFUNCTION("""COMPUTED_VALUE"""),"Keck et al")</f>
        <v>Keck et al</v>
      </c>
      <c r="E1106" s="24" t="str">
        <f>IFERROR(__xludf.DUMMYFUNCTION("""COMPUTED_VALUE"""),"WOS:000240179700037")</f>
        <v>WOS:000240179700037</v>
      </c>
      <c r="F1106" s="24" t="str">
        <f>IFERROR(__xludf.DUMMYFUNCTION("""COMPUTED_VALUE"""),"[""ELIGIBLE""]")</f>
        <v>["ELIGIBLE"]</v>
      </c>
    </row>
    <row r="1107">
      <c r="A1107" s="24" t="str">
        <f>IFERROR(__xludf.DUMMYFUNCTION("""COMPUTED_VALUE"""),"Variation in the diversity of semiaquatic bugs (Insecta: Heteroptera: Gerromorpha) in altered and preservedveredas")</f>
        <v>Variation in the diversity of semiaquatic bugs (Insecta: Heteroptera: Gerromorpha) in altered and preservedveredas</v>
      </c>
      <c r="B1107" s="24" t="str">
        <f>IFERROR(__xludf.DUMMYFUNCTION("""COMPUTED_VALUE"""),"Veredasenvironments play a critical role on the perennialization of streams in theCerradoBiome, but alterations to their physiognomies are becoming increasingly more common, which directly affects abiotic variation and the structure of biological communit"&amp;"ies. Our study evaluates the effect of abiotic variations and environmental alterations upon the abundance, richness, and composition of species of semiaquatic bugs, where we test whether there are significant differences in conserved and altered veredas."&amp;" Species richness was higher on alteredveredasand there was no difference in abundance between altered and preservedveredas. The composition of conservedveredaswas more homogeneous. Five species were associated with alteredveredasand one toconservedareas."&amp;" There were abiotic changes in the veredas that affected the abundance, richness, and/or composition of Gerromorpha. Ease of access to soil usage and to water for farming activities and pasture might be the main factors contributing to the alteration ofve"&amp;"redasin this region. Gerromorpha community structure was modified by the environmental passive in areas ofveredas, thus allowing to measure the degree of alterations to these systems, being a useful tool for monitoring and conservation.")</f>
        <v>Veredasenvironments play a critical role on the perennialization of streams in theCerradoBiome, but alterations to their physiognomies are becoming increasingly more common, which directly affects abiotic variation and the structure of biological communities. Our study evaluates the effect of abiotic variations and environmental alterations upon the abundance, richness, and composition of species of semiaquatic bugs, where we test whether there are significant differences in conserved and altered veredas. Species richness was higher on alteredveredasand there was no difference in abundance between altered and preservedveredas. The composition of conservedveredaswas more homogeneous. Five species were associated with alteredveredasand one toconservedareas. There were abiotic changes in the veredas that affected the abundance, richness, and/or composition of Gerromorpha. Ease of access to soil usage and to water for farming activities and pasture might be the main factors contributing to the alteration ofveredasin this region. Gerromorpha community structure was modified by the environmental passive in areas ofveredas, thus allowing to measure the degree of alterations to these systems, being a useful tool for monitoring and conservation.</v>
      </c>
      <c r="C1107" s="24" t="str">
        <f>IFERROR(__xludf.DUMMYFUNCTION("""COMPUTED_VALUE"""),"10.1007/s10750-020-04364-1")</f>
        <v>10.1007/s10750-020-04364-1</v>
      </c>
      <c r="D1107" s="24" t="str">
        <f>IFERROR(__xludf.DUMMYFUNCTION("""COMPUTED_VALUE"""),"Keck et al")</f>
        <v>Keck et al</v>
      </c>
      <c r="E1107" s="24" t="str">
        <f>IFERROR(__xludf.DUMMYFUNCTION("""COMPUTED_VALUE"""),"WOS:000554859000001")</f>
        <v>WOS:000554859000001</v>
      </c>
      <c r="F1107" s="24" t="str">
        <f>IFERROR(__xludf.DUMMYFUNCTION("""COMPUTED_VALUE"""),"[""ELIGIBLE""]")</f>
        <v>["ELIGIBLE"]</v>
      </c>
    </row>
    <row r="1108">
      <c r="A1108" s="24" t="str">
        <f>IFERROR(__xludf.DUMMYFUNCTION("""COMPUTED_VALUE"""),"Impact of cigarette butts on bacterial community structure in soil")</f>
        <v>Impact of cigarette butts on bacterial community structure in soil</v>
      </c>
      <c r="B1108" s="24" t="str">
        <f>IFERROR(__xludf.DUMMYFUNCTION("""COMPUTED_VALUE"""),"Cigarette butts contribute significantly to global pollution present on the planet. The filters found in cigarette butts contain a microplastic, cellulose acetate, as well as toxic metals and metalloids which are responsible for pollution in the environme"&amp;"nt. Although cigarette butt litter is prevalent in many soils, research on the effects of these cigarette butts is limited. In this study, we used Automated Ribosomal Intergenic Spacer Analysis (ARISA) to generate DNA fingerprints of bacterial communities"&amp;" in soil before and after the addition of cigarette butt leachate treatments. An ICP-MS analysis of the biodegradable and non-biodegradable cigarette butts revealed the presence of various elements: Al, As, B, Ba, Cd, Co, Cr, Cu, Fe, Hg, Mn, Mo, Ni, Pb, S"&amp;"b, Se, Sn, Sr, V, and Zn. The analysis also specified which metals were present at the highest concentrations in the biodegradable and non-biodegradable cigarette butts, and these were, respectively, Al (1,31 g/kg and 2,35 g/kg), Fe (2,03 g/kg and 1,11 g/"&amp;"kg), and Zn (3,18 mg/kg and 15,70 mg/kg). Our results show that biodegradable cigarette butts had a significant effect on bacterial community composition (beta diversity), unlike the non-biodegradable butts. This effect can be attributed to higher concent"&amp;"rations of certain metals and metalloids in the leachate of biodegradable cigarette butts compared to the non-biodegradable ones. Our findings suggest that biodegradable and non-biodegradable cigarette butts can significantly affect bacterial communities "&amp;"in soil as a result of the leaching of significant quantities of certain elements into the surrounding soils.")</f>
        <v>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v>
      </c>
      <c r="C1108" s="24" t="str">
        <f>IFERROR(__xludf.DUMMYFUNCTION("""COMPUTED_VALUE"""),"10.1007/s11356-021-13152-w")</f>
        <v>10.1007/s11356-021-13152-w</v>
      </c>
      <c r="D1108" s="24" t="str">
        <f>IFERROR(__xludf.DUMMYFUNCTION("""COMPUTED_VALUE"""),"Keck et al")</f>
        <v>Keck et al</v>
      </c>
      <c r="E1108" s="24" t="str">
        <f>IFERROR(__xludf.DUMMYFUNCTION("""COMPUTED_VALUE"""),"WOS:000622284400015")</f>
        <v>WOS:000622284400015</v>
      </c>
      <c r="F1108" s="24" t="str">
        <f>IFERROR(__xludf.DUMMYFUNCTION("""COMPUTED_VALUE"""),"[""ELIGIBLE""]")</f>
        <v>["ELIGIBLE"]</v>
      </c>
    </row>
    <row r="1109">
      <c r="A1109" s="24" t="str">
        <f>IFERROR(__xludf.DUMMYFUNCTION("""COMPUTED_VALUE"""),"Soil microarthropod communities of urban green spaces in Baltimore, Maryland, USA")</f>
        <v>Soil microarthropod communities of urban green spaces in Baltimore, Maryland, USA</v>
      </c>
      <c r="B1109" s="24" t="str">
        <f>IFERROR(__xludf.DUMMYFUNCTION("""COMPUTED_VALUE"""),"Urbanization fundamentally alters soil physiochemical properties, but little is known on how this human effect alters soil biota. Microarthropods are important bioindicators due to their sedentary life form and sensitivity to environmental changes. Taxono"&amp;"mic richness, abundance, diversity, distribution of microarthropod communities were investigated in three urban land use types, remnant forests, low maintenance grass, highly disturbed open spaces, and were compared to deciduous forest stands outside the "&amp;"city, that served as reference. In general, habitats with more disturbed soil decreased the diversity of mites and springtails compared to the native vegetation sites. The leaf litter layer both in reference and remnant forests benefited the microarthropo"&amp;"ds through providing food resources and favorable habitats. Among soil properties soil organic carbon and bulk density had significant effects on mites (Acarina), while for springtails (Collembola), soil pH and soil moisture were significant factors. Soil"&amp;" temperature was the common significant constrained variable for both mites and springtails. Our study highlighted the effects of anthropogenic activities, especially that of soil disturbance in cities and the importance of retaining natural vegetation pa"&amp;"tches in urban green spaces.")</f>
        <v>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v>
      </c>
      <c r="C1109" s="24" t="str">
        <f>IFERROR(__xludf.DUMMYFUNCTION("""COMPUTED_VALUE"""),"10.1016/j.ufug.2020.126676")</f>
        <v>10.1016/j.ufug.2020.126676</v>
      </c>
      <c r="D1109" s="24" t="str">
        <f>IFERROR(__xludf.DUMMYFUNCTION("""COMPUTED_VALUE"""),"Keck et al")</f>
        <v>Keck et al</v>
      </c>
      <c r="E1109" s="24" t="str">
        <f>IFERROR(__xludf.DUMMYFUNCTION("""COMPUTED_VALUE"""),"WOS:000558625400006")</f>
        <v>WOS:000558625400006</v>
      </c>
      <c r="F1109" s="24" t="str">
        <f>IFERROR(__xludf.DUMMYFUNCTION("""COMPUTED_VALUE"""),"[""ELIGIBLE""]")</f>
        <v>["ELIGIBLE"]</v>
      </c>
    </row>
    <row r="1110">
      <c r="A1110" s="24" t="str">
        <f>IFERROR(__xludf.DUMMYFUNCTION("""COMPUTED_VALUE"""),"Environmental contamination alters the intestinal microbial community of the livebearer killifish Phalloceros caudimaculatus")</f>
        <v>Environmental contamination alters the intestinal microbial community of the livebearer killifish Phalloceros caudimaculatus</v>
      </c>
      <c r="B1110" s="24" t="str">
        <f>IFERROR(__xludf.DUMMYFUNCTION("""COMPUTED_VALUE"""),"Intestinal microbiota perform important functions for the health of fishes. Knowing the microbial composition and evaluating the possible effects caused by anthropogenic pollution in the intestinal microbiota of fish populations might represent an importa"&amp;"nt step in defining microbial biomarkers for water pollution. This study evaluated the impact of environmental contamination on the gut microbiota of the livebearer killifish Phalloceros caudimacu- latus . The 16S survey using the V4 region of the 16S rRN"&amp;"A gene was used to characterize and compare the microbiota of two P. caudimaculatus populations from streams with different levels of environmental contami- nation in Rio Grande, RS, Brazil. Twelve bacterial operational taxonomic units (OTUs) (around one-"&amp;"third of the total) were shared between both fish populations. They represent the core microbiota of the gut in this species. The dominant phyla were Protebacteria and Firmicutes, with more than 80% of relative abundance. The dominant genus was Burkholder"&amp;"ia with more than 35% of the relative abundance irrespective of the environmental con- dition. We detected a lower microbial diversity (Shannon index and observed OTUs) in fish from the polluted stream compared to the reference stream. The PERMANOVA analy"&amp;"sis showed that the intestinal microbial communities from fish living in the polluted stream were distinct from those found in the reference stream (p &lt; 0.05). Finally, we identified Luteolibacter , Methylocaldum and Rhodobacter genera, which correlated s"&amp;"trongly with the polluted stream. These taxa might represent potential microbial biomarkers of exposure to environmental contaminants in the guts of fish. Confirmation of these findings in other polluted environments might allow the development of a micro"&amp;"biota-based screening approach for environmental evaluation in ecotoxicological studies in aquatic ecosystems.")</f>
        <v>Intestinal microbiota perform important functions for the health of fishes. Knowing the microbial composition and evaluating the possible effects caused by anthropogenic pollution in the intestinal microbiota of fish populations might represent an important step in defining microbial biomarkers for water pollution. This study evaluated the impact of environmental contamination on the gut microbiota of the livebearer killifish Phalloceros caudimacu- latus . The 16S survey using the V4 region of the 16S rRNA gene was used to characterize and compare the microbiota of two P. caudimaculatus populations from streams with different levels of environmental contami- nation in Rio Grande, RS, Brazil. Twelve bacterial operational taxonomic units (OTUs) (around one-third of the total) were shared between both fish populations. They represent the core microbiota of the gut in this species. The dominant phyla were Protebacteria and Firmicutes, with more than 80% of relative abundance. The dominant genus was Burkholderia with more than 35% of the relative abundance irrespective of the environmental con- dition. We detected a lower microbial diversity (Shannon index and observed OTUs) in fish from the polluted stream compared to the reference stream. The PERMANOVA analysis showed that the intestinal microbial communities from fish living in the polluted stream were distinct from those found in the reference stream (p &lt; 0.05). Finally, we identified Luteolibacter , Methylocaldum and Rhodobacter genera, which correlated strongly with the polluted stream. These taxa might represent potential microbial biomarkers of exposure to environmental contaminants in the guts of fish. Confirmation of these findings in other polluted environments might allow the development of a microbiota-based screening approach for environmental evaluation in ecotoxicological studies in aquatic ecosystems.</v>
      </c>
      <c r="C1110" s="24" t="str">
        <f>IFERROR(__xludf.DUMMYFUNCTION("""COMPUTED_VALUE"""),"10.1016/j.heliyon.2020.e04190")</f>
        <v>10.1016/j.heliyon.2020.e04190</v>
      </c>
      <c r="D1110" s="24" t="str">
        <f>IFERROR(__xludf.DUMMYFUNCTION("""COMPUTED_VALUE"""),"Keck et al")</f>
        <v>Keck et al</v>
      </c>
      <c r="E1110" s="24" t="str">
        <f>IFERROR(__xludf.DUMMYFUNCTION("""COMPUTED_VALUE"""),"WOS:000545793800013")</f>
        <v>WOS:000545793800013</v>
      </c>
      <c r="F1110" s="24" t="str">
        <f>IFERROR(__xludf.DUMMYFUNCTION("""COMPUTED_VALUE"""),"[""ELIGIBLE""]")</f>
        <v>["ELIGIBLE"]</v>
      </c>
    </row>
    <row r="1111">
      <c r="A1111" s="24" t="str">
        <f>IFERROR(__xludf.DUMMYFUNCTION("""COMPUTED_VALUE"""),"Effects of mining and reduced turnover of Ephemeroptera (Insecta) in streams of the Eastern Brazilian Amazon")</f>
        <v>Effects of mining and reduced turnover of Ephemeroptera (Insecta) in streams of the Eastern Brazilian Amazon</v>
      </c>
      <c r="B1111" s="24" t="str">
        <f>IFERROR(__xludf.DUMMYFUNCTION("""COMPUTED_VALUE"""),"Mining operations can cause environmental alterations that have a major impact on aquatic organisms. In the present study, we analyzed the effects of mining operations on the environmental heterogeneity of streams in the eastern Brazilian Amazon, and the "&amp;"beta diversity (and components) of the local communities of the order Ephemeroptera. We tested three hypotheses: (a) mining activities reduce the environmental variation of streams; (b) altered streams have lower beta diversity, and (c) environmental vari"&amp;"ables influence the genus richness and abundance of ephemeropterans. The ephemeropterans were sampled in the Carajas National Forest in the dry season over 3 years. Streams were sampled in areas near the extraction of iron ore (16) and in pristine environ"&amp;"ments (8). The beta diversity was estimated based on the occurrence and abundance approaches. We recorded 2259 individuals and 32 genera. The comparative assessment of environmental variables indicated that environments altered by mining have higher total"&amp;" manganese and iron concentrations than preserved environments. Environmental variables influenced ephemeropteran communities, and the analysis of the components of the beta diversity indicated a higher turnover of ephemeropterans in preserved streams, wh"&amp;"ich implies that species substitution rates are higher in preserved streams than in altered streams. These results indicate that the substitution of species in preserved streams is limited spatially, probably linked to the sensitivity of the organisms to "&amp;"oscillations in the environmental variables occurring in impacted environments. Implications for insect conservation: The results indicated that possibly the changes brought about by mining activities restrict the turnover of species between the preserved"&amp;" and altered areas, and only species tolerant to these changes were established. Over time and with the advancement of mining activities may occur the local exclusion of the most sensitive species and homogenization of the composition formed by more toler"&amp;"ant and less relevant conservation species.")</f>
        <v>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v>
      </c>
      <c r="C1111" s="24" t="str">
        <f>IFERROR(__xludf.DUMMYFUNCTION("""COMPUTED_VALUE"""),"10.1007/s10841-020-00275-7")</f>
        <v>10.1007/s10841-020-00275-7</v>
      </c>
      <c r="D1111" s="24" t="str">
        <f>IFERROR(__xludf.DUMMYFUNCTION("""COMPUTED_VALUE"""),"Keck et al")</f>
        <v>Keck et al</v>
      </c>
      <c r="E1111" s="24" t="str">
        <f>IFERROR(__xludf.DUMMYFUNCTION("""COMPUTED_VALUE"""),"WOS:000576348300001")</f>
        <v>WOS:000576348300001</v>
      </c>
      <c r="F1111" s="24" t="str">
        <f>IFERROR(__xludf.DUMMYFUNCTION("""COMPUTED_VALUE"""),"[""ELIGIBLE""]")</f>
        <v>["ELIGIBLE"]</v>
      </c>
    </row>
    <row r="1112">
      <c r="A1112" s="24" t="str">
        <f>IFERROR(__xludf.DUMMYFUNCTION("""COMPUTED_VALUE"""),"Bottom-trawling fisheries influence on standing stocks, composition, diversity and trophic redundancy of macrofaunal assemblages from the West Iberian Margin")</f>
        <v>Bottom-trawling fisheries influence on standing stocks, composition, diversity and trophic redundancy of macrofaunal assemblages from the West Iberian Margin</v>
      </c>
      <c r="B1112" s="24" t="str">
        <f>IFERROR(__xludf.DUMMYFUNCTION("""COMPUTED_VALUE"""),"Bottom-trawling fisheries operating in Portugal (West Iberian Margin) impose one of the largest footprints per unit of biomass landed in European waters at depths greater than 200 m, affecting the seafloor integrity and the associated benthic fauna. To in"&amp;"vestigate how trawling pressure is affecting the macrofaunal assemblages, we compared the standing stock (abundance and biomass), community structure and taxonomical and trophic diversity in areas subjected to varying trawling pressure along the SW Portug"&amp;"uese upper slope, between 200 and 600 m. In addition to trawling pressure, several environmental variables, namely depth, grain size and organic matter, were correlated with the biological component, which suggest that the longstanding trawling pressure p"&amp;"resents cumulative effects to the habitat heterogeneity known to characterise the West Iberian Margin fauna. Furthermore, our results showed a depletion of macro-infaunal abundances in both the fishing ground and the adjacent area (up to 3 times lower), w"&amp;"hen compared to the area not trawled. The observed decrease in abundance with increasing trawling pressure was also associated with a loss of species and trophic richness, but univariate diversity indices related with community structure (i.e. Shannon-Wie"&amp;"ner index, Pielou's evenness) failed to detect consistent differences across areas. Also observed was a decrease in the number of taxa - trophic guilds combinations of the core assemblage (i.e. characteristic, dominant or frequent taxa) with increasing tr"&amp;"awling pressure. We suggest that, in disturbed sediments, the lower functional redundancy resulting from the loss of species within most feeding guilds increases the vulnerability of trophic interactions and therefore of the whole assemblage to further in"&amp;"creases in natural and anthropogenic disturbance or their synergistic effects.")</f>
        <v>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v>
      </c>
      <c r="C1112" s="24" t="str">
        <f>IFERROR(__xludf.DUMMYFUNCTION("""COMPUTED_VALUE"""),"10.1016/j.dsr.2018.06.004")</f>
        <v>10.1016/j.dsr.2018.06.004</v>
      </c>
      <c r="D1112" s="24" t="str">
        <f>IFERROR(__xludf.DUMMYFUNCTION("""COMPUTED_VALUE"""),"Keck et al")</f>
        <v>Keck et al</v>
      </c>
      <c r="E1112" s="24" t="str">
        <f>IFERROR(__xludf.DUMMYFUNCTION("""COMPUTED_VALUE"""),"WOS:000445985100012")</f>
        <v>WOS:000445985100012</v>
      </c>
      <c r="F1112" s="24" t="str">
        <f>IFERROR(__xludf.DUMMYFUNCTION("""COMPUTED_VALUE"""),"[""ELIGIBLE""]")</f>
        <v>["ELIGIBLE"]</v>
      </c>
    </row>
    <row r="1113">
      <c r="A1113" s="24" t="str">
        <f>IFERROR(__xludf.DUMMYFUNCTION("""COMPUTED_VALUE"""),"Understory plant diversity assessment of Eucalyptus plantations over three vegetation types in Yunnan, China")</f>
        <v>Understory plant diversity assessment of Eucalyptus plantations over three vegetation types in Yunnan, China</v>
      </c>
      <c r="B1113" s="24" t="str">
        <f>IFERROR(__xludf.DUMMYFUNCTION("""COMPUTED_VALUE"""),"Biodiversity in managed plantations has become an important issue for long-term sustainability of ecosystems. The environmental effects of plantations comprised of fast-growing introduced trees have been vigorously debated. On one hand, monocultures have "&amp;"been said to exhaust resources, resulting in decreased biodiversity. Conversely, it has been stated that monocultures may favor regeneration of undergrowth plants from surrounding forests, increasing biodiversity. In order to clarify the effects of planti"&amp;"ng Eucalyptus trees on species composition, diversity, and functional type of understory vegetation in Yunnan province, a field trial was implemented to compare Eucalyptus plantations (EPs) with two other local current vegetation types (secondary evergree"&amp;"n forests (SEs), and abandoned farmlands (AFs)). Each vegetation type was sampled in each of three elevational ranges (low = 1,000-1,400 meters above sea level (masl), medium = 1,400-1,800 masl, and high = 1,800-2,200 masl). Sample sites within each eleva"&amp;"tional range had similar environmental characteristics (slope, aspect, etc.). Thus, we sampled three vegetation types at each of three sites at each of three elevations for a total of 27 plots. We calculated relative abundance and importance value of spec"&amp;"ies and diversity indexes to evaluate differences among local current vegetation types and elevational ranges, employing multivariate ordination analyses and other methods such as Analyses of Variance (ANOVA) and Indicator Species Analysis. We found that "&amp;"fast growing introduced Eucalyptus plantations led to reduced plant diversity in the study area, and that rare or threatened species were recorded almost exclusively in the SE plots, being essentially absent from the EP and AF plots. The understory plant "&amp;"diversity did not correlate with the altitude gradient significantly. Eucalyptus plantations (EPs) have a simpler community structure than that of either secondary evergreen forests (SEs; similar to natural state) or abandoned farmlands (AFs). No variable"&amp;" significantly explained variation of the understory shrub layer, but soil moisture-holding capacity and overstory coverage were significant in explaining variation of the understory herb layer, suggesting that the study of soil physical properties is nec"&amp;"essary for better understanding of their importance in Eucalyptus plantations and other local current vegetation types.")</f>
        <v>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v>
      </c>
      <c r="C1113" s="24" t="str">
        <f>IFERROR(__xludf.DUMMYFUNCTION("""COMPUTED_VALUE"""),"10.1007/s11056-010-9240-x")</f>
        <v>10.1007/s11056-010-9240-x</v>
      </c>
      <c r="D1113" s="24" t="str">
        <f>IFERROR(__xludf.DUMMYFUNCTION("""COMPUTED_VALUE"""),"Keck et al")</f>
        <v>Keck et al</v>
      </c>
      <c r="E1113" s="24" t="str">
        <f>IFERROR(__xludf.DUMMYFUNCTION("""COMPUTED_VALUE"""),"WOS:000291165800007")</f>
        <v>WOS:000291165800007</v>
      </c>
      <c r="F1113" s="24" t="str">
        <f>IFERROR(__xludf.DUMMYFUNCTION("""COMPUTED_VALUE"""),"[""ELIGIBLE""]")</f>
        <v>["ELIGIBLE"]</v>
      </c>
    </row>
    <row r="1114">
      <c r="A1114" s="24" t="str">
        <f>IFERROR(__xludf.DUMMYFUNCTION("""COMPUTED_VALUE"""),"Land-use heterogeneity by small-scale agriculture promotes amphibian diversity in montane agroforestry systems of northeast Colombia")</f>
        <v>Land-use heterogeneity by small-scale agriculture promotes amphibian diversity in montane agroforestry systems of northeast Colombia</v>
      </c>
      <c r="B1114" s="24" t="str">
        <f>IFERROR(__xludf.DUMMYFUNCTION("""COMPUTED_VALUE"""),"Habitat fragmentation, the transformation of interconnected large habitats into several small patches, is generally considered to have a negative influence on biodiversity. Management policies should therefore favour strategies that minimize fragmentation"&amp;". We studied amphibian diversity and compositional patterns in a complex montane agroforestry matrix of north-eastern Colombia to assess whether small-scale agroforestry is a viable way of reconciling crop production, farming, and biodiversity conservatio"&amp;"n. A total of five different land use systems, including natural cloud forest, were compared. We used standardized visual and acoustic transect sampling routines in combination with field-based habitat assessments to establish amphibian assemblage data se"&amp;"ts and corresponding habitat templets. Data sets were analysed using classical species richness and diversity statistics in combination with multivariate procedures to address compositional aspects. PER(mutational) MANOVA models were applied to identify e"&amp;"nvironmental and land-use type-specific drivers of shifts in assemblage composition. Results show that agricultural management has a strong influence on amphibian species richness and diversity. With the exception of high intensity cattle pasture, diversi"&amp;"ty was generally highest in agriculturally used sites particularly in shaded plantations. Species composition differed markedly between different land-use types, indicating that there was not a single best land-use type that supported all species. This hi"&amp;"ghlights the need for a landscape approach to biodiversity conservation in fragmented forests and consequently requires refocusing on conservation in management units as well as in the matrix. In human modified montane forest landscapes small-scale agricu"&amp;"lture that generates landscape heterogeneity should therefore be promoted to effectively safeguard biodiversity.")</f>
        <v>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v>
      </c>
      <c r="C1114" s="24" t="str">
        <f>IFERROR(__xludf.DUMMYFUNCTION("""COMPUTED_VALUE"""),"10.1016/j.agee.2018.05.011")</f>
        <v>10.1016/j.agee.2018.05.011</v>
      </c>
      <c r="D1114" s="24" t="str">
        <f>IFERROR(__xludf.DUMMYFUNCTION("""COMPUTED_VALUE"""),"Keck et al")</f>
        <v>Keck et al</v>
      </c>
      <c r="E1114" s="24" t="str">
        <f>IFERROR(__xludf.DUMMYFUNCTION("""COMPUTED_VALUE"""),"WOS:000437392100003")</f>
        <v>WOS:000437392100003</v>
      </c>
      <c r="F1114" s="24" t="str">
        <f>IFERROR(__xludf.DUMMYFUNCTION("""COMPUTED_VALUE"""),"[""ELIGIBLE""]")</f>
        <v>["ELIGIBLE"]</v>
      </c>
    </row>
    <row r="1115">
      <c r="A1115" s="24" t="str">
        <f>IFERROR(__xludf.DUMMYFUNCTION("""COMPUTED_VALUE"""),"Effects of subtle pollution at different levels of biological organisation on species-rich assemblages")</f>
        <v>Effects of subtle pollution at different levels of biological organisation on species-rich assemblages</v>
      </c>
      <c r="B1115" s="24" t="str">
        <f>IFERROR(__xludf.DUMMYFUNCTION("""COMPUTED_VALUE"""),"We investigated effects of subtle nutrient enrichment and metal pollution on different levels of biological organization (i.e. whole assemblage, population and individual) of species-rich assemblages. We used rockpools as model system, applying a multi-fa"&amp;"ctorial sampling design to test hypotheses on differences between disturbed and reference locations. Results indicated that disturbed and reference locations supported similar assemblages, as well as individual fitness-related life-traits were ineffective"&amp;" to discriminate between the two conditions. In contrast, assemblages responded to pollution through a reduction of the abundance of sensitive species and a proliferation of tolerant species, although these alterations were detectable only once the influe"&amp;"nce of dominant taxa was down-weighed by data transformation. Present findings suggest that, contrarily to individual level variables, assemblage structure after data transformation and patterns of distribution and abundance of differently sensitive taxa "&amp;"would be a powerful tool to detect effects of subtle pollution on species-rich assemblages. (C) 2014 Elsevier Ltd. All rights reserved.")</f>
        <v>We investigated effects of subtle nutrient enrichment and metal pollution on different levels of biological organization (i.e. whole assemblage, population and individual) of species-rich assemblages. We used rockpools as model system, applying a multi-factorial sampling design to test hypotheses on differences between disturbed and reference locations. Results indicated that disturbed and reference locations supported similar assemblages, as well as individual fitness-related life-traits were ineffective to discriminate between the two conditions. In contrast, assemblages responded to pollution through a reduction of the abundance of sensitive species and a proliferation of tolerant species, although these alterations were detectable only once the influence of dominant taxa was down-weighed by data transformation. Present findings suggest that, contrarily to individual level variables, assemblage structure after data transformation and patterns of distribution and abundance of differently sensitive taxa would be a powerful tool to detect effects of subtle pollution on species-rich assemblages. (C) 2014 Elsevier Ltd. All rights reserved.</v>
      </c>
      <c r="C1115" s="24" t="str">
        <f>IFERROR(__xludf.DUMMYFUNCTION("""COMPUTED_VALUE"""),"10.1016/j.envpol.2014.04.019")</f>
        <v>10.1016/j.envpol.2014.04.019</v>
      </c>
      <c r="D1115" s="24" t="str">
        <f>IFERROR(__xludf.DUMMYFUNCTION("""COMPUTED_VALUE"""),"Keck et al")</f>
        <v>Keck et al</v>
      </c>
      <c r="E1115" s="24" t="str">
        <f>IFERROR(__xludf.DUMMYFUNCTION("""COMPUTED_VALUE"""),"WOS:000338605200013")</f>
        <v>WOS:000338605200013</v>
      </c>
      <c r="F1115" s="24" t="str">
        <f>IFERROR(__xludf.DUMMYFUNCTION("""COMPUTED_VALUE"""),"[""ELIGIBLE""]")</f>
        <v>["ELIGIBLE"]</v>
      </c>
    </row>
    <row r="1116">
      <c r="A1116" s="24" t="str">
        <f>IFERROR(__xludf.DUMMYFUNCTION("""COMPUTED_VALUE"""),"Marine long-term biodiversity assessment suggests loss of rare species in the Skagerrak and Kattegat region")</f>
        <v>Marine long-term biodiversity assessment suggests loss of rare species in the Skagerrak and Kattegat region</v>
      </c>
      <c r="B1116" s="24" t="str">
        <f>IFERROR(__xludf.DUMMYFUNCTION("""COMPUTED_VALUE"""),"Studies of cumulative and long-term effects of human activities in the ocean are essential for developing realistic conservation targets. Here, we report the results of a recent national marine biodiversity inventory along the Swedish West coast between 2"&amp;"004 and 2009. The expedition revisited many historical localities that have been sampled with the same methods in the early twentieth century. We generated comparable datasets from our own investigation and the historical data to compare species richness,"&amp;" abundance, and geographic distribution of diversity. Our analysis indicates that the benthic ecosystems in the region have lost a large part of its original species richness over the last seven decades. We find evidence that especially rare species have "&amp;"disappeared. This process has caused a more homogenized community structure in the region and diminished historical biodiversity hotspots. We argue that the contemporary lack of rare species in the benthic ecosystems of the Kattegat and Skagerrak offers l"&amp;"ess opportunity to respond to environmental perturbations in the future and suggest improving the poor representation of rare species in the region. The study shows the value of biodiversity inventories as well as natural history collections in investigat"&amp;"ions of accumulated effects of anthropogenic activities and for re-establishing species-rich, productive, and resilient ecosystems.")</f>
        <v>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v>
      </c>
      <c r="C1116" s="24" t="str">
        <f>IFERROR(__xludf.DUMMYFUNCTION("""COMPUTED_VALUE"""),"10.1007/s12526-017-0749-5")</f>
        <v>10.1007/s12526-017-0749-5</v>
      </c>
      <c r="D1116" s="24" t="str">
        <f>IFERROR(__xludf.DUMMYFUNCTION("""COMPUTED_VALUE"""),"Keck et al")</f>
        <v>Keck et al</v>
      </c>
      <c r="E1116" s="24" t="str">
        <f>IFERROR(__xludf.DUMMYFUNCTION("""COMPUTED_VALUE"""),"WOS:000451344500036")</f>
        <v>WOS:000451344500036</v>
      </c>
      <c r="F1116" s="24" t="str">
        <f>IFERROR(__xludf.DUMMYFUNCTION("""COMPUTED_VALUE"""),"[""ELIGIBLE""]")</f>
        <v>["ELIGIBLE"]</v>
      </c>
    </row>
    <row r="1117">
      <c r="A1117" s="24" t="str">
        <f>IFERROR(__xludf.DUMMYFUNCTION("""COMPUTED_VALUE"""),"Sediment Microbial Diversity in Urban Piedmont North Carolina Watersheds Receiving Wastewater Input")</f>
        <v>Sediment Microbial Diversity in Urban Piedmont North Carolina Watersheds Receiving Wastewater Input</v>
      </c>
      <c r="B1117" s="24" t="str">
        <f>IFERROR(__xludf.DUMMYFUNCTION("""COMPUTED_VALUE"""),"Urban streams are heavily influenced by human activity. One way that this occurs is through the reintroduction of treated effluent from wastewater treatment plants. We measured the microbial community composition of water, sediment, and soil at sites upst"&amp;"ream and downstream from two Charlotte treatment facilities. We performed 16S rRNA gene sequencing to assay the microbial community composition at each site at four time points between the late winter and mid-summer of 2016. Despite the location of these "&amp;"streams in an urban area with many influences and disruptions, the streams maintain distinct water, sediment, and soil microbial profiles. While there is an overlap of microbial species in upstream and downstream sites, there are several taxa that differe"&amp;"ntiate these sites. Some taxa characteristics of human-associated microbial communities appear elevated in the downstream sediment communities. In the wastewater treatment plant and to a lesser extent in the downstream community, there are high abundance "&amp;"amplicon sequence variants (ASVs) which are less than 97% similar to any sequence in reference databases, suggesting that these environments contain an unexplored biological novelty. Taken together, these results suggest a need to more fully characterize "&amp;"the microbial communities associated with urban streams, and to integrate information about microbial community composition with mechanistic models.")</f>
        <v>Urban streams are heavily influenced by human activity. One way that this occurs is through the reintroduction of treated effluent from wastewater treatment plants. We measured the microbial community composition of water, sediment, and soil at sites upstream and downstream from two Charlotte treatment facilities. We performed 16S rRNA gene sequencing to assay the microbial community composition at each site at four time points between the late winter and mid-summer of 2016. Despite the location of these streams in an urban area with many influences and disruptions, the streams maintain distinct water, sediment, and soil microbial profiles. While there is an overlap of microbial species in upstream and downstream sites, there are several taxa that differentiate these sites. Some taxa characteristics of human-associated microbial communities appear elevated in the downstream sediment communities. In the wastewater treatment plant and to a lesser extent in the downstream community, there are high abundance amplicon sequence variants (ASVs) which are less than 97% similar to any sequence in reference databases, suggesting that these environments contain an unexplored biological novelty. Taken together, these results suggest a need to more fully characterize the microbial communities associated with urban streams, and to integrate information about microbial community composition with mechanistic models.</v>
      </c>
      <c r="C1117" s="24" t="str">
        <f>IFERROR(__xludf.DUMMYFUNCTION("""COMPUTED_VALUE"""),"10.3390/w12061557")</f>
        <v>10.3390/w12061557</v>
      </c>
      <c r="D1117" s="24" t="str">
        <f>IFERROR(__xludf.DUMMYFUNCTION("""COMPUTED_VALUE"""),"Keck et al")</f>
        <v>Keck et al</v>
      </c>
      <c r="E1117" s="24" t="str">
        <f>IFERROR(__xludf.DUMMYFUNCTION("""COMPUTED_VALUE"""),"WOS:000554632600001")</f>
        <v>WOS:000554632600001</v>
      </c>
      <c r="F1117" s="24" t="str">
        <f>IFERROR(__xludf.DUMMYFUNCTION("""COMPUTED_VALUE"""),"[""ELIGIBLE""]")</f>
        <v>["ELIGIBLE"]</v>
      </c>
    </row>
    <row r="1118">
      <c r="A1118" s="24" t="str">
        <f>IFERROR(__xludf.DUMMYFUNCTION("""COMPUTED_VALUE"""),"AN ANALYSIS OF FISH COMMUNITY RESPONSES TO CORAL MINING IN THE MALDIVES")</f>
        <v>AN ANALYSIS OF FISH COMMUNITY RESPONSES TO CORAL MINING IN THE MALDIVES</v>
      </c>
      <c r="B1118" s="24" t="str">
        <f>IFERROR(__xludf.DUMMYFUNCTION("""COMPUTED_VALUE"""),"Coral mining takes place on shallow reef flats at a number of localities in the Maldives, but not on the adjacent deeper reef slopes. A semi-quantitative census method for fish species abundance and biomass is described. Fish community structure is compar"&amp;"ed on mined and non-mined reef flats and their adjacent slopes using a variety of univariate, graphical/distributional and multivariate statistical techniques. In general. univariate and graphical distributional methods do not indicate significant differe"&amp;"nces between mined and non-mined localities with respect to the relative abundances and biomasses of species. Multivariate methods (both classification and ordination), however, indicate very clear-cut effects of mining on the reef flats, and also signifi"&amp;"cant effects on reef slopes adjacent to mined flats. The effect was equally clear using non-quantitative (presence/absence) data. The fish species mainly responsible for the differences between mined and non-mined localities are identified, and the differ"&amp;"ences are explained in terms of the feeding biology of these species.")</f>
        <v>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v>
      </c>
      <c r="C1118" s="24" t="str">
        <f>IFERROR(__xludf.DUMMYFUNCTION("""COMPUTED_VALUE"""),"10.1007/BF00010949")</f>
        <v>10.1007/BF00010949</v>
      </c>
      <c r="D1118" s="24" t="str">
        <f>IFERROR(__xludf.DUMMYFUNCTION("""COMPUTED_VALUE"""),"Keck et al")</f>
        <v>Keck et al</v>
      </c>
      <c r="E1118" s="24" t="str">
        <f>IFERROR(__xludf.DUMMYFUNCTION("""COMPUTED_VALUE"""),"WOS:A1992HR82300006")</f>
        <v>WOS:A1992HR82300006</v>
      </c>
      <c r="F1118" s="24" t="str">
        <f>IFERROR(__xludf.DUMMYFUNCTION("""COMPUTED_VALUE"""),"[""ELIGIBLE""]")</f>
        <v>["ELIGIBLE"]</v>
      </c>
    </row>
    <row r="1119">
      <c r="A1119" s="24" t="str">
        <f>IFERROR(__xludf.DUMMYFUNCTION("""COMPUTED_VALUE"""),"Evaluation of indicators used to detect mussel farm influence on the benthos: Two case studies in the Magdalen Islands, Eastern Canada")</f>
        <v>Evaluation of indicators used to detect mussel farm influence on the benthos: Two case studies in the Magdalen Islands, Eastern Canada</v>
      </c>
      <c r="B1119" s="24" t="str">
        <f>IFERROR(__xludf.DUMMYFUNCTION("""COMPUTED_VALUE"""),"The aim of this study was to identify appropriate indicators to determine the influence of mussel aquaculture on the benthic environment. Both sediment [particle size, sediment profile imaging (SPI), % OM] and benthic community (abundance, biomass, number"&amp;" of species, Margalef's species richness, Shannon-Weiner diversity, Pielou's eveness, individual body mass, trophic group, a biotic index - AMBI, and community structure) characteristics were evaluated at two mussel farms in Great-Entry (GE) and Havre-aux"&amp;"-Maisons (HAM) lagoons in the Magdalen Islands (Quebec, Canada). Sampling stations were positioned directly beneath the outer-most mussel lines (0 m) and at distances of 3, 6, 9,15, 30 m and at a control site (at either 300 or 500 m) along a transect lead"&amp;"ing from each farm. Contrasting patterns were observed. At GE, sediment characteristics and benthic communities did not vary among stations and were characterized by low diversity, abundance and biomass. At HAM, % OM decreased and macrofaunal diversity an"&amp;"d abundance increased with increasing distance from the farm. Biomass was low under the mussel line, increased between 3 and 30 m and was low again at 300 m. This was explained by the abundance of the polychaete Pectinaria granulata, which seems to have b"&amp;"enefited from a moderate organic loading associated with the mussel farm. The mean individual biomass of the second-order opportunistic deposit feeders P. granulata and Heteromastus filiformis decreased with distance from the farm, whereas that of the pol"&amp;"lution-sensitive suspension feeder Ensis directus and deposit feeder Tellina agilis increased with increasing distance from the farm. At HAM, the effects of mussel farming were restricted to the vicinity of the farm, while at GE the pattern was less clear"&amp;". The GE mussel farm had either little effect on the local environment or else larger-scale but diffuse effects. The study showed that the a priori choice of the sampling stations and indicators may influence the interpretation of the results. Community s"&amp;"tructure and SPI were the most efficient indices for detecting both small- and broader-scale influences at both studied mussel farms. Crown Copyright (C) 2008 Published by Elsevier B.V. All rights reserved.")</f>
        <v>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v>
      </c>
      <c r="C1119" s="24" t="str">
        <f>IFERROR(__xludf.DUMMYFUNCTION("""COMPUTED_VALUE"""),"10.1016/j.aquaculture.2008.03.026")</f>
        <v>10.1016/j.aquaculture.2008.03.026</v>
      </c>
      <c r="D1119" s="24" t="str">
        <f>IFERROR(__xludf.DUMMYFUNCTION("""COMPUTED_VALUE"""),"Keck et al")</f>
        <v>Keck et al</v>
      </c>
      <c r="E1119" s="24" t="str">
        <f>IFERROR(__xludf.DUMMYFUNCTION("""COMPUTED_VALUE"""),"WOS:000257004800014")</f>
        <v>WOS:000257004800014</v>
      </c>
      <c r="F1119" s="24" t="str">
        <f>IFERROR(__xludf.DUMMYFUNCTION("""COMPUTED_VALUE"""),"[""ELIGIBLE""]")</f>
        <v>["ELIGIBLE"]</v>
      </c>
    </row>
    <row r="1120">
      <c r="A1120" s="24" t="str">
        <f>IFERROR(__xludf.DUMMYFUNCTION("""COMPUTED_VALUE"""),"Physical and biological effects of introduced oysters on biodiversity in an intertidal boulder field")</f>
        <v>Physical and biological effects of introduced oysters on biodiversity in an intertidal boulder field</v>
      </c>
      <c r="B1120" s="24" t="str">
        <f>IFERROR(__xludf.DUMMYFUNCTION("""COMPUTED_VALUE"""),"Invasive species have been identified as a serious threat to biodiversity, particularly in protected habitats. The Pacific oyster Crassostrea gigas, which is invasive in many parts of the world, can form very dense populations affecting the abundance and "&amp;"distribution of native organisms. We experimentally separated the effects of the cover and state (physical structure or biological activities) of C. gigas on the development of invertebrate and macroalgal assemblages. Living (biologically active) and dead"&amp;" (physical structure only) oysters were glued in increasing cover to the tops of cleaned boulders and deployed within an intertidal boulder field. After 14 mo, diversity, evenness and assemblage structure of invertebrates and algae were affected by C. gig"&amp;"as, and results varied depending on the cover and state of oysters. Interestingly, boulders with the lowest cover of living C. gigas supported the most diverse assemblages. Differences in assemblage structure were driven by changes in the establishment of"&amp;" several key species including Fucus vesiculosus and Littorina littorea, which were facilitated by oysters and the honeycomb worm Sabellaria alveolata, which was inhibited by oysters. S. alveolata, an ecosystem engineer that can generate reefs protected b"&amp;"y the European Union Habitats directive, mainly established on the underside of boulders but was nonetheless greatly reduced by increasing cover of dead or living oysters on the topside. This work highlights the importance of understanding the direct and "&amp;"indirect mechanisms by which invasive species alter biodiversity and how effects vary as invaders increase in abundance.")</f>
        <v>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v>
      </c>
      <c r="C1120" s="24" t="str">
        <f>IFERROR(__xludf.DUMMYFUNCTION("""COMPUTED_VALUE"""),"10.3354/meps10241")</f>
        <v>10.3354/meps10241</v>
      </c>
      <c r="D1120" s="24" t="str">
        <f>IFERROR(__xludf.DUMMYFUNCTION("""COMPUTED_VALUE"""),"Keck et al")</f>
        <v>Keck et al</v>
      </c>
      <c r="E1120" s="24" t="str">
        <f>IFERROR(__xludf.DUMMYFUNCTION("""COMPUTED_VALUE"""),"WOS:000319337100010")</f>
        <v>WOS:000319337100010</v>
      </c>
      <c r="F1120" s="24" t="str">
        <f>IFERROR(__xludf.DUMMYFUNCTION("""COMPUTED_VALUE"""),"[""ELIGIBLE""]")</f>
        <v>["ELIGIBLE"]</v>
      </c>
    </row>
    <row r="1121">
      <c r="A1121" s="24" t="str">
        <f>IFERROR(__xludf.DUMMYFUNCTION("""COMPUTED_VALUE"""),"Decreased streamflow impacts fish movement and energetics through reductions to invertebrate drift body size and abundance")</f>
        <v>Decreased streamflow impacts fish movement and energetics through reductions to invertebrate drift body size and abundance</v>
      </c>
      <c r="B1121" s="24" t="str">
        <f>IFERROR(__xludf.DUMMYFUNCTION("""COMPUTED_VALUE"""),"Streamflow drives ecological processes across multiple trophic levels making it a master variable in lotic systems. In mountain systems, especially those that are regulated, increased frequency of droughts and reductions in snowpack may alter future strea"&amp;"mflow regimes and impact ecological processes. We monitored invertebrate drift abundance, size, and diversity as a function of streamflow. We then related these variables to fish movement and energetic efficiencies in the Upper Shasta River in California,"&amp;" above and below a large streamflow diversion. Invertebrate drift biomass was significantly less at impaired flows compared with unimpaired flows, and average body size of invertebrates decreased with decreasing streamflow. Generally, fish movement was gr"&amp;"eater at the impaired flow site (&gt;50% of the time fish were tracked). Fish movement at the upstream site was negatively related to the size of individual prey items and amount of prey available, and significant drivers were not detected in the flow-impair"&amp;"ed site. Energetic efficiency was reduced by over 70% when search foraging took place, and the net rate of energetic intake was below 0J/s for low-flow periods. Our results suggest that fish foraging behaviour may be influenced indirectly by altered strea"&amp;"mflow through changes to amount and size of invertebrate drift. A shift to foraging behaviour, coupled with low food availability, results in decreased energetic efficiency. Future prescriptions of flow rates to regulated rivers should account for changes"&amp;" to invertebrate drift, fish behaviour, and fish energetics on seasonal time scales.")</f>
        <v>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v>
      </c>
      <c r="C1121" s="24" t="str">
        <f>IFERROR(__xludf.DUMMYFUNCTION("""COMPUTED_VALUE"""),"10.1002/rra.3340")</f>
        <v>10.1002/rra.3340</v>
      </c>
      <c r="D1121" s="24" t="str">
        <f>IFERROR(__xludf.DUMMYFUNCTION("""COMPUTED_VALUE"""),"Keck et al")</f>
        <v>Keck et al</v>
      </c>
      <c r="E1121" s="24" t="str">
        <f>IFERROR(__xludf.DUMMYFUNCTION("""COMPUTED_VALUE"""),"WOS:000446330200009")</f>
        <v>WOS:000446330200009</v>
      </c>
      <c r="F1121" s="24" t="str">
        <f>IFERROR(__xludf.DUMMYFUNCTION("""COMPUTED_VALUE"""),"[""ELIGIBLE""]")</f>
        <v>["ELIGIBLE"]</v>
      </c>
    </row>
    <row r="1122">
      <c r="A1122" s="24" t="str">
        <f>IFERROR(__xludf.DUMMYFUNCTION("""COMPUTED_VALUE"""),"Recovery of mammal diversity in tropical forests: a functional approach to measuring restoration")</f>
        <v>Recovery of mammal diversity in tropical forests: a functional approach to measuring restoration</v>
      </c>
      <c r="B1122" s="24" t="str">
        <f>IFERROR(__xludf.DUMMYFUNCTION("""COMPUTED_VALUE"""),"Ecological restoration is increasingly applied in tropical forests to mitigate biodiversity loss and recover ecosystem functions. In restoration ecology, functional richness, rather than species richness, often determines community assembly, and measures "&amp;"of functional diversity provide a mechanistic link between diversity and ecological functioning of restored habitat. Vertebrate animals are important for ecosystem functioning. Here, we examine the functional diversity of small-to-medium sized mammals to "&amp;"evaluate the diversity and functional recovery of tropical rainforest. We assess how mammal species diversity and composition and functional diversity and composition, vary along a restoration chronosequence from degraded pasture to old-growth tropical ra"&amp;"inforest in the Wet Tropics of Australia. Species richness, diversity, evenness, and abundance did not vary, but total mammal biomass and mean species body mass increased with restoration age. Species composition in restoration forests converged on the co"&amp;"mposition of old-growth rainforest and diverged from pasture with increasing restoration age. Functional metrics provided a clearer pattern of recovery than traditional species metrics, with most functional metrics significantly increasing with restoratio"&amp;"n age when taxonomic-based metrics did not. Functional evenness and dispersion increased significantly with restoration age, suggesting that niche complementarity enhances species' abundances in restored sites. The change in community composition represen"&amp;"ted a functional shift from invasive, herbivorous, terrestrial habitat generalists and open environment specialists in pasture and young restoration sites, to predominantly endemic, folivorous, arboreal, and fossorial forest species in older restoration s"&amp;"ites. This shift has positive implications for conservation and demonstrates the potential of tropical forest restoration to recover rainforest-like, diverse faunal communities.")</f>
        <v>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v>
      </c>
      <c r="C1122" s="24" t="str">
        <f>IFERROR(__xludf.DUMMYFUNCTION("""COMPUTED_VALUE"""),"10.1111/rec.12582")</f>
        <v>10.1111/rec.12582</v>
      </c>
      <c r="D1122" s="24" t="str">
        <f>IFERROR(__xludf.DUMMYFUNCTION("""COMPUTED_VALUE"""),"Keck et al")</f>
        <v>Keck et al</v>
      </c>
      <c r="E1122" s="24" t="str">
        <f>IFERROR(__xludf.DUMMYFUNCTION("""COMPUTED_VALUE"""),"WOS:000438220000023")</f>
        <v>WOS:000438220000023</v>
      </c>
      <c r="F1122" s="24" t="str">
        <f>IFERROR(__xludf.DUMMYFUNCTION("""COMPUTED_VALUE"""),"[""ELIGIBLE""]")</f>
        <v>["ELIGIBLE"]</v>
      </c>
    </row>
    <row r="1123">
      <c r="A1123" s="24" t="str">
        <f>IFERROR(__xludf.DUMMYFUNCTION("""COMPUTED_VALUE"""),"Effects of the invasive polychaete Marenzelleria spp. on benthic processes and meiobenthos of a species-poor brackish system")</f>
        <v>Effects of the invasive polychaete Marenzelleria spp. on benthic processes and meiobenthos of a species-poor brackish system</v>
      </c>
      <c r="B1123" s="24" t="str">
        <f>IFERROR(__xludf.DUMMYFUNCTION("""COMPUTED_VALUE"""),"The effects of the invasive polychaete Marenzelleria spp. on sediment processes and meiobenthos with an emphasis on free-living nematodes of the Vistula Lagoon (southern Baltic Sea) were investigated in a laboratory microcosm experiment. Marenzelleria occ"&amp;"upies an open niche and its deep burying behaviour and feeding strategy represent a new function in the study area. Halos of oxidized sediment along Marenzelleria burrow walls indicated oxygen penetration into the burrows but the polychaete had no signifi"&amp;"cant effect on porewater nutrient concentrations. The results showed, however, the density dependent effects of Marenzelleria on ammonium transport. An enhanced ammonium efflux was recorded at high polychaete densities (2000 ind. m(-2)) but not at low pol"&amp;"ychaete densities (300 ind. m(-2)). There was no observable impact of the polychaete on total meiobenthic numbers. There was, therefore, no indication that Marenzelleria caused meiofauna mortality. On the contrary, the polychaete significantly affected ve"&amp;"rtical distribution of meiofauna facilitating the colonization of deeper sediment depths and thus extending the habitat to be used by meiobenthos. In addition, Marenzelleria had a positive impact on the survival of turbellarians. Nevertheless, there was n"&amp;"o effect of Marenzelleria on nematode assemblage structure and diversity, indicating that neither the physical presence nor the biological activity of the worm affected the nematode community. This suggests either 1. the limited impact of Marenzelleria on"&amp;" nematodes, resulting from the creation of simple, narrow and un-branched burrows, 2. poor response of nematode community resulting from their low abundance and diversity in the study area, or 3. the overriding role of the harsh chemical environment typic"&amp;"al of sediments of the Vistula Lagoon, masking the effect of the bioturbator. (C) 2013 Elsevier B.V. All rights reserved.")</f>
        <v>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v>
      </c>
      <c r="C1123" s="24" t="str">
        <f>IFERROR(__xludf.DUMMYFUNCTION("""COMPUTED_VALUE"""),"10.1016/j.seares.2013.02.005")</f>
        <v>10.1016/j.seares.2013.02.005</v>
      </c>
      <c r="D1123" s="24" t="str">
        <f>IFERROR(__xludf.DUMMYFUNCTION("""COMPUTED_VALUE"""),"Keck et al")</f>
        <v>Keck et al</v>
      </c>
      <c r="E1123" s="24" t="str">
        <f>IFERROR(__xludf.DUMMYFUNCTION("""COMPUTED_VALUE"""),"WOS:000319179700003")</f>
        <v>WOS:000319179700003</v>
      </c>
      <c r="F1123" s="24" t="str">
        <f>IFERROR(__xludf.DUMMYFUNCTION("""COMPUTED_VALUE"""),"[""ELIGIBLE""]")</f>
        <v>["ELIGIBLE"]</v>
      </c>
    </row>
    <row r="1124">
      <c r="A1124" s="24" t="str">
        <f>IFERROR(__xludf.DUMMYFUNCTION("""COMPUTED_VALUE"""),"Effects of microplastics on European flat oysters, Ostrea edulis and their associated benthic communities")</f>
        <v>Effects of microplastics on European flat oysters, Ostrea edulis and their associated benthic communities</v>
      </c>
      <c r="B1124" s="24" t="str">
        <f>IFERROR(__xludf.DUMMYFUNCTION("""COMPUTED_VALUE"""),"Plastic pollution is recognised as an emerging threat to aquatic ecosystems, with microplastics now the most abundant type of marine debris. Health effects caused by microplastics have been demonstrated at the species level, but impacts on ecological comm"&amp;"unities remain unknown. In this study, impacts of microplastics on the health and biological functioning of European flat oysters (Ostrea edulis) and on the structure of associated macrofaunal assemblages were assessed in an outdoor mesocosm experiment us"&amp;"ing intact sediment cores. Biodegradable and conventional microplastics were added at low (0.8 mu g L-1) and high (80 mu g L-1) doses in the water column repeatedly for 60 days. Effects on the oysters were minimal, but benthic assemblage structures differ"&amp;"ed and species richness and the total number of organisms were similar to 1.2 and 1.5 times greater in control mesocosms than in those exposed to high doses of microplastics. Notably, abundances of juvenile Littorina sp. (periwinkles) and Idotea balthica "&amp;"(an isopod) were similar to 2 and 8 times greater in controls than in mesocosms with the high dose of either type of microplastic. In addition, the biomass of Scrobicularia plana (peppery furrow shell clam) was similar to 1.5 times greater in controls tha"&amp;"n in mesocosms with the high dose of microplastics. This work indicates that repeated exposure to high concentrations of microplastics could alter assemblages in an important marine habitat by reducing the abundance of benthic fauna. (C) 2016 Elsevier Ltd"&amp;". All rights reserved.")</f>
        <v>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v>
      </c>
      <c r="C1124" s="24" t="str">
        <f>IFERROR(__xludf.DUMMYFUNCTION("""COMPUTED_VALUE"""),"10.1016/j.envpol.2016.05.043")</f>
        <v>10.1016/j.envpol.2016.05.043</v>
      </c>
      <c r="D1124" s="24" t="str">
        <f>IFERROR(__xludf.DUMMYFUNCTION("""COMPUTED_VALUE"""),"Keck et al")</f>
        <v>Keck et al</v>
      </c>
      <c r="E1124" s="24" t="str">
        <f>IFERROR(__xludf.DUMMYFUNCTION("""COMPUTED_VALUE"""),"WOS:000383930500012")</f>
        <v>WOS:000383930500012</v>
      </c>
      <c r="F1124" s="24" t="str">
        <f>IFERROR(__xludf.DUMMYFUNCTION("""COMPUTED_VALUE"""),"[""ELIGIBLE""]")</f>
        <v>["ELIGIBLE"]</v>
      </c>
    </row>
    <row r="1125">
      <c r="A1125" s="24" t="str">
        <f>IFERROR(__xludf.DUMMYFUNCTION("""COMPUTED_VALUE"""),"Eleven-year mulching and tillage practices alter the soil quality and bacterial community composition in Northeast China")</f>
        <v>Eleven-year mulching and tillage practices alter the soil quality and bacterial community composition in Northeast China</v>
      </c>
      <c r="B1125" s="24" t="str">
        <f>IFERROR(__xludf.DUMMYFUNCTION("""COMPUTED_VALUE"""),"Conservation management is necessary to ensure soil sustainability. We investigated the response of soil chemical, biological properties, and bacterial community to 11 years of different mulch and tillage practices in an aeolian sandy soil in a maize cont"&amp;"inuous cropping system. Treatments included: no-till + straw coverage (ZT+R), rotary tillage + straw coverage (RT+R), and normal tillage (CT). Compared to CT, ZT+R and RT+R significantly increased total organic carbon (TOC) content, C:N ratio, available n"&amp;"itrogen (AN) content, and acid phosphatase (ACP) and urease activities, while decreasing soil pH in topsoil and subsoil. Moreover, RT+R enhanced C:N ratio and AN content and ACP and urease activities in deep soil. ZT+R increased bacterial richness and div"&amp;"ersity; dominant phyla of Actinobacteria and Acidobacteria were found in topsoil and Gemmatimonadetes in subsoil and deep soil. However, RT+R showed negative effects on soil bacterial diversity and bacterial community because of severe soil disturbance. R"&amp;"edundancy analysis revealed that soil chemical properties (pH and TOC) are closely associated with soil bacterial communities. Therefore, long-term land management plays an important role in shaping microbial functional profiles. ZT+R is optimum for the e"&amp;"nhancement of soil chemical properties and bacterial communities of aeolian sandy soils with a continuous cropping system.")</f>
        <v>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v>
      </c>
      <c r="C1125" s="24" t="str">
        <f>IFERROR(__xludf.DUMMYFUNCTION("""COMPUTED_VALUE"""),"10.1080/03650340.2021.1890719")</f>
        <v>10.1080/03650340.2021.1890719</v>
      </c>
      <c r="D1125" s="24" t="str">
        <f>IFERROR(__xludf.DUMMYFUNCTION("""COMPUTED_VALUE"""),"Keck et al")</f>
        <v>Keck et al</v>
      </c>
      <c r="E1125" s="24" t="str">
        <f>IFERROR(__xludf.DUMMYFUNCTION("""COMPUTED_VALUE"""),"WOS:000623075100001")</f>
        <v>WOS:000623075100001</v>
      </c>
      <c r="F1125" s="24" t="str">
        <f>IFERROR(__xludf.DUMMYFUNCTION("""COMPUTED_VALUE"""),"[""ELIGIBLE""]")</f>
        <v>["ELIGIBLE"]</v>
      </c>
    </row>
    <row r="1126">
      <c r="A1126" s="24" t="str">
        <f>IFERROR(__xludf.DUMMYFUNCTION("""COMPUTED_VALUE"""),"From forests to cattail: how does the riparian zone influence stream fish?")</f>
        <v>From forests to cattail: how does the riparian zone influence stream fish?</v>
      </c>
      <c r="B1126" s="24" t="str">
        <f>IFERROR(__xludf.DUMMYFUNCTION("""COMPUTED_VALUE"""),"The aim of this study was to verify whether taxonomic and functional composition of stream fishes vary under three different preservation conditions of riparian zone: preserved (PRE), intermediate condition (INT), and degraded (DEG). Five stream stretches"&amp;" representing each condition were selected. Samples were taken from each stream in three occasions during the dry seasons from 2004 to 2007. Electro fishing (PRE and INT), sieves, dip nets, and hand seines (DEG) were used according to the characteristics "&amp;"of each sampled site. Overall, 46 species were registered. Differences in the taxonomic and functional species composition among groups were found, following the condition of riparian zones. The ichthyofauna :;recorded in the PRE was typical to pristine e"&amp;"nvironments, consisting of species with specialized habits, notably benthic insectivores, intolerant, and rheophilics. In the INT group, replacement of riparian forest with shrubs and/or grasses created environmental conditions which favor the occurrence "&amp;"of tolerant species but also harbor a residual fauna of sensitive species. DEG streams presented mostly detritivores, tolerant, small sized fishes which occupy the surface and preferred slow water flux. Changes in the species composition were represented "&amp;"by the occurrence and dominance of tolerant species in detriment of the more, sensitive and specialist species, following the gradient of degradation in the riparian zone. Forested streams act as unique habitats to many specialized species and it can be p"&amp;"resumable that the degradation of riparian vegetation can generate biotic homogenization which may reduce species diversity and ecosystem services.")</f>
        <v>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v>
      </c>
      <c r="C1126" s="24" t="str">
        <f>IFERROR(__xludf.DUMMYFUNCTION("""COMPUTED_VALUE"""),"10.1590/S1679-62252012000100020")</f>
        <v>10.1590/S1679-62252012000100020</v>
      </c>
      <c r="D1126" s="24" t="str">
        <f>IFERROR(__xludf.DUMMYFUNCTION("""COMPUTED_VALUE"""),"Keck et al")</f>
        <v>Keck et al</v>
      </c>
      <c r="E1126" s="24" t="str">
        <f>IFERROR(__xludf.DUMMYFUNCTION("""COMPUTED_VALUE"""),"WOS:000302926400020")</f>
        <v>WOS:000302926400020</v>
      </c>
      <c r="F1126" s="24" t="str">
        <f>IFERROR(__xludf.DUMMYFUNCTION("""COMPUTED_VALUE"""),"[""ELIGIBLE""]")</f>
        <v>["ELIGIBLE"]</v>
      </c>
    </row>
    <row r="1127">
      <c r="A1127" s="24" t="str">
        <f>IFERROR(__xludf.DUMMYFUNCTION("""COMPUTED_VALUE"""),"No recovery of campo rupestre grasslands after gravel extraction: implications for conservation and restoration")</f>
        <v>No recovery of campo rupestre grasslands after gravel extraction: implications for conservation and restoration</v>
      </c>
      <c r="B1127" s="24" t="str">
        <f>IFERROR(__xludf.DUMMYFUNCTION("""COMPUTED_VALUE"""),"Old-growth grasslands, including savannas and tropical grasslands, need centuries to assemble; they are therefore expected to have low resilience to anthropogenic activities that disturb the soil (e.g. cultivation, quarrying, mining, etc.). Understanding "&amp;"which parameters restrict the natural recovery of degraded ecosystems is a major prerequisite for planning an effective restoration program. This study was designed to evaluate the recovery of an old-growth grassland, the campo rupestre, after a major dis"&amp;"turbance: gravel extraction. In 2010 (i.e. 8years after the degradation), we analyzed soil characteristics, seed bank, and vegetation composition in degraded sites consisting of sandy or gravel substrates, as well as in reference sites of sandy and gravel"&amp;" grasslands. At degraded sites, soils contained lower concentrations of the main nutrients, and seed banks consisted mainly of nontarget species. Seed banks of reference grasslands were poor in species and in seeds. Eight years after the degradation, plan"&amp;"t communities at degraded sites were still very different from those at the reference sites, with ruderals and almost no target species. Altered soil conditions, low capacity of campo rupestre species to form seed banks, and the probable restriction of se"&amp;"ed dispersal from the target species in nearby campo rupestre considerably limited the establishment of campo rupestre plant communities in degraded areas. Time is essential for old-growth grassland assemblage and, even with the presence of a propagule so"&amp;"urce in the surroundings, the assembly of campo rupestre plant communities in degraded sites will take centuries. Therefore, human intervention is necessary to rapidly reestablish the main species.")</f>
        <v>Old-growth grasslands, including savannas and tropical grasslands, need centuries to assemble; they are therefore expected to have low resilience to anthropogenic activities that disturb the soil (e.g. cultivation, quarrying, mining, etc.). Understanding which parameters restrict the natural recovery of degraded ecosystems is a major prerequisite for planning an effective restoration program. This study was designed to evaluate the recovery of an old-growth grassland, the campo rupestre, after a major disturbance: gravel extraction. In 2010 (i.e. 8years after the degradation), we analyzed soil characteristics, seed bank, and vegetation composition in degraded sites consisting of sandy or gravel substrates, as well as in reference sites of sandy and gravel grasslands. At degraded sites, soils contained lower concentrations of the main nutrients, and seed banks consisted mainly of nontarget species. Seed banks of reference grasslands were poor in species and in seeds. Eight years after the degradation, plant communities at degraded sites were still very different from those at the reference sites, with ruderals and almost no target species. Altered soil conditions, low capacity of campo rupestre species to form seed banks, and the probable restriction of seed dispersal from the target species in nearby campo rupestre considerably limited the establishment of campo rupestre plant communities in degraded areas. Time is essential for old-growth grassland assemblage and, even with the presence of a propagule source in the surroundings, the assembly of campo rupestre plant communities in degraded sites will take centuries. Therefore, human intervention is necessary to rapidly reestablish the main species.</v>
      </c>
      <c r="C1127" s="24" t="str">
        <f>IFERROR(__xludf.DUMMYFUNCTION("""COMPUTED_VALUE"""),"10.1111/rec.12713")</f>
        <v>10.1111/rec.12713</v>
      </c>
      <c r="D1127" s="24" t="str">
        <f>IFERROR(__xludf.DUMMYFUNCTION("""COMPUTED_VALUE"""),"Keck et al")</f>
        <v>Keck et al</v>
      </c>
      <c r="E1127" s="24" t="str">
        <f>IFERROR(__xludf.DUMMYFUNCTION("""COMPUTED_VALUE"""),"WOS:000436116600010")</f>
        <v>WOS:000436116600010</v>
      </c>
      <c r="F1127" s="24" t="str">
        <f>IFERROR(__xludf.DUMMYFUNCTION("""COMPUTED_VALUE"""),"[""ELIGIBLE""]")</f>
        <v>["ELIGIBLE"]</v>
      </c>
    </row>
    <row r="1128">
      <c r="A1128" s="24" t="str">
        <f>IFERROR(__xludf.DUMMYFUNCTION("""COMPUTED_VALUE"""),"Exposure of CuO nanoparticles and their metal counterpart leads to change in the gut microbiota and resistome of collembolans")</f>
        <v>Exposure of CuO nanoparticles and their metal counterpart leads to change in the gut microbiota and resistome of collembolans</v>
      </c>
      <c r="B1128" s="24" t="str">
        <f>IFERROR(__xludf.DUMMYFUNCTION("""COMPUTED_VALUE"""),"The widespread use of copper oxide nanoparticles (CuONPs) has dramatically increased their concentrations in soils and severely affected the health of soil organisms. The gut microbiota critically contributes to the metabolism and immune system of its hos"&amp;"t and is sensitive to environmental pollution. The toxic effect of CuONPs on the gut microbiota, especially in soil fauna, still needs further research. In the present study, a comprehensive toxicological test was performed to reveal the effects of CuONPs"&amp;" and their metal counterpart on the gut microbiota of soil collembolans using Illumina high throughput sequencing. Furthermore, the concomitant changes in the collembolans gut-associated antibiotic resistance genes (ARGs) and metabolism were investigated "&amp;"using high-throughput quantitative PCR and carbon and nitrogen stable isotope compositions. Both CuONPs and ionic copper (Cu) exposure disturbed the collembolan gut microbial community structure while only CuONPs reduced the gut microbial diversity. A tot"&amp;"al of 66 ARGs were detected in the collembolan guts, and CuONPs exposure induced a reduction in both diversity and abundance of ARGs. Additionally, CuONPs and ionic Cu exposure altered the C and N stable isotope compositions of the collembolans, indicatin"&amp;"g a change in their metabolism. Moreover, structural equation modeling indicated that 85.5% of the carbon stable isotope variations and 73.3% of the nitrogen stable isotope variations were explained by changes in Cu bioaccumulation and the gut microbiota."&amp;" The results of the present study extend our knowledge regarding the comprehensive toxicity of metal oxide NPs on soil fauna. (C) 2020 Elsevier Ltd. All rights reserved.")</f>
        <v>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v>
      </c>
      <c r="C1128" s="24" t="str">
        <f>IFERROR(__xludf.DUMMYFUNCTION("""COMPUTED_VALUE"""),"10.1016/j.chemosphere.2020.127347")</f>
        <v>10.1016/j.chemosphere.2020.127347</v>
      </c>
      <c r="D1128" s="24" t="str">
        <f>IFERROR(__xludf.DUMMYFUNCTION("""COMPUTED_VALUE"""),"Keck et al")</f>
        <v>Keck et al</v>
      </c>
      <c r="E1128" s="24" t="str">
        <f>IFERROR(__xludf.DUMMYFUNCTION("""COMPUTED_VALUE"""),"WOS:000566446500081")</f>
        <v>WOS:000566446500081</v>
      </c>
      <c r="F1128" s="24" t="str">
        <f>IFERROR(__xludf.DUMMYFUNCTION("""COMPUTED_VALUE"""),"[""ELIGIBLE""]")</f>
        <v>["ELIGIBLE"]</v>
      </c>
    </row>
    <row r="1129">
      <c r="A1129" s="24" t="str">
        <f>IFERROR(__xludf.DUMMYFUNCTION("""COMPUTED_VALUE"""),"Linking life history strategies and historical baseline information shows effects of altered flow regimes and impoundments on freshwater mussel assemblages")</f>
        <v>Linking life history strategies and historical baseline information shows effects of altered flow regimes and impoundments on freshwater mussel assemblages</v>
      </c>
      <c r="B1129" s="24" t="str">
        <f>IFERROR(__xludf.DUMMYFUNCTION("""COMPUTED_VALUE"""),"Human impacts on aquatic ecosystems are causing shifts in the composition and distribution of species, leading to subsequent changes in community structure. However, these changes may not be fully realised because of inadequate baseline information. In Te"&amp;"xas, such baseline information is generally lacking for cryptic aquatic species such as unionid mussels, which will be likely to impede identification of impacted populations, potential causal factors, and the setting or achieving of management goals. The"&amp;" Navasota River, located in central Texas, is an exception, having been comprehensively surveyed more than 40 years ago, prior to large-scale impoundment of this system. Hierarchical cluster analysis, nonmetric multidimensional scaling, and fuzzy set ordi"&amp;"nation were performed to compare assemblage structure from the 1975 survey to that of a recent survey in 2016 at similar sampling locations. Comparing sites based on the presence-absence of mussel species, we found no significant differences between the n"&amp;"umber of taxa and species present; however, we did find significant filtering of mussel life history strategies. Specifically, prior to impoundment, we found that mussel assemblages were filtered based on longitudinal patterns in life history strategy fro"&amp;"m taxa that are adapted to disturbed habitats to those favoured in more stable habitats with low environmental variation. However, following large-scale impoundment after 1975, we saw a shift in the hydrologic regime towards consistent, homogenised flows "&amp;"and a shift in assemblage structure towards equilibrium species. This shift appears to represent adiscontinuity, wherein river impoundment alters physical parameters of the hydrologic regime and these changes in turn modify biotic patterns and processes. "&amp;"Our results provide another example of how large dams can restructure mussel assemblages, highlight the importance of incorporating reference or baseline conditions wherever possible when evaluating the conservation status of aquatic biota, and provide fu"&amp;"rther evidence for the use of life history theory and the serial discontinuity concept in predicting the consequences of flow alteration and river impoundment.")</f>
        <v>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v>
      </c>
      <c r="C1129" s="24" t="str">
        <f>IFERROR(__xludf.DUMMYFUNCTION("""COMPUTED_VALUE"""),"10.1111/fwb.13591")</f>
        <v>10.1111/fwb.13591</v>
      </c>
      <c r="D1129" s="24" t="str">
        <f>IFERROR(__xludf.DUMMYFUNCTION("""COMPUTED_VALUE"""),"Keck et al")</f>
        <v>Keck et al</v>
      </c>
      <c r="E1129" s="24" t="str">
        <f>IFERROR(__xludf.DUMMYFUNCTION("""COMPUTED_VALUE"""),"WOS:000577751400009")</f>
        <v>WOS:000577751400009</v>
      </c>
      <c r="F1129" s="24" t="str">
        <f>IFERROR(__xludf.DUMMYFUNCTION("""COMPUTED_VALUE"""),"[""ELIGIBLE""]")</f>
        <v>["ELIGIBLE"]</v>
      </c>
    </row>
    <row r="1130">
      <c r="A1130" s="24" t="str">
        <f>IFERROR(__xludf.DUMMYFUNCTION("""COMPUTED_VALUE"""),"Rainwater harvesting and arthropod biodiversity within an arid agro-ecosystem")</f>
        <v>Rainwater harvesting and arthropod biodiversity within an arid agro-ecosystem</v>
      </c>
      <c r="B1130" s="24" t="str">
        <f>IFERROR(__xludf.DUMMYFUNCTION("""COMPUTED_VALUE"""),"The Bedouin of South Sinai, Egypt, use a technique known as runoff agroforestry to capture rainwater and increase the agricultural potential of the arid landscape. Utilising water that would otherwise be lost from the vicinity allows the creation of multi"&amp;"-strata orchards with higher plant densities than the surrounding environment. We used pitfall traps to compare ground arthropod communities within 15 agricultural gardens to those in the external habitat. Total arthropod abundance and species richness we"&amp;"re significantly higher inside the gardens, with no loss of alpha-diversity. Species level analysis of ants revealed that six out of seven recorded species were more abundance inside the gardens. There were significant differences in the responses of Cole"&amp;"opteran functional groups, with scavengers occurring in higher numbers inside, predators higher outside, and herbivores showing no difference. There was a high presence of the ant Monomorium venustum and the scavenger beetle Lagria sp. inside the gardens,"&amp;" but no negative impacts on species accumulation rates or alpha-diversity. In conclusion, runoff agroforestry seems to enhance local arthropod abundance, without a strong negative affect on biodiversity. Crown Copyright (C) 2012 Published by Elsevier B.V."&amp;" All rights reserved.")</f>
        <v>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v>
      </c>
      <c r="C1130" s="24" t="str">
        <f>IFERROR(__xludf.DUMMYFUNCTION("""COMPUTED_VALUE"""),"10.1016/j.agee.2012.08.007")</f>
        <v>10.1016/j.agee.2012.08.007</v>
      </c>
      <c r="D1130" s="24" t="str">
        <f>IFERROR(__xludf.DUMMYFUNCTION("""COMPUTED_VALUE"""),"Keck et al")</f>
        <v>Keck et al</v>
      </c>
      <c r="E1130" s="24" t="str">
        <f>IFERROR(__xludf.DUMMYFUNCTION("""COMPUTED_VALUE"""),"WOS:000312472300002")</f>
        <v>WOS:000312472300002</v>
      </c>
      <c r="F1130" s="24" t="str">
        <f>IFERROR(__xludf.DUMMYFUNCTION("""COMPUTED_VALUE"""),"[""ELIGIBLE""]")</f>
        <v>["ELIGIBLE"]</v>
      </c>
    </row>
    <row r="1131">
      <c r="A1131" s="24" t="str">
        <f>IFERROR(__xludf.DUMMYFUNCTION("""COMPUTED_VALUE"""),"Effects of Warming and Nitrogen Addition on the Soil Bacterial Community in a Subtropical Chinese Fir Plantation")</f>
        <v>Effects of Warming and Nitrogen Addition on the Soil Bacterial Community in a Subtropical Chinese Fir Plantation</v>
      </c>
      <c r="B1131" s="24" t="str">
        <f>IFERROR(__xludf.DUMMYFUNCTION("""COMPUTED_VALUE"""),"Soil warming has the potential to alter bacterial communities, affecting carbon (C) storage and nitrogen (N) cycling in forest ecosystems. We studied bacterial community changes by warming soil and adding two N-levels (40 and 80 kg N ha(-1) year(-1)) for "&amp;"two years in a subtropical plantation of Chinese fir (Cunninghamia lanceolate (Lamb.) Hook) in southern China. Soil warming significantly changed the bacterial community structure, causing decreases in Proteobacteria and Acidobacteria, while increasing Ac"&amp;"tinobacteria and Chloroflexi. The high N addition had a greater impact on the bacterial community structure than the low N addition. Warming shifted the bacterial community towards oligotrophic taxa, while N addition could dilute this tendency. Results of"&amp;" the ecological networks indicated that warming resulted in a more complicated co-occurrence network and an increased interaction between different phylum communities, while N addition enhanced the cooperation within communities pertaining to the same phy"&amp;"lum. The changes to the soil properties, typical catabolism enzymes, and plant growth also showed that soil warming and N addition accelerated the C and N cycles in the soil, and lead to an increased upward flow of N (from underground to aboveground) and "&amp;"decomposition rate of soil organic carbon (SOC). Overall, the results provided insights into the bacterial community and soil C and N cycling change at a subtropical plantation.")</f>
        <v>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v>
      </c>
      <c r="C1131" s="24" t="str">
        <f>IFERROR(__xludf.DUMMYFUNCTION("""COMPUTED_VALUE"""),"10.3390/f10100861")</f>
        <v>10.3390/f10100861</v>
      </c>
      <c r="D1131" s="24" t="str">
        <f>IFERROR(__xludf.DUMMYFUNCTION("""COMPUTED_VALUE"""),"Keck et al")</f>
        <v>Keck et al</v>
      </c>
      <c r="E1131" s="24" t="str">
        <f>IFERROR(__xludf.DUMMYFUNCTION("""COMPUTED_VALUE"""),"WOS:000498395600038")</f>
        <v>WOS:000498395600038</v>
      </c>
      <c r="F1131" s="24" t="str">
        <f>IFERROR(__xludf.DUMMYFUNCTION("""COMPUTED_VALUE"""),"[""ELIGIBLE""]")</f>
        <v>["ELIGIBLE"]</v>
      </c>
    </row>
    <row r="1132">
      <c r="A1132" s="24" t="str">
        <f>IFERROR(__xludf.DUMMYFUNCTION("""COMPUTED_VALUE"""),"Effect of deforestation in palm-epiphytic bryophyte communities in a cloud forest in the northern Andes")</f>
        <v>Effect of deforestation in palm-epiphytic bryophyte communities in a cloud forest in the northern Andes</v>
      </c>
      <c r="B1132" s="24" t="str">
        <f>IFERROR(__xludf.DUMMYFUNCTION("""COMPUTED_VALUE"""),"Cloud forests are one of the most diverse and yet one of the most endangered ecosystems in the tropics. Epiphytic bryophytes are extremely diverse and abundant in this ecosystem where the palms are a dominant element. Slash and burn agriculture techniques"&amp;" usually do not cut the palms and they remain as isolated individuals in the middle of artificial grasslands or agricultural fields. Forest clearing creates new environments on the isolated trees that have been considered a refugee for rare canopy species"&amp;", and the relationship of these isolated communities with forest communities has been considered to be distant. We sampled 99 plots on 11 individuals of the palm Dictyocaryum lamarckianum for a total effective sampling area of 15.9 m(2). The epiphytic com"&amp;"munities comprised 72 liverworts and 21 mosses. Diplasiolejeunea alata and D. cavifolia are hereby reported for the first time from Colombia. We analyzed the changes in bryophyte diversity patterns between forests and man-made grasslands and how these pat"&amp;"terns are related to the distribution of locally rare species. Our results showed a decrease in the number of species from the bottom to the top of the palm and from the forest to the grassland. Rare species were mostly concentrated in the forest independ"&amp;"ently of height. Common species moved on average 4 m downward on the palms in the grassland relative to the height on the forest. Ordination of the plots using NMDS provided evidence that the change in species composition is gradual between forests and gr"&amp;"asslands and from the base of the palms to the canopy. We propose that the new communities generated by slash and burning practices are a combination of drought tolerant species from the forest and species that are commonly found in disturbed sites. In co"&amp;"nclusion, isolated palms are not islands where canopy species can be preserved as they harbor only common species.")</f>
        <v>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v>
      </c>
      <c r="C1132" s="24" t="str">
        <f>IFERROR(__xludf.DUMMYFUNCTION("""COMPUTED_VALUE"""),"10.1639/0007-2745-114.1.155")</f>
        <v>10.1639/0007-2745-114.1.155</v>
      </c>
      <c r="D1132" s="24" t="str">
        <f>IFERROR(__xludf.DUMMYFUNCTION("""COMPUTED_VALUE"""),"Keck et al")</f>
        <v>Keck et al</v>
      </c>
      <c r="E1132" s="24" t="str">
        <f>IFERROR(__xludf.DUMMYFUNCTION("""COMPUTED_VALUE"""),"WOS:000290637900013")</f>
        <v>WOS:000290637900013</v>
      </c>
      <c r="F1132" s="24" t="str">
        <f>IFERROR(__xludf.DUMMYFUNCTION("""COMPUTED_VALUE"""),"[""ELIGIBLE""]")</f>
        <v>["ELIGIBLE"]</v>
      </c>
    </row>
    <row r="1133">
      <c r="A1133" s="24" t="str">
        <f>IFERROR(__xludf.DUMMYFUNCTION("""COMPUTED_VALUE"""),"Fish assemblages associated with urban structures and natural reefs in Sydney, Australia")</f>
        <v>Fish assemblages associated with urban structures and natural reefs in Sydney, Australia</v>
      </c>
      <c r="B1133" s="24" t="str">
        <f>IFERROR(__xludf.DUMMYFUNCTION("""COMPUTED_VALUE"""),"Fish ecology in urban estuaries is poorly understood. As coastal landscapes are transformed, recognizing the impact that urban structures, such as marinas, seawalls and wharfs, have on local fish populations is becoming increasingly important. The extent "&amp;"to which fish are able to maintain natural ecological assemblages can be measured, to a certain extent, by how closely they mimic natural habitats. In Sydney Harbour, assemblages of fish associated with artificial structures were compared with those assoc"&amp;"iated with natural rocky reefs. Sampling was carried out in five locations, each with a marina, swimming enclosure and natural reef. In each location, different habitats supported different assemblages, but differences between habitats were not consistent"&amp;" among locations. Subsequent sampling compared artificial and natural sites in three different areas in each of three different estuaries. Results indicated that differences in fish assemblages between artificial and natural sites were greater than differ"&amp;"ences between sites within each habitat, but there were no patterns among different positions in an estuary or from estuary to estuary. This study provides initial evidence that, although artificial habitats generally support the same species as found on "&amp;"natural reefs, assemblages usually differed between natural and artificial habitats. In addition, without knowing if these habitats do, in fact, sustain viable populations of fish, it would be premature to label artificial structures as effective habitat "&amp;"for fish.")</f>
        <v>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v>
      </c>
      <c r="C1133" s="24" t="str">
        <f>IFERROR(__xludf.DUMMYFUNCTION("""COMPUTED_VALUE"""),"10.1111/j.1442-9993.2007.01802.x")</f>
        <v>10.1111/j.1442-9993.2007.01802.x</v>
      </c>
      <c r="D1133" s="24" t="str">
        <f>IFERROR(__xludf.DUMMYFUNCTION("""COMPUTED_VALUE"""),"Keck et al")</f>
        <v>Keck et al</v>
      </c>
      <c r="E1133" s="24" t="str">
        <f>IFERROR(__xludf.DUMMYFUNCTION("""COMPUTED_VALUE"""),"WOS:000253603900003")</f>
        <v>WOS:000253603900003</v>
      </c>
      <c r="F1133" s="24" t="str">
        <f>IFERROR(__xludf.DUMMYFUNCTION("""COMPUTED_VALUE"""),"[""ELIGIBLE""]")</f>
        <v>["ELIGIBLE"]</v>
      </c>
    </row>
    <row r="1134">
      <c r="A1134" s="24" t="str">
        <f>IFERROR(__xludf.DUMMYFUNCTION("""COMPUTED_VALUE"""),"Effect of deepwater trawling on the macro-invertebrate assemblages of seamounts on the Chatham Rise, New Zealand")</f>
        <v>Effect of deepwater trawling on the macro-invertebrate assemblages of seamounts on the Chatham Rise, New Zealand</v>
      </c>
      <c r="B1134" s="24" t="str">
        <f>IFERROR(__xludf.DUMMYFUNCTION("""COMPUTED_VALUE"""),"Seamounts, knolls, pinnacles and other seamount-like features are prominent and widely distributed features of the New Zealand marine environment. and also the focus of important commercial fisheries and some exploratory mineral mining. There is considera"&amp;"ble debate about the effects of such activities on the benthic habitat of deep-water seamounts. In 2001 a study was undertaken of eight seamount-features on the Chatham Rise, an area that has been heavily trawled for orange roughy since the early 1990s. H"&amp;"alf of the study seamounts were considered unfished and the other half fished. Benthic macro-invertebrate assemblages of each seamount were sampled using epibenthic sleds, whilst the presence of habitat-forming fauna (e.g., live corals), substrate type an"&amp;"d indications of trawling (e.g., trawl door marks) were determined using a towed underwater camera. Fisheries catch-effort data were examined to determine the amount and distribution of bottom trawling effort on the seamounts. Analyses of camera data reve"&amp;"aled that unfished seamounts possessed a relatively large amount of stony coral habitat comprising live Solenosmilia variabilis and Madrepora oculata (predominantly on the seamount peaks) whereas fished seamounts had relatively little coral habitat. Indic"&amp;"ations of trawling were observed over six times more frequently on seabed images from fished as opposed to unfished seamounts, and appeared related to the amount of fishing effort on individual seamounts. Multivariate analyses of sled data revealed a sign"&amp;"ificant difference in macro-invertebrate assemblage composition between fished and unfished seamounts. The variability observed in assemblage composition between seamounts can in part be explained by the relative fishing pressure measured by a fishing eff"&amp;"ects index. The results of the study are discussed with respect to management of seamount habitat, and the need for ongoing monitoring and research to derive conservation practices that allow for sustainable seamount fisheries. (C) 2009 Elsevier Ltd. All "&amp;"rights reserved.")</f>
        <v>Seamounts, knolls, pinnacles and other seamount-like features are prominent and widely distributed features of the New Zealand marine environment. and also the focus of important commercial fisheries and some exploratory mineral mining. There is considerable debate about the effects of such activities on the benthic habitat of deep-water seamounts. In 2001 a study was undertaken of eight seamount-features on the Chatham Rise, an area that has been heavily trawled for orange roughy since the early 1990s. Half of the study seamounts were considered unfished and the other half fished. Benthic macro-invertebrate assemblages of each seamount were sampled using epibenthic sleds, whilst the presence of habitat-forming fauna (e.g., live corals), substrate type and indications of trawling (e.g., trawl door marks) were determined using a towed underwater camera. Fisheries catch-effort data were examined to determine the amount and distribution of bottom trawling effort on the seamounts. Analyses of camera data revealed that unfished seamounts possessed a relatively large amount of stony coral habitat comprising live Solenosmilia variabilis and Madrepora oculata (predominantly on the seamount peaks) whereas fished seamounts had relatively little coral habitat. Indications of trawling were observed over six times more frequently on seabed images from fished as opposed to unfished seamounts, and appeared related to the amount of fishing effort on individual seamounts. Multivariate analyses of sled data revealed a significant difference in macro-invertebrate assemblage composition between fished and unfished seamounts. The variability observed in assemblage composition between seamounts can in part be explained by the relative fishing pressure measured by a fishing effects index. The results of the study are discussed with respect to management of seamount habitat, and the need for ongoing monitoring and research to derive conservation practices that allow for sustainable seamount fisheries. (C) 2009 Elsevier Ltd. All rights reserved.</v>
      </c>
      <c r="C1134" s="24" t="str">
        <f>IFERROR(__xludf.DUMMYFUNCTION("""COMPUTED_VALUE"""),"10.1016/j.dsr.2009.04.015")</f>
        <v>10.1016/j.dsr.2009.04.015</v>
      </c>
      <c r="D1134" s="24" t="str">
        <f>IFERROR(__xludf.DUMMYFUNCTION("""COMPUTED_VALUE"""),"Keck et al")</f>
        <v>Keck et al</v>
      </c>
      <c r="E1134" s="24" t="str">
        <f>IFERROR(__xludf.DUMMYFUNCTION("""COMPUTED_VALUE"""),"WOS:000268611100010")</f>
        <v>WOS:000268611100010</v>
      </c>
      <c r="F1134" s="24" t="str">
        <f>IFERROR(__xludf.DUMMYFUNCTION("""COMPUTED_VALUE"""),"[""ELIGIBLE""]")</f>
        <v>["ELIGIBLE"]</v>
      </c>
    </row>
    <row r="1135">
      <c r="A1135" s="24" t="str">
        <f>IFERROR(__xludf.DUMMYFUNCTION("""COMPUTED_VALUE"""),"Coral community composition and carbonate production in an urbanized seascape")</f>
        <v>Coral community composition and carbonate production in an urbanized seascape</v>
      </c>
      <c r="B1135" s="24" t="str">
        <f>IFERROR(__xludf.DUMMYFUNCTION("""COMPUTED_VALUE"""),"Coastal urbanization causes environmental modifications that directly and indirectly influence the distribution and functioning of coral reefs. However, the capacity of urban infrastructure to support corals and vertically accrete is less understood. Here"&amp;", we investigated if coral communities on reefs and seawalls in Singapore are distinct, and examined the environmental variables influencing coral carbonate production. Surveys at 22 sites yielded 134 coral species, with richness significantly higher on r"&amp;"eefs. Coral cover and Shannon index did not differ between habitat types. Community composition was distinct between habitat types, with seawalls supporting a higher proportion of massive and thick-plating species. 'Distance from mainland' was the single "&amp;"most important variable influencing normalized carbonate production rates (a function of species-specific linear extension rate and skeletal bulk density and site coral cover), which were higher further from the mainland where human activity and developme"&amp;"nt pressures were greater. Our results indicate that environmental filtering strongly shapes coral communities and may influence ecosystem functioning in Singapore's urbanized reef system. The findings will guide the management of reefs on increasingly ur"&amp;"banized coastlines.")</f>
        <v>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v>
      </c>
      <c r="C1135" s="24" t="str">
        <f>IFERROR(__xludf.DUMMYFUNCTION("""COMPUTED_VALUE"""),"10.1016/j.marenvres.2021.105322")</f>
        <v>10.1016/j.marenvres.2021.105322</v>
      </c>
      <c r="D1135" s="24" t="str">
        <f>IFERROR(__xludf.DUMMYFUNCTION("""COMPUTED_VALUE"""),"Keck et al")</f>
        <v>Keck et al</v>
      </c>
      <c r="E1135" s="24" t="str">
        <f>IFERROR(__xludf.DUMMYFUNCTION("""COMPUTED_VALUE"""),"WOS:000663361900003")</f>
        <v>WOS:000663361900003</v>
      </c>
      <c r="F1135" s="24" t="str">
        <f>IFERROR(__xludf.DUMMYFUNCTION("""COMPUTED_VALUE"""),"[""ELIGIBLE""]")</f>
        <v>["ELIGIBLE"]</v>
      </c>
    </row>
    <row r="1136">
      <c r="A1136" s="24" t="str">
        <f>IFERROR(__xludf.DUMMYFUNCTION("""COMPUTED_VALUE"""),"Urbanization pressures alter tree rhizosphere microbiomes")</f>
        <v>Urbanization pressures alter tree rhizosphere microbiomes</v>
      </c>
      <c r="B1136" s="24" t="str">
        <f>IFERROR(__xludf.DUMMYFUNCTION("""COMPUTED_VALUE"""),"The soil microbial community (SMC) provides critical ecosystem services including organic matter decomposition, soil structural formation, and nutrient cycling. Studies suggest plants, specifically trees, act as soil keystone species controlling SMC struc"&amp;"ture via multiple mechanisms (e.g., litter chemistry, root exudates, and canopy alteration of precipitation). Tree influence on SMC is shaped by local/regional climate effects on forested environments and the connection of forests to surrounding landscape"&amp;"s (e.g., urbanization). Urban soils offer an ideal analog to assess the influence of environmental conditions versus plant species-specific controls on SMC. We used next generation high throughput sequencing to characterize the SMC of specific tree specie"&amp;"s (Fagus grandifolia [beech] vs Liriodendron tulipifera [yellow poplar]) across an urban-rural gradient. Results indicate SMC dissimilarity within rural forests suggests the SMC is unique to individual tree species. However, greater urbanization pressure "&amp;"increased SMC similarity between tree species. Relative abundance, species richness, and evenness suggest that increases in similarity within urban forests is not the result of biodiversity loss, but rather due to greater overlap of shared taxa. Evaluatio"&amp;"n of soil chemistry across the rural-urban gradient indicate pH, Ca+, and organic matter are largely responsible for driving relative abundance of specific SMC members.")</f>
        <v>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v>
      </c>
      <c r="C1136" s="24" t="str">
        <f>IFERROR(__xludf.DUMMYFUNCTION("""COMPUTED_VALUE"""),"10.1038/s41598-021-88839-8")</f>
        <v>10.1038/s41598-021-88839-8</v>
      </c>
      <c r="D1136" s="24" t="str">
        <f>IFERROR(__xludf.DUMMYFUNCTION("""COMPUTED_VALUE"""),"Keck et al")</f>
        <v>Keck et al</v>
      </c>
      <c r="E1136" s="24" t="str">
        <f>IFERROR(__xludf.DUMMYFUNCTION("""COMPUTED_VALUE"""),"WOS:000657422500037")</f>
        <v>WOS:000657422500037</v>
      </c>
      <c r="F1136" s="24" t="str">
        <f>IFERROR(__xludf.DUMMYFUNCTION("""COMPUTED_VALUE"""),"[""ELIGIBLE""]")</f>
        <v>["ELIGIBLE"]</v>
      </c>
    </row>
    <row r="1137">
      <c r="A1137" s="24" t="str">
        <f>IFERROR(__xludf.DUMMYFUNCTION("""COMPUTED_VALUE"""),"Testing hypotheses about temporary and persistent effects of otter trawling on infauna: changes in diversity rather than abundance")</f>
        <v>Testing hypotheses about temporary and persistent effects of otter trawling on infauna: changes in diversity rather than abundance</v>
      </c>
      <c r="B1137" s="24" t="str">
        <f>IFERROR(__xludf.DUMMYFUNCTION("""COMPUTED_VALUE"""),"A field experiment was conducted to examine the short- and long-term effects of otter trawling on a macrobenthic infaunal community in shallow subtidal waters of Faxafloi Bay (SW Iceland) that had never been trawled before. The experimental design consist"&amp;"ed of 4 sites trawled 10 times and 4 areas left undisturbed (controls). Sampling of fauna and sediments was carried out in June 1997, immediately after trawling, and subsequently 2 and 7 mo later, in order to investigate longer term impacts of trawling. N"&amp;"o significant treatment effects could be detected on total abundance or on multivariate structure, and tests for individual species revealed only a single short-term effect (for the bivalve Thyasira flexuosa). However, trawling affected several aspects of"&amp;" diversity with significant short-term reduction in species richness and persistent effects on the Shannon-Wiener index. Power analysis revealed that larger changes were needed to detect changes in abundance compared to measures of diversity. Analyses of "&amp;"qualitative changes revealed a decreasing trend in abundance of the majority of taxa (especially the rarer ones) immediately after trawling. This was the most likely cause for the reduced diversity and the augmented small-scale variability in species rich"&amp;"ness. The size of initial impacts and the persistence of effects were largely consistent. with those of previous studies in similar environments. Similar to other types of environmental impacts in aquatic environments, our analyses reveal that impacts of "&amp;"trawling on measures of diversity can be detected at a high statistical power and that larger effects are necessary to detect impacts on abundances.")</f>
        <v>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v>
      </c>
      <c r="C1137" s="24" t="str">
        <f>IFERROR(__xludf.DUMMYFUNCTION("""COMPUTED_VALUE"""),"10.3354/meps08056")</f>
        <v>10.3354/meps08056</v>
      </c>
      <c r="D1137" s="24" t="str">
        <f>IFERROR(__xludf.DUMMYFUNCTION("""COMPUTED_VALUE"""),"Keck et al")</f>
        <v>Keck et al</v>
      </c>
      <c r="E1137" s="24" t="str">
        <f>IFERROR(__xludf.DUMMYFUNCTION("""COMPUTED_VALUE"""),"WOS:000268078800005")</f>
        <v>WOS:000268078800005</v>
      </c>
      <c r="F1137" s="24" t="str">
        <f>IFERROR(__xludf.DUMMYFUNCTION("""COMPUTED_VALUE"""),"[""ELIGIBLE""]")</f>
        <v>["ELIGIBLE"]</v>
      </c>
    </row>
    <row r="1138">
      <c r="A1138" s="24" t="str">
        <f>IFERROR(__xludf.DUMMYFUNCTION("""COMPUTED_VALUE"""),"What does impacted look like? High diversity and abundance of epibiota in modified estuaries")</f>
        <v>What does impacted look like? High diversity and abundance of epibiota in modified estuaries</v>
      </c>
      <c r="B1138" s="24" t="str">
        <f>IFERROR(__xludf.DUMMYFUNCTION("""COMPUTED_VALUE"""),"Ecosystems modified by human activities are generally predicted to be biologically impoverished. However, much pollution impact theory stems from laboratory or small-scale field studies, and few studies replicate at the level of estuary. Furthermore, asse"&amp;"ssments are often based on sediment contamination and infauna, and impacts to epibiota (sessile invertebrates and algae) are seldom considered. We surveyed epibiota in six estuaries in south-east Australia. Half the estuaries were relatively pristine, and"&amp;" half were subject to internationally high levels of contamination, urbanisation, and industrialisation. Contrary to predictions, epibiota in modified estuaries had greater coverage and were similarly diverse as those in unmodified estuaries. Change in ep"&amp;"ibiota community structure was linearly correlated with sediment-bound copper, and the tubeworm Hydroides elegans showed a strong positive correlation with sediment metals. Stressors such as metal contamination can reduce biodiversity and productivity, bu"&amp;"t others such as nutrient enrichment and resource provision may obscure signals of impact. (C) 2014 Elsevier Ltd. All rights reserved.")</f>
        <v>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v>
      </c>
      <c r="C1138" s="24" t="str">
        <f>IFERROR(__xludf.DUMMYFUNCTION("""COMPUTED_VALUE"""),"10.1016/j.envpol.2014.09.017")</f>
        <v>10.1016/j.envpol.2014.09.017</v>
      </c>
      <c r="D1138" s="24" t="str">
        <f>IFERROR(__xludf.DUMMYFUNCTION("""COMPUTED_VALUE"""),"Keck et al")</f>
        <v>Keck et al</v>
      </c>
      <c r="E1138" s="24" t="str">
        <f>IFERROR(__xludf.DUMMYFUNCTION("""COMPUTED_VALUE"""),"WOS:000347583900002")</f>
        <v>WOS:000347583900002</v>
      </c>
      <c r="F1138" s="24" t="str">
        <f>IFERROR(__xludf.DUMMYFUNCTION("""COMPUTED_VALUE"""),"[""ELIGIBLE""]")</f>
        <v>["ELIGIBLE"]</v>
      </c>
    </row>
    <row r="1139">
      <c r="A1139" s="24" t="str">
        <f>IFERROR(__xludf.DUMMYFUNCTION("""COMPUTED_VALUE"""),"A comparison study of the potential risks induced in arable land and forest soils by carcass-derived pollutants")</f>
        <v>A comparison study of the potential risks induced in arable land and forest soils by carcass-derived pollutants</v>
      </c>
      <c r="B1139" s="24" t="str">
        <f>IFERROR(__xludf.DUMMYFUNCTION("""COMPUTED_VALUE"""),"Improper decisions concerning animal carcass disposal sites pose grave threats to environmental biosecurity. However, only a few studies have focused on the effects of different land-use types on the composition of carcass-derived pollutants and microbial"&amp;" responses to the disturbances. This study was conducted using soil microcosms with minced pork built from arable land and forest soils for 5 weeks. To compare the risk induced from different land-use types by carcass burial, the soil properties, the micr"&amp;"obial community, and multiple-antibiotic-resistant bacteria were evaluated for microcosm containing 0, 1.5 and 7.5 g of minced pork. The abiotic properties, including pH, organic carbon, nitrogen and phosphorus compounds, significantly increased, regardle"&amp;"ss of the land-use types and applied load masses. The microbial diversity indices of the forest soil were reduced, whereas those of the arable land remained relatively stable. The disturbances produced from carcass-derived pollutants altered the bacterial"&amp;" community structures differently for the different land-use types. The treatment increased multiple-antibiotic-resistant bacteria in the both soil samples, although the increase in the forest soil was significantly less compared to the arable land soils.")</f>
        <v>Improper decisions concerning animal carcass disposal sites pose grave threats to environmental biosecurity. However, only a few studies have focused on the effects of different land-use types on the composition of carcass-derived pollutants and microbial responses to the disturbances. This study was conducted using soil microcosms with minced pork built from arable land and forest soils for 5 weeks. To compare the risk induced from different land-use types by carcass burial, the soil properties, the microbial community, and multiple-antibiotic-resistant bacteria were evaluated for microcosm containing 0, 1.5 and 7.5 g of minced pork. The abiotic properties, including pH, organic carbon, nitrogen and phosphorus compounds, significantly increased, regardless of the land-use types and applied load masses. The microbial diversity indices of the forest soil were reduced, whereas those of the arable land remained relatively stable. The disturbances produced from carcass-derived pollutants altered the bacterial community structures differently for the different land-use types. The treatment increased multiple-antibiotic-resistant bacteria in the both soil samples, although the increase in the forest soil was significantly less compared to the arable land soils.</v>
      </c>
      <c r="C1139" s="24" t="str">
        <f>IFERROR(__xludf.DUMMYFUNCTION("""COMPUTED_VALUE"""),"10.1007/s10653-017-9932-7")</f>
        <v>10.1007/s10653-017-9932-7</v>
      </c>
      <c r="D1139" s="24" t="str">
        <f>IFERROR(__xludf.DUMMYFUNCTION("""COMPUTED_VALUE"""),"Keck et al")</f>
        <v>Keck et al</v>
      </c>
      <c r="E1139" s="24" t="str">
        <f>IFERROR(__xludf.DUMMYFUNCTION("""COMPUTED_VALUE"""),"WOS:000424199900029")</f>
        <v>WOS:000424199900029</v>
      </c>
      <c r="F1139" s="24" t="str">
        <f>IFERROR(__xludf.DUMMYFUNCTION("""COMPUTED_VALUE"""),"[""ELIGIBLE""]")</f>
        <v>["ELIGIBLE"]</v>
      </c>
    </row>
    <row r="1140">
      <c r="A1140" s="24" t="str">
        <f>IFERROR(__xludf.DUMMYFUNCTION("""COMPUTED_VALUE"""),"Responses of soil bacterial compositions to concentrations of nitrogen forms in the process of Moso bamboo invasion")</f>
        <v>Responses of soil bacterial compositions to concentrations of nitrogen forms in the process of Moso bamboo invasion</v>
      </c>
      <c r="B1140" s="24" t="str">
        <f>IFERROR(__xludf.DUMMYFUNCTION("""COMPUTED_VALUE"""),"We analyzed and compared the soil bacterial diversity and difference in community composition in a Moso bamboo forest, a mixed Moso bamboo-conifer (Pinus massoniana) forest, and a coniferous forest. The relative abundances of Acidobacteria and Planctomyce"&amp;"tes were significantly lower in the Moso bamboo forest, while those of Actinobacteria, Bacteroidetes, TM-7 and Chlamydiae were greatly increased. The alpha-diversity in the Moso bamboo forest was different from that in the other two forest types but was n"&amp;"ot statistically distinguished. Principal coordinates analysis suggested that the invasion of Moso bamboo affected the community composition and diversity of soil bacteria. This impact was associated with the soil biochemical environment, as evidenced by "&amp;"increased mean values of soil organic carbon (C) and total nitrogen (N), significant increases in microbial biomass C and N, and a decrease in the NO3--N content, which indicated that the nitrification rate was reduced in the mixed Moso bamboo-conifer for"&amp;"est. There were no overall correlations between the dominant bacterial phyla and soil biochemical gradients; however, individual dominant phyla correlated with the concentration of N forms, which indicated that the responses of bacteria were sensitive to,"&amp;" and varied depending on, the concentration of soil N forms. In addition, there were correlations between non-dominant bacterial phyla with respect to operational taxonomic unit proportions &lt;1.0%, and overall gradients of water-soluble organic N and NO3--"&amp;"N. The results of this study showed that the changes in soil bacterial flora are associated with the changes in concentration of N forms during the invasion of Moso bamboo.")</f>
        <v>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v>
      </c>
      <c r="C1140" s="24" t="str">
        <f>IFERROR(__xludf.DUMMYFUNCTION("""COMPUTED_VALUE"""),"10.1111/1440-1703.12052")</f>
        <v>10.1111/1440-1703.12052</v>
      </c>
      <c r="D1140" s="24" t="str">
        <f>IFERROR(__xludf.DUMMYFUNCTION("""COMPUTED_VALUE"""),"Keck et al")</f>
        <v>Keck et al</v>
      </c>
      <c r="E1140" s="24" t="str">
        <f>IFERROR(__xludf.DUMMYFUNCTION("""COMPUTED_VALUE"""),"WOS:000492689300001")</f>
        <v>WOS:000492689300001</v>
      </c>
      <c r="F1140" s="24" t="str">
        <f>IFERROR(__xludf.DUMMYFUNCTION("""COMPUTED_VALUE"""),"[""ELIGIBLE""]")</f>
        <v>["ELIGIBLE"]</v>
      </c>
    </row>
    <row r="1141">
      <c r="A1141" s="24" t="str">
        <f>IFERROR(__xludf.DUMMYFUNCTION("""COMPUTED_VALUE"""),"Sediment bacterial community structure and function in response to C and Zn amendments: urban and nonurban streams")</f>
        <v>Sediment bacterial community structure and function in response to C and Zn amendments: urban and nonurban streams</v>
      </c>
      <c r="B1141" s="24" t="str">
        <f>IFERROR(__xludf.DUMMYFUNCTION("""COMPUTED_VALUE"""),"Urbanization is an important ecological modifier of stream catchments and significantly alters C type and concentration and heavy metal input to aquatic systems. C and heavy metals are important determinants of microbial community structure (population dy"&amp;"namics) and function (physiological processes). Understanding how changes at the landscape scale affect key nutrient-transformation processes (e.g., denitrification) and C metabolism (e.g., methanogenesis) at the micro scale requires simultaneous determin"&amp;"ation of the structural and functional responses of bacterial communities. We compared total bacterial (16S ribosomal ribonucleic acid [rRNA] gene) and denitrifying bacterial (nosZ gene) community structures in sediments taken from an urban and a nonurban"&amp;" stream before and after C and Zn additions. Microcosms containing stream sediment were supplemented with either proteinaceous or leaf-leachate C, increasing the C content by similar to 36 and 130 mg/L, respectively. C was added in the presence and absenc"&amp;"e of Zn addition (200 mg/kg). Changes in community function were determined simultaneously with additions by measuring the rates of CO2, N-2, and CH4 accumulation in the headspace of each mesocosm. Site had the greatest effect on total and denitrifying ba"&amp;"cterial community structures. Added C caused a small but significant change in total bacterial community structure, but did not change denitrifying bacterial community structure. C enrichment caused a significant and rapid change in community function. Ra"&amp;"tes of methanogenesis were significantly higher at the nonurban than at the urban site and were significantly affected by C type (significant site x C interaction). Denitrification and CO2 production were unaffected by C additions but differed between sit"&amp;"es. Zn addition changed total bacterial community structure but not denitrifying bacterial community structure. Zn affected the rate of methanogenesis, but the effect size was less than for C type. Community structures remained different between sites at "&amp;"the end of the study despite exposure to Zn concentrations that reflected conditions in urbanized streams and C sources that mimicked those from urban or nonurban streams. Our study supports previous observations that microbial community structure is stro"&amp;"ngly influenced by prior sediment history. The broader implication is that landscape-scale changes like urbanization alter other physical and chemical properties of the stream sediment that influence community structure more than the Zn or C concentration"&amp;"s in our study.")</f>
        <v>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v>
      </c>
      <c r="C1141" s="24" t="str">
        <f>IFERROR(__xludf.DUMMYFUNCTION("""COMPUTED_VALUE"""),"10.1899/11-009.1")</f>
        <v>10.1899/11-009.1</v>
      </c>
      <c r="D1141" s="24" t="str">
        <f>IFERROR(__xludf.DUMMYFUNCTION("""COMPUTED_VALUE"""),"Keck et al")</f>
        <v>Keck et al</v>
      </c>
      <c r="E1141" s="24" t="str">
        <f>IFERROR(__xludf.DUMMYFUNCTION("""COMPUTED_VALUE"""),"WOS:000298218600007")</f>
        <v>WOS:000298218600007</v>
      </c>
      <c r="F1141" s="24" t="str">
        <f>IFERROR(__xludf.DUMMYFUNCTION("""COMPUTED_VALUE"""),"[""ELIGIBLE""]")</f>
        <v>["ELIGIBLE"]</v>
      </c>
    </row>
    <row r="1142">
      <c r="A1142" s="24" t="str">
        <f>IFERROR(__xludf.DUMMYFUNCTION("""COMPUTED_VALUE"""),"COMPARING ECOLOGICAL EFFECTS OF 2 DIFFERENT TYPES OF POLLUTION USING MULTIVARIATE TECHNIQUES")</f>
        <v>COMPARING ECOLOGICAL EFFECTS OF 2 DIFFERENT TYPES OF POLLUTION USING MULTIVARIATE TECHNIQUES</v>
      </c>
      <c r="B1142" s="24" t="str">
        <f>IFERROR(__xludf.DUMMYFUNCTION("""COMPUTED_VALUE"""),"The effects of pollution by organic wastes were compared with those caused by dumping of coarse metalliferous residues on the benthic faunas in two areas in Greece. The efficiency of several univariate and multivariate methods in describing these effects "&amp;"was evaluated. Both types of pollution caused a decline in the number of species and diversity, except when dumping of solid wastes took place on finer sediments. There, the above parameters increased due to the increased heterogeneity of the sediment. Po"&amp;"llution by organic matter resulted in increased densities of opportunistic species. Conversely, lack of organic matter in the solid wastes did not enhance settlement of opportunists, with the exception of two species which were thought to benefit indirect"&amp;"ly from the slag. The effects of organic pollution were described successfully by all mathematical methods used, while diversity and species abundance curves were not very adequate in describing solid waste pollution. Classification was not very helpful i"&amp;"n distinguishing between polluted and clean sites, while ordination proved useful in separating polluted and unpolluted stations as well as the two different types of pollution.")</f>
        <v>The effects of pollution by organic wastes were compared with those caused by dumping of coarse metalliferous residues on the benthic faunas in two areas in Greece. The efficiency of several univariate and multivariate methods in describing these effects was evaluated. Both types of pollution caused a decline in the number of species and diversity, except when dumping of solid wastes took place on finer sediments. There, the above parameters increased due to the increased heterogeneity of the sediment. Pollution by organic matter resulted in increased densities of opportunistic species. Conversely, lack of organic matter in the solid wastes did not enhance settlement of opportunists, with the exception of two species which were thought to benefit indirectly from the slag. The effects of organic pollution were described successfully by all mathematical methods used, while diversity and species abundance curves were not very adequate in describing solid waste pollution. Classification was not very helpful in distinguishing between polluted and clean sites, while ordination proved useful in separating polluted and unpolluted stations as well as the two different types of pollution.</v>
      </c>
      <c r="C1142" s="24" t="str">
        <f>IFERROR(__xludf.DUMMYFUNCTION("""COMPUTED_VALUE"""),"10.1111/j.1439-0485.1993.tb00370.x")</f>
        <v>10.1111/j.1439-0485.1993.tb00370.x</v>
      </c>
      <c r="D1142" s="24" t="str">
        <f>IFERROR(__xludf.DUMMYFUNCTION("""COMPUTED_VALUE"""),"Keck et al")</f>
        <v>Keck et al</v>
      </c>
      <c r="E1142" s="24" t="str">
        <f>IFERROR(__xludf.DUMMYFUNCTION("""COMPUTED_VALUE"""),"WOS:A1993LM81800003")</f>
        <v>WOS:A1993LM81800003</v>
      </c>
      <c r="F1142" s="24" t="str">
        <f>IFERROR(__xludf.DUMMYFUNCTION("""COMPUTED_VALUE"""),"[""ELIGIBLE""]")</f>
        <v>["ELIGIBLE"]</v>
      </c>
    </row>
    <row r="1143">
      <c r="A1143" s="24" t="str">
        <f>IFERROR(__xludf.DUMMYFUNCTION("""COMPUTED_VALUE"""),"Water chemistry and not urbanization influences community structure of non-marine Ostracoda (Crustacea) in northern Belgium")</f>
        <v>Water chemistry and not urbanization influences community structure of non-marine Ostracoda (Crustacea) in northern Belgium</v>
      </c>
      <c r="B1143" s="24" t="str">
        <f>IFERROR(__xludf.DUMMYFUNCTION("""COMPUTED_VALUE"""),"Urbanization is one of the major causes of the destruction of natural habitats in the world. Cities are urban heat islands and can thus significantly influence populations of plants and animals. The research project SPEEDY investigated the effects of urba"&amp;"nization in northern Belgium with a nested sampling design at local and landscape scales for a variety of organisms. Here, we tested the effects of urbanization on non-marine ostracod communities, sampling 81 small pools in three urbanization categories, "&amp;"as defined by percentage built up cover (low, intermediate, high). We identified 17 ostracod species, together occurring in 60 of the 81 sampled pools. We found that urbanization per se had no significant effect on ostracod communities. Of all the measure"&amp;"d local factors, ammonium and total phosphorus concentrations had a significant effect on the community structure. In contrast, water temperature had no significant effect, most likely because the ostracod species found in northern Belgium in the present "&amp;"survey mostly have wide temperature tolerances.")</f>
        <v>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v>
      </c>
      <c r="C1143" s="24" t="str">
        <f>IFERROR(__xludf.DUMMYFUNCTION("""COMPUTED_VALUE"""),"10.26496/bjz.2021.91")</f>
        <v>10.26496/bjz.2021.91</v>
      </c>
      <c r="D1143" s="24" t="str">
        <f>IFERROR(__xludf.DUMMYFUNCTION("""COMPUTED_VALUE"""),"Keck et al")</f>
        <v>Keck et al</v>
      </c>
      <c r="E1143" s="24" t="str">
        <f>IFERROR(__xludf.DUMMYFUNCTION("""COMPUTED_VALUE"""),"WOS:000727903700001")</f>
        <v>WOS:000727903700001</v>
      </c>
      <c r="F1143" s="24" t="str">
        <f>IFERROR(__xludf.DUMMYFUNCTION("""COMPUTED_VALUE"""),"[""ELIGIBLE""]")</f>
        <v>["ELIGIBLE"]</v>
      </c>
    </row>
    <row r="1144">
      <c r="A1144" s="24" t="str">
        <f>IFERROR(__xludf.DUMMYFUNCTION("""COMPUTED_VALUE"""),"Effects of aquaculture waste feeds and antibiotics on marine benthic ecosystems in the Mediterranean Sea")</f>
        <v>Effects of aquaculture waste feeds and antibiotics on marine benthic ecosystems in the Mediterranean Sea</v>
      </c>
      <c r="B1144" s="24" t="str">
        <f>IFERROR(__xludf.DUMMYFUNCTION("""COMPUTED_VALUE"""),"Intensive aquaculture is an important source of organic waste and antibiotics into the marine environment. Yet, their impacts on benthic marine ecosystems are poorly understood. Here, we investigated the ecological impacts of fish feed waste alone and in "&amp;"combination with three different antibiotics (i.e., oxytetracycline, florfenicol and flumequine) in benthic ecosystems of the Mediterranean Sea by performing a field experiment. We assessed the fate of the antibiotics in the sediment and their accumulatio"&amp;"n in wild fauna after two weeks of exposure. Moreover, we investigated the impact of the feed waste alone and in combination with the antibiotics on sediment physico-chemical properties, on benthic invertebrates, as well as on the microbiota and resistome"&amp;" of the sampled sediments. One week after the last antibiotic application, average oxytetracycline and flumequine concentrations in the sediment were &lt;1% and 15% of the applied dose, respectively, while florfenicol was not detected. Flumequine concentrati"&amp;"ons in wild invertebrates reached 3 mu g g(-1), while concentrations of oxytetracycline were about an order of magnitude lower, and florfenicol was not detected. Feed waste, with and without antibiotics, increased the concentration of fine particulate mat"&amp;"ter, affected the pH and redox conditions, and significantly reduced the biodiversity and abundance of benthic invertebrates. Feed waste also had a significant influence on the structure of sediment microbial communities, while specific effects related to"&amp;" the different antibiotics ranged from insignificant to mild. The presence of antibiotics significantly influenced the normalized abundance of the measured antibiotic resistance genes. Florfenicol and oxytetracycline contributed to an increase of genes co"&amp;"nferring resistance to macrolides, tetracyclines, aminoglycosides and chloramphenicol, while flumequine had a less clear impact on the sediment resistome. This study demonstrates that feed waste from aquaculture farms can rapidly alter the habitat and bio"&amp;"diversity of Mediterranean benthic ecosystems, while an-tibiotic residual concentrations can contribute to the enrichment of bacterial genes resistant to antibiotic classes that are of high relevance for human medicine. (C) 2021 Elsevier B.V. All rights r"&amp;"eserved.")</f>
        <v>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v>
      </c>
      <c r="C1144" s="24" t="str">
        <f>IFERROR(__xludf.DUMMYFUNCTION("""COMPUTED_VALUE"""),"10.1016/j.scitotenv.2021.151190")</f>
        <v>10.1016/j.scitotenv.2021.151190</v>
      </c>
      <c r="D1144" s="24" t="str">
        <f>IFERROR(__xludf.DUMMYFUNCTION("""COMPUTED_VALUE"""),"Keck et al")</f>
        <v>Keck et al</v>
      </c>
      <c r="E1144" s="24" t="str">
        <f>IFERROR(__xludf.DUMMYFUNCTION("""COMPUTED_VALUE"""),"WOS:000737455700002")</f>
        <v>WOS:000737455700002</v>
      </c>
      <c r="F1144" s="24" t="str">
        <f>IFERROR(__xludf.DUMMYFUNCTION("""COMPUTED_VALUE"""),"[""ELIGIBLE""]")</f>
        <v>["ELIGIBLE"]</v>
      </c>
    </row>
    <row r="1145">
      <c r="A1145" s="24" t="str">
        <f>IFERROR(__xludf.DUMMYFUNCTION("""COMPUTED_VALUE"""),"Paleolimnological Fingerprinting of the Impact of Acid Mine Drainage After 50 Years of Chronic Pollution in a Southern Finnish Lake")</f>
        <v>Paleolimnological Fingerprinting of the Impact of Acid Mine Drainage After 50 Years of Chronic Pollution in a Southern Finnish Lake</v>
      </c>
      <c r="B1145" s="24" t="str">
        <f>IFERROR(__xludf.DUMMYFUNCTION("""COMPUTED_VALUE"""),"Acid mine drainage (AMD) is acknowledged to have long-lasting impacts on aquatic environments. Hence, mines have also been detected to pose problems years after closure due to the leaching of toxic drainage initiated by sulfide oxidation. To assess the ef"&amp;"fects of chronic but relatively low volume acid mine drainage derived from the Haveri copper-gold mine operating between 1938 and 1960 on a freshwater bay in southern Finland, we compared cladoceran assemblages from the pre-mining period with contemporary"&amp;" populations using paleolimnological approaches and multiple sediment cores. The cladoceran community of the pre-mining era differed significantly from the contemporary community of the lake (ANOSIM R = 0.91; p = 0.0001), but closely resembled the contemp"&amp;"orary community of a nearby non-polluted reference site. Our results suggest that the differences in species compositions between pre-mining and contemporary samples are most likely caused by eutrophication and not by the AMD impact. Because AMD at our st"&amp;"udy site is most intense during the spring snowmelt period, cladocerans may avoid seasonal pollution peaks through winter dormancy. Possible pollution peaks resulting from heavy rains during the summer may have negative impacts on the cladoceran community"&amp;", but such short-term impacts are probably rapidly counteracted by immigration from cleaner areas of the lake.")</f>
        <v>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v>
      </c>
      <c r="C1145" s="24" t="str">
        <f>IFERROR(__xludf.DUMMYFUNCTION("""COMPUTED_VALUE"""),"10.1007/s11270-017-3417-2")</f>
        <v>10.1007/s11270-017-3417-2</v>
      </c>
      <c r="D1145" s="24" t="str">
        <f>IFERROR(__xludf.DUMMYFUNCTION("""COMPUTED_VALUE"""),"Keck et al")</f>
        <v>Keck et al</v>
      </c>
      <c r="E1145" s="24" t="str">
        <f>IFERROR(__xludf.DUMMYFUNCTION("""COMPUTED_VALUE"""),"WOS:000403574100036")</f>
        <v>WOS:000403574100036</v>
      </c>
      <c r="F1145" s="24" t="str">
        <f>IFERROR(__xludf.DUMMYFUNCTION("""COMPUTED_VALUE"""),"[""ELIGIBLE""]")</f>
        <v>["ELIGIBLE"]</v>
      </c>
    </row>
    <row r="1146">
      <c r="A1146" s="24" t="str">
        <f>IFERROR(__xludf.DUMMYFUNCTION("""COMPUTED_VALUE"""),"Are Odonata nymph adversely affected by impaired water quality in urban streams")</f>
        <v>Are Odonata nymph adversely affected by impaired water quality in urban streams</v>
      </c>
      <c r="B1146" s="24" t="str">
        <f>IFERROR(__xludf.DUMMYFUNCTION("""COMPUTED_VALUE"""),"Globally 10% of all dragonfly species are threatened by extinction that can be primarily attributed to a loss of natural habitat. Urban expansion and the associated urban stream syndrome has established that the extent and intensity of urban development i"&amp;"s directly linked to a range of adverse physical, chemical and ecological changes. Urban waterways typically experience degraded water quality and are occupied by impaired communities of aquatic invertebrates which are mostly dominated by rapid colonizing"&amp;" insects. Odonata are a diverse insect group and their tolerance or sensitivity to urban waterway degradation is unclear. This research examined the response of aquatic macroinvertebrate communities and specifically the Odonata nymph community to impaired"&amp;" water quality and degraded riparian vegetation condition in streams of the Georges River catchment, Sydney, across an urban development gradient. Unlike the overall macroinvertebrate community, Odonata nymph species assemblages were not strongly linked t"&amp;"o the urban development gradient nor the degree of degradation in water quality. This result diverges from many aquatic macroinvertebrate studies that have reported a correlation between the response of Odonata taxa to degraded water quality. Our findings"&amp;" conclude that Odonata nymph community alone are not a suitable indictor of urban stream degradation as measured by water quality or catchment imperviousness and that the conservation of urban dragonflies should place a greater focus on the conservation a"&amp;"nd creation of suitable habitats.")</f>
        <v>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v>
      </c>
      <c r="C1146" s="24" t="str">
        <f>IFERROR(__xludf.DUMMYFUNCTION("""COMPUTED_VALUE"""),"10.1111/aec.12630")</f>
        <v>10.1111/aec.12630</v>
      </c>
      <c r="D1146" s="24" t="str">
        <f>IFERROR(__xludf.DUMMYFUNCTION("""COMPUTED_VALUE"""),"Keck et al")</f>
        <v>Keck et al</v>
      </c>
      <c r="E1146" s="24" t="str">
        <f>IFERROR(__xludf.DUMMYFUNCTION("""COMPUTED_VALUE"""),"WOS:000450335900004")</f>
        <v>WOS:000450335900004</v>
      </c>
      <c r="F1146" s="24" t="str">
        <f>IFERROR(__xludf.DUMMYFUNCTION("""COMPUTED_VALUE"""),"[""ELIGIBLE""]")</f>
        <v>["ELIGIBLE"]</v>
      </c>
    </row>
    <row r="1147">
      <c r="A1147" s="24" t="str">
        <f>IFERROR(__xludf.DUMMYFUNCTION("""COMPUTED_VALUE"""),"Agricultural land use affects the heterogeneity of Odonata communities in the Brazilian Pampa")</f>
        <v>Agricultural land use affects the heterogeneity of Odonata communities in the Brazilian Pampa</v>
      </c>
      <c r="B1147" s="24" t="str">
        <f>IFERROR(__xludf.DUMMYFUNCTION("""COMPUTED_VALUE"""),"Farming expansion has negative impacts on freshwater biodiversity. However, the effects of agricultural land use are not similar across taxa and depend on local context. For instance, the impacts of agricultural expansion are understudied in the Neotropic"&amp;"s (one of the leading regions in cropland expansion). Knowledge of the effects of agricultural land use on aquatic insects from South American subtropical grasslands (Pampa) is even more incipient. We tested whether landscape modification related to incre"&amp;"ased agricultural land use was associated with taxonomic homogenization in odonate communities in waterbodies in the Brazilian Pampa. Odonates were collected in waterbodies differing in the main land-use class in their surroundings (cropland or grassland)"&amp;". Cropland and grassland sites differed with respect to their abiotic conditions (water chemistry) and species composition of Odonata. Additionally, we found higher variation in the composition of Odonata (and suborders Anisoptera and Zygoptera separately"&amp;") in grassland than cropland sites. We found an interplay between agricultural and grassland land uses and the variation in the composition of odonate communities in the Brazilian Pampa. Specifically, landscape modification by agriculture modified the abi"&amp;"otic conditions in the waterbodies, which may have favored species able to establish as larvae under harsher environmental conditions. Implications for insect conservation We suggest that the maintenance of mixed-grassland and cropland land uses in the fi"&amp;"elds adjacent to waterbodies can limit the negative effects of agricultural encroachment on Odonata communities with respect to biotic homogenization in the Brazilian Pampa.")</f>
        <v>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v>
      </c>
      <c r="C1147" s="24" t="str">
        <f>IFERROR(__xludf.DUMMYFUNCTION("""COMPUTED_VALUE"""),"10.1007/s10841-021-00349-0")</f>
        <v>10.1007/s10841-021-00349-0</v>
      </c>
      <c r="D1147" s="24" t="str">
        <f>IFERROR(__xludf.DUMMYFUNCTION("""COMPUTED_VALUE"""),"Keck et al")</f>
        <v>Keck et al</v>
      </c>
      <c r="E1147" s="24" t="str">
        <f>IFERROR(__xludf.DUMMYFUNCTION("""COMPUTED_VALUE"""),"WOS:000696774700001")</f>
        <v>WOS:000696774700001</v>
      </c>
      <c r="F1147" s="24" t="str">
        <f>IFERROR(__xludf.DUMMYFUNCTION("""COMPUTED_VALUE"""),"[""ELIGIBLE""]")</f>
        <v>["ELIGIBLE"]</v>
      </c>
    </row>
    <row r="1148">
      <c r="A1148" s="24" t="str">
        <f>IFERROR(__xludf.DUMMYFUNCTION("""COMPUTED_VALUE"""),"The Soil Bacterial Communities of South African Fynbos Riparian Ecosystems Invaded by Australian Acacia Species")</f>
        <v>The Soil Bacterial Communities of South African Fynbos Riparian Ecosystems Invaded by Australian Acacia Species</v>
      </c>
      <c r="B1148" s="24" t="str">
        <f>IFERROR(__xludf.DUMMYFUNCTION("""COMPUTED_VALUE"""),"Riparian ecosystem along rivers and streams are characterised by lateral and longitudinal ecological gradients and, as a result, harbour unique biodiversity. Riparian ecosystems in the fynbos of the Western Cape, South Africa, are characterised by seasona"&amp;"l dynamics, with summer droughts followed by high flows during winter. The unique hydrology and geomorphology of riparian ecosystems play an important role in shaping these ecosystems. The riparian vegetation in the Western Cape has, however, largely been"&amp;" degraded due to the invasion of non-indigenous plants, in particular Acacia mearnsii, A. saligna and A. dealbata. This study investigated the effect of hydrology and invasion on the bacterial communities associated with fynbos riparian ecosystems. Bacter"&amp;"ial communities were characterised with automated ribosomal intergenic spacer analysis (ARISA) and 454 16S rDNA pyrosequencing. Chemical and physical properties of soil within sites were also determined and correlated with community data. Sectioning acros"&amp;"s the lateral zones revealed significant differences in community composition, and the specific bacterial taxa influenced. Results also showed that the bacterial community structure could be linked to Acacia invasion. The presence of invasive Acacia was c"&amp;"orrelated with specific bacterial phyla. However, high similarity between cleared and pristine sites suggests that the effect of Acacia on the soil bacterial community structure may not be permanent. This study demonstrates how soil bacterial communities "&amp;"are influenced by hydrological gradients associated with riparian ecosystems and the impact of Acacia invasion on these communities.")</f>
        <v>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v>
      </c>
      <c r="C1148" s="24" t="str">
        <f>IFERROR(__xludf.DUMMYFUNCTION("""COMPUTED_VALUE"""),"10.1371/journal.pone.0086560")</f>
        <v>10.1371/journal.pone.0086560</v>
      </c>
      <c r="D1148" s="24" t="str">
        <f>IFERROR(__xludf.DUMMYFUNCTION("""COMPUTED_VALUE"""),"Keck et al")</f>
        <v>Keck et al</v>
      </c>
      <c r="E1148" s="24" t="str">
        <f>IFERROR(__xludf.DUMMYFUNCTION("""COMPUTED_VALUE"""),"WOS:000330339800053")</f>
        <v>WOS:000330339800053</v>
      </c>
      <c r="F1148" s="24" t="str">
        <f>IFERROR(__xludf.DUMMYFUNCTION("""COMPUTED_VALUE"""),"[""ELIGIBLE""]")</f>
        <v>["ELIGIBLE"]</v>
      </c>
    </row>
    <row r="1149">
      <c r="A1149" s="24" t="str">
        <f>IFERROR(__xludf.DUMMYFUNCTION("""COMPUTED_VALUE"""),"Response of shorebird habitat selection to coastal reclamation and urbanization in an extensively developed delta: A case study in Macao, China")</f>
        <v>Response of shorebird habitat selection to coastal reclamation and urbanization in an extensively developed delta: A case study in Macao, China</v>
      </c>
      <c r="B1149" s="24" t="str">
        <f>IFERROR(__xludf.DUMMYFUNCTION("""COMPUTED_VALUE"""),"Land-claim and human disturbance are major threats to shorebird population declines along the East Asian-Australasian Flyway. When existing tidal flats undergo greater anthropogenic disturbance from intensive urbanization, newly-formed tidal flats may pro"&amp;"vide alternative habitats for shorebirds. Knowledge of the key habitat factor influencing shorebirds communities is essential for tidal flat restoration and management, especially on intensively urbanized coasts. We compared the differences between old an"&amp;"d newly-formed tidal flats in terms of habitat characteristics and shorebird communities, analyzed the influence of habitat metrics on shorebird species abundance and feeding strategies in Macao, China, from 2006 to 2009. Habitat characteristics and shore"&amp;"bird communities were significantly different between old and newly-formed tidal flats which represented different urbanization level. The greatest difference of shorebird communities between two tideland types occurred in winter. Artificial shoreline rat"&amp;"her than high rise buildings had direct and negative impact on shorebird communities. The habitat factors relieved shorebirds from surrounding urbanized environment were vegetation coverage within tidal flat and adjacent grassland areas. Under the pressur"&amp;"e of rapid urbanization, the newly-formed tidal flat, which had more natural boundaries, adequate vegetation coverage and extensive adjacent undisturbed grassland, provided more suitable habitat than old tidal flats for shorebirds in Macao. Conservation e"&amp;"fforts for shorebirds should primary focus on maintaining the extent of current tidal flats, with emphasized management on reducing anthropogenic disturbance around tidal flats.")</f>
        <v>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v>
      </c>
      <c r="C1149" s="24" t="str">
        <f>IFERROR(__xludf.DUMMYFUNCTION("""COMPUTED_VALUE"""),"10.1016/j.ocecoaman.2019.104871")</f>
        <v>10.1016/j.ocecoaman.2019.104871</v>
      </c>
      <c r="D1149" s="24" t="str">
        <f>IFERROR(__xludf.DUMMYFUNCTION("""COMPUTED_VALUE"""),"Keck et al")</f>
        <v>Keck et al</v>
      </c>
      <c r="E1149" s="24" t="str">
        <f>IFERROR(__xludf.DUMMYFUNCTION("""COMPUTED_VALUE"""),"WOS:000486105500032")</f>
        <v>WOS:000486105500032</v>
      </c>
      <c r="F1149" s="24" t="str">
        <f>IFERROR(__xludf.DUMMYFUNCTION("""COMPUTED_VALUE"""),"[""ELIGIBLE""]")</f>
        <v>["ELIGIBLE"]</v>
      </c>
    </row>
    <row r="1150">
      <c r="A1150" s="24" t="str">
        <f>IFERROR(__xludf.DUMMYFUNCTION("""COMPUTED_VALUE"""),"Effects of natural and anthropogenic environmental influences on tree community composition and structure in forests along an urban-wildland gradient in southwestern Ohio")</f>
        <v>Effects of natural and anthropogenic environmental influences on tree community composition and structure in forests along an urban-wildland gradient in southwestern Ohio</v>
      </c>
      <c r="B1150" s="24" t="str">
        <f>IFERROR(__xludf.DUMMYFUNCTION("""COMPUTED_VALUE"""),"Unprecedented population growth and urban expansion are rapidly transforming natural and agricultural settings into highly modified urban and suburban landscapes in developed areas worldwide. A myriad of anthropogenic environmental disturbances invariably"&amp;" accompany such dramatic shifts in land use, and disentangling the effects of these multiple stresses on ecosystem variation pose major challenges as the world's urban population continues to increase. Here, we quantitatively characterized environmentally"&amp;"-mediated variation in tree-community composition along an Urban-Wildland gradient in southwestern Ohio, using tree censuses conducted in sample plots at six study sites categorized as Urban, Exurban, or Wildland based on analyses of a broad suite of natu"&amp;"ral and anthropogenic environmental variables. Several direct measures of the tree-census data, including species richness, abundance, diversity metrics, and evenness, exhibited significant increases from Urban to Wildland sites. Non-Metric Multidimension"&amp;"al Scaling (NMDS) showed that tree composition within study plots also varied systematically along the gradient, with significant differences among sites captured primarily on NMDS Axis 1. The dominant tree species at Urban and Exurban sites was Acer sacc"&amp;"harum (sugar maple). While this species was also abundant at Wildland sites, two other species, Asimina triloba (paw paw) and Juniperus virginiana (red cedar) tended to be more abundant. Regression-tree analyses demonstrated that tree-community compositio"&amp;"n was controlled by a complex combination of natural and anthropogenic factors, with primary roles for population density and other indicators of urbanization at broader and intermediate scales; natural factors, such as aspect, soil drainage, elevation, s"&amp;"lope, and soil pH were important in differentiating among Urban, Exurban, and Wildland sites already primarily categorized by anthropogenic agents.")</f>
        <v>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v>
      </c>
      <c r="C1150" s="24" t="str">
        <f>IFERROR(__xludf.DUMMYFUNCTION("""COMPUTED_VALUE"""),"10.1007/s11252-016-0531-7")</f>
        <v>10.1007/s11252-016-0531-7</v>
      </c>
      <c r="D1150" s="24" t="str">
        <f>IFERROR(__xludf.DUMMYFUNCTION("""COMPUTED_VALUE"""),"Keck et al")</f>
        <v>Keck et al</v>
      </c>
      <c r="E1150" s="24" t="str">
        <f>IFERROR(__xludf.DUMMYFUNCTION("""COMPUTED_VALUE"""),"WOS:000382671000025")</f>
        <v>WOS:000382671000025</v>
      </c>
      <c r="F1150" s="24" t="str">
        <f>IFERROR(__xludf.DUMMYFUNCTION("""COMPUTED_VALUE"""),"[""ELIGIBLE""]")</f>
        <v>["ELIGIBLE"]</v>
      </c>
    </row>
    <row r="1151">
      <c r="A1151" s="24" t="str">
        <f>IFERROR(__xludf.DUMMYFUNCTION("""COMPUTED_VALUE"""),"Evidences of human impact on megabenthic assemblages of bathyal sediments in the Alboran Sea (western Mediterranean)")</f>
        <v>Evidences of human impact on megabenthic assemblages of bathyal sediments in the Alboran Sea (western Mediterranean)</v>
      </c>
      <c r="B1151" s="24" t="str">
        <f>IFERROR(__xludf.DUMMYFUNCTION("""COMPUTED_VALUE"""),"Megabenthic assemblages in deep-sea sedimentary environments receive far less attention than those occurring on rocky environments, despite they have been widely impacted by destructive trawling activities, mainly due to their association with important c"&amp;"ommercial species. ROV dives conducted on bathyal muds of the Alboran Sea continental slope (western Mediterranean) were used to characterize megabenthic assemblages, as well as assess their response to trawling and benthic litter. We identified a multisp"&amp;"ecific assemblage, dominated by the isidid Isidella elongata, and two monospecific assemblages composed by the sea-pens Funiculina quadrangularis and Kophobelemnon stelliferum. These assemblages are defined as vulnerable marine ecosystems by international"&amp;" institutions. Trawled areas exhibit significant low densities of habitat-forming species and a striking impoverishment of habitat complexity and diversity. Plastic debris and lost fishing gears were the most abundant components of the marine litter. This"&amp;" study highlights the destructive effects of human activities on bathyal muds, emphasizing the need for urgent conservation measures.")</f>
        <v>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v>
      </c>
      <c r="C1151" s="24" t="str">
        <f>IFERROR(__xludf.DUMMYFUNCTION("""COMPUTED_VALUE"""),"10.1016/j.dsr.2020.103369")</f>
        <v>10.1016/j.dsr.2020.103369</v>
      </c>
      <c r="D1151" s="24" t="str">
        <f>IFERROR(__xludf.DUMMYFUNCTION("""COMPUTED_VALUE"""),"Keck et al")</f>
        <v>Keck et al</v>
      </c>
      <c r="E1151" s="24" t="str">
        <f>IFERROR(__xludf.DUMMYFUNCTION("""COMPUTED_VALUE"""),"WOS:000579905100008")</f>
        <v>WOS:000579905100008</v>
      </c>
      <c r="F1151" s="24" t="str">
        <f>IFERROR(__xludf.DUMMYFUNCTION("""COMPUTED_VALUE"""),"[""ELIGIBLE""]")</f>
        <v>["ELIGIBLE"]</v>
      </c>
    </row>
    <row r="1152">
      <c r="A1152" s="24" t="str">
        <f>IFERROR(__xludf.DUMMYFUNCTION("""COMPUTED_VALUE"""),"Under the canopy: Community-wide effects of invasive algae in Marine Protected Areas revealed by metabarcoding")</f>
        <v>Under the canopy: Community-wide effects of invasive algae in Marine Protected Areas revealed by metabarcoding</v>
      </c>
      <c r="B1152" s="24" t="str">
        <f>IFERROR(__xludf.DUMMYFUNCTION("""COMPUTED_VALUE"""),"We analysed with multigene (18S and COI) metabarcoding the effects of the proliferation of invasive seaweeds on rocky littoral communities in two Spanish Marine Protected Areas. The invasive algae studied were Caulerpa cylindracea, Lophocladia lallemandii"&amp;" and Asparagopsis armata. They are canopy-forming, landscape-dominant seaweeds, and we were interested in their effects on the underlying communities of meiobenthos and macro-benthos, separated in two size fractions through sieving. A new semiquantitative"&amp;" treatment of metabarcoding data is introduced. The results for both markers showed that the presence of the invasive seaweed had a significant effect on the understory communities for Lophocladia lallemandii and Asparagopsis armata but not for Caulerpa c"&amp;"ylindracea. Likewise, changes in MOTU richness and diversity with invasion status varied in magnitude and direction depending on the alga considered. Our results showed that metabarcoding allows monitoring of the less conspicuous, but not least important,"&amp;" effects of the presence of dominant invasive seaweeds.")</f>
        <v>We analysed with multigene (18S and COI) metabarcoding the effects of the proliferation of invasive seaweeds on rocky littoral communities in two Spanish Marine Protected Areas. The invasive algae studied were Caulerpa cylindracea, Lophocladia lallemandii and Asparagopsis armata. They are canopy-forming, landscape-dominant seaweeds, and we were interested in their effects on the underlying communities of meiobenthos and macro-benthos, separated in two size fractions through sieving. A new semiquantitative treatment of metabarcoding data is introduced. The results for both markers showed that the presence of the invasive seaweed had a significant effect on the understory communities for Lophocladia lallemandii and Asparagopsis armata but not for Caulerpa cylindracea. Likewise, changes in MOTU richness and diversity with invasion status varied in magnitude and direction depending on the alga considered. Our results showed that metabarcoding allows monitoring of the less conspicuous, but not least important, effects of the presence of dominant invasive seaweeds.</v>
      </c>
      <c r="C1152" s="24" t="str">
        <f>IFERROR(__xludf.DUMMYFUNCTION("""COMPUTED_VALUE"""),"10.1016/j.marpolbul.2017.11.033")</f>
        <v>10.1016/j.marpolbul.2017.11.033</v>
      </c>
      <c r="D1152" s="24" t="str">
        <f>IFERROR(__xludf.DUMMYFUNCTION("""COMPUTED_VALUE"""),"Keck et al")</f>
        <v>Keck et al</v>
      </c>
      <c r="E1152" s="24" t="str">
        <f>IFERROR(__xludf.DUMMYFUNCTION("""COMPUTED_VALUE"""),"WOS:000427332900007")</f>
        <v>WOS:000427332900007</v>
      </c>
      <c r="F1152" s="24" t="str">
        <f>IFERROR(__xludf.DUMMYFUNCTION("""COMPUTED_VALUE"""),"[""ELIGIBLE""]")</f>
        <v>["ELIGIBLE"]</v>
      </c>
    </row>
    <row r="1153">
      <c r="A1153" s="24" t="str">
        <f>IFERROR(__xludf.DUMMYFUNCTION("""COMPUTED_VALUE"""),"Soil disturbance and early vegetation response to varying intensity of energy wood harvest")</f>
        <v>Soil disturbance and early vegetation response to varying intensity of energy wood harvest</v>
      </c>
      <c r="B1153" s="24" t="str">
        <f>IFERROR(__xludf.DUMMYFUNCTION("""COMPUTED_VALUE"""),"Forest biomass plays an important role in the production of renewable energy, particularly in northern Europe. During recent decades, tree stumps have also been increasingly used for energy production. The environmental impacts of stump removal on the fun"&amp;"ctioning of forest ecosystems, for example on soil processes and biodiversity, are still inadequately understood. To investigate the separate impacts of tree stump and logging residue removal on soil and plant variables, we conducted a large-scale replica"&amp;"ted experiment in clear-felled stands in three geographical areas. Four energy wood harvesting levels were combined with patch mounding (organic and mineral soil layer turned upside down) as a site preparation method. The harvesting treatments were: (1) n"&amp;"o energy wood harvesting, (2) 70% logging residue removal, (3) 25 stumps per hectare left at site and 70% logging residue removal (maximum level in official recommendations), (4) complete stump and 100% logging residue removal. Soil disturbance in terms o"&amp;"f mineral and organic soil cover increased with the increasing harvesting level, but complete stump removal did not increase the mineral soil cover more than partial stump removal (on average 95% removed). Despite the increase in soil disturbance, stump r"&amp;"emoval did not have an overall impact on plant species richness or vegetation composition in the second growing season after harvesting. However, an increasing trend in Betula spp. biomass with increasing harvesting intensity was seen in two of three stud"&amp;"y areas in four years. Our results underscored the high site-dependency of the effects of stump removal on ecological variables, thus the initial stand structure and vegetation type need to be considered when planning harvesting treatments. (C) 2015 Elsev"&amp;"ier B.V. All rights reserved.")</f>
        <v>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v>
      </c>
      <c r="C1153" s="24" t="str">
        <f>IFERROR(__xludf.DUMMYFUNCTION("""COMPUTED_VALUE"""),"10.1016/j.foreco.2015.04.001")</f>
        <v>10.1016/j.foreco.2015.04.001</v>
      </c>
      <c r="D1153" s="24" t="str">
        <f>IFERROR(__xludf.DUMMYFUNCTION("""COMPUTED_VALUE"""),"Keck et al")</f>
        <v>Keck et al</v>
      </c>
      <c r="E1153" s="24" t="str">
        <f>IFERROR(__xludf.DUMMYFUNCTION("""COMPUTED_VALUE"""),"WOS:000355353300015")</f>
        <v>WOS:000355353300015</v>
      </c>
      <c r="F1153" s="24" t="str">
        <f>IFERROR(__xludf.DUMMYFUNCTION("""COMPUTED_VALUE"""),"[""ELIGIBLE""]")</f>
        <v>["ELIGIBLE"]</v>
      </c>
    </row>
    <row r="1154">
      <c r="A1154" s="24" t="str">
        <f>IFERROR(__xludf.DUMMYFUNCTION("""COMPUTED_VALUE"""),"Downstream effects of mountaintop coal mining: comparing biological conditions using family- and genus-level macroinvertebrate bioassessment tools")</f>
        <v>Downstream effects of mountaintop coal mining: comparing biological conditions using family- and genus-level macroinvertebrate bioassessment tools</v>
      </c>
      <c r="B1154" s="24" t="str">
        <f>IFERROR(__xludf.DUMMYFUNCTION("""COMPUTED_VALUE"""),"Surface coal mining with valley fills has impaired the aquatic life in numerous streams in the Central Appalachian Mountains. We characterized macroinvertebrate communities from riffles in 37 small West Virginia streams (10 unmined and 27 mined sites with"&amp;" valley fills) sampled in the spring index period (March-May) and compared the assessment results using family- and genus-level taxonomic data. Specific conductance was used to categorize levels of mining disturbance in mined watersheds as low (&lt;500 mu S/"&amp;"cm), medium (500-1000 mu S/cm), or high (&gt;1000 mu S/cm). Four lines of evidence indicate that mining activities impair biological condition of streams: shift in species assemblages, loss of Epherneroptera taxa, changes in individual metrics and indices, a"&amp;"nd differences in water chemistry. Results were consistent whether family- or genus-level data were used. In both family- and genus-level nonmetric multidimensional scaling (NMS) ordinations, mined sites were significantly separated from unmined sites, in"&amp;"dicating that shifts in community structure were caused by mining. Several Epherneroptera genera (e.g., Ephemerella, Epeorus, Drunella) and their families (Ephemerellidae, Heptageniidae) were correlated most strongly with the primary NMS axis (r &gt; 0.59 fo"&amp;"r these genera; r &gt; 0.78 for these families). These same Ephemeroptera were absent and, thus, eliminated from most of the mined sites. Total Ephemeroptera richness and relative abundance both declined with increasing mining disturbance. Several other metr"&amp;"ics, such as richness, composition, tolerance, and diversity, clearly discriminated unmined vs mined sites. Most family-level metrics performed well and approximated the strength of genus-based metrics. A genus-based multimetric index (MMI) rated more min"&amp;"ed sites as impaired than did the family-based MMI. Water-quality variables related to mining were more strongly correlated to NMS axis-1 scores, metrics, and MMIS than were sedimentation and riparian habitat scores. Generally, the correlations between th"&amp;"e genus-level MMI and water-quality variables were stronger than the correlations between the family-level MMI and those variables. Our results show that mining activity has had subtle to severe impacts on benthic macroinvertebrate communities and that th"&amp;"e biological condition most strongly correlates with a gradient of ionic strength.")</f>
        <v>Surface coal mining with valley fills has impaired the aquatic life in numerous streams in the Central Appalachian Mountains. We characterized macroinvertebrate communities from riffles in 37 small West Virginia streams (10 unmined and 27 mined sites with valley fills) sampled in the spring index period (March-May) and compared the assessment results using family- and genus-level taxonomic data. Specific conductance was used to categorize levels of mining disturbance in mined watersheds as low (&lt;500 mu S/cm), medium (500-1000 mu S/cm), or high (&gt;1000 mu S/cm). Four lines of evidence indicate that mining activities impair biological condition of streams: shift in species assemblages, loss of Epherneroptera taxa, changes in individual metrics and indices, and differences in water chemistry. Results were consistent whether family- or genus-level data were used. In both family- and genus-level nonmetric multidimensional scaling (NMS) ordinations, mined sites were significantly separated from unmined sites, indicating that shifts in community structure were caused by mining. Several Epherneroptera genera (e.g., Ephemerella, Epeorus, Drunella) and their families (Ephemerellidae, Heptageniidae) were correlated most strongly with the primary NMS axis (r &gt; 0.59 for these genera; r &gt; 0.78 for these families). These same Ephemeroptera were absent and, thus, eliminated from most of the mined sites. Total Ephemeroptera richness and relative abundance both declined with increasing mining disturbance. Several other metrics, such as richness, composition, tolerance, and diversity, clearly discriminated unmined vs mined sites. Most family-level metrics performed well and approximated the strength of genus-based metrics. A genus-based multimetric index (MMI) rated more mined sites as impaired than did the family-based MMI. Water-quality variables related to mining were more strongly correlated to NMS axis-1 scores, metrics, and MMIS than were sedimentation and riparian habitat scores. Generally, the correlations between the genus-level MMI and water-quality variables were stronger than the correlations between the family-level MMI and those variables. Our results show that mining activity has had subtle to severe impacts on benthic macroinvertebrate communities and that the biological condition most strongly correlates with a gradient of ionic strength.</v>
      </c>
      <c r="C1154" s="24" t="str">
        <f>IFERROR(__xludf.DUMMYFUNCTION("""COMPUTED_VALUE"""),"10.1899/08-015.1")</f>
        <v>10.1899/08-015.1</v>
      </c>
      <c r="D1154" s="24" t="str">
        <f>IFERROR(__xludf.DUMMYFUNCTION("""COMPUTED_VALUE"""),"Keck et al")</f>
        <v>Keck et al</v>
      </c>
      <c r="E1154" s="24" t="str">
        <f>IFERROR(__xludf.DUMMYFUNCTION("""COMPUTED_VALUE"""),"WOS:000258851800019")</f>
        <v>WOS:000258851800019</v>
      </c>
      <c r="F1154" s="24" t="str">
        <f>IFERROR(__xludf.DUMMYFUNCTION("""COMPUTED_VALUE"""),"[""ELIGIBLE""]")</f>
        <v>["ELIGIBLE"]</v>
      </c>
    </row>
    <row r="1155">
      <c r="A1155" s="24" t="str">
        <f>IFERROR(__xludf.DUMMYFUNCTION("""COMPUTED_VALUE"""),"Parasites of fish Poecilia velifera and their potential as bioindicators of wetland restoration progress")</f>
        <v>Parasites of fish Poecilia velifera and their potential as bioindicators of wetland restoration progress</v>
      </c>
      <c r="B1155" s="24" t="str">
        <f>IFERROR(__xludf.DUMMYFUNCTION("""COMPUTED_VALUE"""),"Fish harbor a high diversity of parasites that play an important role for the ecosystem. Because these parasites have different life-cycle traits, changes in their populations or communities may provide useful information related to ecosystem health. High"&amp;"ly stressful conditions may reduce parasite communities or populations. However, it is not a rule since host-parasite interactions are hardly predictable. In this study, macroparasites of the fish sailfin molly (Poecilia velifera) from three sites (conser"&amp;"ved, degraded and under restoration) located within a mangrove wetland area, in the Terminos Lagoon (southern Gulf of Mexico), were analyzed in order to determine their potential use as bioindicators. A total of 198 fish were examined for parasites. Six p"&amp;"arasite species were found: two crustaceans (Argulus sp. and Ergasilus aff. cerastes), one trematode (Centrocestus formosanus), one monogenean (Gyrodactylus sp.) and two nematodes (Contracaecum sp. and Cuculanus sp.). There were no significant differences"&amp;" in the structure of parasite infracommunities as well as in prevalence and intensity of parasite populations between degraded and conserved sites. However, the site under restoration had poorer infracommunities and smaller populations ofcrustaceans and t"&amp;"rematodes, which suggests that restoration efforts have not improved the ecological conditions. Based on these results, it is conjectured that parasites of P. velifera did not show useful information to provide a diagnosis related to ecosystem health. Bey"&amp;"ond this ecological subject, the present study represents new host record for most parasite species found.")</f>
        <v>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v>
      </c>
      <c r="C1155" s="24" t="str">
        <f>IFERROR(__xludf.DUMMYFUNCTION("""COMPUTED_VALUE"""),"10.1186/s10152-019-0522-1")</f>
        <v>10.1186/s10152-019-0522-1</v>
      </c>
      <c r="D1155" s="24" t="str">
        <f>IFERROR(__xludf.DUMMYFUNCTION("""COMPUTED_VALUE"""),"Keck et al")</f>
        <v>Keck et al</v>
      </c>
      <c r="E1155" s="24" t="str">
        <f>IFERROR(__xludf.DUMMYFUNCTION("""COMPUTED_VALUE"""),"WOS:000456027800001")</f>
        <v>WOS:000456027800001</v>
      </c>
      <c r="F1155" s="24" t="str">
        <f>IFERROR(__xludf.DUMMYFUNCTION("""COMPUTED_VALUE"""),"[""ELIGIBLE""]")</f>
        <v>["ELIGIBLE"]</v>
      </c>
    </row>
    <row r="1156">
      <c r="A1156" s="24" t="str">
        <f>IFERROR(__xludf.DUMMYFUNCTION("""COMPUTED_VALUE"""),"Hotspots of stream tadpole diversity in forest and agricultural landscapes in Ranomafana, Madagascar")</f>
        <v>Hotspots of stream tadpole diversity in forest and agricultural landscapes in Ranomafana, Madagascar</v>
      </c>
      <c r="B1156" s="24" t="str">
        <f>IFERROR(__xludf.DUMMYFUNCTION("""COMPUTED_VALUE"""),"Logging and human-induced conversion of natural forests into agricultural areas are major drivers of biodiversity loss in the tropics. Anuran larvae can be highly diverse, can reach high biomass and can play important roles in tropical streams; yet, compa"&amp;"red to the adult frog communities, relatively little is known about how larval communities respond to disturbance. Information on larvae is highly relevant for amphibian conservation because larvae represent direct evidence of breeding and thus provide a "&amp;"good indicator of species persistence in disturbed habitats. We studied tadpole assemblages in Ranomafana, southeastern part of Madagascar, in streams in a disturbed forest (previously logged forest), at forest edge (streams embedded in matrix nearby fore"&amp;"st blocks), and compared these to communities in a primary forest. We sampled tadpoles at the microhabitat level (pools and riffles) in 9 streams. We recorded 27 species with a maximum of 17 species/stream recorded at edge. The three habitats harbored dif"&amp;"ferent assemblages, but, as could be expected, more similarities existed among forest habitats than between forest and non-forest habitats. The most and the least diverse communities were recorded at edge and in the disturbed forest, respectively. Assembl"&amp;"ages were dominated by one generalist species, and changes in communities were mostly driven by changes in forest specialists, which either decreased in disturbed forest or were replaced by edge specialists outside forest. Although species richness varied"&amp;", relative abundances were maintained among habitats, suggesting potential compensatory mechanisms in tadpole biomass. Community structure changed at the microhabitat level: pool environments usually harbored relatively higher species richness and abundan"&amp;"ce than riffles. Our study highlights the relevance of edge habitats for maintaining amphibian diversity and the pronounced negative effects of past logging activities on tadpole communities. Given the diverse roles of tadpoles in streams, changes in comm"&amp;"unity structure potentially affect critical stream ecosystem processes. The study has strong implications for designing buffer zones around protected areas.")</f>
        <v>Logging and human-induced conversion of natural forests into agricultural areas are major drivers of biodiversity loss in the tropics. Anuran larvae can be highly diverse, can reach high biomass and can play important roles in tropical streams; yet, compared to the adult frog communities, relatively little is known about how larval communities respond to disturbance. Information on larvae is highly relevant for amphibian conservation because larvae represent direct evidence of breeding and thus provide a good indicator of species persistence in disturbed habitats. We studied tadpole assemblages in Ranomafana, southeastern part of Madagascar, in streams in a disturbed forest (previously logged forest), at forest edge (streams embedded in matrix nearby forest blocks), and compared these to communities in a primary forest. We sampled tadpoles at the microhabitat level (pools and riffles) in 9 streams. We recorded 27 species with a maximum of 17 species/stream recorded at edge. The three habitats harbored different assemblages, but, as could be expected, more similarities existed among forest habitats than between forest and non-forest habitats. The most and the least diverse communities were recorded at edge and in the disturbed forest, respectively. Assemblages were dominated by one generalist species, and changes in communities were mostly driven by changes in forest specialists, which either decreased in disturbed forest or were replaced by edge specialists outside forest. Although species richness varied, relative abundances were maintained among habitats, suggesting potential compensatory mechanisms in tadpole biomass. Community structure changed at the microhabitat level: pool environments usually harbored relatively higher species richness and abundance than riffles. Our study highlights the relevance of edge habitats for maintaining amphibian diversity and the pronounced negative effects of past logging activities on tadpole communities. Given the diverse roles of tadpoles in streams, changes in community structure potentially affect critical stream ecosystem processes. The study has strong implications for designing buffer zones around protected areas.</v>
      </c>
      <c r="C1156" s="24" t="str">
        <f>IFERROR(__xludf.DUMMYFUNCTION("""COMPUTED_VALUE"""),"10.1007/s11355-020-00407-w")</f>
        <v>10.1007/s11355-020-00407-w</v>
      </c>
      <c r="D1156" s="24" t="str">
        <f>IFERROR(__xludf.DUMMYFUNCTION("""COMPUTED_VALUE"""),"Keck et al")</f>
        <v>Keck et al</v>
      </c>
      <c r="E1156" s="24" t="str">
        <f>IFERROR(__xludf.DUMMYFUNCTION("""COMPUTED_VALUE"""),"WOS:000510112000001")</f>
        <v>WOS:000510112000001</v>
      </c>
      <c r="F1156" s="24" t="str">
        <f>IFERROR(__xludf.DUMMYFUNCTION("""COMPUTED_VALUE"""),"[""ELIGIBLE""]")</f>
        <v>["ELIGIBLE"]</v>
      </c>
    </row>
    <row r="1157">
      <c r="A1157" s="24" t="str">
        <f>IFERROR(__xludf.DUMMYFUNCTION("""COMPUTED_VALUE"""),"From Landsat to leafhoppers: A multidisciplinary approach for sustainable stocking assessment and ecological monitoring in mountain grasslands")</f>
        <v>From Landsat to leafhoppers: A multidisciplinary approach for sustainable stocking assessment and ecological monitoring in mountain grasslands</v>
      </c>
      <c r="B1157" s="24" t="str">
        <f>IFERROR(__xludf.DUMMYFUNCTION("""COMPUTED_VALUE"""),"We present a case study illustrating a multidisciplinary approach for characterizing, mapping and monitoring the bio-ecological properties of Mediterranean mountain grasslands in extensive grazing systems. The approach was developed to provide the basis f"&amp;"or the management plan of a cluster of Natura 2000 special conservation areas in the Central Apennine mountains, Italy (with a total area of 79,500 ha, including 22,130 ha of grasslands). It includes a novel methodology for estimating sustainable stocking"&amp;" rates of different plant communities, at a detailed spatial scale over large areas, based on the integration of: (i) a classification of grassland types, based on physical habitat stratification and vegetation sampling; (ii) a forage-value assessment of "&amp;"each grassland type, obtained from field sampling of botanical composition and corrected with remote-sensing information on pasture microtopography; (iii) an estimate of primary productivity at a detailed spatial scale, obtained from the remote-sensed Nor"&amp;"malized Difference Vegetation Index (NDVI) calibrated with biomass field data. Additionally, to obtain a bioclimatic characterization of the grasslands and to determine the optimal grazing season for each grassland type, intra-annual phenological signatur"&amp;"es were obtained from the Enhanced Vegetation Index (EVI). Given the inherent limitations in the sustainable stocking rates concept, and the particular susceptibility of dry grasslands to changes in grazing regimes, we tested two biological indicators, th"&amp;"e Auchenorrhyncha quality index (AQI) and the Arthropod-based biological soil quality index (QBS-ar). These indicators take into account above- and below-ground arthropod diversity, respectively, and are applied here for the first time to the specific pur"&amp;"pose of monitoring grazing load effects on ecological quality and biodiversity of Natura 2000 dry grasslands. We conclude that: (i) it is possible to effectively integrate biomass estimates, obtained from publicly available satellite data, with a relative"&amp;"ly simple field sampling of botanical composition, to achieve a detailed spatialization of sustainable stocking rates; (ii) within the same Natura 2000 habitat type there can be a large spatial heterogeneity in both sustainable stocking rates and optimal "&amp;"stocking season: thus, grazing should be kept under careful human control to maintain the habitats in the desired conservation status; (iii) while plant species richness was not correlated to grazing intensity, both AQI and QBS-ar had a significant negati"&amp;"ve correlation to grazing levels and can thus be useful for monitoring the actual sustainability of livestock loads on different aspects of grassland ecosystems. (C) 2016 Elsevier B.V. All rights reserved.")</f>
        <v>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v>
      </c>
      <c r="C1157" s="24" t="str">
        <f>IFERROR(__xludf.DUMMYFUNCTION("""COMPUTED_VALUE"""),"10.1016/j.agee.2016.04.028")</f>
        <v>10.1016/j.agee.2016.04.028</v>
      </c>
      <c r="D1157" s="24" t="str">
        <f>IFERROR(__xludf.DUMMYFUNCTION("""COMPUTED_VALUE"""),"Keck et al")</f>
        <v>Keck et al</v>
      </c>
      <c r="E1157" s="24" t="str">
        <f>IFERROR(__xludf.DUMMYFUNCTION("""COMPUTED_VALUE"""),"WOS:000389115600014")</f>
        <v>WOS:000389115600014</v>
      </c>
      <c r="F1157" s="24" t="str">
        <f>IFERROR(__xludf.DUMMYFUNCTION("""COMPUTED_VALUE"""),"[""ELIGIBLE""]")</f>
        <v>["ELIGIBLE"]</v>
      </c>
    </row>
    <row r="1158">
      <c r="A1158" s="24" t="str">
        <f>IFERROR(__xludf.DUMMYFUNCTION("""COMPUTED_VALUE"""),"O'ahu's marine protected areas have limited success in protecting coral reef herbivores")</f>
        <v>O'ahu's marine protected areas have limited success in protecting coral reef herbivores</v>
      </c>
      <c r="B1158" s="24" t="str">
        <f>IFERROR(__xludf.DUMMYFUNCTION("""COMPUTED_VALUE"""),"Herbivorous fishes and urchins can contribute to reef resilience by removing algae that are competitive with corals, yet herbivorous fishes are frequently targeted by fishers. The deleterious effects of fishing on coral reef herbivore populations are thou"&amp;"ght to be decreased through the establishment of no-take marine protected areas (MPAs). We conducted surveys to compare the biomass, diversity, and size structure of herbivorous reef fish within three functional guilds (i.e., grazers, scrapers, and browse"&amp;"rs) and herbivorous urchin populations inside and outside of four of O'ahu's current MPAs to determine if they were effectively protecting herbivorous fishes and assess any resulting effects on sea urchin competitors. We also characterized the benthos, in"&amp;"cluding the identification of common taxa in algal turfs, to evaluate interactions between herbivory and benthic communities. Urchins and grazing fishes accounted for the majority of herbivore biomass across regions of O'ahu, and the dominance of urchins "&amp;"suggests that they significantly contribute to herbivory. Coral cover was a significant predictor of urchin biomass, but urchins did not have a significant relationship with herbivorous fish biomass or MPA protection. MPA protection and depth had positive"&amp;" effects on herbivorous fish biomass when examined in aggregate. However, these results were largely influenced by a large MPA protection effect in the Hanauma Bay MPA, compared to weaker MPA effects in Kane'ohe Bay, Waikiki, and Pupukea. Hanauma Bay had "&amp;"stark differences in the condition of reef habitats between the MPA and fished areas which may also confound the interpretation of a strongly significant protection effect. Depth and habitat complexity were significant predictors of both grazer biomass an"&amp;"d aggregate herbivore community composition, suggesting that these bottom-up factors may have a greater impact on herbivorous fish biomass than protection. Turf communities were speciose and displayed similar trends to herbivore communities across regions"&amp;", but within-region trends in the Hanauma Bay region suggest that turf species composition is not only dictated by top-down factors. Within-guild fish diversity was low across site and region, suggesting herbivory was dominated by a single or few species."&amp;" The small size structure and densities of herbivorous fishes in MPAs across all regions limits their population-level functional and reproductive contributions. While MPAs serve as a popular fisheries management tool for coral reef environments, the limi"&amp;"ted benefits of MPAs for herbivorous fish and urchin populations around O'ahu suggest a general need for improved fisheries management and enforcement, especially prior to the consideration of an expansion of the existing MPA network.")</f>
        <v>Herbivorous fishes and urchins can contribute to reef resilience by removing algae that are competitive with corals, yet herbivorous fishes are frequently targeted by fishers. The deleterious effects of fishing on coral reef herbivore populations are thought to be decreased through the establishment of no-take marine protected areas (MPAs). We conducted surveys to compare the biomass, diversity, and size structure of herbivorous reef fish within three functional guilds (i.e., grazers, scrapers, and browsers) and herbivorous urchin populations inside and outside of four of O'ahu's current MPAs to determine if they were effectively protecting herbivorous fishes and assess any resulting effects on sea urchin competitors. We also characterized the benthos, including the identification of common taxa in algal turfs, to evaluate interactions between herbivory and benthic communities. Urchins and grazing fishes accounted for the majority of herbivore biomass across regions of O'ahu, and the dominance of urchins suggests that they significantly contribute to herbivory. Coral cover was a significant predictor of urchin biomass, but urchins did not have a significant relationship with herbivorous fish biomass or MPA protection. MPA protection and depth had positive effects on herbivorous fish biomass when examined in aggregate. However, these results were largely influenced by a large MPA protection effect in the Hanauma Bay MPA, compared to weaker MPA effects in Kane'ohe Bay, Waikiki, and Pupukea. Hanauma Bay had stark differences in the condition of reef habitats between the MPA and fished areas which may also confound the interpretation of a strongly significant protection effect. Depth and habitat complexity were significant predictors of both grazer biomass and aggregate herbivore community composition, suggesting that these bottom-up factors may have a greater impact on herbivorous fish biomass than protection. Turf communities were speciose and displayed similar trends to herbivore communities across regions, but within-region trends in the Hanauma Bay region suggest that turf species composition is not only dictated by top-down factors. Within-guild fish diversity was low across site and region, suggesting herbivory was dominated by a single or few species. The small size structure and densities of herbivorous fishes in MPAs across all regions limits their population-level functional and reproductive contributions. While MPAs serve as a popular fisheries management tool for coral reef environments, the limited benefits of MPAs for herbivorous fish and urchin populations around O'ahu suggest a general need for improved fisheries management and enforcement, especially prior to the consideration of an expansion of the existing MPA network.</v>
      </c>
      <c r="C1158" s="24" t="str">
        <f>IFERROR(__xludf.DUMMYFUNCTION("""COMPUTED_VALUE"""),"10.1007/s00338-021-02054-5")</f>
        <v>10.1007/s00338-021-02054-5</v>
      </c>
      <c r="D1158" s="24" t="str">
        <f>IFERROR(__xludf.DUMMYFUNCTION("""COMPUTED_VALUE"""),"Keck et al")</f>
        <v>Keck et al</v>
      </c>
      <c r="E1158" s="24" t="str">
        <f>IFERROR(__xludf.DUMMYFUNCTION("""COMPUTED_VALUE"""),"WOS:000609348800001")</f>
        <v>WOS:000609348800001</v>
      </c>
      <c r="F1158" s="24" t="str">
        <f>IFERROR(__xludf.DUMMYFUNCTION("""COMPUTED_VALUE"""),"[""ELIGIBLE""]")</f>
        <v>["ELIGIBLE"]</v>
      </c>
    </row>
    <row r="1159">
      <c r="A1159" s="24" t="str">
        <f>IFERROR(__xludf.DUMMYFUNCTION("""COMPUTED_VALUE"""),"Impact of maintenance dredging on macrobenthic community structure of a tropical estuary")</f>
        <v>Impact of maintenance dredging on macrobenthic community structure of a tropical estuary</v>
      </c>
      <c r="B1159" s="24" t="str">
        <f>IFERROR(__xludf.DUMMYFUNCTION("""COMPUTED_VALUE"""),"This paper demonstrates the impact of maintenance dredging activities on the macrobenthic community structure of a tropical monsoonal estuary (Cochin estuary), located in the southwest coast of India for three consecutive years. The results of the study i"&amp;"ndicates apparent differences in benthic fauna and sediment characteristics between dredging and non-dredging sites, while most of the hydrographical parameters (temperature, pH, DO and BOD) exhibited inconspicuous variations. The dredging sites were char"&amp;"acterized by significantly lower faunal density, biomass, and diversity and sustained distinct benthic faunal communities. The tubificid Oligochaeta, an opportunistic benthic taxon, was highly abundant in the dredging sites along with less density of Moll"&amp;"usca and Amphipoda. Prominent distinctions were evident in the feeding guilds of macrobenthic fauna between the dredging and non-dredging sites. The Benthic Opportunistic Annelida Amphipods Index (BO2A index), an index of benthic habitat quality showed re"&amp;"latively higher values (&gt;0.24), which indicates the prevalence of poor environmental conditions in the dredging locations. The present study reveals the extent of impacts associated with maintenance dredging activities in a tropical estuary, which can be "&amp;"used to formulate effective management strategies for the protection of ecologically and economically significant benthic communities of estuarine ecosystems. (C) 2017 Elsevier Ltd. All rights reserved.")</f>
        <v>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v>
      </c>
      <c r="C1159" s="24" t="str">
        <f>IFERROR(__xludf.DUMMYFUNCTION("""COMPUTED_VALUE"""),"10.1016/j.ocecoaman.2017.04.020")</f>
        <v>10.1016/j.ocecoaman.2017.04.020</v>
      </c>
      <c r="D1159" s="24" t="str">
        <f>IFERROR(__xludf.DUMMYFUNCTION("""COMPUTED_VALUE"""),"Keck et al")</f>
        <v>Keck et al</v>
      </c>
      <c r="E1159" s="24" t="str">
        <f>IFERROR(__xludf.DUMMYFUNCTION("""COMPUTED_VALUE"""),"WOS:000403862600009")</f>
        <v>WOS:000403862600009</v>
      </c>
      <c r="F1159" s="24" t="str">
        <f>IFERROR(__xludf.DUMMYFUNCTION("""COMPUTED_VALUE"""),"[""ELIGIBLE""]")</f>
        <v>["ELIGIBLE"]</v>
      </c>
    </row>
    <row r="1160">
      <c r="A1160" s="24" t="str">
        <f>IFERROR(__xludf.DUMMYFUNCTION("""COMPUTED_VALUE"""),"Recent changes in mountain hay meadows of high conservation value in eastern France")</f>
        <v>Recent changes in mountain hay meadows of high conservation value in eastern France</v>
      </c>
      <c r="B1160" s="24" t="str">
        <f>IFERROR(__xludf.DUMMYFUNCTION("""COMPUTED_VALUE"""),"Aim To assess vegetation changes in mountain hay meadows of high conservation value over 15 years. Location Jura Mountains and Vosges Mountains (France). Methods In 2019, we resampled old phytosociological releves (made from 2005 to 2009) in extensive mou"&amp;"ntain hay meadows. To detect shifts in composition from old to recent releves, we performed a permutational multivariate analysis of variance, and visualized observed patterns using non-metric multidimensional scaling on the Bray-Curtis dissimilarity matr"&amp;"ix of the vegetation data. We tested for differences in taxonomic, functional and phylogenetic diversity metrics, CSR strategies and ecological indicator values using paired Wilcoxon-Mann-Whitney tests. Results Non-metric multidimensional scaling paired w"&amp;"ith a permutational multivariate analysis of variance showed that, overall, old and recent plant communities were not different in the Vosges Mountains, contrary to the situation in the Jura Mountains. Wilcoxon-Mann-Whitney paired tests revealed that, in "&amp;"the Jura Mountains, plant communities underwent a significant decrease in taxonomic, functional and phylogenetic diversity, associated with an increase of ruderal and competitive strategies. Ecological indicator values for nutrient availability and defoli"&amp;"ation tolerance both increased, suggesting an intensification of agricultural practices. In the Vosges Mountains, only species richness increased while the inverse Simpson index and Pielou evenness decreased. Conclusions Our results show that plant divers"&amp;"ity is not currently threatened in the studied grasslands in the Vosges Mountains. By contrast, in the studied grasslands in the Jura Mountains, plant diversity is declining. The situation in the Vosges shows that agricultural activities and biodiversity "&amp;"conservation can be reconciled. This situation should be further investigated to help resolve conflicts between agriculture and biodiversity conservation in semi-natural grasslands.")</f>
        <v>Aim To assess vegetation changes in mountain hay meadows of high conservation value over 15 years. Location Jura Mountains and Vosges Mountains (France). Methods In 2019, we resampled old phytosociological releves (made from 2005 to 2009) in extensive mountain hay meadows. To detect shifts in composition from old to recent releves, we performed a permutational multivariate analysis of variance, and visualized observed patterns using non-metric multidimensional scaling on the Bray-Curtis dissimilarity matrix of the vegetation data. We tested for differences in taxonomic, functional and phylogenetic diversity metrics, CSR strategies and ecological indicator values using paired Wilcoxon-Mann-Whitney tests. Results Non-metric multidimensional scaling paired with a permutational multivariate analysis of variance showed that, overall, old and recent plant communities were not different in the Vosges Mountains, contrary to the situation in the Jura Mountains. Wilcoxon-Mann-Whitney paired tests revealed that, in the Jura Mountains, plant communities underwent a significant decrease in taxonomic, functional and phylogenetic diversity, associated with an increase of ruderal and competitive strategies. Ecological indicator values for nutrient availability and defoliation tolerance both increased, suggesting an intensification of agricultural practices. In the Vosges Mountains, only species richness increased while the inverse Simpson index and Pielou evenness decreased. Conclusions Our results show that plant diversity is not currently threatened in the studied grasslands in the Vosges Mountains. By contrast, in the studied grasslands in the Jura Mountains, plant diversity is declining. The situation in the Vosges shows that agricultural activities and biodiversity conservation can be reconciled. This situation should be further investigated to help resolve conflicts between agriculture and biodiversity conservation in semi-natural grasslands.</v>
      </c>
      <c r="C1160" s="24" t="str">
        <f>IFERROR(__xludf.DUMMYFUNCTION("""COMPUTED_VALUE"""),"10.1111/avsc.12573")</f>
        <v>10.1111/avsc.12573</v>
      </c>
      <c r="D1160" s="24" t="str">
        <f>IFERROR(__xludf.DUMMYFUNCTION("""COMPUTED_VALUE"""),"Keck et al")</f>
        <v>Keck et al</v>
      </c>
      <c r="E1160" s="24" t="str">
        <f>IFERROR(__xludf.DUMMYFUNCTION("""COMPUTED_VALUE"""),"WOS:000667075000022")</f>
        <v>WOS:000667075000022</v>
      </c>
      <c r="F1160" s="24" t="str">
        <f>IFERROR(__xludf.DUMMYFUNCTION("""COMPUTED_VALUE"""),"[""ELIGIBLE""]")</f>
        <v>["ELIGIBLE"]</v>
      </c>
    </row>
    <row r="1161">
      <c r="A1161" s="24" t="str">
        <f>IFERROR(__xludf.DUMMYFUNCTION("""COMPUTED_VALUE"""),"Lentic and lotic odonate communities and the factors that influence them in urban versus rural landscapes")</f>
        <v>Lentic and lotic odonate communities and the factors that influence them in urban versus rural landscapes</v>
      </c>
      <c r="B1161" s="24" t="str">
        <f>IFERROR(__xludf.DUMMYFUNCTION("""COMPUTED_VALUE"""),"Habitat alteration via urbanization has very different effects on even closely related taxa. Most research investigating the ecological effects of urbanization has focused on birds or mammals, resulting in a relatively poor understanding of how the specie"&amp;"s richness and community composition of invertebrates may change. We quantified differences in species richness of adult odonates (dragonflies and damselflies) at lentic and lotic sites in urban and rural landscapes, and we examined environmental factors "&amp;"that might drive the differences in community composition that we observed. For lotic sites, species richness did not differ between urban versus rural sites for either dragonflies or damselflies. For lentic sites, urban and rural sites contained similar "&amp;"dragonfly species richness, but damselfly species richness was significantly lower at urban sites than at rural sites. Differences in lentic odonate community composition were associated with the amount of urban development within 150 m of each site, mean"&amp;" algal coverage, and distance to the urban center. At lotic sites, water temperature and distance to the urban center were correlated with differences in odonate community composition. The differing responses to urbanization observed in this study were pr"&amp;"obably a consequence of differences between lentic versus lotic ecosystems and between dragonflies versus damselflies in dispersal capability and habitat specificity. Given that different environmental factors affected these taxa differently in lentic and"&amp;" lotic sites, maintaining the highest level of odonate diversity possible across a landscape will require the use of different management practices for each ecosystem type.")</f>
        <v>Habitat alteration via urbanization has very different effects on even closely related taxa. Most research investigating the ecological effects of urbanization has focused on birds or mammals, resulting in a relatively poor understanding of how the species richness and community composition of invertebrates may change. We quantified differences in species richness of adult odonates (dragonflies and damselflies) at lentic and lotic sites in urban and rural landscapes, and we examined environmental factors that might drive the differences in community composition that we observed. For lotic sites, species richness did not differ between urban versus rural sites for either dragonflies or damselflies. For lentic sites, urban and rural sites contained similar dragonfly species richness, but damselfly species richness was significantly lower at urban sites than at rural sites. Differences in lentic odonate community composition were associated with the amount of urban development within 150 m of each site, mean algal coverage, and distance to the urban center. At lotic sites, water temperature and distance to the urban center were correlated with differences in odonate community composition. The differing responses to urbanization observed in this study were probably a consequence of differences between lentic versus lotic ecosystems and between dragonflies versus damselflies in dispersal capability and habitat specificity. Given that different environmental factors affected these taxa differently in lentic and lotic sites, maintaining the highest level of odonate diversity possible across a landscape will require the use of different management practices for each ecosystem type.</v>
      </c>
      <c r="C1161" s="24" t="str">
        <f>IFERROR(__xludf.DUMMYFUNCTION("""COMPUTED_VALUE"""),"10.1007/s11252-018-0752-z")</f>
        <v>10.1007/s11252-018-0752-z</v>
      </c>
      <c r="D1161" s="24" t="str">
        <f>IFERROR(__xludf.DUMMYFUNCTION("""COMPUTED_VALUE"""),"Keck et al")</f>
        <v>Keck et al</v>
      </c>
      <c r="E1161" s="24" t="str">
        <f>IFERROR(__xludf.DUMMYFUNCTION("""COMPUTED_VALUE"""),"WOS:000438128600013")</f>
        <v>WOS:000438128600013</v>
      </c>
      <c r="F1161" s="24" t="str">
        <f>IFERROR(__xludf.DUMMYFUNCTION("""COMPUTED_VALUE"""),"[""ELIGIBLE""]")</f>
        <v>["ELIGIBLE"]</v>
      </c>
    </row>
    <row r="1162">
      <c r="A1162" s="24" t="str">
        <f>IFERROR(__xludf.DUMMYFUNCTION("""COMPUTED_VALUE"""),"Terrestrial input of herbicides has significant impacts on phytoplankton and bacterioplankton communities in coastal waters")</f>
        <v>Terrestrial input of herbicides has significant impacts on phytoplankton and bacterioplankton communities in coastal waters</v>
      </c>
      <c r="B1162" s="24" t="str">
        <f>IFERROR(__xludf.DUMMYFUNCTION("""COMPUTED_VALUE"""),"Herbicide use has increased very rapidly worldwide in recent decades, and some of these herbicides eventually enter the ocean. At present, herbicide pollution in the ocean has become a global environmental problem. Here, in a field investigation of 22 com"&amp;"monly used herbicide residues (triazine, phenylurea, and amide) in the Bohai Sea and the Yellow Sea, we found that the detection rate of herbicide residues within 100 km from shore was 100%. Notably, triazine herbicides have reached concentrations (up to "&amp;"12.07 nmol L-1) that can significantly disturb phytoplankton and bacterioplankton communities in microcosm experiments. Under exposure to triazine herbicides at close to their total in situ concentrations, the photosynthesis of the phytoplankton community"&amp;" was significantly inhibited, which was reflected by the significant decrease of F-v/F-m (28.7-63.8%) of the phytoplankton community and dissolved oxygen content (18.1-32.2%) in seawater. Concurrently, the phytoplankton community structure underwent signi"&amp;"ficant changes with the dominant group shifting from diatoms to dinoflagellates, due to the higher atrazine sensitivity of diatoms compared to facultative dinoflagellates. Triazine herbicide also significantly altered the bacterioplankton community struct"&amp;"ure and inhibited their metabolism of many carbon sources including carbohydrates, amino acids, and carboxylic acids. As phytoplankton and bacterioplankton are closely related, the impact of herbicide on the bacterioplankton community was clearly aggravat"&amp;"ed by the phytoplankton community. In view of the significance of phytoplankton and bacterioplankton communities in supporting marine food webs and biogeochemical cycles, a continuous increase in herbicide input in the future may seriously affect the stab"&amp;"ility of coastal oceans.")</f>
        <v>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v>
      </c>
      <c r="C1162" s="24" t="str">
        <f>IFERROR(__xludf.DUMMYFUNCTION("""COMPUTED_VALUE"""),"10.1002/lno.11940")</f>
        <v>10.1002/lno.11940</v>
      </c>
      <c r="D1162" s="24" t="str">
        <f>IFERROR(__xludf.DUMMYFUNCTION("""COMPUTED_VALUE"""),"Keck et al")</f>
        <v>Keck et al</v>
      </c>
      <c r="E1162" s="24" t="str">
        <f>IFERROR(__xludf.DUMMYFUNCTION("""COMPUTED_VALUE"""),"WOS:000700937800001")</f>
        <v>WOS:000700937800001</v>
      </c>
      <c r="F1162" s="24" t="str">
        <f>IFERROR(__xludf.DUMMYFUNCTION("""COMPUTED_VALUE"""),"[""ELIGIBLE""]")</f>
        <v>["ELIGIBLE"]</v>
      </c>
    </row>
    <row r="1163">
      <c r="A1163" s="24" t="str">
        <f>IFERROR(__xludf.DUMMYFUNCTION("""COMPUTED_VALUE"""),"Effects of microplastics on soil microbiome: The impacts of polymer type, shape, and concentration")</f>
        <v>Effects of microplastics on soil microbiome: The impacts of polymer type, shape, and concentration</v>
      </c>
      <c r="B1163" s="24" t="str">
        <f>IFERROR(__xludf.DUMMYFUNCTION("""COMPUTED_VALUE"""),"Increasing research has recognized that the ubiquitous presence of microplastics in terrestrial environments is undeniable, which potentially alters the soil ecosystem properties and processes. The fact that microplastics with diverse characteristics ente"&amp;"r into the soil may induce distinct effects on soil ecosystems. Our knowledge of the impacts of microplastics with different polymers, shapes, and concentrations on soil bacterial communities is still limited. To address this, we examined the effects of s"&amp;"pherical microplastics (150 mu m) with different poly-mers (i.e., polyethylene (PE), polystyrene (PS), and polypropylene (PP)) and four shapes of PP microplastics (i.e., fiber, film, foam, and particle) at a constant concentration (1%, w/w) on the soil ba"&amp;"cterial community in an agricultural soil over 60 days. Treatments with different concentrations (0.01-20%, w/w) of PP microplastic par-ticles (150 mu m) were also included. The bacterial communities in PE and PP treatments showed a similar pattern but se"&amp;"parated from those in PS-treated soils, indicating the polymer backbone structure is an important factor modulating the soil bacterial responses. Fiber, foam, and film microplastics significantly affected the soil bacterial composition as compared to the "&amp;"particle. The community dissimilarity of soil bacteria was significantly (R-2 = 0.592, p &lt; 0.001) correlated with the changes of microplastic concentration. The random forest model identified that certain bacteria belonging to Patescibacteria were closely"&amp;" linked to microplastic contamination. Additionally, analysis of the predicted function further showed that microplastics with different characteristics caused distinct effects on microbial community function. Our findings suggested that the idiosyncrasie"&amp;"s of microplastics should not be neglected when studying their effects on terrestrial ecosystems. (C) 2021 Elsevier B.V. All rights reserved.")</f>
        <v>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v>
      </c>
      <c r="C1163" s="24" t="str">
        <f>IFERROR(__xludf.DUMMYFUNCTION("""COMPUTED_VALUE"""),"10.1016/j.scitotenv.2021.150516")</f>
        <v>10.1016/j.scitotenv.2021.150516</v>
      </c>
      <c r="D1163" s="24" t="str">
        <f>IFERROR(__xludf.DUMMYFUNCTION("""COMPUTED_VALUE"""),"Keck et al")</f>
        <v>Keck et al</v>
      </c>
      <c r="E1163" s="24" t="str">
        <f>IFERROR(__xludf.DUMMYFUNCTION("""COMPUTED_VALUE"""),"WOS:000709720900018")</f>
        <v>WOS:000709720900018</v>
      </c>
      <c r="F1163" s="24" t="str">
        <f>IFERROR(__xludf.DUMMYFUNCTION("""COMPUTED_VALUE"""),"[""ELIGIBLE""]")</f>
        <v>["ELIGIBLE"]</v>
      </c>
    </row>
    <row r="1164">
      <c r="A1164" s="24" t="str">
        <f>IFERROR(__xludf.DUMMYFUNCTION("""COMPUTED_VALUE"""),"Phenotypic plasticity may mediate habitat filtering in a forest edge community")</f>
        <v>Phenotypic plasticity may mediate habitat filtering in a forest edge community</v>
      </c>
      <c r="B1164" s="24" t="str">
        <f>IFERROR(__xludf.DUMMYFUNCTION("""COMPUTED_VALUE"""),"A key process determining community assembly is habitat filtering, which reduces the range of trait values and thus leads to trait convergence. Habitat filtering is often assumed to involve a reduction in species richness, but such trait convergence could"&amp;" also result from phenotypic plasticity. By allowing more species in the community to show the 'right' phenotype and pass the filter, phenotypic plasticity could maintain species richness despite trait convergence. If phenotypic plasticity plays this role"&amp;", environmental changes should modify trait distribution but not species composition or richness. We tested this hypothesis in a forest edge community recently invaded by the alien shrub Rubus praecox. We measured functional traits beneath Rubus canopy (R"&amp;"ubus-invaded community) and in adjacent microsites naturally free from Rubus (original community), comparing trait dispersion and community structure parameters. We also characterized the microenvironments to seek functional explanations for the observed "&amp;"phenotypic changes. The functional dispersion parameter FDis showed habitat filtering in the Rubus-invaded community (trait convergence), while in the original community it did not differ from a null model. Species richness and composition did not differ "&amp;"between the two communities. Soil characteristics were similar in both communities but light availability was greatly reduced in the Rubus-invaded community. A principal component analysis of community-weighted means of functional traits showed that pheno"&amp;"typic changes between communities were mostly consistent with functional responses to shading, including an increase in specific leaf area and a reduction in flavonoid concentration in the Rubus-invaded community. We verified the conditions necessary to i"&amp;"nfer that phenotypic plasticity mediates the outcome of habitat filtering driven by Rubus in the study system, i.e. plasticity would explain species persistence despite trait convergence. Phenotypic plasticity, often subsumed within intraspecific variatio"&amp;"n in community assembly studies, should be considered individually to improve our understanding of the causes and consequences of habitat filtering.")</f>
        <v>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v>
      </c>
      <c r="C1164" s="24" t="str">
        <f>IFERROR(__xludf.DUMMYFUNCTION("""COMPUTED_VALUE"""),"10.1111/oik.08455")</f>
        <v>10.1111/oik.08455</v>
      </c>
      <c r="D1164" s="24" t="str">
        <f>IFERROR(__xludf.DUMMYFUNCTION("""COMPUTED_VALUE"""),"Keck et al")</f>
        <v>Keck et al</v>
      </c>
      <c r="E1164" s="24" t="str">
        <f>IFERROR(__xludf.DUMMYFUNCTION("""COMPUTED_VALUE"""),"WOS:000685442300001")</f>
        <v>WOS:000685442300001</v>
      </c>
      <c r="F1164" s="24" t="str">
        <f>IFERROR(__xludf.DUMMYFUNCTION("""COMPUTED_VALUE"""),"[""ELIGIBLE""]")</f>
        <v>["ELIGIBLE"]</v>
      </c>
    </row>
    <row r="1165">
      <c r="A1165" s="24" t="str">
        <f>IFERROR(__xludf.DUMMYFUNCTION("""COMPUTED_VALUE"""),"Can intensive fish farming for 20 years induce changes in benthic ecosystems on a scale of waterbody? An assessment from Cephalonia bay (Ionian Sea)")</f>
        <v>Can intensive fish farming for 20 years induce changes in benthic ecosystems on a scale of waterbody? An assessment from Cephalonia bay (Ionian Sea)</v>
      </c>
      <c r="B1165" s="24" t="str">
        <f>IFERROR(__xludf.DUMMYFUNCTION("""COMPUTED_VALUE"""),"The environmental impacts of fish farming on benthic ecosystems beneath the fish cages have been widely addressed the past decades. However, the chronic release of nutrients can cause a shift in local primary productivity and a chronic increase in the sed"&amp;"imentation of organic material at a large spatial scale which could be reflected in benthic ecosystems. In this context, the indirect effects of aquaculture on the benthic ecosystem were studied in a semi-closed bay (Cephalonia, Ionian Sea) where a relati"&amp;"vely large fish farm has been operating since 1982. Results from the present sampling were compared to historical data obtained in 1996 and 2001, in order to detect if nutrient release that could impact phytoplankton dynamics in the bay could indirectly a"&amp;"lter benthic communities, as well. Macrofaunal communities have not shown deterioration but rather a small, yet statistically significant, improvement in diversity indices and ecological status indicators, and no significant change regarding bioturbation "&amp;"potential. This indicated that processes involved in nutrient consumption and transfer are highly effective in such an oligotrophic environment.")</f>
        <v>The environmental impacts of fish farming on benthic ecosystems beneath the fish cages have been widely addressed the past decades. However, the chronic release of nutrients can cause a shift in local primary productivity and a chronic increase in the sedimentation of organic material at a large spatial scale which could be reflected in benthic ecosystems. In this context, the indirect effects of aquaculture on the benthic ecosystem were studied in a semi-closed bay (Cephalonia, Ionian Sea) where a relatively large fish farm has been operating since 1982. Results from the present sampling were compared to historical data obtained in 1996 and 2001, in order to detect if nutrient release that could impact phytoplankton dynamics in the bay could indirectly alter benthic communities, as well. Macrofaunal communities have not shown deterioration but rather a small, yet statistically significant, improvement in diversity indices and ecological status indicators, and no significant change regarding bioturbation potential. This indicated that processes involved in nutrient consumption and transfer are highly effective in such an oligotrophic environment.</v>
      </c>
      <c r="C1165" s="24" t="str">
        <f>IFERROR(__xludf.DUMMYFUNCTION("""COMPUTED_VALUE"""),"10.1007/s10661-018-6846-5")</f>
        <v>10.1007/s10661-018-6846-5</v>
      </c>
      <c r="D1165" s="24" t="str">
        <f>IFERROR(__xludf.DUMMYFUNCTION("""COMPUTED_VALUE"""),"Keck et al")</f>
        <v>Keck et al</v>
      </c>
      <c r="E1165" s="24" t="str">
        <f>IFERROR(__xludf.DUMMYFUNCTION("""COMPUTED_VALUE"""),"WOS:000439227100001")</f>
        <v>WOS:000439227100001</v>
      </c>
      <c r="F1165" s="24" t="str">
        <f>IFERROR(__xludf.DUMMYFUNCTION("""COMPUTED_VALUE"""),"[""ELIGIBLE""]")</f>
        <v>["ELIGIBLE"]</v>
      </c>
    </row>
    <row r="1166">
      <c r="A1166" s="24" t="str">
        <f>IFERROR(__xludf.DUMMYFUNCTION("""COMPUTED_VALUE"""),"Elevated Magnesium Concentrations Altered Freshwater Assemblage Structures in a Mesocosm Experiment")</f>
        <v>Elevated Magnesium Concentrations Altered Freshwater Assemblage Structures in a Mesocosm Experiment</v>
      </c>
      <c r="B1166" s="24" t="str">
        <f>IFERROR(__xludf.DUMMYFUNCTION("""COMPUTED_VALUE"""),"Magnesium (Mg) is a mining-related contaminant in the Alligators Rivers Region of tropical northern Australia. A mesocosm experiment was used to assess Mg toxicity to aquatic freshwater assemblages. Twenty-five 2700-L tubs were arranged, stratified random"&amp;"ly, on the bed of Magela Creek, a seasonally flowing, sandy stream channel in the Alligator Rivers Region of northern Australia. The experiment comprised 5 replicates of 4 nominal Mg treatments, 2.5, 7.5, 23, and 68 mg L-1, and a control. Phytoplankton bi"&amp;"omass, and diatom, zooplankton, and macroinvertebrate assemblages present in the treatment tubs were sampled before and after Mg addition. A significant negative relationship between phytoplankton biomass and Mg was observed 4 wk after Mg addition as meas"&amp;"ured by chlorophyll a concentrations (r(2) = 0.97,p = 0.01). This result was supported by reductions in some major phytoplankton groups in response to increasing Mg concentrations, in the same experiment and from independent field studies. There was a sig"&amp;"nificant negative relationship between zooplankton assemblage similarity (to control) and Mg concentrations (r(2) = 0.96,p = 0.002). Seven weeks after Mg addition, macroinvertebrate assemblages were dominated by 3 microcrustacean groups (Ostracoda, Cladoc"&amp;"era, and Copepoda), each reaching maximum abundance at intermediate Mg concentrations (i.e., unimodal responses). The responses of phytoplankton and zooplankton were used to derive assemblage effect concentrations (Mg concentrations resulting inx% of the "&amp;"assemblage change [ECx]). Magnesium concentrations resulting in assemblage EC01 values were &lt;3 mg L-1. Together with candidate guideline values from other laboratory- and field-based lines of evidence, the mesocosm EC01 values were incorporated into a wei"&amp;"ght-of-evidence framework for a robust regulatory approach to environmental protection.Environ Toxicol Chem2020;00:1-15. (c) 2020 Commonwealth of Australia. Published by Wiley Periodicals LLC on behalf of SETAC.")</f>
        <v>Magnesium (Mg) is a mining-related contaminant in the Alligators Rivers Region of tropical northern Australia. A mesocosm experiment was used to assess Mg toxicity to aquatic freshwater assemblages. Twenty-five 2700-L tubs were arranged, stratified randomly, on the bed of Magela Creek, a seasonally flowing, sandy stream channel in the Alligator Rivers Region of northern Australia. The experiment comprised 5 replicates of 4 nominal Mg treatments, 2.5, 7.5, 23, and 68 mg L-1, and a control. Phytoplankton biomass, and diatom, zooplankton, and macroinvertebrate assemblages present in the treatment tubs were sampled before and after Mg addition. A significant negative relationship between phytoplankton biomass and Mg was observed 4 wk after Mg addition as measured by chlorophyll a concentrations (r(2) = 0.97,p = 0.01). This result was supported by reductions in some major phytoplankton groups in response to increasing Mg concentrations, in the same experiment and from independent field studies. There was a significant negative relationship between zooplankton assemblage similarity (to control) and Mg concentrations (r(2) = 0.96,p = 0.002). Seven weeks after Mg addition, macroinvertebrate assemblages were dominated by 3 microcrustacean groups (Ostracoda, Cladocera, and Copepoda), each reaching maximum abundance at intermediate Mg concentrations (i.e., unimodal responses). The responses of phytoplankton and zooplankton were used to derive assemblage effect concentrations (Mg concentrations resulting inx% of the assemblage change [ECx]). Magnesium concentrations resulting in assemblage EC01 values were &lt;3 mg L-1. Together with candidate guideline values from other laboratory- and field-based lines of evidence, the mesocosm EC01 values were incorporated into a weight-of-evidence framework for a robust regulatory approach to environmental protection.Environ Toxicol Chem2020;00:1-15. (c) 2020 Commonwealth of Australia. Published by Wiley Periodicals LLC on behalf of SETAC.</v>
      </c>
      <c r="C1166" s="24" t="str">
        <f>IFERROR(__xludf.DUMMYFUNCTION("""COMPUTED_VALUE"""),"10.1002/etc.4817")</f>
        <v>10.1002/etc.4817</v>
      </c>
      <c r="D1166" s="24" t="str">
        <f>IFERROR(__xludf.DUMMYFUNCTION("""COMPUTED_VALUE"""),"Keck et al")</f>
        <v>Keck et al</v>
      </c>
      <c r="E1166" s="24" t="str">
        <f>IFERROR(__xludf.DUMMYFUNCTION("""COMPUTED_VALUE"""),"WOS:000565234100001")</f>
        <v>WOS:000565234100001</v>
      </c>
      <c r="F1166" s="24" t="str">
        <f>IFERROR(__xludf.DUMMYFUNCTION("""COMPUTED_VALUE"""),"[""ELIGIBLE""]")</f>
        <v>["ELIGIBLE"]</v>
      </c>
    </row>
    <row r="1167">
      <c r="A1167" s="24" t="str">
        <f>IFERROR(__xludf.DUMMYFUNCTION("""COMPUTED_VALUE"""),"Composition and interaction frequencies in soil bacterial communities change in association with urban park age in Beijing")</f>
        <v>Composition and interaction frequencies in soil bacterial communities change in association with urban park age in Beijing</v>
      </c>
      <c r="B1167" s="24" t="str">
        <f>IFERROR(__xludf.DUMMYFUNCTION("""COMPUTED_VALUE"""),"Soil microbes play an important role in pollutant remediation and nutrient cycling in urban green spaces. However, how microbial composition and diversity are affected by environmental factors is poorly understood. Here, we compared soil microbial communi"&amp;"ties in 11 urban parks, constructed at different times (10, similar to 30 and &gt;100 years ago) or existing in their natural state. The dominant phyla in the samples were Proteobacteria, Bacteroidetes, Actinobacteria, Gemmatimonadetes, Verrucomicrobia, and "&amp;"Planctomycetes. The relative abundance of some phyla showed significant differences between natural forest parks and urban parks. Park construction over a period of time led to significant differences in microbial community structure, which was also signi"&amp;"ficantly correlated with soil pH, moisture, total nitrogen, total carbon, and soil bulk density. Bacterial diversity was significantly positively correlated with pH, and species diversity was not significantly different in each successive park age categor"&amp;"y. Co-occurrence network analysis revealed that microbial guilds in urban soils were well correlated. Abundant soil microbes in natural forests and hundred-year-old parks had fewer interactions, while abundant bacteria in ten-year-old and thirty-year-old "&amp;"park soils had more interactions. Our results indicate the influence of urban park ages on soil microbial communities, which is important for understanding the effect of urbanization on soil microbes.")</f>
        <v>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v>
      </c>
      <c r="C1167" s="24" t="str">
        <f>IFERROR(__xludf.DUMMYFUNCTION("""COMPUTED_VALUE"""),"10.1016/j.pedobi.2020.150699")</f>
        <v>10.1016/j.pedobi.2020.150699</v>
      </c>
      <c r="D1167" s="24" t="str">
        <f>IFERROR(__xludf.DUMMYFUNCTION("""COMPUTED_VALUE"""),"Keck et al")</f>
        <v>Keck et al</v>
      </c>
      <c r="E1167" s="24" t="str">
        <f>IFERROR(__xludf.DUMMYFUNCTION("""COMPUTED_VALUE"""),"WOS:000621352900004")</f>
        <v>WOS:000621352900004</v>
      </c>
      <c r="F1167" s="24" t="str">
        <f>IFERROR(__xludf.DUMMYFUNCTION("""COMPUTED_VALUE"""),"[""ELIGIBLE""]")</f>
        <v>["ELIGIBLE"]</v>
      </c>
    </row>
    <row r="1168">
      <c r="A1168" s="24" t="str">
        <f>IFERROR(__xludf.DUMMYFUNCTION("""COMPUTED_VALUE"""),"Investigation of the fate and effects of acetyl cedrene on Capitella teleta and sediment bacterial community")</f>
        <v>Investigation of the fate and effects of acetyl cedrene on Capitella teleta and sediment bacterial community</v>
      </c>
      <c r="B1168" s="24" t="str">
        <f>IFERROR(__xludf.DUMMYFUNCTION("""COMPUTED_VALUE"""),"The fate of the fragrance material, acetyl cedrene (AC), in sediment was examined in a 16 day laboratory experiment using the sediment microbial community subjected to the following treatments: AC (nominal concentration; 0 and 50 mu g g(-1) dw sediment) a"&amp;"nd macrofaunal worms (with/without Capitella teleta (formerly Capitella sp. I)). Furthermore effects of AC on microbial respiration in the system were determined by examining CO2 flux. T-RFLP (terminal restriction fragment length polymorphism) was used to"&amp;" analyze PCR (polymerase chain reaction) amplified 16S DNA gene fragments from the sediments to detect changes in the structure and diversity of the bacterial community. In addition, survival of C. teleta in sediment was determined. Lastly, we examined ho"&amp;"w the interactions between microbes and C. teleta in the sediment affected the above-mentioned parameters. The results showed that there was an interaction between worm treatment and time of sampling on the loss of AC from the sediment. This was caused by"&amp;" AC loss initially being fastest in the sediment with C. teleta present, but at experimental termination there was no significant difference between the two treatments (i.e., with/without worms) in the amount of AC remaining in the sediment. Survival of C"&amp;". teleta was significantly reduced by AC at experimental termination, but neither microbial respiration nor structure and diversity of the bacterial community were significantly affected.")</f>
        <v>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v>
      </c>
      <c r="C1168" s="24" t="str">
        <f>IFERROR(__xludf.DUMMYFUNCTION("""COMPUTED_VALUE"""),"10.1007/s10646-010-0486-z")</f>
        <v>10.1007/s10646-010-0486-z</v>
      </c>
      <c r="D1168" s="24" t="str">
        <f>IFERROR(__xludf.DUMMYFUNCTION("""COMPUTED_VALUE"""),"Keck et al")</f>
        <v>Keck et al</v>
      </c>
      <c r="E1168" s="24" t="str">
        <f>IFERROR(__xludf.DUMMYFUNCTION("""COMPUTED_VALUE"""),"WOS:000280068900008")</f>
        <v>WOS:000280068900008</v>
      </c>
      <c r="F1168" s="24" t="str">
        <f>IFERROR(__xludf.DUMMYFUNCTION("""COMPUTED_VALUE"""),"[""ELIGIBLE""]")</f>
        <v>["ELIGIBLE"]</v>
      </c>
    </row>
    <row r="1169">
      <c r="A1169" s="24" t="str">
        <f>IFERROR(__xludf.DUMMYFUNCTION("""COMPUTED_VALUE"""),"Reduced Ectomycorrhizae on Oak near Invasive Garlic Mustard")</f>
        <v>Reduced Ectomycorrhizae on Oak near Invasive Garlic Mustard</v>
      </c>
      <c r="B1169" s="24" t="str">
        <f>IFERROR(__xludf.DUMMYFUNCTION("""COMPUTED_VALUE"""),"Invasive plants may disrupt symbioses between plants and soil biota. We tested whether ectomycorrhizal fungi (ECM) associating with Quercus rubra (Northern Red Oak) seedlings was lower near invasive Alliaria petiolata (Garlic Mustard). We quantified ECM c"&amp;"olonization, identified morphotypes, and compared composition in forests with contrasting Garlic Mustard densities. Seedlings had lower ECM colonization and diversity in a stand with dense Garlic Mustard than in a stand without Garlic Mustard. ECM composi"&amp;"tion also differed between stands. Seedlings in a stand with moderate density Garlic Mustard had marginally less ECM than those at the no Garlic Mustard site. These findings suggest that ECM association is negatively correlated with Garlic Mustard invasio"&amp;"n. This association may result in lasting changes to forest communities and hinder site restoration following Garlic Mustard removal.")</f>
        <v>Invasive plants may disrupt symbioses between plants and soil biota. We tested whether ectomycorrhizal fungi (ECM) associating with Quercus rubra (Northern Red Oak) seedlings was lower near invasive Alliaria petiolata (Garlic Mustard). We quantified ECM colonization, identified morphotypes, and compared composition in forests with contrasting Garlic Mustard densities. Seedlings had lower ECM colonization and diversity in a stand with dense Garlic Mustard than in a stand without Garlic Mustard. ECM composition also differed between stands. Seedlings in a stand with moderate density Garlic Mustard had marginally less ECM than those at the no Garlic Mustard site. These findings suggest that ECM association is negatively correlated with Garlic Mustard invasion. This association may result in lasting changes to forest communities and hinder site restoration following Garlic Mustard removal.</v>
      </c>
      <c r="C1169" s="24" t="str">
        <f>IFERROR(__xludf.DUMMYFUNCTION("""COMPUTED_VALUE"""),"10.1656/045.019.0101")</f>
        <v>10.1656/045.019.0101</v>
      </c>
      <c r="D1169" s="24" t="str">
        <f>IFERROR(__xludf.DUMMYFUNCTION("""COMPUTED_VALUE"""),"Keck et al")</f>
        <v>Keck et al</v>
      </c>
      <c r="E1169" s="24" t="str">
        <f>IFERROR(__xludf.DUMMYFUNCTION("""COMPUTED_VALUE"""),"WOS:000305920900001")</f>
        <v>WOS:000305920900001</v>
      </c>
      <c r="F1169" s="24" t="str">
        <f>IFERROR(__xludf.DUMMYFUNCTION("""COMPUTED_VALUE"""),"[""ELIGIBLE""]")</f>
        <v>["ELIGIBLE"]</v>
      </c>
    </row>
    <row r="1170">
      <c r="A1170" s="24" t="str">
        <f>IFERROR(__xludf.DUMMYFUNCTION("""COMPUTED_VALUE"""),"Nutrient Enrichment Alters Salt Marsh Fungal Communities and Promotes Putative Fungal Denitrifiers")</f>
        <v>Nutrient Enrichment Alters Salt Marsh Fungal Communities and Promotes Putative Fungal Denitrifiers</v>
      </c>
      <c r="B1170" s="24" t="str">
        <f>IFERROR(__xludf.DUMMYFUNCTION("""COMPUTED_VALUE"""),"Enrichment of ecosystems with excess nutrients is occurring at an alarming rate and has fundamentally altered ecosystems worldwide. Salt marshes, which lie at the land-sea interface, are highly effective at removing anthropogenic nutrients through the act"&amp;"ion of macrophytes and through microbial processes in coastal sediments. The response of salt marsh bacteria to excess nitrogen has been documented; however, the role of fungi and their response to excess nitrogen in salt marsh sediments is not fully unde"&amp;"rstood. Here, we document the response of salt marsh fungal communities to long-term excess nitrate in four distinct marsh habitats within a northern temperate marsh complex. We show that salt marsh fungal communities varied as a function of salt marsh ha"&amp;"bitat, with both fungal abundance and diversity increasing with carbon quantity. Nutrient enrichment altered fungal communities in all habitats through an increase in fungal abundance and the proliferation of putative fungal denitrifiers. Nutrient enrichm"&amp;"ent also altered marsh carbon quality in low marsh surface sediments where fungal response to nutrient enrichment was most dramatic, suggesting nutrient enrichment can alter organic matter quality in coastal sediments. Our results indicate that fungi, in "&amp;"addition to bacteria, likely play an important role in anaerobic decomposition of salt marsh sediment organic matter.")</f>
        <v>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v>
      </c>
      <c r="C1170" s="24" t="str">
        <f>IFERROR(__xludf.DUMMYFUNCTION("""COMPUTED_VALUE"""),"10.1007/s00248-018-1223-z")</f>
        <v>10.1007/s00248-018-1223-z</v>
      </c>
      <c r="D1170" s="24" t="str">
        <f>IFERROR(__xludf.DUMMYFUNCTION("""COMPUTED_VALUE"""),"Keck et al")</f>
        <v>Keck et al</v>
      </c>
      <c r="E1170" s="24" t="str">
        <f>IFERROR(__xludf.DUMMYFUNCTION("""COMPUTED_VALUE"""),"WOS:000460479100008")</f>
        <v>WOS:000460479100008</v>
      </c>
      <c r="F1170" s="24" t="str">
        <f>IFERROR(__xludf.DUMMYFUNCTION("""COMPUTED_VALUE"""),"[""ELIGIBLE""]")</f>
        <v>["ELIGIBLE"]</v>
      </c>
    </row>
    <row r="1171">
      <c r="A1171" s="24" t="str">
        <f>IFERROR(__xludf.DUMMYFUNCTION("""COMPUTED_VALUE"""),"Vernal pool wetlands respond to livestock grazing, exclusion and reintroduction")</f>
        <v>Vernal pool wetlands respond to livestock grazing, exclusion and reintroduction</v>
      </c>
      <c r="B1171" s="24" t="str">
        <f>IFERROR(__xludf.DUMMYFUNCTION("""COMPUTED_VALUE"""),"In disturbance-adapted ecosystems, the removal of disturbance can lead to losses of diversity and sometimes irreversible changes in community composition. It is important to identify the thresholds at which these changes can occur, and to understand the r"&amp;"eversibility of these shifts. We examined this question in a vernal pool ecosystem that evolved with low to moderate levels of grazing disturbance. In this system, it is not clear whether the negative effects of long-term grazing exclusion are reversible "&amp;"through grazing reintroduction. We compared adjacent vernal pool wetlands in annual Mediterranean grasslands under three grazing management strategies: continuously grazed (100+ years), long-term excluded (40+ years) and 2 years of reintroduced grazing. W"&amp;"e also asked whether grazing treatments altered pool characteristics that are likely to influence plant community composition, and how these relationships changed with environmental conditions. Reintroducing grazing to vernal pools led to both increased d"&amp;"iversity and native cover, but the effects on native cover were more immediate than on diversity. We identified several biotic and abiotic mechanisms related to this pattern, including changes to competitive dynamics that favour small statured native annu"&amp;"als and increases in hoofprint microdepressions that make soil moisture more available to plants. Synthesis and applications. Our results show that reintroduced grazing at moderate stocking rates can have significant effects on plant communities after jus"&amp;"t 2 years and can increase native cover more quickly than overall diversity. Our findings suggest that the negative effects of long-term grazing exclusion in vernal pools may be reversible, but that land managers interested in restoring diversity should p"&amp;"lan to monitor beyond the first two years of grazing reintroduction.")</f>
        <v>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v>
      </c>
      <c r="C1171" s="24" t="str">
        <f>IFERROR(__xludf.DUMMYFUNCTION("""COMPUTED_VALUE"""),"10.1111/1365-2664.14001")</f>
        <v>10.1111/1365-2664.14001</v>
      </c>
      <c r="D1171" s="24" t="str">
        <f>IFERROR(__xludf.DUMMYFUNCTION("""COMPUTED_VALUE"""),"Keck et al")</f>
        <v>Keck et al</v>
      </c>
      <c r="E1171" s="24" t="str">
        <f>IFERROR(__xludf.DUMMYFUNCTION("""COMPUTED_VALUE"""),"WOS:000714814300001")</f>
        <v>WOS:000714814300001</v>
      </c>
      <c r="F1171" s="24" t="str">
        <f>IFERROR(__xludf.DUMMYFUNCTION("""COMPUTED_VALUE"""),"[""ELIGIBLE""]")</f>
        <v>["ELIGIBLE"]</v>
      </c>
    </row>
    <row r="1172">
      <c r="A1172" s="24" t="str">
        <f>IFERROR(__xludf.DUMMYFUNCTION("""COMPUTED_VALUE"""),"Benthic communities through the construction of a major reservoir and 40 years of change")</f>
        <v>Benthic communities through the construction of a major reservoir and 40 years of change</v>
      </c>
      <c r="B1172" s="24" t="str">
        <f>IFERROR(__xludf.DUMMYFUNCTION("""COMPUTED_VALUE"""),"Large hydroelectric dams have proliferated across the world through the 20th century. The resulting reservoirs can impart large changes to the abiotic and biotic environments upstream and downstream through changes in thermal regime of the rivers. Most un"&amp;"derstanding of the impacts these dams have on riverine communities is derived from studies conducted long after dams are constructed, with little information on what the communities resembled prior to construction and how they may have changed through tim"&amp;"e. In the current study we provide historical community data pre-dating the construction of a large, Northern Great Plains reservoir in reference reaches of the river system and the river downstream of the dam, as well as repeated sampling 20 and 40 years"&amp;" after its construction. In exploring changes in the community through time we find that densities of benthic macroinvertebrates have increased significantly through time relative to reference sites and pre-dam habitats. Further, these communities have ch"&amp;"anged through time to be different downstream of the reservoir in both soft and hard sediment. Our findings indicate that although there is a notable loss in sensitive taxa such as mayflies and stoneflies, other midge taxa colonize this unique, cold water"&amp;" habitat and create a new community of benthic macroinvertebrates.")</f>
        <v>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v>
      </c>
      <c r="C1172" s="24" t="str">
        <f>IFERROR(__xludf.DUMMYFUNCTION("""COMPUTED_VALUE"""),"10.1127/fal/2016/0906")</f>
        <v>10.1127/fal/2016/0906</v>
      </c>
      <c r="D1172" s="24" t="str">
        <f>IFERROR(__xludf.DUMMYFUNCTION("""COMPUTED_VALUE"""),"Keck et al")</f>
        <v>Keck et al</v>
      </c>
      <c r="E1172" s="24" t="str">
        <f>IFERROR(__xludf.DUMMYFUNCTION("""COMPUTED_VALUE"""),"WOS:000388813400002")</f>
        <v>WOS:000388813400002</v>
      </c>
      <c r="F1172" s="24" t="str">
        <f>IFERROR(__xludf.DUMMYFUNCTION("""COMPUTED_VALUE"""),"[""ELIGIBLE""]")</f>
        <v>["ELIGIBLE"]</v>
      </c>
    </row>
    <row r="1173">
      <c r="A1173" s="24" t="str">
        <f>IFERROR(__xludf.DUMMYFUNCTION("""COMPUTED_VALUE"""),"Diatom responses to river water quality in the Kruger National Park, South Africa")</f>
        <v>Diatom responses to river water quality in the Kruger National Park, South Africa</v>
      </c>
      <c r="B1173" s="24" t="str">
        <f>IFERROR(__xludf.DUMMYFUNCTION("""COMPUTED_VALUE"""),"Background: Although the Kruger National Park (KNP) is a protected area, it is not exempted from anthropogenically induced impacts, which often compromise river water flow and quality. Measures of river water quality in South Africa have conventionally be"&amp;"en based on water chemistry as well as different ecological indicator groups such as fish and macroinvertebrates. Diatoms have been shown to be useful indicators of changes in water quality resulting from pollution and land-use impacts. Objectives: To det"&amp;"ermine the applicability of diatoms for hind-casting water quality in the KNP and to compare recent diatom community composition with those from the 1980s. Methods: In this study, pH and electrical conductivity (EC) were used to evaluate temporal changes "&amp;"in water quality of three rivers within the KNP. Additionally, we made use of historic diatom samples from three of the five perennial rivers to evaluate if diatom communities reflected changes in water conditions between 1983 and 2015. Results: Diatom co"&amp;"mmunity structure was significantly different between 1983 and 2015. Diatom-based index scores (SPI) indicated an improvement in water quality for the Letaba and Olifants rivers. Conclusion: Diatoms were shown to be useful indicators of current water qual"&amp;"ity and are also useful for determining temporal changes.")</f>
        <v>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v>
      </c>
      <c r="C1173" s="24" t="str">
        <f>IFERROR(__xludf.DUMMYFUNCTION("""COMPUTED_VALUE"""),"10.38201/btha.abc.v51.i1.5")</f>
        <v>10.38201/btha.abc.v51.i1.5</v>
      </c>
      <c r="D1173" s="24" t="str">
        <f>IFERROR(__xludf.DUMMYFUNCTION("""COMPUTED_VALUE"""),"Keck et al")</f>
        <v>Keck et al</v>
      </c>
      <c r="E1173" s="24" t="str">
        <f>IFERROR(__xludf.DUMMYFUNCTION("""COMPUTED_VALUE"""),"WOS:000648571100005")</f>
        <v>WOS:000648571100005</v>
      </c>
      <c r="F1173" s="24" t="str">
        <f>IFERROR(__xludf.DUMMYFUNCTION("""COMPUTED_VALUE"""),"[""ELIGIBLE""]")</f>
        <v>["ELIGIBLE"]</v>
      </c>
    </row>
    <row r="1174">
      <c r="A1174" s="24" t="str">
        <f>IFERROR(__xludf.DUMMYFUNCTION("""COMPUTED_VALUE"""),"Effects of proximity to offshore fish farms over soft-bottom macrofauna")</f>
        <v>Effects of proximity to offshore fish farms over soft-bottom macrofauna</v>
      </c>
      <c r="B1174" s="24" t="str">
        <f>IFERROR(__xludf.DUMMYFUNCTION("""COMPUTED_VALUE"""),"Sea-cage fish farms impact the seabed within their immediate vicinity, potentially affecting recipient communities. We assessed whether proximity to three sea-cage fish farms at the Canary Islands altered patterns in the abundance, assemblage structure an"&amp;"d richness of soft-bottom macrofauna. We related among-farm variability in dissimilarities in macrofaunal assemblage structure between seabeds beneath cages and controls to differences in hydrodynamics, production and seabed topography. Contrasting patter"&amp;"ns of species abundances with varying proximity to fish farms were observed: some species decreased while other species increased their abundances with increasing distance at some farms. Although faunal assemblages at 0 m (i.e. beneath the cages) were dif"&amp;"ferent, in terms of assemblage structure, from those found at controls, pairwise differences in assemblage structure among distances away varied among the studied fish farms. Species richness showed inconsistent patterns with proximity to cages among fish"&amp;" farms. In summary, inconsistent patterns of macrofaunal assemblages with varying proximity to aquaculture facilities preclude confident predictions on the way offshore aquaculture alters macrofauna in the study region.")</f>
        <v>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v>
      </c>
      <c r="C1174" s="24" t="str">
        <f>IFERROR(__xludf.DUMMYFUNCTION("""COMPUTED_VALUE"""),"10.1017/S0025315414001386")</f>
        <v>10.1017/S0025315414001386</v>
      </c>
      <c r="D1174" s="24" t="str">
        <f>IFERROR(__xludf.DUMMYFUNCTION("""COMPUTED_VALUE"""),"Keck et al")</f>
        <v>Keck et al</v>
      </c>
      <c r="E1174" s="24" t="str">
        <f>IFERROR(__xludf.DUMMYFUNCTION("""COMPUTED_VALUE"""),"WOS:000351016900004")</f>
        <v>WOS:000351016900004</v>
      </c>
      <c r="F1174" s="24" t="str">
        <f>IFERROR(__xludf.DUMMYFUNCTION("""COMPUTED_VALUE"""),"[""ELIGIBLE""]")</f>
        <v>["ELIGIBLE"]</v>
      </c>
    </row>
    <row r="1175">
      <c r="A1175" s="24" t="str">
        <f>IFERROR(__xludf.DUMMYFUNCTION("""COMPUTED_VALUE"""),"Spatial variation of benthic infaunal communities in baie de Gaspe (eastern Canada) - Influence of mussel aquaculture")</f>
        <v>Spatial variation of benthic infaunal communities in baie de Gaspe (eastern Canada) - Influence of mussel aquaculture</v>
      </c>
      <c r="B1175" s="24" t="str">
        <f>IFERROR(__xludf.DUMMYFUNCTION("""COMPUTED_VALUE"""),"This study examines the effect of mussel farming on benthic infaunal communities in baie de Gaspe, eastern Canada, at two spatial scales: 10 m (directly under vs. between mussel longlines - Position) and 100 m (between mussel farm and reference locations "&amp;"- Treatment, each of which was replicated at 4 Sites). None of the evaluated univariate descriptors of benthic communities (abundance, taxonomic richness, Shannon-Weiner diversity, AMBI, and M-AMBI) differed between Treatments or among Positions within Si"&amp;"tes in any consistent way. Similarly, multivariate community structure also did not differ among Treatments. In contrast, multivariate community structure directly under mussel lines differed from that between mussel lines in 3 of 4 mussel farm sites wher"&amp;"eas none of the reference sites showed such 10 m-scale variation. Of the species that accounted for the greatest proportion of the dissimilarity between Positions within mussel farm sites, second-order opportunistic species (Prionospio steenstrupi and Pec"&amp;"tinaria granulata) were consistently more abundant directly under mussel lines than between them. Species belonging to other ecological groups did not show any consistent trends. It is suggested that studies that do not consider within-site (10 m-scale, b"&amp;"elow vs. between longlines) variation may fail to detect the influence of suspended bivalve culture in some cases. Overall, effects of mussel culture in baie de Gaspe were slight and within the natural variation of benthic communities in the area. This su"&amp;"ggests that the current industry should be sustainable. However, plans to expand the industry in the region remain to be evaluated with respect to the ecological carrying capacity of the entire bay. Crown Copyright (C) 2012 Published by Elsevier B.V. All "&amp;"rights reserved.")</f>
        <v>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v>
      </c>
      <c r="C1175" s="24" t="str">
        <f>IFERROR(__xludf.DUMMYFUNCTION("""COMPUTED_VALUE"""),"10.1016/j.aquaculture.2012.05.037")</f>
        <v>10.1016/j.aquaculture.2012.05.037</v>
      </c>
      <c r="D1175" s="24" t="str">
        <f>IFERROR(__xludf.DUMMYFUNCTION("""COMPUTED_VALUE"""),"Keck et al")</f>
        <v>Keck et al</v>
      </c>
      <c r="E1175" s="24" t="str">
        <f>IFERROR(__xludf.DUMMYFUNCTION("""COMPUTED_VALUE"""),"WOS:000306171100007")</f>
        <v>WOS:000306171100007</v>
      </c>
      <c r="F1175" s="24" t="str">
        <f>IFERROR(__xludf.DUMMYFUNCTION("""COMPUTED_VALUE"""),"[""ELIGIBLE""]")</f>
        <v>["ELIGIBLE"]</v>
      </c>
    </row>
    <row r="1176">
      <c r="A1176" s="24" t="str">
        <f>IFERROR(__xludf.DUMMYFUNCTION("""COMPUTED_VALUE"""),"Significant dose effects of fertilizers on soil diazotrophic diversity, community composition, and assembly processes in a long-term paddy field fertilization experiment")</f>
        <v>Significant dose effects of fertilizers on soil diazotrophic diversity, community composition, and assembly processes in a long-term paddy field fertilization experiment</v>
      </c>
      <c r="B1176" s="24" t="str">
        <f>IFERROR(__xludf.DUMMYFUNCTION("""COMPUTED_VALUE"""),"Although diazotrophs are major participants in biological nitrogen fixation (BNF) processes, the variations in community structure and assembly processes in response to long-term fertilization with different fertilizer application are still ambiguous, esp"&amp;"ecially under various doses with balance or not. Using nifH amplicon sequencing, we investigated the soil diazotrophic communities in a paddy field which received 20-year fertilization including control (CK), balanced fertilization (three doses of nitroge"&amp;"n (N), phosphorus (P), and potassium (K) at same ratio (NPK, 2(NPK), and 3(NPK)), unbalanced fertilization (three ratios, (2 N)PK, N(2P)K, and NP(2K)), and manure (M). Our results showed that the diazotrophic diversity increased with the long-term fertili"&amp;"zation, but it was tapering-off with doses increment. However, the community dissimilarities increased with fertilizer doses. These variations were attributed to the trade-off between the variation of soil pH and nutrients. The increasing of fertilizer do"&amp;"ses induced the transformation of community assembly processes, which changed from mainly dominated by deterministic processes in CK, NPK, NP(2K) and M to stochastic processes in the other treatments. Our findings suggest that the long-term fertilization,"&amp;" especially different fertilizer doses, strongly affect soil diazotrophic diversity, community structure, and assembly processes, which could help to improve the sustainable agricultural management in the future.")</f>
        <v>Although diazotrophs are major participants in biological nitrogen fixation (BNF) processes, the variations in community structure and assembly processes in response to long-term fertilization with different fertilizer application are still ambiguous, especially under various doses with balance or not. Using nifH amplicon sequencing, we investigated the soil diazotrophic communities in a paddy field which received 20-year fertilization including control (CK), balanced fertilization (three doses of nitrogen (N), phosphorus (P), and potassium (K) at same ratio (NPK, 2(NPK), and 3(NPK)), unbalanced fertilization (three ratios, (2 N)PK, N(2P)K, and NP(2K)), and manure (M). Our results showed that the diazotrophic diversity increased with the long-term fertilization, but it was tapering-off with doses increment. However, the community dissimilarities increased with fertilizer doses. These variations were attributed to the trade-off between the variation of soil pH and nutrients. The increasing of fertilizer doses induced the transformation of community assembly processes, which changed from mainly dominated by deterministic processes in CK, NPK, NP(2K) and M to stochastic processes in the other treatments. Our findings suggest that the long-term fertilization, especially different fertilizer doses, strongly affect soil diazotrophic diversity, community structure, and assembly processes, which could help to improve the sustainable agricultural management in the future.</v>
      </c>
      <c r="C1176" s="24" t="str">
        <f>IFERROR(__xludf.DUMMYFUNCTION("""COMPUTED_VALUE"""),"10.1002/ldr.3736")</f>
        <v>10.1002/ldr.3736</v>
      </c>
      <c r="D1176" s="24" t="str">
        <f>IFERROR(__xludf.DUMMYFUNCTION("""COMPUTED_VALUE"""),"Keck et al")</f>
        <v>Keck et al</v>
      </c>
      <c r="E1176" s="24" t="str">
        <f>IFERROR(__xludf.DUMMYFUNCTION("""COMPUTED_VALUE"""),"WOS:000566530700001")</f>
        <v>WOS:000566530700001</v>
      </c>
      <c r="F1176" s="24" t="str">
        <f>IFERROR(__xludf.DUMMYFUNCTION("""COMPUTED_VALUE"""),"[""ELIGIBLE""]")</f>
        <v>["ELIGIBLE"]</v>
      </c>
    </row>
    <row r="1177">
      <c r="A1177" s="24" t="str">
        <f>IFERROR(__xludf.DUMMYFUNCTION("""COMPUTED_VALUE"""),"Land-use history and an invasive grass affect tallgrass prairie sedge community composition")</f>
        <v>Land-use history and an invasive grass affect tallgrass prairie sedge community composition</v>
      </c>
      <c r="B1177" s="24" t="str">
        <f>IFERROR(__xludf.DUMMYFUNCTION("""COMPUTED_VALUE"""),"Questions: How abundant and diverse are sedges in upland tallgrass prairie? Are sedge communities associated with historical land use, abundance of an invasive species or different fire and grazing management regimes? How do sedge communities compare betw"&amp;"een reconstructed and intact grassland? Location: Grand River Grasslands; working tallgrass prairie in north-central Missouri and south-central Iowa (US). Methods: From 2008 to 2010, we surveyed the sedge species richness and measured canopy cover (an est"&amp;"imate of abundance) on 13 tallgrass prairie tracts, and measured canopy cover of an invasive C-3 grass, tall fescue (Schedonorus phoenix (Scop.) Holub). Flowering sedges were identified to species and associated with wetland indicator status (WIS) and coe"&amp;"fficients of conservatism (CoC). We calculated mean WIS, CoC, species richness (observed and estimated) and diversity (1/Simpson's D) for each tract. We used linear mixed-effect regression and multivariate ordination to describe patterns of sedge abundanc"&amp;"e and community composition in terms of land-use history (previously severely grazed intact prairie; previously ungrazed intact prairie; and reconstructed prairie), tall fescue abundance and current management (patch burn-grazed, burned-and-grazed burned "&amp;"only). Results: On average, sedges constituted 20 +/- 0.01% of total plant abundance. Sedge abundance increased over time and was higher on intact prairie than on reconstructions, but grazing history of intact prairie did not affect sedge abundance. We ob"&amp;"served 21 species that averaged moderate wetland affinity (mean WIS = -2.1 +/- 0.2) and moderate affinity for undisturbed habitat (mean CoC = 4.5 +/- 0.2 and 5.0 +/- 0.1) from Iowa and Missouri lists, respectively). Species richness, diversity and conserv"&amp;"atism did not vary with land-use history, current experimental management or tall fescue abundance, although all three variables were associated with patterns of sedge community composition. Conclusions: Diverse and abundant sedge communities provide a su"&amp;"bstantial forage resource for early season grazing. Neither historical grazing nor current fire/grazing management affected sedge diversity or floristic integrity. These data suggest grazing and the degree of invasion do not necessarily degrade entire nat"&amp;"ive plant communities - responses likely vary among plant groups - but land-use legacies have a persistent effect on sedge community composition.")</f>
        <v>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v>
      </c>
      <c r="C1177" s="24" t="str">
        <f>IFERROR(__xludf.DUMMYFUNCTION("""COMPUTED_VALUE"""),"10.1111/avsc.12136")</f>
        <v>10.1111/avsc.12136</v>
      </c>
      <c r="D1177" s="24" t="str">
        <f>IFERROR(__xludf.DUMMYFUNCTION("""COMPUTED_VALUE"""),"Keck et al")</f>
        <v>Keck et al</v>
      </c>
      <c r="E1177" s="24" t="str">
        <f>IFERROR(__xludf.DUMMYFUNCTION("""COMPUTED_VALUE"""),"WOS:000352131500006")</f>
        <v>WOS:000352131500006</v>
      </c>
      <c r="F1177" s="24" t="str">
        <f>IFERROR(__xludf.DUMMYFUNCTION("""COMPUTED_VALUE"""),"[""ELIGIBLE""]")</f>
        <v>["ELIGIBLE"]</v>
      </c>
    </row>
    <row r="1178">
      <c r="A1178" s="24" t="str">
        <f>IFERROR(__xludf.DUMMYFUNCTION("""COMPUTED_VALUE"""),"The implementation of an environmental flow regime results in ecological recovery of regulated rivers")</f>
        <v>The implementation of an environmental flow regime results in ecological recovery of regulated rivers</v>
      </c>
      <c r="B1178" s="24" t="str">
        <f>IFERROR(__xludf.DUMMYFUNCTION("""COMPUTED_VALUE"""),"Environmental flows are the main restoration technique used to ameliorate the ecological effects of regulation in rivers. However, their effectiveness has yet to be unanimously accepted. This study assessed the potential ecological benefits of the applica"&amp;"tion of an environmental flow regime downstream of four dams and two weirs in the Upper Nepean River system, Sydney, Australia. Aquatic macroinvertebrates in three habitat types were sampled at water-supply and low-flow sites and unregulated sites in 1995"&amp;" and 1996, prior to the environmental flows and in 2013 and 2014, approximately 13 years following the environmental flows. The macroinvertebrate assemblage structure was significantly different between regulated and reference sites and the number of taxa"&amp;" lower at water-supply sites prior to the implementation of the environmental flows. Following the environmental flows, the assemblage structure became more similar to, although still significantly different from, the unregulated sites and the number of t"&amp;"axa was not significantly different between regulated and unregulated sites. Thirteen or approximately 30% of taxa indicative of unregulated rivers increased in frequency at regulated sites following the environmental flows. Despite potentially similar di"&amp;"spersal capabilities the remainder of the taxa failed to respond the new flow regimes. The mechanisms resulting in recovery of some taxa but not others remain unclear and require further investigation as the basis of future research and monitoring. Such i"&amp;"nformation and knowledge would support the application of future environmental flow regimes as the primary mechanism to ameliorate the ecological effects of river regulation.")</f>
        <v>Environmental flows are the main restoration technique used to ameliorate the ecological effects of regulation in rivers. However, their effectiveness has yet to be unanimously accepted. This study assessed the potential ecological benefits of the application of an environmental flow regime downstream of four dams and two weirs in the Upper Nepean River system, Sydney, Australia. Aquatic macroinvertebrates in three habitat types were sampled at water-supply and low-flow sites and unregulated sites in 1995 and 1996, prior to the environmental flows and in 2013 and 2014, approximately 13 years following the environmental flows. The macroinvertebrate assemblage structure was significantly different between regulated and reference sites and the number of taxa lower at water-supply sites prior to the implementation of the environmental flows. Following the environmental flows, the assemblage structure became more similar to, although still significantly different from, the unregulated sites and the number of taxa was not significantly different between regulated and unregulated sites. Thirteen or approximately 30% of taxa indicative of unregulated rivers increased in frequency at regulated sites following the environmental flows. Despite potentially similar dispersal capabilities the remainder of the taxa failed to respond the new flow regimes. The mechanisms resulting in recovery of some taxa but not others remain unclear and require further investigation as the basis of future research and monitoring. Such information and knowledge would support the application of future environmental flow regimes as the primary mechanism to ameliorate the ecological effects of river regulation.</v>
      </c>
      <c r="C1178" s="24" t="str">
        <f>IFERROR(__xludf.DUMMYFUNCTION("""COMPUTED_VALUE"""),"10.1111/rec.12330")</f>
        <v>10.1111/rec.12330</v>
      </c>
      <c r="D1178" s="24" t="str">
        <f>IFERROR(__xludf.DUMMYFUNCTION("""COMPUTED_VALUE"""),"Keck et al")</f>
        <v>Keck et al</v>
      </c>
      <c r="E1178" s="24" t="str">
        <f>IFERROR(__xludf.DUMMYFUNCTION("""COMPUTED_VALUE"""),"WOS:000383716800015")</f>
        <v>WOS:000383716800015</v>
      </c>
      <c r="F1178" s="24" t="str">
        <f>IFERROR(__xludf.DUMMYFUNCTION("""COMPUTED_VALUE"""),"[""ELIGIBLE""]")</f>
        <v>["ELIGIBLE"]</v>
      </c>
    </row>
    <row r="1179">
      <c r="A1179" s="24" t="str">
        <f>IFERROR(__xludf.DUMMYFUNCTION("""COMPUTED_VALUE"""),"Shifts in the Rhizosphere and Endosphere Colonizing Bacterial Communities Under Drought and Salinity Stress as Affected by a Biofertilizer Consortium")</f>
        <v>Shifts in the Rhizosphere and Endosphere Colonizing Bacterial Communities Under Drought and Salinity Stress as Affected by a Biofertilizer Consortium</v>
      </c>
      <c r="B1179" s="24" t="str">
        <f>IFERROR(__xludf.DUMMYFUNCTION("""COMPUTED_VALUE"""),"The present research asks how plant growth-promoting bacterial (PGPB) inoculants and chemical fertilizers change rhizosphere and root endophytic bacterial communities in durum wheat, and its dependence on environmental stress. A greenhouse experiment was "&amp;"carried out under drought (at 40% field capacity), or salinity (150 mM NaCl) conditions to investigate the effects of a chemical fertilizer (containing nitrogen, phosphorus, potassium and zinc) or a biofertilizer (a bacterial consortium of four PGPBs). Hi"&amp;"gh-throughput amplicon sequencing of the 16S rRNA of the rhizosphere, non-sterilized, or surface-sterilized roots, showed shifts in bacterial communities in response to stress treatments, which were greater for salinity than for drought and tended to show"&amp;" increased oligotrophs relative abundances compared to non-stress controls. The results also showed that Proteobacteria, Acidobacteria, Bacteroidetes, Gemmatimonadetes, Thaumarchaeota, Firmicutes, and Verrucomicrobia had a higher relative abundance in the"&amp;" rhizosphere, while Actinobacteria were more abundant on roots, while Candidatus_Saccharibacteria and Planctomycetes inside roots. The results indicated that the root endophytic bacterial communities were more affected by (bio-) fertilization treatments t"&amp;"han those in the rhizosphere, particularly as affected by PGPB inoculation. This greater susceptibility of endophytes to (bio-) fertilizers was associated with increased abundance of the 16S rRNA and acdS genes in plant roots, especially under stress cond"&amp;"itions. These changes in root endophytes, which coincided with an improvement in grain yield and photosynthetic capacity of plants, may be considered as one of the mechanisms by which PGPB affect plants.")</f>
        <v>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v>
      </c>
      <c r="C1179" s="24" t="str">
        <f>IFERROR(__xludf.DUMMYFUNCTION("""COMPUTED_VALUE"""),"10.1007/s00248-021-01856-y")</f>
        <v>10.1007/s00248-021-01856-y</v>
      </c>
      <c r="D1179" s="24" t="str">
        <f>IFERROR(__xludf.DUMMYFUNCTION("""COMPUTED_VALUE"""),"Keck et al")</f>
        <v>Keck et al</v>
      </c>
      <c r="E1179" s="24" t="str">
        <f>IFERROR(__xludf.DUMMYFUNCTION("""COMPUTED_VALUE"""),"WOS:000694569800001")</f>
        <v>WOS:000694569800001</v>
      </c>
      <c r="F1179" s="24" t="str">
        <f>IFERROR(__xludf.DUMMYFUNCTION("""COMPUTED_VALUE"""),"[""ELIGIBLE""]")</f>
        <v>["ELIGIBLE"]</v>
      </c>
    </row>
    <row r="1180">
      <c r="A1180" s="24" t="str">
        <f>IFERROR(__xludf.DUMMYFUNCTION("""COMPUTED_VALUE"""),"Variation of lichen communities with landuse in Aberdeenshire, UK")</f>
        <v>Variation of lichen communities with landuse in Aberdeenshire, UK</v>
      </c>
      <c r="B1180" s="24" t="str">
        <f>IFERROR(__xludf.DUMMYFUNCTION("""COMPUTED_VALUE"""),"The distribution of lichen species in upland regions of Aberdeenshire, Scotland, is investigated along a landuse gradient from natural forest to intensive agriculture. Quantitative data on lichen communities on saxicolous, epiphytic and terricolous substr"&amp;"ata were collected from 16 hectares in one km(2) in each landuse type. Multivariate analyses, NMDS and Cluster analysis were used to identify lichen communities associated with environmental factors including landuse, substratum type and age. The epiphyti"&amp;"c community of native pinewoods was distinguished from all others by the highest species richness, the presence of indicators of ecological continuity and the absence of nitrophytes, while the epiphytic communities of farmland were distinguished by absenc"&amp;"e of acidophytes and a high contribution of nitrophytes. Plantations of conifers were distinguished by low species richness and an increase in tolerant species. Saxicolous communities were frequent on walls in all sites except native pinewood, where saxic"&amp;"olous substrata were rare. Intensively farmed sites were distinguished by an increase in percentage contribution of nitrophytes. The high acidophyte contribution in all sites suggests that crustose species of acid rocks may not respond rapidly to an incre"&amp;"ase in applied nitrogen. In landscapes where tree cover is sparse or non-existent combined assessment of habitat diversity and nitrophyte indicator species can be used to assess changes associated with agricultural intensification.")</f>
        <v>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v>
      </c>
      <c r="C1180" s="24" t="str">
        <f>IFERROR(__xludf.DUMMYFUNCTION("""COMPUTED_VALUE"""),"10.1017/S0024282906006190")</f>
        <v>10.1017/S0024282906006190</v>
      </c>
      <c r="D1180" s="24" t="str">
        <f>IFERROR(__xludf.DUMMYFUNCTION("""COMPUTED_VALUE"""),"Keck et al")</f>
        <v>Keck et al</v>
      </c>
      <c r="E1180" s="24" t="str">
        <f>IFERROR(__xludf.DUMMYFUNCTION("""COMPUTED_VALUE"""),"WOS:000239825900003")</f>
        <v>WOS:000239825900003</v>
      </c>
      <c r="F1180" s="24" t="str">
        <f>IFERROR(__xludf.DUMMYFUNCTION("""COMPUTED_VALUE"""),"[""ELIGIBLE""]")</f>
        <v>["ELIGIBLE"]</v>
      </c>
    </row>
    <row r="1181">
      <c r="A1181" s="24" t="str">
        <f>IFERROR(__xludf.DUMMYFUNCTION("""COMPUTED_VALUE"""),"Impacts of bottom trawling on deep-coral ecosystems of seamounts are long-lasting")</f>
        <v>Impacts of bottom trawling on deep-coral ecosystems of seamounts are long-lasting</v>
      </c>
      <c r="B1181" s="24" t="str">
        <f>IFERROR(__xludf.DUMMYFUNCTION("""COMPUTED_VALUE"""),"Complex biogenic habitats formed by corals are important components of the megabenthos of seamounts, but their fragility makes them susceptible to damage by bottom trawling. Here we examine changes to stony corals and associated megabenthic assemblages on"&amp;" seamounts off Tasmania (Australia) with different histories of bottom-contact trawling by analysing 64 504 video frames (25 seamounts) and 704 high-resolution images (7 seamounts). Trawling had a dramatic impact on the seamount benthos: (1) bottom cover "&amp;"of the matrix-forming stony coral Solenosmilia variabilis was reduced by 2 orders of magnitude; (2) loss of coral habitat translated into 3-fold declines in richness, diversity and density of other megabenthos; and (3) megabenthos assemblage structures di"&amp;"verged widely between trawled and untrawled seamounts. On seamounts where trawling had been reduced to &lt;5% a decade ago and ceased completely 5 yr ago, there was no clear signal of recovery of the megabenthos; communities remained impoverished comprising "&amp;"fewer species at reduced densities. Differences in community structure in the trawled (as compared to the untrawled) seamounts were attributed to resistant species that survived initial impacts, others protected in natural refugia and early colonisers. Lo"&amp;"ng-term persistence of trawling impacts on deep-water corals is consistent with their biological traits (e.g. slow growth rates, fragility) that make them particularly vulnerable. Because recovery on seamounts will be slow, the benefits from fishery closu"&amp;"res may not be immediately recognisable or measureable. Spatial closures are crucial conservation instruments, but will require long-term commitments and expectations of performance whose time frames match the biological tempo in the deep sea.")</f>
        <v>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v>
      </c>
      <c r="C1181" s="24" t="str">
        <f>IFERROR(__xludf.DUMMYFUNCTION("""COMPUTED_VALUE"""),"10.3354/meps08248")</f>
        <v>10.3354/meps08248</v>
      </c>
      <c r="D1181" s="24" t="str">
        <f>IFERROR(__xludf.DUMMYFUNCTION("""COMPUTED_VALUE"""),"Keck et al")</f>
        <v>Keck et al</v>
      </c>
      <c r="E1181" s="24" t="str">
        <f>IFERROR(__xludf.DUMMYFUNCTION("""COMPUTED_VALUE"""),"WOS:000273968400026")</f>
        <v>WOS:000273968400026</v>
      </c>
      <c r="F1181" s="24" t="str">
        <f>IFERROR(__xludf.DUMMYFUNCTION("""COMPUTED_VALUE"""),"[""ELIGIBLE""]")</f>
        <v>["ELIGIBLE"]</v>
      </c>
    </row>
    <row r="1182">
      <c r="A1182" s="24" t="str">
        <f>IFERROR(__xludf.DUMMYFUNCTION("""COMPUTED_VALUE"""),"Rangeland degradation assessment in Kyrgyzstan: vegetation and soils as indicators of grazing pressure in Naryn Oblast")</f>
        <v>Rangeland degradation assessment in Kyrgyzstan: vegetation and soils as indicators of grazing pressure in Naryn Oblast</v>
      </c>
      <c r="B1182" s="24" t="str">
        <f>IFERROR(__xludf.DUMMYFUNCTION("""COMPUTED_VALUE"""),"Rangelands occupy more than 80% of the agricultural land in Kyrgyzstan. At least 30% of Kyrgyz pasture areas are considered to be subject to vegetation and soil degradation. Since animal husbandry is the economic basis to sustain people's livelihoods, ran"&amp;"geland degradation presents a threat for the majority of the population. We present for the first time an ecological assessment of different pasture types in a remote area of the Naryn Oblast, using vegetation and soils as indicators of rangeland conditio"&amp;"ns. We analysed the current degree of utilization (grazing pressure), the amount of biomass, soil samples, and vegetation data, using cluster analysis as well as ordination techniques. Winter pastures (kyshtoo) are characterized by higher pH values (avera"&amp;"ge of 7.27) and lower organic matter contents (average of 12.83%) compared to summer pastures (dzailoo) with average pH values of 6.03 and average organic matter contents of 21.05%. Additionally, summer pastures show higher above-ground biomass, and highe"&amp;"r species richness and diversity. Our results support the hypothesis that winter pastures, which are located near settlements, suffer from over-utilisation, while the more distant summer pastures are subjected to much lower grazing pressure.")</f>
        <v>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v>
      </c>
      <c r="C1182" s="24" t="str">
        <f>IFERROR(__xludf.DUMMYFUNCTION("""COMPUTED_VALUE"""),"10.1007/s11629-016-3915-5")</f>
        <v>10.1007/s11629-016-3915-5</v>
      </c>
      <c r="D1182" s="24" t="str">
        <f>IFERROR(__xludf.DUMMYFUNCTION("""COMPUTED_VALUE"""),"Keck et al")</f>
        <v>Keck et al</v>
      </c>
      <c r="E1182" s="24" t="str">
        <f>IFERROR(__xludf.DUMMYFUNCTION("""COMPUTED_VALUE"""),"WOS:000382748500005")</f>
        <v>WOS:000382748500005</v>
      </c>
      <c r="F1182" s="24" t="str">
        <f>IFERROR(__xludf.DUMMYFUNCTION("""COMPUTED_VALUE"""),"[""ELIGIBLE""]")</f>
        <v>["ELIGIBLE"]</v>
      </c>
    </row>
    <row r="1183">
      <c r="A1183" s="24" t="str">
        <f>IFERROR(__xludf.DUMMYFUNCTION("""COMPUTED_VALUE"""),"Responses of wasp communities to urbanization: effects on community resilience and species diversity")</f>
        <v>Responses of wasp communities to urbanization: effects on community resilience and species diversity</v>
      </c>
      <c r="B1183" s="24" t="str">
        <f>IFERROR(__xludf.DUMMYFUNCTION("""COMPUTED_VALUE"""),"Urbanization is one of the most extreme and rapidly growing anthropogenic pressures on the natural world. It is linked to significant impacts on biodiversity and disruptions to ecological processes in remnant vegetation. We investigated the richness and a"&amp;"bundance of wasps in a highly fragmented urban landscape in Sydney, Australia, comparing assemblages in small urban remnants to edges and interiors of continuous areas of vegetation. We detected no difference in wasp abundance or species richness between "&amp;"remnant types indicating that communities are highly resilient to the effects of urbanization at this scale. However, Chao 2 estimates of predicted species richness indicate that edge sites would support a greater richness and abundance of species compare"&amp;"d to small and interior sites. Although families were represented evenly across the sites, interior and edge sites supported more species within families. Wasp composition was significantly affected by the temporal variation and trap location (arboreal or"&amp;" ground), particularly at the family level demonstrating high species turnover and discrimination in vertical space. These sampling effects and temporal inconsistencies highlight the hazards of relying on one-off snapshot surveys and uncorrected datasets "&amp;"for assessments of diversity and responses to urban landscapes. The strong resilience of wasp communities to urbanization when assessed at coarse scales indicates that responses at finer spatial and taxonomic scales are critical to understanding the maint"&amp;"enance of ecosystem function in highly modified landscapes.")</f>
        <v>Urbanization is one of the most extreme and rapidly growing anthropogenic pressures on the natural world. It is linked to significant impacts on biodiversity and disruptions to ecological processes in remnant vegetation. We investigated the richness and abundance of wasps in a highly fragmented urban landscape in Sydney, Australia, comparing assemblages in small urban remnants to edges and interiors of continuous areas of vegetation. We detected no difference in wasp abundance or species richness between remnant types indicating that communities are highly resilient to the effects of urbanization at this scale. However, Chao 2 estimates of predicted species richness indicate that edge sites would support a greater richness and abundance of species compared to small and interior sites. Although families were represented evenly across the sites, interior and edge sites supported more species within families. Wasp composition was significantly affected by the temporal variation and trap location (arboreal or ground), particularly at the family level demonstrating high species turnover and discrimination in vertical space. These sampling effects and temporal inconsistencies highlight the hazards of relying on one-off snapshot surveys and uncorrected datasets for assessments of diversity and responses to urban landscapes. The strong resilience of wasp communities to urbanization when assessed at coarse scales indicates that responses at finer spatial and taxonomic scales are critical to understanding the maintenance of ecosystem function in highly modified landscapes.</v>
      </c>
      <c r="C1183" s="24" t="str">
        <f>IFERROR(__xludf.DUMMYFUNCTION("""COMPUTED_VALUE"""),"10.1007/s10841-008-9146-5")</f>
        <v>10.1007/s10841-008-9146-5</v>
      </c>
      <c r="D1183" s="24" t="str">
        <f>IFERROR(__xludf.DUMMYFUNCTION("""COMPUTED_VALUE"""),"Keck et al")</f>
        <v>Keck et al</v>
      </c>
      <c r="E1183" s="24" t="str">
        <f>IFERROR(__xludf.DUMMYFUNCTION("""COMPUTED_VALUE"""),"WOS:000263797600009")</f>
        <v>WOS:000263797600009</v>
      </c>
      <c r="F1183" s="24" t="str">
        <f>IFERROR(__xludf.DUMMYFUNCTION("""COMPUTED_VALUE"""),"[""ELIGIBLE""]")</f>
        <v>["ELIGIBLE"]</v>
      </c>
    </row>
    <row r="1184">
      <c r="A1184" s="24" t="str">
        <f>IFERROR(__xludf.DUMMYFUNCTION("""COMPUTED_VALUE"""),"The composition of antibiotic resistance genes is not affected by grazing but is determined by microorganisms in grassland soils")</f>
        <v>The composition of antibiotic resistance genes is not affected by grazing but is determined by microorganisms in grassland soils</v>
      </c>
      <c r="B1184" s="24" t="str">
        <f>IFERROR(__xludf.DUMMYFUNCTION("""COMPUTED_VALUE"""),"Grazing is expected to exert a substantial influence on antibiotic resistance genes (ARGs) in grassland ecosystems. However, the precise effects of grazing on the composition of ARGs in grassland soils remain unclear. This is especially the case for grass"&amp;"land soils subject to long-term grazing. Here, we investigated ARGs and bacterial community composition in soils subject to long-term historic grazing (13-39 years) and corresponding ungrazed samples. Using a combination of shotgun metagenomics, amplicon "&amp;"analyses and associated soil physicochemical data, we provide novel insights regarding the structure of ARGs in grassland soils. Interestingly, our analysis revealed that long-term historic grazing had no impacts on the composition of ARGs in grassland so"&amp;"ils. An average of 378 ARGs, conferring resistance to 14 major categories of antibiotics (80%), were identified in both grazing and ungrazed sites. Actinobacteria, Proteobacteria and Acidobacteria were the most prevalent predicted hosts in these soils and"&amp;" were also shown to harbour genetic capacity for multiple-resistant ARGs. Our results suggested that positive effects of bacterial community composition on ARGs could potentially be controlled by affecting MGEs. Soil properties had direct effects on the c"&amp;"omposition of ARGs through affecting the frequency of horizontal gene transfer among bacteria. Twelve novel ARGs were found in S. grandis steppe grasslands, indicating that different vegetation types might induce shifts in soil ARGs. Collectively, these f"&amp;"indings suggest that soil properties, plants and microorganisms play critical roles in shaping ARG patterns in grasslands. Together, these data establish a solid baseline for understanding environmental antibiotic resistance in grasslands. (C) 2020 Elsevi"&amp;"er B.V. All rights reserved.")</f>
        <v>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v>
      </c>
      <c r="C1184" s="24" t="str">
        <f>IFERROR(__xludf.DUMMYFUNCTION("""COMPUTED_VALUE"""),"10.1016/j.scitotenv.2020.143205")</f>
        <v>10.1016/j.scitotenv.2020.143205</v>
      </c>
      <c r="D1184" s="24" t="str">
        <f>IFERROR(__xludf.DUMMYFUNCTION("""COMPUTED_VALUE"""),"Keck et al")</f>
        <v>Keck et al</v>
      </c>
      <c r="E1184" s="24" t="str">
        <f>IFERROR(__xludf.DUMMYFUNCTION("""COMPUTED_VALUE"""),"WOS:000607780900021")</f>
        <v>WOS:000607780900021</v>
      </c>
      <c r="F1184" s="24" t="str">
        <f>IFERROR(__xludf.DUMMYFUNCTION("""COMPUTED_VALUE"""),"[""ELIGIBLE""]")</f>
        <v>["ELIGIBLE"]</v>
      </c>
    </row>
    <row r="1185">
      <c r="A1185" s="24" t="str">
        <f>IFERROR(__xludf.DUMMYFUNCTION("""COMPUTED_VALUE"""),"N-P fertilization did not reduce AMF abundance or diversity but alter AMF composition in an alpine grassland infested by a root hemiparasitic plant")</f>
        <v>N-P fertilization did not reduce AMF abundance or diversity but alter AMF composition in an alpine grassland infested by a root hemiparasitic plant</v>
      </c>
      <c r="B1185" s="24" t="str">
        <f>IFERROR(__xludf.DUMMYFUNCTION("""COMPUTED_VALUE"""),"Fertilization has been shown to have suppressive effects on arbuscular mycorrhizal fungi (AMF) and root hemiparasites separately in numerous investigations, but its effects on AMF in the presence of root hemiparasites remain untested. In view of the contr"&amp;"asting nutritional effects of AMF and root hemiparasites on host plants, we tested the hypothesis that fertilization may not show strong suppressive effects on AMF when a plant community was infested by abundant hemiparasitic plants. Plants and soil sampl"&amp;"es were collected from experimental field plots in Bayanbulak Grassland, where N and P fertilizers had been applied for three continuous years for control against a spreading root hemiparasite, Pedicularis kansuensis. Shoot and root biomass of each plant "&amp;"functional group were determined. Root AMF colonization levels, soil spore abundance, and extraradical hyphae length density were measured for three soil depths (0-10 cm, 10-20 cm, 20-30 cm). Partial 18S rRNA gene sequencing was used to detect AMF diversi"&amp;"ty and community composition. In addition, we analyzed the relationship between relative abundance of different AMF genera and environmental factors using Spearman's correlation method. In contrast to suppressive effects reported by many previous studies,"&amp;" fertilization showed no significant effects on AMF root colonization or AMF species diversity in the soil. Instead, a marked increase in soil spore abundance and extraradical hyphae length density were observed. However, fertilization altered relative ab"&amp;"undance and AMF composition in the soil. Our results support the hypothesis that fertilization does not significantly influence the abundance and diversity of AMF in a plant community infested by P. kansuensis. Copyright (C) 2018 Kunming Institute of Bota"&amp;"ny, Chinese Academy of Sciences. Publishing services by Elsevier B.V. on behalf of KeAi Communications Co., Ltd.")</f>
        <v>Fertilization has been shown to have suppressive effects on arbuscular mycorrhizal fungi (AMF) and root hemiparasites separately in numerous investigations, but its effects on AMF in the presence of root hemiparasites remain untested. In view of the contrasting nutritional effects of AMF and root hemiparasites on host plants, we tested the hypothesis that fertilization may not show strong suppressive effects on AMF when a plant community was infested by abundant hemiparasitic plants. Plants and soil samples were collected from experimental field plots in Bayanbulak Grassland, where N and P fertilizers had been applied for three continuous years for control against a spreading root hemiparasite, Pedicularis kansuensis. Shoot and root biomass of each plant functional group were determined. Root AMF colonization levels, soil spore abundance, and extraradical hyphae length density were measured for three soil depths (0-10 cm, 10-20 cm, 20-30 cm). Partial 18S rRNA gene sequencing was used to detect AMF diversity and community composition. In addition, we analyzed the relationship between relative abundance of different AMF genera and environmental factors using Spearman's correlation method. In contrast to suppressive effects reported by many previous studies, fertilization showed no significant effects on AMF root colonization or AMF species diversity in the soil. Instead, a marked increase in soil spore abundance and extraradical hyphae length density were observed. However, fertilization altered relative abundance and AMF composition in the soil. Our results support the hypothesis that fertilization does not significantly influence the abundance and diversity of AMF in a plant community infested by P. kansuensis. Copyright (C) 2018 Kunming Institute of Botany, Chinese Academy of Sciences. Publishing services by Elsevier B.V. on behalf of KeAi Communications Co., Ltd.</v>
      </c>
      <c r="C1185" s="24" t="str">
        <f>IFERROR(__xludf.DUMMYFUNCTION("""COMPUTED_VALUE"""),"10.1016/j.pld.2018.05.001")</f>
        <v>10.1016/j.pld.2018.05.001</v>
      </c>
      <c r="D1185" s="24" t="str">
        <f>IFERROR(__xludf.DUMMYFUNCTION("""COMPUTED_VALUE"""),"Keck et al")</f>
        <v>Keck et al</v>
      </c>
      <c r="E1185" s="24" t="str">
        <f>IFERROR(__xludf.DUMMYFUNCTION("""COMPUTED_VALUE"""),"WOS:000438702000004")</f>
        <v>WOS:000438702000004</v>
      </c>
      <c r="F1185" s="24" t="str">
        <f>IFERROR(__xludf.DUMMYFUNCTION("""COMPUTED_VALUE"""),"[""ELIGIBLE""]")</f>
        <v>["ELIGIBLE"]</v>
      </c>
    </row>
    <row r="1186">
      <c r="A1186" s="24" t="str">
        <f>IFERROR(__xludf.DUMMYFUNCTION("""COMPUTED_VALUE"""),"Environmental and vegetation variables have a greater influence than habitat fragmentation in structuring lizard communities in remnant urban bushland")</f>
        <v>Environmental and vegetation variables have a greater influence than habitat fragmentation in structuring lizard communities in remnant urban bushland</v>
      </c>
      <c r="B1186" s="24" t="str">
        <f>IFERROR(__xludf.DUMMYFUNCTION("""COMPUTED_VALUE"""),"The expansion of urban areas and adjacent farming land into natural landscapes modifies habitats and produces small isolated pockets of native vegetation. This fragmentation of the natural habitat subdivides animal communities, reduces population sizes an"&amp;"d increases vulnerability to extinction. In this paper we investigate whether fragmentation decreases lizard species richness, composition, overall abundance and abundance at the species level. Urban remnants consisting of five small (&lt; 10 ha) and four la"&amp;"rge (&gt; 10 ha) fragments of natural bushland were paired with continuous bushland areas located near Hobart, Tasmania, Australia. These remnants were surveyed six times, using pitfall traps, from November 2001 to March 2002. Lizard species richness and abu"&amp;"ndance were not significantly influenced by habitat fragmentation or fragment size. Egernia whitii was the only lizard species significantly influenced by fragment size, and was only present in large fragments and continuous bush. Vegetation type and stru"&amp;"cture as well as environmental variables (geology and aspect) influenced the structure of reptile communities. Lizard species that were able to use a number of different habitat types were found to persist at most sites, irrespective of fragment size. Edg"&amp;"e environment did not significantly influence lizard species richness or abundance in remnant areas. Lizard species richness was significantly lower in sites that had a high ratio of exotic to native plant species. Therefore, if remnants continue to be in"&amp;"vaded by exotic plants, lizard species that require native plant communities will become increasingly vulnerable to local extinction. Our results suggest that lizard species requiring specialized habitats, such as E. whitii, may persist in large urban rem"&amp;"nants rather than small urban remnants because large reserves are more likely to encompass rare habitats, such as rocky outcrops. Habitat heterogeneity, rather than size, may be the key to their persistence.")</f>
        <v>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v>
      </c>
      <c r="C1186" s="24" t="str">
        <f>IFERROR(__xludf.DUMMYFUNCTION("""COMPUTED_VALUE"""),"10.1111/j.1442-9993.2004.01366.x")</f>
        <v>10.1111/j.1442-9993.2004.01366.x</v>
      </c>
      <c r="D1186" s="24" t="str">
        <f>IFERROR(__xludf.DUMMYFUNCTION("""COMPUTED_VALUE"""),"Keck et al")</f>
        <v>Keck et al</v>
      </c>
      <c r="E1186" s="24" t="str">
        <f>IFERROR(__xludf.DUMMYFUNCTION("""COMPUTED_VALUE"""),"WOS:000221667600007")</f>
        <v>WOS:000221667600007</v>
      </c>
      <c r="F1186" s="24" t="str">
        <f>IFERROR(__xludf.DUMMYFUNCTION("""COMPUTED_VALUE"""),"[""ELIGIBLE""]")</f>
        <v>["ELIGIBLE"]</v>
      </c>
    </row>
    <row r="1187">
      <c r="A1187" s="24" t="str">
        <f>IFERROR(__xludf.DUMMYFUNCTION("""COMPUTED_VALUE"""),"Agricultural practices linked to shifts in groundwater microbial structure and denitrifying bacteria")</f>
        <v>Agricultural practices linked to shifts in groundwater microbial structure and denitrifying bacteria</v>
      </c>
      <c r="B1187" s="24" t="str">
        <f>IFERROR(__xludf.DUMMYFUNCTION("""COMPUTED_VALUE"""),"Irrigation enhances the connectivity between the surface and groundwater by facilitating the transport of energy sources and oxygen. When combined with fertilisers, the impact on groundwater microbial communities and their interactions with nitrogen cycli"&amp;"ng in aquifers is poorly understood. This study examines the impact of different landuses (irrigated and non-irrigated) on groundwater microbial communities. A total of 38 wells accessing shallow aquifers in three sub-catchments of the Murray Darling Basi"&amp;"n, Australia, were sampled for water chemistry and microbial community structure using environmental DNA (eDNA) techniques. All sub-catchments showed evidence of intense irrigation and groundwater contamination with total nitrogen, nitrates and phosphorus"&amp;" concentrations often well above background, with total nitrogen concentrations up to 70 mg/L and nitrate concentration up to 18 mg/L. Across sub-catchments there was high microbial diversity, with differences in community structure and function between c"&amp;"atchments and landuses. Of the 1100 operational taxonomic units (OTUs) recorded, 47 OTUs were common across catchments with species from Woesearchaeota, Nitrospirales, Nitrosopumilales and Acidobacter taxonomic groups contributing greatly to groundwater m"&amp;"icrobial communities. Within non-irrigated sites, groundwaters contained similar proportions of nitrifying and denitrifying capable taxa, whereas irrigated sites had significantly higher abundances of microbes with nitrifying rather than denitrifying capa"&amp;"bilities. Microbial diversity was lower in irrigated sites in the Macquarie catchment. These results indicate that irrigated landuses impact microbial community structure and diversity within groundwaters and suggest that the ratios of denitrifying to nit"&amp;"rifying capable microbes as well as specific orders (e.g., Nitrososphaerales) may be useful to indicate long-term nitrogen contamination of groundwaters. Such research is important for understanding the biogeochemical processes that are key predictors of "&amp;"redox state and contamination of groundwater by N species and other compounds. This will help to predict human impacts on groundwater microbial structure, diversity, and ecosystem functions, aiding the long-term management groundwater resources. Crown Cop"&amp;"yright (c) 2021 Published by Elsevier B.V. All rights reserved.")</f>
        <v>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v>
      </c>
      <c r="C1187" s="24" t="str">
        <f>IFERROR(__xludf.DUMMYFUNCTION("""COMPUTED_VALUE"""),"10.1016/j.scitotenv.2021.150870")</f>
        <v>10.1016/j.scitotenv.2021.150870</v>
      </c>
      <c r="D1187" s="24" t="str">
        <f>IFERROR(__xludf.DUMMYFUNCTION("""COMPUTED_VALUE"""),"Keck et al")</f>
        <v>Keck et al</v>
      </c>
      <c r="E1187" s="24" t="str">
        <f>IFERROR(__xludf.DUMMYFUNCTION("""COMPUTED_VALUE"""),"WOS:000711161700004")</f>
        <v>WOS:000711161700004</v>
      </c>
      <c r="F1187" s="24" t="str">
        <f>IFERROR(__xludf.DUMMYFUNCTION("""COMPUTED_VALUE"""),"[""ELIGIBLE""]")</f>
        <v>["ELIGIBLE"]</v>
      </c>
    </row>
    <row r="1188">
      <c r="A1188" s="24" t="str">
        <f>IFERROR(__xludf.DUMMYFUNCTION("""COMPUTED_VALUE"""),"Epiphyte homogenization and de-diversification on alien Eucalyptus versus native Quercus forest in the Colombian Andes: a case study using lirellate Graphidaceae lichens")</f>
        <v>Epiphyte homogenization and de-diversification on alien Eucalyptus versus native Quercus forest in the Colombian Andes: a case study using lirellate Graphidaceae lichens</v>
      </c>
      <c r="B1188" s="24" t="str">
        <f>IFERROR(__xludf.DUMMYFUNCTION("""COMPUTED_VALUE"""),"In many tropical areas, monospecific tree plantations are replacing natural forest. The ecology of these plantations is quite different from that of natural forests, including the diversity and community structure of vascular and cryptogamic epiphytes. Fe"&amp;"w studies have looked at the ecology of guilds of epiphytes in plantations versus natural forest. Here, we investigated epiphytic, lirellate species of the family Graphidaceae, the largest family of tropical lichen fungi, which are widely distributed and "&amp;"abundant in tropical regions. We compared species richness and community structure in a monospecific plantation of the introduced tree species Eucalyptus globulus versus native oak forest dominated by Quercus humboldtii. Overall species richness was subst"&amp;"antially higher in the natural oak forest (41 vs. 14 species, with eight shared between both stands, for a total of 47), whereas species abundance was significantly higher in the gum plantation. While species richness per tree (alpha diversity) was compar"&amp;"able between both stands, average species turnover between trees within each stand (beta diversity) was significantly higher in the natural oak forest, resulting in substantially higher overall species richness (gamma diversity). We conclude that the mono"&amp;"specific gum plantation exhibits both de-diversification (lower overall species richness) and homogenization (more similar communities between trees) of these epiphytic lichen guilds. This is not an effect of phorophyte diversity since in both stands, onl"&amp;"y a single tree species each was considered. Among the lichens identified, we detected six new to the Neotropics and 29 new records for Colombia.")</f>
        <v>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v>
      </c>
      <c r="C1188" s="24" t="str">
        <f>IFERROR(__xludf.DUMMYFUNCTION("""COMPUTED_VALUE"""),"10.1007/s10531-014-0855-7")</f>
        <v>10.1007/s10531-014-0855-7</v>
      </c>
      <c r="D1188" s="24" t="str">
        <f>IFERROR(__xludf.DUMMYFUNCTION("""COMPUTED_VALUE"""),"Keck et al")</f>
        <v>Keck et al</v>
      </c>
      <c r="E1188" s="24" t="str">
        <f>IFERROR(__xludf.DUMMYFUNCTION("""COMPUTED_VALUE"""),"WOS:000353888600013")</f>
        <v>WOS:000353888600013</v>
      </c>
      <c r="F1188" s="24" t="str">
        <f>IFERROR(__xludf.DUMMYFUNCTION("""COMPUTED_VALUE"""),"[""ELIGIBLE""]")</f>
        <v>["ELIGIBLE"]</v>
      </c>
    </row>
    <row r="1189">
      <c r="A1189" s="24" t="str">
        <f>IFERROR(__xludf.DUMMYFUNCTION("""COMPUTED_VALUE"""),"Changes in California Chinook salmon diet over the past 50 years: relevance to the recent population crash")</f>
        <v>Changes in California Chinook salmon diet over the past 50 years: relevance to the recent population crash</v>
      </c>
      <c r="B1189" s="24" t="str">
        <f>IFERROR(__xludf.DUMMYFUNCTION("""COMPUTED_VALUE"""),"Salmon are affected by variation in ocean productivity; thus, improved understanding of mechanisms behind variability in ocean survival should help management of these ecologically and economically important populations. Based on a cooperative fisheries r"&amp;"esearch program, we compared central California Chinook salmon Oncorhynchus tshawytscha adult food habits from spring and summer in the mid-2000s with historical records from 1955 and the 1980s. Diet diversity decreased through time, and was particularly "&amp;"low in May and June of the 2000s. Previously important prey, including juvenile rockfish Sebastes spp., krill Euphausiidae, Pacific herring Clupea pallesi and market squid Doryteuthis opalsecens, declined or disappeared from the diet, while Pacific sardin"&amp;"e Sardinops sagax became very important prey in the 2000s; anchovy Engraulis mordax remained important throughout the study. Diet composition was correlated with regional mid-water trawls of prey abundance and also with local sea surface temperature (SST)"&amp;". Diet composition was related to the Sacramento Index of fall-run Chinook ocean abundance with a lag of 1 or 2 yr, and reflected the importance of prey availability during the second ocean year and smolt ocean-entry period, respectively. Spring is peak o"&amp;"cean entry for fall-run Chinook smolts, so declining prey diversity (specifically in May and June in the mid-2000s) may be related to recent population crashes. Seasonally, winter and fall diet data further demonstrated the sig nificance of temporal varia"&amp;"tion in specific prey. This study highlights the importance of marine predator-prey interactions at an appropriate temporal resolution for understanding salmonid population dynamics.")</f>
        <v>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v>
      </c>
      <c r="C1189" s="24" t="str">
        <f>IFERROR(__xludf.DUMMYFUNCTION("""COMPUTED_VALUE"""),"10.3354/meps10608")</f>
        <v>10.3354/meps10608</v>
      </c>
      <c r="D1189" s="24" t="str">
        <f>IFERROR(__xludf.DUMMYFUNCTION("""COMPUTED_VALUE"""),"Keck et al")</f>
        <v>Keck et al</v>
      </c>
      <c r="E1189" s="24" t="str">
        <f>IFERROR(__xludf.DUMMYFUNCTION("""COMPUTED_VALUE"""),"WOS:000332225300019")</f>
        <v>WOS:000332225300019</v>
      </c>
      <c r="F1189" s="24" t="str">
        <f>IFERROR(__xludf.DUMMYFUNCTION("""COMPUTED_VALUE"""),"[""ELIGIBLE""]")</f>
        <v>["ELIGIBLE"]</v>
      </c>
    </row>
    <row r="1190">
      <c r="A1190" s="24" t="str">
        <f>IFERROR(__xludf.DUMMYFUNCTION("""COMPUTED_VALUE"""),"Distribution and community-level effects of the Chinese mystery snail (Bellamya chinensis) in northern Wisconsin lakes")</f>
        <v>Distribution and community-level effects of the Chinese mystery snail (Bellamya chinensis) in northern Wisconsin lakes</v>
      </c>
      <c r="B1190" s="24" t="str">
        <f>IFERROR(__xludf.DUMMYFUNCTION("""COMPUTED_VALUE"""),"Managing invasive species requires information about their distributions and potential effects, but community-level impacts of invasive animals remain poorly understood. The Chinese mystery snail (Bellamya chinensis) is a large invasive gastropod that ach"&amp;"ieves high densities in waters across North America, yet little is known about its ecological significance in invaded systems. We surveyed 44 lakes to describe the patterns and determinants of B. chinensis distributions in northern Wisconsin, USA, and to "&amp;"assess the likelihood of effects on native snail communities in the invaded systems. B. chinensis was widespread among surveyed lakes (21 of 42 lakes with snails) and its occurrence was correlated with indicators of lake productivity and anthropogenic dis"&amp;"persal vectors (boat landings, distance to population centers, shoreline housing density). Some native snail species tended not to occur at sites where B. chinensis was abundant; among these was Lymnaea stagnalis, which suffered reduced survival in the pr"&amp;"esence of B. chinensis in a recently published mesocosm study. However, there was no difference in overall snail assemblage structure at either the site or lake level as a function of B. chinensis presence or abundance. Lake occurrences of many snail spec"&amp;"ies have apparently been lost over time, but a comparison to a 1930s survey showed that there was no increased likelihood of species loss in lakes invaded by B. chinensis (or by the invasive crayfish Orconectes rusticus). Although B. chinensis is widespre"&amp;"ad and sometimes abundant in northern Wisconsin lakes, it does not appear to have strong systematic impacts on native snail assemblages.")</f>
        <v>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v>
      </c>
      <c r="C1190" s="24" t="str">
        <f>IFERROR(__xludf.DUMMYFUNCTION("""COMPUTED_VALUE"""),"10.1007/s10530-009-9572-7")</f>
        <v>10.1007/s10530-009-9572-7</v>
      </c>
      <c r="D1190" s="24" t="str">
        <f>IFERROR(__xludf.DUMMYFUNCTION("""COMPUTED_VALUE"""),"Keck et al")</f>
        <v>Keck et al</v>
      </c>
      <c r="E1190" s="24" t="str">
        <f>IFERROR(__xludf.DUMMYFUNCTION("""COMPUTED_VALUE"""),"WOS:000277410800017")</f>
        <v>WOS:000277410800017</v>
      </c>
      <c r="F1190" s="24" t="str">
        <f>IFERROR(__xludf.DUMMYFUNCTION("""COMPUTED_VALUE"""),"[""ELIGIBLE""]")</f>
        <v>["ELIGIBLE"]</v>
      </c>
    </row>
    <row r="1191">
      <c r="A1191" s="24" t="str">
        <f>IFERROR(__xludf.DUMMYFUNCTION("""COMPUTED_VALUE"""),"Community variability in aphid parasitoids versus predators in response to agricultural intensification")</f>
        <v>Community variability in aphid parasitoids versus predators in response to agricultural intensification</v>
      </c>
      <c r="B1191" s="24" t="str">
        <f>IFERROR(__xludf.DUMMYFUNCTION("""COMPUTED_VALUE"""),"Agricultural intensification (AI) is a great threat to biodiversity and its negative effects on species richness of different communities have been repeatedly shown. The effects of AI on community composition and variability, however, are important for as"&amp;"sessing the predictability of community responses, but have rarely been studied simultaneously and across different taxonomic groups. In this study, we focused on parasitoids (primary and secondary) and predators (hoverflies and carabid beetles) of aphids"&amp;" in winter wheat fields with contrasting AI regimes (low AI, i.e. organic fields in structurally complex landscapes vs. high AI, i.e. conventional fields in structurally simple landscapes). We found divergence in species composition of more specialised, l"&amp;"ow-dispersing primary and secondary parasitoids within high AI fields, probably due to the disruption of the exchanges of species between local populations in structurally simple landscapes. In contrast, species composition of less specialised, highly dis"&amp;"persing carabid beetles and hoverflies converged in fields with high AI, where they were characterised by the dominance of a single, vagile species adapted to high land-use conditions. Furthermore, temporal community shifts were only pronounced in primary"&amp;" parasitoids and hoverflies, with higher temporal changes in fields with high AI in primary parasitoids. Collectively, our results illustrate that environmental homogenisation due to AI does not necessarily induce spatio-temporal homogenisation of communi"&amp;"ties, but rather can have contrasting effects on more specialised, low-dispersive parasitoids versus more generalised, high-dispersive predators, thereby demonstrating great differences in the predictability of responses to AI among aphid natural enemies.")</f>
        <v>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v>
      </c>
      <c r="C1191" s="24" t="str">
        <f>IFERROR(__xludf.DUMMYFUNCTION("""COMPUTED_VALUE"""),"10.1111/icad.12037")</f>
        <v>10.1111/icad.12037</v>
      </c>
      <c r="D1191" s="24" t="str">
        <f>IFERROR(__xludf.DUMMYFUNCTION("""COMPUTED_VALUE"""),"Keck et al")</f>
        <v>Keck et al</v>
      </c>
      <c r="E1191" s="24" t="str">
        <f>IFERROR(__xludf.DUMMYFUNCTION("""COMPUTED_VALUE"""),"WOS:000332761900001")</f>
        <v>WOS:000332761900001</v>
      </c>
      <c r="F1191" s="24" t="str">
        <f>IFERROR(__xludf.DUMMYFUNCTION("""COMPUTED_VALUE"""),"[""ELIGIBLE""]")</f>
        <v>["ELIGIBLE"]</v>
      </c>
    </row>
    <row r="1192">
      <c r="A1192" s="24" t="str">
        <f>IFERROR(__xludf.DUMMYFUNCTION("""COMPUTED_VALUE"""),"The influence of a shrub-based intercropping system on the soil nematofauna when growing millet in Senegal")</f>
        <v>The influence of a shrub-based intercropping system on the soil nematofauna when growing millet in Senegal</v>
      </c>
      <c r="B1192" s="24" t="str">
        <f>IFERROR(__xludf.DUMMYFUNCTION("""COMPUTED_VALUE"""),"Woody shrubs commonly co-exist with annual food crops in farmers' fields throughout the Sahel. Management strategies that deliberately include the native shrub Piliostigma reticulatum in Senegalese cropping systems result in soil functioning enhancement t"&amp;"hat benefits to the associated cereal. The objective of this work was to evaluate shrub effect on soil nematode communities. Soil samples were collected from an experimental design where pearl millet (Pennisetum glaucum) was cultivated alone or with P. re"&amp;"ticulatum stands and mulch. Soil nematofauna characteristics were determined and compared with results from soil under pure shrub stands and from bare soil. The analysis of soil nematofauna, characterized by the abundance of different trophic groups and r"&amp;"elated indices (MI, maturity index; El and SI, enrichment and structure indices), allowed discrimination between treatments with or without shrub presence. The soil nematode community in millet cultivation was dominated by plant feeding nematodes, mainly "&amp;"from the Hoplolaimidae family, but their abundance decreased when P. reticulatum was associated to the cereal. The shrub also impacted other nematode trophic groups. The abundance of opportunistic bacterial feeders (mainly Cephalobidae) was increased in s"&amp;"hrub treatments. Further research should explore consequences on cereal nutrition and nematicidal properties of P. reticulatum. (C) 2013 Elsevier Masson SAS. All rights reserved.")</f>
        <v>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El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(C) 2013 Elsevier Masson SAS. All rights reserved.</v>
      </c>
      <c r="C1192" s="24" t="str">
        <f>IFERROR(__xludf.DUMMYFUNCTION("""COMPUTED_VALUE"""),"10.1016/j.ejsobi.2013.04.003")</f>
        <v>10.1016/j.ejsobi.2013.04.003</v>
      </c>
      <c r="D1192" s="24" t="str">
        <f>IFERROR(__xludf.DUMMYFUNCTION("""COMPUTED_VALUE"""),"Keck et al")</f>
        <v>Keck et al</v>
      </c>
      <c r="E1192" s="24" t="str">
        <f>IFERROR(__xludf.DUMMYFUNCTION("""COMPUTED_VALUE"""),"WOS:000320824400006")</f>
        <v>WOS:000320824400006</v>
      </c>
      <c r="F1192" s="24" t="str">
        <f>IFERROR(__xludf.DUMMYFUNCTION("""COMPUTED_VALUE"""),"[""ELIGIBLE""]")</f>
        <v>["ELIGIBLE"]</v>
      </c>
    </row>
    <row r="1193">
      <c r="A1193" s="24" t="str">
        <f>IFERROR(__xludf.DUMMYFUNCTION("""COMPUTED_VALUE"""),"Grassland invertebrate assemblages in managed landscapes: Effect of host plant and microhabitat architecture")</f>
        <v>Grassland invertebrate assemblages in managed landscapes: Effect of host plant and microhabitat architecture</v>
      </c>
      <c r="B1193" s="24" t="str">
        <f>IFERROR(__xludf.DUMMYFUNCTION("""COMPUTED_VALUE"""),"Grasslands are often considered as two-dimensional habitats rather than complex, multilayered habitats. However, native grasslands are complex habitats, with multiple layers of annual and perennial grasses, sedges, shrubs and mosses. Vegetation complexity"&amp;", including plant type, quality and three-dimensional structure is important for providing a variety of food and habitat resources for insects. Grazing by domestic livestock can affect these processes through the loss or fragmentation of habitats, as well"&amp;" as altering the vertical and horizontal vegetation structure. This study aimed to investigate the role of host plants and microhabitat architecture for determining foliage invertebrate assemblages. Different plant species supported distinct invertebrate "&amp;"assemblages and less complex host plants supported fewer invertebrate individuals and species. Manipulations of plant architecture changed the species composition of invertebrates, with most species found in more complex vegetation. This study illustrates"&amp;" the importance of host diversity and pasture complexity for invertebrate communities. Management practices that encourage a heterogeneous environment with diverse and structurally complex pastures should also sustain a more diverse and functional inverte"&amp;"brate assemblage.")</f>
        <v>Grasslands are often considered as two-dimensional habitats rather than complex, multilayered habitats. However, native grasslands are complex habitats, with multiple layers of annual and perennial grasses, sedges, shrubs and mosses. Vegetation complexity, including plant type, quality and three-dimensional structure is important for providing a variety of food and habitat resources for insects. Grazing by domestic livestock can affect these processes through the loss or fragmentation of habitats, as well as altering the vertical and horizontal vegetation structure. This study aimed to investigate the role of host plants and microhabitat architecture for determining foliage invertebrate assemblages. Different plant species supported distinct invertebrate assemblages and less complex host plants supported fewer invertebrate individuals and species. Manipulations of plant architecture changed the species composition of invertebrates, with most species found in more complex vegetation. This study illustrates the importance of host diversity and pasture complexity for invertebrate communities. Management practices that encourage a heterogeneous environment with diverse and structurally complex pastures should also sustain a more diverse and functional invertebrate assemblage.</v>
      </c>
      <c r="C1193" s="24" t="str">
        <f>IFERROR(__xludf.DUMMYFUNCTION("""COMPUTED_VALUE"""),"10.1111/j.1442-9993.2007.01767.x")</f>
        <v>10.1111/j.1442-9993.2007.01767.x</v>
      </c>
      <c r="D1193" s="24" t="str">
        <f>IFERROR(__xludf.DUMMYFUNCTION("""COMPUTED_VALUE"""),"Keck et al")</f>
        <v>Keck et al</v>
      </c>
      <c r="E1193" s="24" t="str">
        <f>IFERROR(__xludf.DUMMYFUNCTION("""COMPUTED_VALUE"""),"WOS:000248599300012")</f>
        <v>WOS:000248599300012</v>
      </c>
      <c r="F1193" s="24" t="str">
        <f>IFERROR(__xludf.DUMMYFUNCTION("""COMPUTED_VALUE"""),"[""ELIGIBLE""]")</f>
        <v>["ELIGIBLE"]</v>
      </c>
    </row>
    <row r="1194">
      <c r="A1194" s="24" t="str">
        <f>IFERROR(__xludf.DUMMYFUNCTION("""COMPUTED_VALUE"""),"Re-forestation restores native dominance in an island beetle fauna")</f>
        <v>Re-forestation restores native dominance in an island beetle fauna</v>
      </c>
      <c r="B1194" s="24" t="str">
        <f>IFERROR(__xludf.DUMMYFUNCTION("""COMPUTED_VALUE"""),"Native re-forestation is a widely used restoration tool, typically undertaken with the expectation that planting native trees will initiate succession processes (including the re-establishment of native fauna) that will eventually return the ecosystem to "&amp;"a native-dominated state. Invertebrate groups can be used to assess restoration progress, as their life history traits enable them to respond more rapidly to environmental change than many other organisms. In this study, we assessed beetle responses to re"&amp;"-forestation. Using two trapping methods (flight intercept traps and pitfall traps), we compared beetle assemblages in exotic pasture (pre-restoration state), &lt;10-year-old planted native forest (restoration intervention) and approximately 40-year-old unma"&amp;"naged regenerating native forest (reference state). Analysis of the flight intercept-trapped beetles suggests that re-forestation has initiated a transition from an exotic-dominated pasture fauna toward a native-dominated fauna: in planted forests, 75% of"&amp;" all flight-intercept-trapped beetles were native (compared with 22% in pasture and 87% in unmanaged forest). Flight intercept-trapped beetles also had higher native diversity and abundance in both forest types than in pasture. Pitfall-trapped beetle spec"&amp;"ies were predominantly native in both forest types, but there were few statistically significant differences between the forests and pasture in the pit-fall trap data set. Both trapping methods detected significant compositional differences between the be"&amp;"etle assemblages in planted forest and unmanaged forest. Replanting native forest has increased native beetle diversity, abundance, and dominance (compared with the pre-restoration state), but convergence with the unmanaged reference forest has not yet be"&amp;"en achieved.")</f>
        <v>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v>
      </c>
      <c r="C1194" s="24" t="str">
        <f>IFERROR(__xludf.DUMMYFUNCTION("""COMPUTED_VALUE"""),"10.1111/rec.12176")</f>
        <v>10.1111/rec.12176</v>
      </c>
      <c r="D1194" s="24" t="str">
        <f>IFERROR(__xludf.DUMMYFUNCTION("""COMPUTED_VALUE"""),"Keck et al")</f>
        <v>Keck et al</v>
      </c>
      <c r="E1194" s="24" t="str">
        <f>IFERROR(__xludf.DUMMYFUNCTION("""COMPUTED_VALUE"""),"WOS:000358129000009")</f>
        <v>WOS:000358129000009</v>
      </c>
      <c r="F1194" s="24" t="str">
        <f>IFERROR(__xludf.DUMMYFUNCTION("""COMPUTED_VALUE"""),"[""ELIGIBLE""]")</f>
        <v>["ELIGIBLE"]</v>
      </c>
    </row>
    <row r="1195">
      <c r="A1195" s="24" t="str">
        <f>IFERROR(__xludf.DUMMYFUNCTION("""COMPUTED_VALUE"""),"Ecological assessment of groundwater ecosystems disturbed by recharge systems using organic matter quality, biofilm characteristics, and bacterial diversity")</f>
        <v>Ecological assessment of groundwater ecosystems disturbed by recharge systems using organic matter quality, biofilm characteristics, and bacterial diversity</v>
      </c>
      <c r="B1195" s="24" t="str">
        <f>IFERROR(__xludf.DUMMYFUNCTION("""COMPUTED_VALUE"""),"Recharge of aquifers by urban stormwater may trigger significant ecological changes that can be detrimental to the biodiversity and functioning of groundwater ecosystems. Here, the effects of aquifer recharge (AR) on three levels of parameters were invest"&amp;"igated: dissolved organic carbon (DOC) quantity and quality, global biofilm characteristics, and diversity changes of bacterial communities. As DOC enrichment by AR can be mitigated by vadose zone (VZ) thickness, three AR sites with thin VZ (&lt; 3 m) and th"&amp;"ree sites with thick VZ (&gt; 10 m) were selected. For each AR site, clay beads were incubated over a 10-day-long rainy period through wells in recharged and non-recharged groundwaters. Total proteins, dehydrogenase, and hydrolytic activities were monitored "&amp;"from clay beads to assess biofilm development. Bacterial richness on beads was estimated by 16S rRNA-based metabarcoding. AR was found to significantly increase DOC and biodegradable DOC (BDOC) concentrations, biofilm development, and bacterial richness e"&amp;"specially in sites with thin VZ. VZ thickness was inversely related to microbial growth indicators and bacterial richness in groundwater, through a control of DOC availability. The proportion of Bacteroidetes 16S rRNA gene reads was higher in recharged gr"&amp;"oundwater than in non-recharged groundwater, suggesting that this phylum could be used as an indicator of DOC enrichment associated with AR. Quantitative PCR assays for Bacteroides DNA confirmed these trends and showed an enrichment of this bacterial grou"&amp;"p in DOC-rich aquifer waters. The positive linear relationships between BDOC concentrations and biofilm variables highlighted a strong C-limitation of groundwater impacting bacterial species sorting and activity.")</f>
        <v>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v>
      </c>
      <c r="C1195" s="24" t="str">
        <f>IFERROR(__xludf.DUMMYFUNCTION("""COMPUTED_VALUE"""),"10.1007/s11356-019-06971-5")</f>
        <v>10.1007/s11356-019-06971-5</v>
      </c>
      <c r="D1195" s="24" t="str">
        <f>IFERROR(__xludf.DUMMYFUNCTION("""COMPUTED_VALUE"""),"Keck et al")</f>
        <v>Keck et al</v>
      </c>
      <c r="E1195" s="24" t="str">
        <f>IFERROR(__xludf.DUMMYFUNCTION("""COMPUTED_VALUE"""),"WOS:000514849100067")</f>
        <v>WOS:000514849100067</v>
      </c>
      <c r="F1195" s="24" t="str">
        <f>IFERROR(__xludf.DUMMYFUNCTION("""COMPUTED_VALUE"""),"[""ELIGIBLE""]")</f>
        <v>["ELIGIBLE"]</v>
      </c>
    </row>
    <row r="1196">
      <c r="A1196" s="24" t="str">
        <f>IFERROR(__xludf.DUMMYFUNCTION("""COMPUTED_VALUE"""),"Zinc concentration affects the functional groups of microbial communities in sugarcane-cultivated soil")</f>
        <v>Zinc concentration affects the functional groups of microbial communities in sugarcane-cultivated soil</v>
      </c>
      <c r="B1196" s="24" t="str">
        <f>IFERROR(__xludf.DUMMYFUNCTION("""COMPUTED_VALUE"""),"The addition of zinc (Zn) to the soil has significant gains in sugarcane productivity. The understanding of the consequences of zinc application requires insight into ecological aspects of changes in soil microbial communities. Here, we evaluated the effe"&amp;"cts of zinc application on richness, diversity, evenness and structure of microbial functional genes in sugarcane-cultivated soil, and response thresholds of abundance for groups of microbial functional genes on different zinc concentrations added to the "&amp;"soil (0, 5,10 and 20 kg Zn ha(-1)) in two sugarcane fields in the Northeastern sac. Paulo state, Brazil. Using a high density functional gene array termed GeoChip 5.0, which contains 101,796 distinct probes belonging to gene categories involved in zinc tr"&amp;"ansport, secondary metabolism, stress, virulence and nutrient cycling, differences were observed in the functional gene structure of microbial communities and abundance of specific gene families with a threshold between 5 and 10 kg Zn ha(-1). However, the"&amp;" richness, diversity and evenness of functional genes did not differ across the zinc gradients in soil. Cluster analysis based on microbial functional subcategories revealed variation in abundances across the gradient of zinc concentrations in soil mainly"&amp;" for virulence, stress, secondary metabolism, and carbon- and phosphorus-cycling-related gene families. A threshold in abundance was observed between 5 and 10 kg Zn ha(-1) with high abundance of microbial gene families associated with zinc transporter pro"&amp;"teins, antioxidant enzymes, exoenzymes associated with infection, secretion proteins, virulence regulatory genes, carbon fixation, and phosphorus utilization in soils supplemented with up to 5 kg Zn ha(-1). In these same soils, reduced abundance was obser"&amp;"ved for gene families associated with methanogenesis, metabolism of halogen and carotenoid, and antiphagocytosis compared with soil supplements with 10 or 20 kg Zn ha(-1). The results suggest that changes in microbial functional gene structure and abundan"&amp;"ce could be used to evaluate the impact of soil management practices on soil microbial communities in sugarcane production fields. (C) 2016 Elsevier B.V. All rights reserved.")</f>
        <v>The addition of zinc (Zn) to the soil has significant gains in sugarcane productivity. The understanding of the consequences of zinc application requires insight into ecological aspects of changes in soil microbial communities. Here, we evaluated the effects of zinc application on richness, diversity, evenness and structure of microbial functional genes in sugarcane-cultivated soil, and response thresholds of abundance for groups of microbial functional genes on different zinc concentrations added to the soil (0, 5,10 and 20 kg Zn ha(-1)) in two sugarcane fields in the Northeastern sac. Paulo state, Brazil. Using a high density functional gene array termed GeoChip 5.0, which contains 101,796 distinct probes belonging to gene categories involved in zinc transport, secondary metabolism, stress, virulence and nutrient cycling, differences were observed in the functional gene structure of microbial communities and abundance of specific gene families with a threshold between 5 and 10 kg Zn ha(-1). However, the richness, diversity and evenness of functional genes did not differ across the zinc gradients in soil. Cluster analysis based on microbial functional subcategories revealed variation in abundances across the gradient of zinc concentrations in soil mainly for virulence, stress, secondary metabolism, and carbon- and phosphorus-cycling-related gene families. A threshold in abundance was observed between 5 and 10 kg Zn ha(-1) with high abundance of microbial gene families associated with zinc transporter proteins, antioxidant enzymes, exoenzymes associated with infection, secretion proteins, virulence regulatory genes, carbon fixation, and phosphorus utilization in soils supplemented with up to 5 kg Zn ha(-1). In these same soils, reduced abundance was observed for gene families associated with methanogenesis, metabolism of halogen and carotenoid, and antiphagocytosis compared with soil supplements with 10 or 20 kg Zn ha(-1). The results suggest that changes in microbial functional gene structure and abundance could be used to evaluate the impact of soil management practices on soil microbial communities in sugarcane production fields. (C) 2016 Elsevier B.V. All rights reserved.</v>
      </c>
      <c r="C1196" s="24" t="str">
        <f>IFERROR(__xludf.DUMMYFUNCTION("""COMPUTED_VALUE"""),"10.1016/j.agee.2016.12.009")</f>
        <v>10.1016/j.agee.2016.12.009</v>
      </c>
      <c r="D1196" s="24" t="str">
        <f>IFERROR(__xludf.DUMMYFUNCTION("""COMPUTED_VALUE"""),"Keck et al")</f>
        <v>Keck et al</v>
      </c>
      <c r="E1196" s="24" t="str">
        <f>IFERROR(__xludf.DUMMYFUNCTION("""COMPUTED_VALUE"""),"WOS:000392886700019")</f>
        <v>WOS:000392886700019</v>
      </c>
      <c r="F1196" s="24" t="str">
        <f>IFERROR(__xludf.DUMMYFUNCTION("""COMPUTED_VALUE"""),"[""ELIGIBLE""]")</f>
        <v>["ELIGIBLE"]</v>
      </c>
    </row>
    <row r="1197">
      <c r="A1197" s="24" t="str">
        <f>IFERROR(__xludf.DUMMYFUNCTION("""COMPUTED_VALUE"""),"Functional traits predict resident plant response to Reynoutria japonica invasion in riparian and fallow communities in southern Poland")</f>
        <v>Functional traits predict resident plant response to Reynoutria japonica invasion in riparian and fallow communities in southern Poland</v>
      </c>
      <c r="B1197" s="24" t="str">
        <f>IFERROR(__xludf.DUMMYFUNCTION("""COMPUTED_VALUE"""),"Reynoutria japonica is one of the most harmful invasive species in the world, dramatically reducing the diversity of resident vegetation. To mitigate the impact of R. japonica on ecosystems and properly manage affected areas, understanding the mechanisms "&amp;"behind this plant's invasive success is imperative. This study aimed to comprehensively analyse plant communities invaded by R. japonica, taking into account species traits, habitat conditions and seasonal variability, and to determine the ecological prof"&amp;"ile of species that withstand the invader's pressure. The study was performed in fallow and riparian areas in southern Poland. Pairs of adjacent plots were established at 25 sites with no obvious signs of recent human disturbance. One plot contained R. ja"&amp;"ponica, and the other contained only resident vegetation. For each plot, botanical data were collected and soil physicochemical properties were determined. Twelve sites were surveyed four times, in two springs and two summers, to capture seasonal variabil"&amp;"ity. The presence of R. japonica was strongly associated with reduced resident plant species diversity and/or abundance. In addition to the ability to quickly grow and form a dense canopy that shades the ground, the success of the invader likely resulted "&amp;"from the production of large amounts of hard-to-decompose litter. The indirect impact of R. japonica by controlling the availability of nutrients in the soil might also play a role. A few species coexisted with R. japonica. They can be classified into thr"&amp;"ee groups: (i) spring ephemerals - geophytic forbs with a mixed life history strategy, (ii) lianas with a competitive strategy and (iii) hemicryptophytic forbs with a competitive strategy. Species from the first two groups likely avoided competition for l"&amp;"ight by temporal or spatial niche separation (they grew earlier than or above the invasive plant), whereas the high competitive abilities of species from the third group likely enabled them to survive in R. japonica patches.")</f>
        <v>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v>
      </c>
      <c r="C1197" s="24" t="str">
        <f>IFERROR(__xludf.DUMMYFUNCTION("""COMPUTED_VALUE"""),"10.1093/aobpla/plab035")</f>
        <v>10.1093/aobpla/plab035</v>
      </c>
      <c r="D1197" s="24" t="str">
        <f>IFERROR(__xludf.DUMMYFUNCTION("""COMPUTED_VALUE"""),"Keck et al")</f>
        <v>Keck et al</v>
      </c>
      <c r="E1197" s="24" t="str">
        <f>IFERROR(__xludf.DUMMYFUNCTION("""COMPUTED_VALUE"""),"WOS:000674254300001")</f>
        <v>WOS:000674254300001</v>
      </c>
      <c r="F1197" s="24" t="str">
        <f>IFERROR(__xludf.DUMMYFUNCTION("""COMPUTED_VALUE"""),"[""ELIGIBLE""]")</f>
        <v>["ELIGIBLE"]</v>
      </c>
    </row>
    <row r="1198">
      <c r="A1198" s="24" t="str">
        <f>IFERROR(__xludf.DUMMYFUNCTION("""COMPUTED_VALUE"""),"Benthic freshwater nematode community dynamics under conditions of Tilapia aquaculture in Egypt")</f>
        <v>Benthic freshwater nematode community dynamics under conditions of Tilapia aquaculture in Egypt</v>
      </c>
      <c r="B1198" s="24" t="str">
        <f>IFERROR(__xludf.DUMMYFUNCTION("""COMPUTED_VALUE"""),"Studies of the influence of fish aquaculture on benthic freshwater nematode assemblages are scarce, but could provide a way of gauging environmental effects. The abundance and diversity of nematode assemblages in response to Oreochromis niloticus aquacult"&amp;"ure were investigated in Kafr El-Sheikh Governorate, Egypt, from July to November 2014 under conditions of irrigation (reference), fish farm pond with high Tilapia density, and fish farm pond effluent canal without fish. The nematode genera Adoncholaimus,"&amp;" Punctodora, Labronema, Oncholaimus and Odontolaimus were present at all sites. Environmental factors were not related to nematode distribution patterns. Tilapia predation and/or disturbance may explain reduced nematode abundance, especially of the larges"&amp;"t genera, Adoncholaimus, Punctodora and Labronema at the fish farm site. The absence of fish from the drainage site allowed intergeneric nematode competitive exclusion, benefitting the largest nematodes and reducing diversity indices.")</f>
        <v>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v>
      </c>
      <c r="C1198" s="24" t="str">
        <f>IFERROR(__xludf.DUMMYFUNCTION("""COMPUTED_VALUE"""),"10.2989/16085914.2017.1410464")</f>
        <v>10.2989/16085914.2017.1410464</v>
      </c>
      <c r="D1198" s="24" t="str">
        <f>IFERROR(__xludf.DUMMYFUNCTION("""COMPUTED_VALUE"""),"Keck et al")</f>
        <v>Keck et al</v>
      </c>
      <c r="E1198" s="24" t="str">
        <f>IFERROR(__xludf.DUMMYFUNCTION("""COMPUTED_VALUE"""),"WOS:000419304300009")</f>
        <v>WOS:000419304300009</v>
      </c>
      <c r="F1198" s="24" t="str">
        <f>IFERROR(__xludf.DUMMYFUNCTION("""COMPUTED_VALUE"""),"[""ELIGIBLE""]")</f>
        <v>["ELIGIBLE"]</v>
      </c>
    </row>
    <row r="1199">
      <c r="A1199" s="24" t="str">
        <f>IFERROR(__xludf.DUMMYFUNCTION("""COMPUTED_VALUE"""),"Deforestation homogenizes tropical parasitoid-host networks")</f>
        <v>Deforestation homogenizes tropical parasitoid-host networks</v>
      </c>
      <c r="B1199" s="24" t="str">
        <f>IFERROR(__xludf.DUMMYFUNCTION("""COMPUTED_VALUE"""),"Human activities drive biotic homogenization (loss of regional diversity) of many taxa. However, whether species interaction networks (e.g., food webs) can also become homogenized remains largely unexplored. Using 48 quantitative parasitoid-host networks "&amp;"replicated through space and time across five tropical habitats, we show that deforestation greatly homogenized network structure at a regional level, such that interaction composition became more similar across rice and pasture sites compared with forest"&amp;"ed habitats. This was not simply caused by altered consumer and resource community composition, but was associated with altered consumer foraging success, such that parasitoids were more likely to locate their hosts in deforested habitats. Furthermore, de"&amp;"forestation indirectly homogenized networks in time through altered mean consumer and prey body size, which decreased in deforested habitats. Similar patterns were obtained with binary networks, suggesting that interaction (link) presence-absence data may"&amp;" be sufficient to detect network homogenization effects. Our results show that tropical agroforestry systems can support regionally diverse parasitoid-host networks, but that removal of canopy cover greatly homogenizes the structure of these networks in s"&amp;"pace, and to a lesser degree in time. Spatiotemporal homogenization of interaction networks may alter coevolutionary outcomes and reduce ecological resilience at regional scales, but may not necessarily be predictable from community changes observed withi"&amp;"n individual trophic levels.")</f>
        <v>Human activities drive biotic homogenization (loss of regional diversity) of many taxa. However, whether species interaction networks (e.g., food webs) can also become homogenized remains largely unexplored. Using 48 quantitative parasitoid-host networks replicated through space and time across five tropical habitats, we show that deforestation greatly homogenized network structure at a regional level, such that interaction composition became more similar across rice and pasture sites compared with forested habitats. This was not simply caused by altered consumer and resource community composition, but was associated with altered consumer foraging success, such that parasitoids were more likely to locate their hosts in deforested habitats. Furthermore, deforestation indirectly homogenized networks in time through altered mean consumer and prey body size, which decreased in deforested habitats. Similar patterns were obtained with binary networks, suggesting that interaction (link) presence-absence data may be sufficient to detect network homogenization effects. Our results show that tropical agroforestry systems can support regionally diverse parasitoid-host networks, but that removal of canopy cover greatly homogenizes the structure of these networks in space, and to a lesser degree in time. Spatiotemporal homogenization of interaction networks may alter coevolutionary outcomes and reduce ecological resilience at regional scales, but may not necessarily be predictable from community changes observed within individual trophic levels.</v>
      </c>
      <c r="C1199" s="24" t="str">
        <f>IFERROR(__xludf.DUMMYFUNCTION("""COMPUTED_VALUE"""),"10.1890/09-1328.1")</f>
        <v>10.1890/09-1328.1</v>
      </c>
      <c r="D1199" s="24" t="str">
        <f>IFERROR(__xludf.DUMMYFUNCTION("""COMPUTED_VALUE"""),"Keck et al")</f>
        <v>Keck et al</v>
      </c>
      <c r="E1199" s="24" t="str">
        <f>IFERROR(__xludf.DUMMYFUNCTION("""COMPUTED_VALUE"""),"WOS:000278859700019")</f>
        <v>WOS:000278859700019</v>
      </c>
      <c r="F1199" s="24" t="str">
        <f>IFERROR(__xludf.DUMMYFUNCTION("""COMPUTED_VALUE"""),"[""ELIGIBLE""]")</f>
        <v>["ELIGIBLE"]</v>
      </c>
    </row>
    <row r="1200">
      <c r="A1200" s="24" t="str">
        <f>IFERROR(__xludf.DUMMYFUNCTION("""COMPUTED_VALUE"""),"Land use affects lowland stream ecosystems through dissolved oxygen regimes")</f>
        <v>Land use affects lowland stream ecosystems through dissolved oxygen regimes</v>
      </c>
      <c r="B1200" s="24" t="str">
        <f>IFERROR(__xludf.DUMMYFUNCTION("""COMPUTED_VALUE"""),"The aim of the present study was to assess the impact of surrounding land use on the structure and functioning of lowland stream ecosystems. To this end, five different land use types were selected (forest, extensive grassland, intensive grassland, cropla"&amp;"nd and wastewater treatment plant) each represented by four replicate streams, in which diel dissolved oxygen concentrations were recorded, sediment and water quality parameters were measured and macroinvertebrate community composition was determined. Chi"&amp;"ronomus sp., Oligochaeta and Gastropoda dominated the cropland and wastewater treatment plant (WWTP) streams, while Plecoptera and most Trichoptera only occurred in forest and extensive grassland streams. Forest streams communities were related to a high "&amp;"oxygen saturation, a high C/N ratio in the sediment and woody debris and coarse particulate organic matter (CPOM) substrate cover. Macroinvertebrate communities in cropland and WWTP streams were related to a low oxygen saturation in water and sediment and"&amp;" high concentrations of dissolved nitrogen, phosphorus and carbon. It is concluded that land use specific impacts on lowland streams are likely exerted via fine sediment accumulation in deposition zones, affecting oxygen regimes, sediment oxygen demand an"&amp;"d stream metabolism, ultimately changing macroinvertebrate community composition. This study supports therefore the importance of including the catchment scale in ecological stream quality assessments, combining structural and functional endpoints.")</f>
        <v>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v>
      </c>
      <c r="C1200" s="24" t="str">
        <f>IFERROR(__xludf.DUMMYFUNCTION("""COMPUTED_VALUE"""),"10.1038/s41598-019-56046-1")</f>
        <v>10.1038/s41598-019-56046-1</v>
      </c>
      <c r="D1200" s="24" t="str">
        <f>IFERROR(__xludf.DUMMYFUNCTION("""COMPUTED_VALUE"""),"Keck et al")</f>
        <v>Keck et al</v>
      </c>
      <c r="E1200" s="24" t="str">
        <f>IFERROR(__xludf.DUMMYFUNCTION("""COMPUTED_VALUE"""),"WOS:000508903300022")</f>
        <v>WOS:000508903300022</v>
      </c>
      <c r="F1200" s="24" t="str">
        <f>IFERROR(__xludf.DUMMYFUNCTION("""COMPUTED_VALUE"""),"[""ELIGIBLE""]")</f>
        <v>["ELIGIBLE"]</v>
      </c>
    </row>
    <row r="1201">
      <c r="A1201" s="24" t="str">
        <f>IFERROR(__xludf.DUMMYFUNCTION("""COMPUTED_VALUE"""),"Effects of Forest Management Practices in Temperate Beech Forests on Bacterial and Fungal Communities Involved in Leaf Litter Degradation")</f>
        <v>Effects of Forest Management Practices in Temperate Beech Forests on Bacterial and Fungal Communities Involved in Leaf Litter Degradation</v>
      </c>
      <c r="B1201" s="24" t="str">
        <f>IFERROR(__xludf.DUMMYFUNCTION("""COMPUTED_VALUE"""),"Forest management practices (FMPs) significantly influence important ecological processes and services in Central European forests, such as leaf litter decomposition and nutrient cycling. Changes in leaf litter diversity, and thus, its quality as well as "&amp;"microbial community structure and function induced by different FMPs were hypothesized to be the main drivers causing shifts in decomposition rates and nutrient release in managed forests. In a litterbag experiment lasting 473 days, we aimed to investigat"&amp;"e the effects of FMPs (even-aged timber management, selective logging and unmanaged) on bacterial and fungal communities involved in leaf litter degradation over time. Our results showed that microbial communities in leaf litter were strongly influenced b"&amp;"y both FMPs and sampling date. The results from nonmetric multidimensional scaling (NMDS) ordination revealed distinct patterns of bacterial and fungal successions over time in leaf litter. We demonstrated that FMPs and sampling dates can influence a rang"&amp;"e of factors, including leaf litter quality, microbial macronutrients, and pH, which significantly correlate with microbial community successions.")</f>
        <v>Forest management practices (FMPs) significantly influence important ecological processes and services in Central European forests, such as leaf litter decomposition and nutrient cycling. Changes in leaf litter diversity, and thus, its quality as well as microbial community structure and function induced by different FMPs were hypothesized to be the main drivers causing shifts in decomposition rates and nutrient release in managed forests. In a litterbag experiment lasting 473 days, we aimed to investigate the effects of FMPs (even-aged timber management, selective logging and unmanaged) on bacterial and fungal communities involved in leaf litter degradation over time. Our results showed that microbial communities in leaf litter were strongly influenced by both FMPs and sampling date. The results from nonmetric multidimensional scaling (NMDS) ordination revealed distinct patterns of bacterial and fungal successions over time in leaf litter. We demonstrated that FMPs and sampling dates can influence a range of factors, including leaf litter quality, microbial macronutrients, and pH, which significantly correlate with microbial community successions.</v>
      </c>
      <c r="C1201" s="24" t="str">
        <f>IFERROR(__xludf.DUMMYFUNCTION("""COMPUTED_VALUE"""),"10.1007/s00248-015-0585-8")</f>
        <v>10.1007/s00248-015-0585-8</v>
      </c>
      <c r="D1201" s="24" t="str">
        <f>IFERROR(__xludf.DUMMYFUNCTION("""COMPUTED_VALUE"""),"Keck et al")</f>
        <v>Keck et al</v>
      </c>
      <c r="E1201" s="24" t="str">
        <f>IFERROR(__xludf.DUMMYFUNCTION("""COMPUTED_VALUE"""),"WOS:000353295800017")</f>
        <v>WOS:000353295800017</v>
      </c>
      <c r="F1201" s="24" t="str">
        <f>IFERROR(__xludf.DUMMYFUNCTION("""COMPUTED_VALUE"""),"[""ELIGIBLE""]")</f>
        <v>["ELIGIBLE"]</v>
      </c>
    </row>
    <row r="1202">
      <c r="A1202" s="24" t="str">
        <f>IFERROR(__xludf.DUMMYFUNCTION("""COMPUTED_VALUE"""),"Differences in macrofaunal and seagrass assemblages in seagrass beds with and without seaweed farms")</f>
        <v>Differences in macrofaunal and seagrass assemblages in seagrass beds with and without seaweed farms</v>
      </c>
      <c r="B1202" s="24" t="str">
        <f>IFERROR(__xludf.DUMMYFUNCTION("""COMPUTED_VALUE"""),"Since it was introduced to Zanzibar (Tanzania), seaweed farming has significantly contributed to local, socio-economic development. However, several investigations have shown impacts on the coastal environment near where the farms are located. As many sea"&amp;"weed farms are located on seagrass beds, there is a risk that seaweed farming could affect seagrass beds, and thereby disturb important ecosystem functions and the flow of ecological goods and services. This study compares characteristics of macrophytes ("&amp;"focusing on seagrasses), benthic macrofauna and sediment in seagrass beds, with and without seaweed farms, and a sand bank without vegetation in Chwaka Bay, Zanzibar. The results showed that seagrass beds underneath seaweed farms generally had less seagra"&amp;"ss and macroalgae, finer sediment, lower sediment organic matter content and a reduced abundance and biomass of macrofauna, than seagrass beds without seaweed farms. Further, the macrofaunal community structure in seaweed farms showed more similarities to"&amp;" that on the sand bank than in the unfarmed seagrass beds. Most of the dissimilarity was attributable to Lucinidae (suspension-feeding bivalves), which were almost absent in the seaweed farms, resulting in the large difference in biomass between the seawe"&amp;"ed farms and the unfarmed seagrass beds. When interpreted together with information from farmers, the observed pattern is believed to be caused by the seaweed farming activities. This indicates that more research is needed to establish the effects of seaw"&amp;"eed farming on seagrass beds, and that more attention should be given to the location of farms and the choice of farming methods. 2004 Elsevier Ltd. All rights reserved.")</f>
        <v>Since it was introduced to Zanzibar (Tanzania), seaweed farming has significantly contributed to local, socio-economic development. However, several investigations have shown impacts on the coastal environment near where the farms are located. As many seaweed farms are located on seagrass beds, there is a risk that seaweed farming could affect seagrass beds, and thereby disturb important ecosystem functions and the flow of ecological goods and services. This study compares characteristics of macrophytes (focusing on seagrasses), benthic macrofauna and sediment in seagrass beds, with and without seaweed farms, and a sand bank without vegetation in Chwaka Bay, Zanzibar. The results showed that seagrass beds underneath seaweed farms generally had less seagrass and macroalgae, finer sediment, lower sediment organic matter content and a reduced abundance and biomass of macrofauna, than seagrass beds without seaweed farms. Further, the macrofaunal community structure in seaweed farms showed more similarities to that on the sand bank than in the unfarmed seagrass beds. Most of the dissimilarity was attributable to Lucinidae (suspension-feeding bivalves), which were almost absent in the seaweed farms, resulting in the large difference in biomass between the seaweed farms and the unfarmed seagrass beds. When interpreted together with information from farmers, the observed pattern is believed to be caused by the seaweed farming activities. This indicates that more research is needed to establish the effects of seaweed farming on seagrass beds, and that more attention should be given to the location of farms and the choice of farming methods. 2004 Elsevier Ltd. All rights reserved.</v>
      </c>
      <c r="C1202" s="24" t="str">
        <f>IFERROR(__xludf.DUMMYFUNCTION("""COMPUTED_VALUE"""),"10.1016/j.ecss.2004.11.014")</f>
        <v>10.1016/j.ecss.2004.11.014</v>
      </c>
      <c r="D1202" s="24" t="str">
        <f>IFERROR(__xludf.DUMMYFUNCTION("""COMPUTED_VALUE"""),"Keck et al")</f>
        <v>Keck et al</v>
      </c>
      <c r="E1202" s="24" t="str">
        <f>IFERROR(__xludf.DUMMYFUNCTION("""COMPUTED_VALUE"""),"WOS:000229534400004")</f>
        <v>WOS:000229534400004</v>
      </c>
      <c r="F1202" s="24" t="str">
        <f>IFERROR(__xludf.DUMMYFUNCTION("""COMPUTED_VALUE"""),"[""ELIGIBLE""]")</f>
        <v>["ELIGIBLE"]</v>
      </c>
    </row>
    <row r="1203">
      <c r="A1203" s="24" t="str">
        <f>IFERROR(__xludf.DUMMYFUNCTION("""COMPUTED_VALUE"""),"Do plant-soil interactions influence how the microbial community responds to environmental change?")</f>
        <v>Do plant-soil interactions influence how the microbial community responds to environmental change?</v>
      </c>
      <c r="B1203" s="24" t="str">
        <f>IFERROR(__xludf.DUMMYFUNCTION("""COMPUTED_VALUE"""),"Global change alters ecosystems and their functioning, and biotic interactions can either buffer or amplify such changes. We utilized a long-term nitrogen (N) addition and species removal experiment in the Front Range of Colorado, USA to determine whether"&amp;" a codominant forb and a codominant grass, with different effects on nutrient cycling and plant community structure, would buffer or amplify the effects of simulated N deposition on soil bacterial and fungal communities. While the plant community was stro"&amp;"ngly shaped by both the presence of dominant species and N addition, we did not find a mediating effect of the plant community on soil microbial response to N. In contrast to our hypothesis, we found a decoupling of the plant and microbial communities suc"&amp;"h that the soil microbial community shifted under N independently of directional shifts in the plant community. These findings suggest there are not strong cascading effects of N deposition across the plant-soil interface in our system.")</f>
        <v>Global change alters ecosystems and their functioning, and biotic interactions can either buffer or amplify such changes. We utilized a long-term nitrogen (N) addition and species removal experiment in the Front Range of Colorado, USA to determine whether a codominant forb and a codominant grass, with different effects on nutrient cycling and plant community structure, would buffer or amplify the effects of simulated N deposition on soil bacterial and fungal communities. While the plant community was strongly shaped by both the presence of dominant species and N addition, we did not find a mediating effect of the plant community on soil microbial response to N. In contrast to our hypothesis, we found a decoupling of the plant and microbial communities such that the soil microbial community shifted under N independently of directional shifts in the plant community. These findings suggest there are not strong cascading effects of N deposition across the plant-soil interface in our system.</v>
      </c>
      <c r="C1203" s="24" t="str">
        <f>IFERROR(__xludf.DUMMYFUNCTION("""COMPUTED_VALUE"""),"10.1002/ecy.3554")</f>
        <v>10.1002/ecy.3554</v>
      </c>
      <c r="D1203" s="24" t="str">
        <f>IFERROR(__xludf.DUMMYFUNCTION("""COMPUTED_VALUE"""),"Keck et al")</f>
        <v>Keck et al</v>
      </c>
      <c r="E1203" s="24" t="str">
        <f>IFERROR(__xludf.DUMMYFUNCTION("""COMPUTED_VALUE"""),"WOS:000714607800001")</f>
        <v>WOS:000714607800001</v>
      </c>
      <c r="F1203" s="24" t="str">
        <f>IFERROR(__xludf.DUMMYFUNCTION("""COMPUTED_VALUE"""),"[""ELIGIBLE""]")</f>
        <v>["ELIGIBLE"]</v>
      </c>
    </row>
    <row r="1204">
      <c r="A1204" s="24" t="str">
        <f>IFERROR(__xludf.DUMMYFUNCTION("""COMPUTED_VALUE"""),"Avian community response to a novel environment: Commercial forestry in the Campos grasslands of South America")</f>
        <v>Avian community response to a novel environment: Commercial forestry in the Campos grasslands of South America</v>
      </c>
      <c r="B1204" s="24" t="str">
        <f>IFERROR(__xludf.DUMMYFUNCTION("""COMPUTED_VALUE"""),"Establishing commercial tree plantations in native grassland ecosystems introduces a different structural and functional vegetation cover type, with expected implications for biodiversity. To better understand biodiversity responses to afforestation, we c"&amp;"onducted a resource-use study with birds as a focal group, during the 2013-2014 breeding season in the Northern Campos grasslands of Uruguay. We sampled birds in native environments and plantations of loblolly pine (Pinus taeda) and flooded gum (Eucalyptu"&amp;"s grandis) at different rotation stages. We recorded 103 species during 1,573 visits (10-min, 50-meter radius point counts) to 570 stratified sampling units. Native grasslands and forests exhibited greater diversity and had greater variability in species "&amp;"composition than structurally homogeneous plantations. Avian communities in plantations had distinct species combinations and relative abundances not found in native conditions. Avian communities in older plantations were more similar to native forests wh"&amp;"ile those of newly-planted stands were more like grasslands. However, plantations were dominated by habitat generalists and some forest-dependent species, with negligible use by grassland specialist birds. Our results suggest the best conservation opportu"&amp;"nities for grassland-dependent birds in afforested systems of the Campos of Uruguay may depend on diverse landscape-level measures rather than stand-level management practices. Albeit our research constituted a comprehensive assessment of bird taxonomic a"&amp;"lpha and beta di-versity, research on complementary diversity facets and multi-scale resource selection and demographic studies are needed to better understand the fitness implications for conserving and managing grassland birds in affor-ested landscapes.")</f>
        <v>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v>
      </c>
      <c r="C1204" s="24" t="str">
        <f>IFERROR(__xludf.DUMMYFUNCTION("""COMPUTED_VALUE"""),"10.1016/j.foreco.2021.119765")</f>
        <v>10.1016/j.foreco.2021.119765</v>
      </c>
      <c r="D1204" s="24" t="str">
        <f>IFERROR(__xludf.DUMMYFUNCTION("""COMPUTED_VALUE"""),"Keck et al")</f>
        <v>Keck et al</v>
      </c>
      <c r="E1204" s="24" t="str">
        <f>IFERROR(__xludf.DUMMYFUNCTION("""COMPUTED_VALUE"""),"WOS:000710248700002")</f>
        <v>WOS:000710248700002</v>
      </c>
      <c r="F1204" s="24" t="str">
        <f>IFERROR(__xludf.DUMMYFUNCTION("""COMPUTED_VALUE"""),"[""ELIGIBLE""]")</f>
        <v>["ELIGIBLE"]</v>
      </c>
    </row>
    <row r="1205">
      <c r="A1205" s="24" t="str">
        <f>IFERROR(__xludf.DUMMYFUNCTION("""COMPUTED_VALUE"""),"Testing the effects of nutrient additions on mudflat macroinfaunal assemblages in the presence and absence of shorebird predators")</f>
        <v>Testing the effects of nutrient additions on mudflat macroinfaunal assemblages in the presence and absence of shorebird predators</v>
      </c>
      <c r="B1205" s="24" t="str">
        <f>IFERROR(__xludf.DUMMYFUNCTION("""COMPUTED_VALUE"""),"An issue that is of increasing concern worldwide relates to the possibility that areas subject to conservation agreements, owing to the resident and migratory bird populations they support, will be adversely affected by attempts to reduce organic inputs i"&amp;"nto nearshore environments. In the present study, we investigated the effects of nutrient additions and shorebird exclusion on the infaunal assemblages of an intertidal mudflat. Where responses to nutrient additions were observed they only occurred in the"&amp;" high-dose treatments, indicating that a high nutrient loading is required before infaunal responses are initiated at this site. There was no evidence to support the idea that nutrient additions would only stimulate macroinfaunal assemblages where shorebi"&amp;"rd foraging was reduced. Instead, nutrient additions were detectable separately from any effects of shorebird predation and, contrary to expectations, appeared to be of more importance than shorebird predation in this environment. There was also no eviden"&amp;"ce to suggest that shorebird predation has a strong interaction with the infaunal prey assemblage and, although further studies will be needed to support this statement, it is possible that moderate changes in nutrient status will not impact on the shoreb"&amp;"ird populations at this site.")</f>
        <v>An issue that is of increasing concern worldwide relates to the possibility that areas subject to conservation agreements, owing to the resident and migratory bird populations they support, will be adversely affected by attempts to reduce organic inputs into nearshore environments. In the present study, we investigated the effects of nutrient additions and shorebird exclusion on the infaunal assemblages of an intertidal mudflat. Where responses to nutrient additions were observed they only occurred in the high-dose treatments, indicating that a high nutrient loading is required before infaunal responses are initiated at this site. There was no evidence to support the idea that nutrient additions would only stimulate macroinfaunal assemblages where shorebird foraging was reduced. Instead, nutrient additions were detectable separately from any effects of shorebird predation and, contrary to expectations, appeared to be of more importance than shorebird predation in this environment. There was also no evidence to suggest that shorebird predation has a strong interaction with the infaunal prey assemblage and, although further studies will be needed to support this statement, it is possible that moderate changes in nutrient status will not impact on the shorebird populations at this site.</v>
      </c>
      <c r="C1205" s="24" t="str">
        <f>IFERROR(__xludf.DUMMYFUNCTION("""COMPUTED_VALUE"""),"10.1071/MF02157")</f>
        <v>10.1071/MF02157</v>
      </c>
      <c r="D1205" s="24" t="str">
        <f>IFERROR(__xludf.DUMMYFUNCTION("""COMPUTED_VALUE"""),"Keck et al")</f>
        <v>Keck et al</v>
      </c>
      <c r="E1205" s="24" t="str">
        <f>IFERROR(__xludf.DUMMYFUNCTION("""COMPUTED_VALUE"""),"WOS:000187158800009")</f>
        <v>WOS:000187158800009</v>
      </c>
      <c r="F1205" s="24" t="str">
        <f>IFERROR(__xludf.DUMMYFUNCTION("""COMPUTED_VALUE"""),"[""ELIGIBLE""]")</f>
        <v>["ELIGIBLE"]</v>
      </c>
    </row>
    <row r="1206">
      <c r="A1206" s="24" t="str">
        <f>IFERROR(__xludf.DUMMYFUNCTION("""COMPUTED_VALUE"""),"Long-term monitoring reveals among-year consistency in the ecological impacts of insecticides on animal communities in paddies")</f>
        <v>Long-term monitoring reveals among-year consistency in the ecological impacts of insecticides on animal communities in paddies</v>
      </c>
      <c r="B1206" s="24" t="str">
        <f>IFERROR(__xludf.DUMMYFUNCTION("""COMPUTED_VALUE"""),"Semi-natural mesocosm experiments have been proposed as a powerful approach for evaluating the realised rather than potential ecotoxicological effects of agrochemicals on biological communities. However, there is uncertainty in the results from such exper"&amp;"iments due to spatio-temporal variability in various ecological factors, such as community composition. Therefore, long-term studies evaluating such variability are critical for assessing the utility of mesocosm experiments, although few studies have been"&amp;" conducted over multiple years. We conducted a multiple-year (i.e., three-year) mesocosm experiment to examine the effects of three systemic insecticides (clothianidin, fipronil, and chlorantraniliprole) on aquatic animal communities in experimental paddi"&amp;"es, and we evaluated the among-year variability in these ecotoxicological effects. We found substantial variation in community composition among years. However, when we controlled for this variability by performing partial redundancy analysis (partial RDA"&amp;"), we found that paddy community composition was significantly different between the three insecticide treatments irrespective of year. Moreover, we identified some taxa that consistently decreased in abundance following exposure to each insecticide and m"&amp;"ay thus be regarded as indicator taxa of the environmental stress caused by the insecticides (e.g., clothianidin: Gerris lacustris (water striders), fipronil: Orthetrum albistylum speciosum (dragonflies), and chlorantraniliprole: Hydroglyphus japonicus (b"&amp;"eetles)). Our study suggests the utility of multiple-year, semi-natural mesocosm experiments not only for evaluating the temporal variability in ecotoxicological effects but also for identifying potential robust indicator organisms that consistently decre"&amp;"ase in abundance in response to specific agrochemicals irrespective of the variability in ecological factors under realistic conditions.")</f>
        <v>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v>
      </c>
      <c r="C1206" s="24" t="str">
        <f>IFERROR(__xludf.DUMMYFUNCTION("""COMPUTED_VALUE"""),"10.1016/j.ecolind.2020.106227")</f>
        <v>10.1016/j.ecolind.2020.106227</v>
      </c>
      <c r="D1206" s="24" t="str">
        <f>IFERROR(__xludf.DUMMYFUNCTION("""COMPUTED_VALUE"""),"Keck et al")</f>
        <v>Keck et al</v>
      </c>
      <c r="E1206" s="24" t="str">
        <f>IFERROR(__xludf.DUMMYFUNCTION("""COMPUTED_VALUE"""),"WOS:000523335900063")</f>
        <v>WOS:000523335900063</v>
      </c>
      <c r="F1206" s="24" t="str">
        <f>IFERROR(__xludf.DUMMYFUNCTION("""COMPUTED_VALUE"""),"[""ELIGIBLE""]")</f>
        <v>["ELIGIBLE"]</v>
      </c>
    </row>
    <row r="1207">
      <c r="A1207" s="24" t="str">
        <f>IFERROR(__xludf.DUMMYFUNCTION("""COMPUTED_VALUE"""),"The succession of soil Collembola communities in spruce forests of the High Tatra Mountains five years after a windthrow and clear-cut logging")</f>
        <v>The succession of soil Collembola communities in spruce forests of the High Tatra Mountains five years after a windthrow and clear-cut logging</v>
      </c>
      <c r="B1207" s="24" t="str">
        <f>IFERROR(__xludf.DUMMYFUNCTION("""COMPUTED_VALUE"""),"A study focusing on the succession of soil Collembola communities was carried out in the High Tatra Mountains (Slovakia), five years after a windthrow. Two separate areas were studied within the mountain range: a peripheral foothill area and an inland mou"&amp;"ntain valley. Each area contained three stands (sites) under different management treatments: an intact reference forest stand, a non-extracted windthrown forest stand and an extracted windthrown forest stand. The impact of windthrow and the ensuing fores"&amp;"try practices in both areas was still apparent after the disturbance period. The communities in the inland mountain valley were affected by windthrow more negatively in terms of abundance. However, species richness seemed to remain better preserved there "&amp;"than in the foothills and was unaffected by colonisation by species from the surrounding habitats. A temporary increase in species richness observed early after the disturbance disappeared, and the negative effect of clear-cutting and subsequent extractio"&amp;"n of the fallen wood on the communities, affecting their abundance, decreased in severity over time. The impact of both logged and unlogged regimes on Collembola communities was obvious, especially in the valley. Moreover, we observed the clear response o"&amp;"f some species to windthrow and forest practices. Several considerably abundant species, e.g. Folsomia penicula and Tetracanthella fjellbergi, were sensitive to deforestation by windthrow and clear cutting. Our study documented that Collembola can be used"&amp;" as an indicator mesofauna group in assessments of disturbance-induced changes in soil environments of mountain spruce forests.")</f>
        <v>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v>
      </c>
      <c r="C1207" s="24" t="str">
        <f>IFERROR(__xludf.DUMMYFUNCTION("""COMPUTED_VALUE"""),"10.1016/j.foreco.2018.11.023")</f>
        <v>10.1016/j.foreco.2018.11.023</v>
      </c>
      <c r="D1207" s="24" t="str">
        <f>IFERROR(__xludf.DUMMYFUNCTION("""COMPUTED_VALUE"""),"Keck et al")</f>
        <v>Keck et al</v>
      </c>
      <c r="E1207" s="24" t="str">
        <f>IFERROR(__xludf.DUMMYFUNCTION("""COMPUTED_VALUE"""),"WOS:000456902500051")</f>
        <v>WOS:000456902500051</v>
      </c>
      <c r="F1207" s="24" t="str">
        <f>IFERROR(__xludf.DUMMYFUNCTION("""COMPUTED_VALUE"""),"[""ELIGIBLE""]")</f>
        <v>["ELIGIBLE"]</v>
      </c>
    </row>
    <row r="1208">
      <c r="A1208" s="24" t="str">
        <f>IFERROR(__xludf.DUMMYFUNCTION("""COMPUTED_VALUE"""),"Forest litter amendment during nursery stage influence field performance and ectomycorrhizal community of Scots pine (Pinus sylvestris L.) seedlings outplanted on four different sites")</f>
        <v>Forest litter amendment during nursery stage influence field performance and ectomycorrhizal community of Scots pine (Pinus sylvestris L.) seedlings outplanted on four different sites</v>
      </c>
      <c r="B1208" s="24" t="str">
        <f>IFERROR(__xludf.DUMMYFUNCTION("""COMPUTED_VALUE"""),"Our recent studies have demonstrated that forest litter used in a bare-root forest nursery promoted survival and growth of two-year-old Scots pine seedlings and positively shaped the development of their ectomycorrhizal (ECM) fungal communities. To determ"&amp;"ine whether the beneficial effects of litter treatment can be extended to the next growing seasons, litter-treated seedlings were outplanted to four sites with different environmental conditions: forest clear-cut (S1), area formerly polluted by emissions "&amp;"from nitrogen fertilizer plant (S2), abandoned agricultural land (S3,) and coastal sand dunes (S4). Seedlings grown in mineral nursery soil without litter amendment served as controls. Height and survival of seedlings were measured over three consecutive "&amp;"years after outplanting. At the end of the third growing season, the mycorrhizal status of seedlings was assessed using DNA-based identification techniques. Litter treatment during the nursery phase significantly improved the height of seedlings at the en"&amp;"d of the first growing season at all tested sites. In the second and third growing seasons after outplanting, the heights of litter treated seedlings remained greater compared to control seedlings at three of the four sites; however, at the abandoned agri"&amp;"cultural site (S3), significantly lower growth of litter-treated seedlings was observed. After the third growing season, the differences in seedling heights at the forest clear-cut (S1) and the site formerly polluted by nitrogen (S2) were not statisticall"&amp;"y significant. Survival of all outplanted seedlings varied by season and study site, but litter treated seedlings showed a clear tendency towards enhanced survival. Three years after outplanting, the survival rates of litter-treated seedlings ranged from "&amp;"approximately 81% at S4 to 96% at S2; for control seedlings, survival rates ranged from 63% at S4 to 81% at S3. At sites S1, S2 and S4, the survival of litter-treated seedling was significantly higher. There was a substantial transformation in ECM communi"&amp;"ty composition with low persistence of suilloid mycorrhizas for both litter-treated and control seedlings three years after outplanting. Two-way analysis of similarities (ANOSIM) indicated that differences in ECM fungal community composition across seedli"&amp;"ngs from different sites likely were due to site specificity rather than previous litter treatment. Our results indicated that nursery soil amended with pine forest litter creates favourable conditions for the production of pine seedlings with better root"&amp;" quality and high abundance of suilloid mycorrhizas, thus allowing for potential reductions in mortality after outplanting on unfavourable sites. (C) 2017 Elsevier B.V. All rights reserved.")</f>
        <v>Our recent studies have demonstrated that forest litter used in a bare-root forest nursery promoted survival and growth of two-year-old Scots pine seedlings and positively shaped the development of their ectomycorrhizal (ECM) fungal communities. To determine whether the beneficial effects of litter treatment can be extended to the next growing seasons, litter-treated seedlings were outplanted to four sites with different environmental conditions: forest clear-cut (S1), area formerly polluted by emissions from nitrogen fertilizer plant (S2), abandoned agricultural land (S3,) and coastal sand dunes (S4). Seedlings grown in mineral nursery soil without litter amendment served as controls. Height and survival of seedlings were measured over three consecutive years after outplanting. At the end of the third growing season, the mycorrhizal status of seedlings was assessed using DNA-based identification techniques. Litter treatment during the nursery phase significantly improved the height of seedlings at the end of the first growing season at all tested sites. In the second and third growing seasons after outplanting, the heights of litter treated seedlings remained greater compared to control seedlings at three of the four sites; however, at the abandoned agricultural site (S3), significantly lower growth of litter-treated seedlings was observed. After the third growing season, the differences in seedling heights at the forest clear-cut (S1) and the site formerly polluted by nitrogen (S2) were not statistically significant. Survival of all outplanted seedlings varied by season and study site, but litter treated seedlings showed a clear tendency towards enhanced survival. Three years after outplanting, the survival rates of litter-treated seedlings ranged from approximately 81% at S4 to 96% at S2; for control seedlings, survival rates ranged from 63% at S4 to 81% at S3. At sites S1, S2 and S4, the survival of litter-treated seedling was significantly higher. There was a substantial transformation in ECM community composition with low persistence of suilloid mycorrhizas for both litter-treated and control seedlings three years after outplanting. Two-way analysis of similarities (ANOSIM) indicated that differences in ECM fungal community composition across seedlings from different sites likely were due to site specificity rather than previous litter treatment. Our results indicated that nursery soil amended with pine forest litter creates favourable conditions for the production of pine seedlings with better root quality and high abundance of suilloid mycorrhizas, thus allowing for potential reductions in mortality after outplanting on unfavourable sites. (C) 2017 Elsevier B.V. All rights reserved.</v>
      </c>
      <c r="C1208" s="24" t="str">
        <f>IFERROR(__xludf.DUMMYFUNCTION("""COMPUTED_VALUE"""),"10.1016/j.foreco.2017.04.002")</f>
        <v>10.1016/j.foreco.2017.04.002</v>
      </c>
      <c r="D1208" s="24" t="str">
        <f>IFERROR(__xludf.DUMMYFUNCTION("""COMPUTED_VALUE"""),"Keck et al")</f>
        <v>Keck et al</v>
      </c>
      <c r="E1208" s="24" t="str">
        <f>IFERROR(__xludf.DUMMYFUNCTION("""COMPUTED_VALUE"""),"WOS:000401389600010")</f>
        <v>WOS:000401389600010</v>
      </c>
      <c r="F1208" s="24" t="str">
        <f>IFERROR(__xludf.DUMMYFUNCTION("""COMPUTED_VALUE"""),"[""ELIGIBLE""]")</f>
        <v>["ELIGIBLE"]</v>
      </c>
    </row>
    <row r="1209">
      <c r="A1209" s="24" t="str">
        <f>IFERROR(__xludf.DUMMYFUNCTION("""COMPUTED_VALUE"""),"More (or less?) bounce for the ounce: a comparison of environmental DNA and classical approaches for bioassessment")</f>
        <v>More (or less?) bounce for the ounce: a comparison of environmental DNA and classical approaches for bioassessment</v>
      </c>
      <c r="B1209" s="24" t="str">
        <f>IFERROR(__xludf.DUMMYFUNCTION("""COMPUTED_VALUE"""),"Next-generation sequencing (NGS) techniques are revolutionising the bioassessment of ecosystems. Herein we use a case study to compare environmental (e)DNA and classical sampling and laboratory identification approaches to assess biotic communities in str"&amp;"eams. Both techniques were successful in detecting changes to biotic communities following invasion by a non-native riparian plant. The cost of the eDNA methods was one-sixth that of the classical approach and provided a coarse qualitative assessment of o"&amp;"verall eukaryotic structure. Classical macroinvertebrate techniques, although they assess only a subset of eukaryotes, provided high-resolution quantitative information that could be applied to assess functional aspects of the ecosystem. Selection of one "&amp;"method in preference over the other is highly dependent on the nature of the hypothesis to be tested.")</f>
        <v>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v>
      </c>
      <c r="C1209" s="24" t="str">
        <f>IFERROR(__xludf.DUMMYFUNCTION("""COMPUTED_VALUE"""),"10.1071/MF17250")</f>
        <v>10.1071/MF17250</v>
      </c>
      <c r="D1209" s="24" t="str">
        <f>IFERROR(__xludf.DUMMYFUNCTION("""COMPUTED_VALUE"""),"Keck et al")</f>
        <v>Keck et al</v>
      </c>
      <c r="E1209" s="24" t="str">
        <f>IFERROR(__xludf.DUMMYFUNCTION("""COMPUTED_VALUE"""),"WOS:000435553500013")</f>
        <v>WOS:000435553500013</v>
      </c>
      <c r="F1209" s="24" t="str">
        <f>IFERROR(__xludf.DUMMYFUNCTION("""COMPUTED_VALUE"""),"[""ELIGIBLE""]")</f>
        <v>["ELIGIBLE"]</v>
      </c>
    </row>
    <row r="1210">
      <c r="A1210" s="24" t="str">
        <f>IFERROR(__xludf.DUMMYFUNCTION("""COMPUTED_VALUE"""),"Reduced Impacts or A Longer Lag Phase? Tamarix in the Northwestern USA")</f>
        <v>Reduced Impacts or A Longer Lag Phase? Tamarix in the Northwestern USA</v>
      </c>
      <c r="B1210" s="24" t="str">
        <f>IFERROR(__xludf.DUMMYFUNCTION("""COMPUTED_VALUE"""),"Tamarix spp. (tamarisk) have caused ecological impacts in the southwestern United States; however, such impacts have not been extensively studied in the Northwest where tamarisk is a relatively new invader. Here we present the results of soil, arbuscular "&amp;"mycorrhizal fungi, and vegetation studies from tamarisk-occupied and unoccupied areas on the dammed Bighorn River, Fort Peck Reservoir, and the free flowing Yellowstone River, in Montana. Soil sample results indicated that at Fort Peck Reservoir soil sali"&amp;"nity was twice as high at occupied sites compared to unoccupied ones, and at the Bighorn River occupied sites nitrate, phosphorus and potassium were 2.2, 4, and 1.9 times higher, respectively, than at unoccupied sites. No soil differences were observed on"&amp;" the Yellowstone River. Mycorrhizal infectivity potential was high in both occupied and unoccupied soils, with a slight reduction (from 73% to 65% colonization) in tamarisk occupied soils. These impacts were statistically but not ecologically significant "&amp;"and did not extend to other metrics of impact such as richness, Simpson's diversity or composition of plant communities. Our results indicate that either tamarisk has minimal impacts in the northwest, or it is still in a lag phase.")</f>
        <v>Tamarix spp. (tamarisk) have caused ecological impacts in the southwestern United States; however, such impacts have not been extensively studied in the Northwest where tamarisk is a relatively new invader. Here we present the results of soil, arbuscular mycorrhizal fungi, and vegetation studies from tamarisk-occupied and unoccupied areas on the dammed Bighorn River, Fort Peck Reservoir, and the free flowing Yellowstone River, in Montana. Soil sample results indicated that at Fort Peck Reservoir soil salinity was twice as high at occupied sites compared to unoccupied ones, and at the Bighorn River occupied sites nitrate, phosphorus and potassium were 2.2, 4, and 1.9 times higher, respectively, than at unoccupied sites. No soil differences were observed on the Yellowstone River. Mycorrhizal infectivity potential was high in both occupied and unoccupied soils, with a slight reduction (from 73% to 65% colonization) in tamarisk occupied soils. These impacts were statistically but not ecologically significant and did not extend to other metrics of impact such as richness, Simpson's diversity or composition of plant communities. Our results indicate that either tamarisk has minimal impacts in the northwest, or it is still in a lag phase.</v>
      </c>
      <c r="C1210" s="24" t="str">
        <f>IFERROR(__xludf.DUMMYFUNCTION("""COMPUTED_VALUE"""),"10.1007/s13157-012-0283-y")</f>
        <v>10.1007/s13157-012-0283-y</v>
      </c>
      <c r="D1210" s="24" t="str">
        <f>IFERROR(__xludf.DUMMYFUNCTION("""COMPUTED_VALUE"""),"Keck et al")</f>
        <v>Keck et al</v>
      </c>
      <c r="E1210" s="24" t="str">
        <f>IFERROR(__xludf.DUMMYFUNCTION("""COMPUTED_VALUE"""),"WOS:000303884100009")</f>
        <v>WOS:000303884100009</v>
      </c>
      <c r="F1210" s="24" t="str">
        <f>IFERROR(__xludf.DUMMYFUNCTION("""COMPUTED_VALUE"""),"[""ELIGIBLE""]")</f>
        <v>["ELIGIBLE"]</v>
      </c>
    </row>
    <row r="1211">
      <c r="A1211" s="24" t="str">
        <f>IFERROR(__xludf.DUMMYFUNCTION("""COMPUTED_VALUE"""),"Spatial and temporal changes in epibenthic communities at deep, hard bottom aquaculture sites in Newfoundland")</f>
        <v>Spatial and temporal changes in epibenthic communities at deep, hard bottom aquaculture sites in Newfoundland</v>
      </c>
      <c r="B1211" s="24" t="str">
        <f>IFERROR(__xludf.DUMMYFUNCTION("""COMPUTED_VALUE"""),"This study explores spatio-temporal changes in epibenthic communities due to salmon aquaculture at deep (&gt;30 m), hard-bottom dominated sites in Newfoundland (Canada). Using a drop-camera approach, we followed changes with production at two aquaculture sit"&amp;"es, as well as potential recovery processes at two fallow sites, comparing their epibenthic composition with nearby non-production sites. Multivariate analysis revealed that aquaculture production led to rapid changes in epibenthic communities, as evidenc"&amp;"ed primarily by the presence of two visual indicators: bacterial mats and opportunistic polychaetes. Due to low taxon richness and abundances, as well as variability among sites, no clear intermediate successional stages were apparent. Beggiatoa-like mats"&amp;" and opportunistic polychaetes appeared rapidly once aquaculture production began; these indicators did not increase in spatial extent during the survey and were typically observed up to 100 m, and occasionally up to 160 m from cages. After 15 months of f"&amp;"allowing, Beggiatoa-like mats and opportunistic polychaetes remained present at sites and were occasionally accompanied by few other taxa, suggesting incomplete recovery. Crown Copyright (C) 2017 Published by Elsevier Ltd. All rights reserved.")</f>
        <v>This study explores spatio-temporal changes in epibenthic communities due to salmon aquaculture at deep (&gt;30 m), hard-bottom dominated sites in Newfoundland (Canada). Using a drop-camera approach, we followed changes with production at two aquaculture sites, as well as potential recovery processes at two fallow sites, comparing their epibenthic composition with nearby non-production sites. Multivariate analysis revealed that aquaculture production led to rapid changes in epibenthic communities, as evidenced primarily by the presence of two visual indicators: bacterial mats and opportunistic polychaetes. Due to low taxon richness and abundances, as well as variability among sites, no clear intermediate successional stages were apparent. Beggiatoa-like mats and opportunistic polychaetes appeared rapidly once aquaculture production began; these indicators did not increase in spatial extent during the survey and were typically observed up to 100 m, and occasionally up to 160 m from cages. After 15 months of fallowing, Beggiatoa-like mats and opportunistic polychaetes remained present at sites and were occasionally accompanied by few other taxa, suggesting incomplete recovery. Crown Copyright (C) 2017 Published by Elsevier Ltd. All rights reserved.</v>
      </c>
      <c r="C1211" s="24" t="str">
        <f>IFERROR(__xludf.DUMMYFUNCTION("""COMPUTED_VALUE"""),"10.1016/j.ecolind.2017.01.019")</f>
        <v>10.1016/j.ecolind.2017.01.019</v>
      </c>
      <c r="D1211" s="24" t="str">
        <f>IFERROR(__xludf.DUMMYFUNCTION("""COMPUTED_VALUE"""),"Keck et al")</f>
        <v>Keck et al</v>
      </c>
      <c r="E1211" s="24" t="str">
        <f>IFERROR(__xludf.DUMMYFUNCTION("""COMPUTED_VALUE"""),"WOS:000406435700020")</f>
        <v>WOS:000406435700020</v>
      </c>
      <c r="F1211" s="24" t="str">
        <f>IFERROR(__xludf.DUMMYFUNCTION("""COMPUTED_VALUE"""),"[""ELIGIBLE""]")</f>
        <v>["ELIGIBLE"]</v>
      </c>
    </row>
    <row r="1212">
      <c r="A1212" s="24" t="str">
        <f>IFERROR(__xludf.DUMMYFUNCTION("""COMPUTED_VALUE"""),"Long-term effects of copper exposure to agricultural soil function and microbial community structure at a controlled and experimental field site")</f>
        <v>Long-term effects of copper exposure to agricultural soil function and microbial community structure at a controlled and experimental field site</v>
      </c>
      <c r="B1212" s="24" t="str">
        <f>IFERROR(__xludf.DUMMYFUNCTION("""COMPUTED_VALUE"""),"The long-term effect of heavy metals on soil microbial communities and their function is relatively unknown and little work has been done in field settings. To address this gap, we revisited a field-based experiment, 12 years after the application of copp"&amp;"er (Cu) to agricultural soils, with treatment concentrations ranging from 0 to 3310 mg Cu kg(-1) soil. We measured the long-term effects of Cu exposure to soils using multiple functionality assessments and environmental DNA-based community analyses. The a"&amp;"ssessment results revealed that soils that received moderate to high Cu doses had still not recovered functionality 12-years post exposure. However, plots that received doses of 200 mg kg(-1) Cu or less appeared to have a functionality index not dissimila"&amp;"r to control plots. Environmental DNA analyses of the microbial communities revealed a high level of beta diversity in low Cu treatment plots, whereas communities within high Cu treatment plots had similar community structures to one another (low beta div"&amp;"ersity), indicating that specific Cu-tolerant or dormant taxa are selected for in high-Cu environments. Interestingly, high Cu plots had higher within-sample taxa counts (alpha diversity) compared with controls and low Cu plots. We hypothesise that taxa i"&amp;"n high Cu plots activated dormancy mechanisms, such that their genetic signal remained present, whilst the functionality of the soil was reduced. Many species identified in high Cu plots are known to have associated dormancy mechanisms and survive in high"&amp;" stress environments. Understanding how these mechanisms collectively contribute to contaminant outcomes is of great importance for the goals of predicting and managing microbial communities and their function. As we found that Cu concentrations above 200"&amp;" mg kg(-1) can cause significant functionality loss and a selective pressure on microbial communities, it is recommended that Cu concentrations above 200 mg kg(-1) are avoided in agricultural soils. (c) 2020 Elsevier Ltd. All rights reserved.")</f>
        <v>The long-term effect of heavy metals on soil microbial communities and their function is relatively unknown and little work has been done in field settings. To address this gap, we revisited a field-based experiment, 12 years after the application of copper (Cu) to agricultural soils, with treatment concentrations ranging from 0 to 3310 mg Cu kg(-1) soil. We measured the long-term effects of Cu exposure to soils using multiple functionality assessments and environmental DNA-based community analyses. The assessment results revealed that soils that received moderate to high Cu doses had still not recovered functionality 12-years post exposure. However, plots that received doses of 200 mg kg(-1) Cu or less appeared to have a functionality index not dissimilar to control plots. Environmental DNA analyses of the microbial communities revealed a high level of beta diversity in low Cu treatment plots, whereas communities within high Cu treatment plots had similar community structures to one another (low beta diversity), indicating that specific Cu-tolerant or dormant taxa are selected for in high-Cu environments. Interestingly, high Cu plots had higher within-sample taxa counts (alpha diversity) compared with controls and low Cu plots. We hypothesise that taxa in high Cu plots activated dormancy mechanisms, such that their genetic signal remained present, whilst the functionality of the soil was reduced. Many species identified in high Cu plots are known to have associated dormancy mechanisms and survive in high stress environments. Understanding how these mechanisms collectively contribute to contaminant outcomes is of great importance for the goals of predicting and managing microbial communities and their function. As we found that Cu concentrations above 200 mg kg(-1) can cause significant functionality loss and a selective pressure on microbial communities, it is recommended that Cu concentrations above 200 mg kg(-1) are avoided in agricultural soils. (c) 2020 Elsevier Ltd. All rights reserved.</v>
      </c>
      <c r="C1212" s="24" t="str">
        <f>IFERROR(__xludf.DUMMYFUNCTION("""COMPUTED_VALUE"""),"10.1016/j.envpol.2020.114411")</f>
        <v>10.1016/j.envpol.2020.114411</v>
      </c>
      <c r="D1212" s="24" t="str">
        <f>IFERROR(__xludf.DUMMYFUNCTION("""COMPUTED_VALUE"""),"Keck et al")</f>
        <v>Keck et al</v>
      </c>
      <c r="E1212" s="24" t="str">
        <f>IFERROR(__xludf.DUMMYFUNCTION("""COMPUTED_VALUE"""),"WOS:000539426400016")</f>
        <v>WOS:000539426400016</v>
      </c>
      <c r="F1212" s="24" t="str">
        <f>IFERROR(__xludf.DUMMYFUNCTION("""COMPUTED_VALUE"""),"[""ELIGIBLE""]")</f>
        <v>["ELIGIBLE"]</v>
      </c>
    </row>
    <row r="1213">
      <c r="A1213" s="24" t="str">
        <f>IFERROR(__xludf.DUMMYFUNCTION("""COMPUTED_VALUE"""),"Arbuscular mycorrhizal fungal communities in tropical rain forest are resilient to slash-and-burn agriculture")</f>
        <v>Arbuscular mycorrhizal fungal communities in tropical rain forest are resilient to slash-and-burn agriculture</v>
      </c>
      <c r="B1213" s="24" t="str">
        <f>IFERROR(__xludf.DUMMYFUNCTION("""COMPUTED_VALUE"""),"Certain forestry and agricultural practices are known to affect arbuscular mycorrhizal (AM) fungal communities, but the effects of deforestation - including slash-and-burn management and other more severe disturbances - in tropical rain forests are poorly"&amp;" understood. We addressed the effects of anthropogenic disturbance on rain-forest AM fungal communities in French Guiana, by comparing mature tropical rain forest, slash-and-burn (5 y old) and clearcut areas (8 y old). A total of 36 soil samples were coll"&amp;"ected in six plots and sequenced using a high throughput 454-pyrosequencing platform. A total of 32649 sequences from 103 AM fungal virtual taxa (VT) were recorded. Whereas alpha diversity of AM fungi did not decrease due to land-use intensification, with"&amp;" average richness ranging from 17 to 21 taxa per plot, beta diversity (average distance to multivariate centroid) dropped by 28% from 0.46 in rain forest to 0.33 under clearcutting. AM fungal community composition was correlated with land use and soil che"&amp;"mical properties. Clearcut areas were characterized by the more frequent occurrence of specialist AM fungi, compared with mature forest or slash-and-burn areas. Specifically, clearcuts contained the highest proportions of VT that were geographic (21%), ha"&amp;"bitat (31%), abundance (97%) or host (97%) specialists based on VT metadata contained in the Maarj AM database. This suggests that certain AM fungi with narrow ecological niches have traits that allow them to exploit conditions of severe disturbance. In c"&amp;"onclusion, slash-and-burn management appears to allow diverse AM fungal communities to persist, and may favour regeneration of tropical rain forest after abandonment. More severe disturbance in the form of clearcutting resulted in marked changes in AM fun"&amp;"gal communities.")</f>
        <v>Certain forestry and agricultural practices are known to affect arbuscular mycorrhizal (AM) fungal communities, but the effects of deforestation - including slash-and-burn management and other more severe disturbances - in tropical rain forests are poorly understood. We addressed the effects of anthropogenic disturbance on rain-forest AM fungal communities in French Guiana, by comparing mature tropical rain forest, slash-and-burn (5 y old) and clearcut areas (8 y old). A total of 36 soil samples were collected in six plots and sequenced using a high throughput 454-pyrosequencing platform. A total of 32649 sequences from 103 AM fungal virtual taxa (VT) were recorded. Whereas alpha diversity of AM fungi did not decrease due to land-use intensification, with average richness ranging from 17 to 21 taxa per plot, beta diversity (average distance to multivariate centroid) dropped by 28% from 0.46 in rain forest to 0.33 under clearcutting. AM fungal community composition was correlated with land use and soil chemical properties. Clearcut areas were characterized by the more frequent occurrence of specialist AM fungi, compared with mature forest or slash-and-burn areas. Specifically, clearcuts contained the highest proportions of VT that were geographic (21%), habitat (31%), abundance (97%) or host (97%) specialists based on VT metadata contained in the Maarj AM database. This suggests that certain AM fungi with narrow ecological niches have traits that allow them to exploit conditions of severe disturbance. In conclusion, slash-and-burn management appears to allow diverse AM fungal communities to persist, and may favour regeneration of tropical rain forest after abandonment. More severe disturbance in the form of clearcutting resulted in marked changes in AM fungal communities.</v>
      </c>
      <c r="C1213" s="24" t="str">
        <f>IFERROR(__xludf.DUMMYFUNCTION("""COMPUTED_VALUE"""),"10.1017/S0266467418000184")</f>
        <v>10.1017/S0266467418000184</v>
      </c>
      <c r="D1213" s="24" t="str">
        <f>IFERROR(__xludf.DUMMYFUNCTION("""COMPUTED_VALUE"""),"Keck et al")</f>
        <v>Keck et al</v>
      </c>
      <c r="E1213" s="24" t="str">
        <f>IFERROR(__xludf.DUMMYFUNCTION("""COMPUTED_VALUE"""),"WOS:000435549200003")</f>
        <v>WOS:000435549200003</v>
      </c>
      <c r="F1213" s="24" t="str">
        <f>IFERROR(__xludf.DUMMYFUNCTION("""COMPUTED_VALUE"""),"[""ELIGIBLE""]")</f>
        <v>["ELIGIBLE"]</v>
      </c>
    </row>
    <row r="1214">
      <c r="A1214" s="24" t="str">
        <f>IFERROR(__xludf.DUMMYFUNCTION("""COMPUTED_VALUE"""),"Nitrogen Addition and Arbuscular Mycorrhizal Fungi Beta Diversity: Patterns and Mechanisms")</f>
        <v>Nitrogen Addition and Arbuscular Mycorrhizal Fungi Beta Diversity: Patterns and Mechanisms</v>
      </c>
      <c r="B1214" s="24" t="str">
        <f>IFERROR(__xludf.DUMMYFUNCTION("""COMPUTED_VALUE"""),"Global nitrogen eutrophication, which is disrupting the intimate plant-arbuscular mycorrhizal fungi (AMF) symbiosis, can alter the diversity and physiological functions of soil AMF greatly. However, shifts of beta diversity and the intrinsic patterns of A"&amp;"MF community dissimilarities in response to nitrogen addition remain unclear. Based on a 7-year nitrogen addition experiment in a Qinghai-Tibet Plateau alpine meadow, we detected the changes in soil AMF alpha diversity (richness and genus abundance) and t"&amp;"he community composition beta diversity by partitioning the two components of Simpson and nestedness dissimilarities along (turnover) and within (variation) nitrogen addition treatments, and fitted with environmental factor dissimilarities. We found that "&amp;"nitrogen addition decreased AMF richness by decreasing the most dominant AMF genus of Glomus but increasing the abundance of the rare genera. The turnover of the AMF community overall beta diversity along the nitrogen addition gradients was induced by the"&amp;" increased nestedness dissimilarity, while the variation within treatments was explained by both increased Simpson and nestedness dissimilarities, which was significantly correlated with soil pH. Our study found both Simpson and nestedness dissimilarities"&amp;" worked on the AMF community dissimilarity after nitrogen addition and the significant variation within the same treatment, which would be important in the future for predicting global AMF or microbial diversity changes in response to nitrogen eutrophicat"&amp;"ion.")</f>
        <v>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v>
      </c>
      <c r="C1214" s="24" t="str">
        <f>IFERROR(__xludf.DUMMYFUNCTION("""COMPUTED_VALUE"""),"10.3389/fenvs.2021.701653")</f>
        <v>10.3389/fenvs.2021.701653</v>
      </c>
      <c r="D1214" s="24" t="str">
        <f>IFERROR(__xludf.DUMMYFUNCTION("""COMPUTED_VALUE"""),"Keck et al")</f>
        <v>Keck et al</v>
      </c>
      <c r="E1214" s="24" t="str">
        <f>IFERROR(__xludf.DUMMYFUNCTION("""COMPUTED_VALUE"""),"WOS:000668342100001")</f>
        <v>WOS:000668342100001</v>
      </c>
      <c r="F1214" s="24" t="str">
        <f>IFERROR(__xludf.DUMMYFUNCTION("""COMPUTED_VALUE"""),"[""ELIGIBLE""]")</f>
        <v>["ELIGIBLE"]</v>
      </c>
    </row>
    <row r="1215">
      <c r="A1215" s="24" t="str">
        <f>IFERROR(__xludf.DUMMYFUNCTION("""COMPUTED_VALUE"""),"Assessing stream condition using macro invertebrates and macrophytes:: concordance of community responses to human impact")</f>
        <v>Assessing stream condition using macro invertebrates and macrophytes:: concordance of community responses to human impact</v>
      </c>
      <c r="B1215" s="24" t="str">
        <f>IFERROR(__xludf.DUMMYFUNCTION("""COMPUTED_VALUE"""),"Freshwater bioassessment is typically based on well known taxonomic groups. Such as fish and macroinvertebrates, while less studied groups are frequently excluded front bioassessment programs. We examined the community variation of stream macroinvertebrat"&amp;"es and macrophytes (mainly aquatic bryophytes) in near-pristine reference sites and sites impacted by agriculture, forestry. or in-stream habitat alteration in western and central Finland. We specifically examined whether these taxonomic groups exhibited "&amp;"concordant variation in community Structure and whether they could be used as Surrogates for each other in stream bioassessment. The effects Of human disturbance on taxonomic composition and community Structure were investigated using canonical correspond"&amp;"ence analysis and RIVPACS-type predictive models. The community concordance between macroinvertebrates and macrophytes was higher when test sites were included, suggesting that environmental degradation may increase community concordance between different"&amp;" biotic groups. However, despite increased concordance, macroinvertebrates and macrophytes responded to different stressors. The sensitivity of the two groups to human disturbance also differed markedly. The macroinvertebrate model determined 13 (with P-1"&amp;" = 0+ as the threshold for species inclusion) and 12 (with P-t = 0.4) Out of 35 test sites as altered, whereas the macrophyte model detected impairment for only 7 sites (both probability levels), likely because of the low species richness of macrophytes i"&amp;"n our study streams. Low richness of macrophytes may thus hinder their use in bioassessment based on taxonomic completeness, suggesting that measures that do not rely solely on species loss might perform better in at least high-gradient boreal streams.")</f>
        <v>Freshwater bioassessment is typically based on well known taxonomic groups. Such as fish and macroinvertebrates, while less studied groups are frequently excluded front bioassessment programs. We examined the community variation of stream macroinvertebrates and macrophytes (mainly aquatic bryophytes) in near-pristine reference sites and sites impacted by agriculture, forestry. or in-stream habitat alteration in western and central Finland. We specifically examined whether these taxonomic groups exhibited concordant variation in community Structure and whether they could be used as Surrogates for each other in stream bioassessment. The effects Of human disturbance on taxonomic composition and community Structure were investigated using canonical correspondence analysis and RIVPACS-type predictive models. The community concordance between macroinvertebrates and macrophytes was higher when test sites were included, suggesting that environmental degradation may increase community concordance between different biotic groups. However, despite increased concordance, macroinvertebrates and macrophytes responded to different stressors. The sensitivity of the two groups to human disturbance also differed markedly. The macroinvertebrate model determined 13 (with P-1 = 0+ as the threshold for species inclusion) and 12 (with P-t = 0.4) Out of 35 test sites as altered, whereas the macrophyte model detected impairment for only 7 sites (both probability levels), likely because of the low species richness of macrophytes in our study streams. Low richness of macrophytes may thus hinder their use in bioassessment based on taxonomic completeness, suggesting that measures that do not rely solely on species loss might perform better in at least high-gradient boreal streams.</v>
      </c>
      <c r="C1215" s="24" t="str">
        <f>IFERROR(__xludf.DUMMYFUNCTION("""COMPUTED_VALUE"""),"10.1127/1863-9135/2008/0172-0191")</f>
        <v>10.1127/1863-9135/2008/0172-0191</v>
      </c>
      <c r="D1215" s="24" t="str">
        <f>IFERROR(__xludf.DUMMYFUNCTION("""COMPUTED_VALUE"""),"Keck et al")</f>
        <v>Keck et al</v>
      </c>
      <c r="E1215" s="24" t="str">
        <f>IFERROR(__xludf.DUMMYFUNCTION("""COMPUTED_VALUE"""),"WOS:000259370000003")</f>
        <v>WOS:000259370000003</v>
      </c>
      <c r="F1215" s="24" t="str">
        <f>IFERROR(__xludf.DUMMYFUNCTION("""COMPUTED_VALUE"""),"[""ELIGIBLE""]")</f>
        <v>["ELIGIBLE"]</v>
      </c>
    </row>
    <row r="1216">
      <c r="A1216" s="24" t="str">
        <f>IFERROR(__xludf.DUMMYFUNCTION("""COMPUTED_VALUE"""),"Assembling the forest herb community after abandonment from agriculture: Long-term successional dynamics differ with land-use history")</f>
        <v>Assembling the forest herb community after abandonment from agriculture: Long-term successional dynamics differ with land-use history</v>
      </c>
      <c r="B1216" s="24" t="str">
        <f>IFERROR(__xludf.DUMMYFUNCTION("""COMPUTED_VALUE"""),"1. Cultivation and pasturing, both historically common forms of agriculture in eastern North America, differ in their long-term environmental legacies. We ask whether successional reassembly of the forest herb community differs between second-growth stand"&amp;"s with contrasting agricultural histories. We predicted that herb communities would diverge through a process of environmental filtering as colonist species responded to the agricultural histories of individual sites and to underlying edaphic gradients. 2"&amp;". Thirty-five second-growth stands were grouped into a replicated chronosequence of formerly cultivated and pastured sites spanning 80 years after canopy closure. Five long-established stands without signs of agricultural history were included as controls"&amp;". Herbaceous vegetation and soil and environmental variables were recorded at each site. 3. Forest herb species accumulated through the chronosequence. Community composition changed through successional time, transitioning from open-forest species to shad"&amp;"e-tolerant perennial herbs, and differed significantly between pastured and cultivated sites. A high degree of similarity among control sites suggests eventual convergence, although chronosequence sites at 80 years had not yet reached the richness and com"&amp;"position observed in the controls. Agricultural practices were initially distinguishable in species richness, evenness, and composition but agricultural influence receded as the stands approached 80 years. 4. Synthesis. Community assembly in post-agricult"&amp;"ural forests appears to be a process of site-level convergence driven by gradual accumulation of species from the regional species pool, relatively rapid conformity to soil gradients and growth of the forest stand. This result is scale-dependent; distribu"&amp;"tions are controlled by topographic filtering at coarser and finer scales.")</f>
        <v>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v>
      </c>
      <c r="C1216" s="24" t="str">
        <f>IFERROR(__xludf.DUMMYFUNCTION("""COMPUTED_VALUE"""),"10.1111/1365-2745.12970")</f>
        <v>10.1111/1365-2745.12970</v>
      </c>
      <c r="D1216" s="24" t="str">
        <f>IFERROR(__xludf.DUMMYFUNCTION("""COMPUTED_VALUE"""),"Keck et al")</f>
        <v>Keck et al</v>
      </c>
      <c r="E1216" s="24" t="str">
        <f>IFERROR(__xludf.DUMMYFUNCTION("""COMPUTED_VALUE"""),"WOS:000452178600028")</f>
        <v>WOS:000452178600028</v>
      </c>
      <c r="F1216" s="24" t="str">
        <f>IFERROR(__xludf.DUMMYFUNCTION("""COMPUTED_VALUE"""),"[""ELIGIBLE""]")</f>
        <v>["ELIGIBLE"]</v>
      </c>
    </row>
    <row r="1217">
      <c r="A1217" s="24" t="str">
        <f>IFERROR(__xludf.DUMMYFUNCTION("""COMPUTED_VALUE"""),"Abundance of the introduced seastar, Asterias amurensis, and spatial variability in soft sediment assemblages in SE Tasmania:: Clear correlations but complex interpretation")</f>
        <v>Abundance of the introduced seastar, Asterias amurensis, and spatial variability in soft sediment assemblages in SE Tasmania:: Clear correlations but complex interpretation</v>
      </c>
      <c r="B1217" s="24" t="str">
        <f>IFERROR(__xludf.DUMMYFUNCTION("""COMPUTED_VALUE"""),"The northern Pacific seastar, Asterias amurensis, was first collected in southeast Tasmania in 1986. Mistaken for the endemic asteroid Uniophora granifera, its true identity was not realised until 1992. It is now a conspicuous predator in soft sediment ha"&amp;"bitats in this region, and is considered a major threat to native assemblages and commercial species. We examined the structure of soft sediment assemblages at different spatial scales in southeast Tasmania, and correlated spatial variation in community c"&amp;"omposition with seastar abundances. We found that the structure of soft sediment assemblages is highly variable at a range of spatial scales from metres to tens of kilometres. Clear differences in the composition of assemblages and abundances of major tax"&amp;"a were detected between areas with and without seastars and between areas with low and high seastar densities. However, the nature of these patterns suggests that they are more likely due to differences in sediment characteristics than due to impacts of t"&amp;"he seastar. Thus, spatial differences in soft sediment assemblages might have been erroneously attributed to seastars without detailed information on important physical factors such as sediment characteristics. A second survey, using larger sampling units"&amp;" (1 m(2)) but across a more limited spatial extent, targeted bivalves and heart urchins that were identified as important prey of the seastar in observations of feeding and in experimental studies. Large-scale patterns of abundance and size structure were"&amp;" consistent with seastar effects anticipated from small-scale experimental and feeding studies for some, but not all, species. While the field survey ultimately provided evidence about the presence or absence of seastar impacts at large-scales, the identi"&amp;"fication of key ecological variables in experimental and feeding studies proved crucial to both the design and interpretation of patterns observed in the large-scale surveys. Overall, this work highlighted the necessity to consider multiple lines of evide"&amp;"nce rather than relying on a single 'inferential' test, in the absence of pre-impact data. (c) 2006 Elsevier Ltd. All rights reserved.")</f>
        <v>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v>
      </c>
      <c r="C1217" s="24" t="str">
        <f>IFERROR(__xludf.DUMMYFUNCTION("""COMPUTED_VALUE"""),"10.1016/j.ecss.2005.11.038")</f>
        <v>10.1016/j.ecss.2005.11.038</v>
      </c>
      <c r="D1217" s="24" t="str">
        <f>IFERROR(__xludf.DUMMYFUNCTION("""COMPUTED_VALUE"""),"Keck et al")</f>
        <v>Keck et al</v>
      </c>
      <c r="E1217" s="24" t="str">
        <f>IFERROR(__xludf.DUMMYFUNCTION("""COMPUTED_VALUE"""),"WOS:000237617000015")</f>
        <v>WOS:000237617000015</v>
      </c>
      <c r="F1217" s="24" t="str">
        <f>IFERROR(__xludf.DUMMYFUNCTION("""COMPUTED_VALUE"""),"[""ELIGIBLE""]")</f>
        <v>["ELIGIBLE"]</v>
      </c>
    </row>
    <row r="1218">
      <c r="A1218" s="24" t="str">
        <f>IFERROR(__xludf.DUMMYFUNCTION("""COMPUTED_VALUE"""),"Effects of forest management on physical habitats and fish assemblages in Iberian eucalypt streams")</f>
        <v>Effects of forest management on physical habitats and fish assemblages in Iberian eucalypt streams</v>
      </c>
      <c r="B1218" s="24" t="str">
        <f>IFERROR(__xludf.DUMMYFUNCTION("""COMPUTED_VALUE"""),"In Portugal, more than 150,000 ha of eucalypt plantations are managed under best management practices (BMP), in compliance with international certification systems. Some of these forestry areas extend to streams, and the riparian areas are thus protected "&amp;"from productive land uses. However, many other eucalypt plantations present riparian zones that are not managed under BMP and are often occupied by agricultural uses. To test the effects of forest management on physical habitats and fish assemblages in Ib"&amp;"erian eucalypt streams, we selected three different stream reach types: (1) reaches in catchments dominated by native vegetation associations, and presenting semi-natural riparian zones (reference-REF); (2) reaches surrounded by certified eucalypt plantat"&amp;"ions (i.e., managed under BMP), and consequently, presenting protected riparian buffer zones (PRZ); and (3) reaches surrounded by eucalypt plantations (dominant) and some oak forests, and presenting disturbed riparian zones with agricultural land use (DRZ"&amp;"). All sites represented small, low-gradient, warmwater streams in Central Portugal (Tagus basin), and their upstream land cover was dominated by natural/semi-natural uses. PRZ sites were abiotically similar to REF sites, although PRZ sites generally pres"&amp;"ented lower potential cover for fish and tended to support a riparian vegetation that was a little more fragmented. PRZ sites supported fish assemblages that were similar to those in reference reaches, although at the functional level we found a higher ab"&amp;"undance of native invertivores in REF sites. DRZ reaches, on the other hand, differed substantially from the other two groups. DRZ sites presented disturbed riparian vegetation (removal or substitution of native trees by exotic and/or non-woody species), "&amp;"eroded and modified channels, and a degradation of stream habitats (lack of riffle-poll complexes, higher silt contents, and lower potential cover for fish). The fish assemblages were also quite different, with a higher abundance of alien specimens (mainl"&amp;"y Gobio lozanoi) and generalist spawners, and a lower proportion of native invertivores and lithophils. Riffles and morphological alteration explained the greatest proportion of variance in species composition. Our study showed that protecting stream ripa"&amp;"rian zones by implementing BMP may mitigate the effects of eucalypt forestry on Iberian fish assemblages. However, given that there are a few differences in physical condition and biological integrity between streams associated with certified plantations "&amp;"and reference streams we suggest additional riparian management measures in the certified areas, such as restoration of the native vegetation, removal of alien plants, and improvement of the stream habitat. (C) 2015 Elsevier B.V. All rights reserved.")</f>
        <v>In Portugal, more than 150,000 ha of eucalypt plantations are managed under best management practices (BMP), in compliance with international certification systems. Some of these forestry areas extend to streams, and the riparian areas are thus protected from productive land uses. However, many other eucalypt plantations present riparian zones that are not managed under BMP and are often occupied by agricultural uses. To test the effects of forest management on physical habitats and fish assemblages in Iberian eucalypt streams, we selected three different stream reach types: (1) reaches in catchments dominated by native vegetation associations, and presenting semi-natural riparian zones (reference-REF); (2) reaches surrounded by certified eucalypt plantations (i.e., managed under BMP), and consequently, presenting protected riparian buffer zones (PRZ); and (3) reaches surrounded by eucalypt plantations (dominant) and some oak forests, and presenting disturbed riparian zones with agricultural land use (DRZ). All sites represented small, low-gradient, warmwater streams in Central Portugal (Tagus basin), and their upstream land cover was dominated by natural/semi-natural uses. PRZ sites were abiotically similar to REF sites, although PRZ sites generally presented lower potential cover for fish and tended to support a riparian vegetation that was a little more fragmented. PRZ sites supported fish assemblages that were similar to those in reference reaches, although at the functional level we found a higher abundance of native invertivores in REF sites. DRZ reaches, on the other hand, differed substantially from the other two groups. DRZ sites presented disturbed riparian vegetation (removal or substitution of native trees by exotic and/or non-woody species), eroded and modified channels, and a degradation of stream habitats (lack of riffle-poll complexes, higher silt contents, and lower potential cover for fish). The fish assemblages were also quite different, with a higher abundance of alien specimens (mainly Gobio lozanoi) and generalist spawners, and a lower proportion of native invertivores and lithophils. Riffles and morphological alteration explained the greatest proportion of variance in species composition. Our study showed that protecting stream riparian zones by implementing BMP may mitigate the effects of eucalypt forestry on Iberian fish assemblages. However, given that there are a few differences in physical condition and biological integrity between streams associated with certified plantations and reference streams we suggest additional riparian management measures in the certified areas, such as restoration of the native vegetation, removal of alien plants, and improvement of the stream habitat. (C) 2015 Elsevier B.V. All rights reserved.</v>
      </c>
      <c r="C1218" s="24" t="str">
        <f>IFERROR(__xludf.DUMMYFUNCTION("""COMPUTED_VALUE"""),"10.1016/j.foreco.2015.12.011")</f>
        <v>10.1016/j.foreco.2015.12.011</v>
      </c>
      <c r="D1218" s="24" t="str">
        <f>IFERROR(__xludf.DUMMYFUNCTION("""COMPUTED_VALUE"""),"Keck et al")</f>
        <v>Keck et al</v>
      </c>
      <c r="E1218" s="24" t="str">
        <f>IFERROR(__xludf.DUMMYFUNCTION("""COMPUTED_VALUE"""),"WOS:000370104200001")</f>
        <v>WOS:000370104200001</v>
      </c>
      <c r="F1218" s="24" t="str">
        <f>IFERROR(__xludf.DUMMYFUNCTION("""COMPUTED_VALUE"""),"[""ELIGIBLE""]")</f>
        <v>["ELIGIBLE"]</v>
      </c>
    </row>
    <row r="1219">
      <c r="A1219" s="24" t="str">
        <f>IFERROR(__xludf.DUMMYFUNCTION("""COMPUTED_VALUE"""),"Combined Effects of Dissolved Nutrients and Oxygen on Plant Litter Decomposition and Associated Fungal Communities")</f>
        <v>Combined Effects of Dissolved Nutrients and Oxygen on Plant Litter Decomposition and Associated Fungal Communities</v>
      </c>
      <c r="B1219" s="24" t="str">
        <f>IFERROR(__xludf.DUMMYFUNCTION("""COMPUTED_VALUE"""),"Aquatic ecosystems worldwide have been substantially altered by human activities, which often induce changes in multiple factors that can interact to produce complex effects. Here, we evaluated the combined effects of dissolved nutrients (nitrogen [N] and"&amp;" phosphorus [P]; three levels: concentration found in oligotrophic streams in the Cerrado biome, 10x and 100x enriched) and oxygen (O-2; three levels: hypoxic [4% O-2], depleted [55% O-2], and saturated [96% O-2]) on plant litter decomposition and associa"&amp;"ted fungal decomposers in laboratory microcosms simulating stream conditions under distinct scenarios of water quality deterioration. Senescent leaves of Maprounea guianensis were incubated for 10 days in an oligotrophic Cerrado stream to allow microbial "&amp;"colonization and subsequently incubated in microcosms for 21 days. Leaves lost 1.1-3.0% of their initial mass after 21 days, and this was not affected either by nutrients or oxygen levels. When considering simultaneous changes in nutrients and oxygen conc"&amp;"entrations, simulating increased human pressure, fungal biomass accumulation, and sporulation rates were generally inhibited. Aquatic hyphomycete community structure was also affected by changes in nutrients and oxygen availability, with stronger effects "&amp;"found in hypoxic treatments than in depleted or saturated oxygen treatments. This study showed that the effects of simultaneous changes in the availability of dissolved nutrients and oxygen in aquatic environments can influence the activity and compositio"&amp;"n of fungal communities, although these effects were not translated into changes in litter decomposition rates.")</f>
        <v>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v>
      </c>
      <c r="C1219" s="24" t="str">
        <f>IFERROR(__xludf.DUMMYFUNCTION("""COMPUTED_VALUE"""),"10.1007/s00248-017-1099-3")</f>
        <v>10.1007/s00248-017-1099-3</v>
      </c>
      <c r="D1219" s="24" t="str">
        <f>IFERROR(__xludf.DUMMYFUNCTION("""COMPUTED_VALUE"""),"Keck et al")</f>
        <v>Keck et al</v>
      </c>
      <c r="E1219" s="24" t="str">
        <f>IFERROR(__xludf.DUMMYFUNCTION("""COMPUTED_VALUE"""),"WOS:000430393400005")</f>
        <v>WOS:000430393400005</v>
      </c>
      <c r="F1219" s="24" t="str">
        <f>IFERROR(__xludf.DUMMYFUNCTION("""COMPUTED_VALUE"""),"[""ELIGIBLE""]")</f>
        <v>["ELIGIBLE"]</v>
      </c>
    </row>
    <row r="1220">
      <c r="A1220" s="24" t="str">
        <f>IFERROR(__xludf.DUMMYFUNCTION("""COMPUTED_VALUE"""),"Structure and variation of root-associated bacterial communities of Cyperus rotundus L. in the contaminated soils around Pb/Zn mine sites")</f>
        <v>Structure and variation of root-associated bacterial communities of Cyperus rotundus L. in the contaminated soils around Pb/Zn mine sites</v>
      </c>
      <c r="B1220" s="24" t="str">
        <f>IFERROR(__xludf.DUMMYFUNCTION("""COMPUTED_VALUE"""),"Soil contamination due to mining activities is a great concern in China. Although the effects of mining pollution resulting in changes of soil characteristics and the microbiome have been documented, studies on the responses of plant root-associated micro"&amp;"bial assemblages remain scarce. In this work, we collected bulk soil, rhizosphere soil, and root endosphere samples of Cyperus rotundus L (Cyp) plants from two Pb/Zn mines, of which, one was abandoned (SL) and the other was active (GD), to investigate the"&amp;" bacterial community responses across different site contamination levels and Cyp plant compartments. For comparison, one unpolluted site (SD) was included. Results revealed that soils from the SL and GD sites were seriously contaminated by metal(loid)s, "&amp;"including Pb, Zn, As, and Sb. Bacterial richness and diversity depended on the sampling site and plant compartment. All sample types from the SL site had the lowest bacterial diversities and their bacterial communities also exhibited distinct patterns com"&amp;"pared to GD and SD samples. As for the specific sampling site, bacterial communities from the root endosphere exhibited different patterns from those in bulk and rhizosphere soil. Compared to the GD and SD sites, the root endosphere and the rhizosphere so"&amp;"il from the SL site shared core microbes, including Halomonas, Pelagibacterium, and Chelativorans, suggesting that they play key roles in Cyp plant survival in such harsh environments.")</f>
        <v>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v>
      </c>
      <c r="C1220" s="24" t="str">
        <f>IFERROR(__xludf.DUMMYFUNCTION("""COMPUTED_VALUE"""),"10.1007/s11356-021-14595-x")</f>
        <v>10.1007/s11356-021-14595-x</v>
      </c>
      <c r="D1220" s="24" t="str">
        <f>IFERROR(__xludf.DUMMYFUNCTION("""COMPUTED_VALUE"""),"Keck et al")</f>
        <v>Keck et al</v>
      </c>
      <c r="E1220" s="24" t="str">
        <f>IFERROR(__xludf.DUMMYFUNCTION("""COMPUTED_VALUE"""),"WOS:000660399600001")</f>
        <v>WOS:000660399600001</v>
      </c>
      <c r="F1220" s="24" t="str">
        <f>IFERROR(__xludf.DUMMYFUNCTION("""COMPUTED_VALUE"""),"[""ELIGIBLE""]")</f>
        <v>["ELIGIBLE"]</v>
      </c>
    </row>
    <row r="1221">
      <c r="A1221" s="24" t="str">
        <f>IFERROR(__xludf.DUMMYFUNCTION("""COMPUTED_VALUE"""),"Diatoms as indicators of the effects of river impoundment at multiple spatial scales")</f>
        <v>Diatoms as indicators of the effects of river impoundment at multiple spatial scales</v>
      </c>
      <c r="B1221" s="24" t="str">
        <f>IFERROR(__xludf.DUMMYFUNCTION("""COMPUTED_VALUE"""),"River impoundment constitutes one of the most important anthropogenic impacts on the World's rivers. An increasing number of studies have tried to quantify the effects of river impoundment on riverine ecosystems over the past two decades, often focusing o"&amp;"n the effects of individual large reservoirs. This study is one of the first to use a large-scale, multi-year diatom dataset from a routine biomonitoring network to analyse sample sites downstream of a large number of water supply reservoirs (n = 77) and "&amp;"to compare them with paired unregulated control sites. We analysed benthic diatom assemblage structure and a set of derived indices, including ecological guilds, in tandem with multiple spatio-temporal variables to disclose patterns of ecological response"&amp;"s to reservoirs beyond the site-specific scale. Diatom assemblage structure at sites downstream of water supply reservoirs was significantly different to control sites, with the effect being most evident at the regional scale. We found that regional influ"&amp;"ences were important drivers of differences in assemblage structure at the national scale, although this effect was weaker at downstream sites, indicating the homogenising effect of river impoundment on diatom assemblages. Sites downstream of reservoirs t"&amp;"ypically exhibited a higher taxonomic richness, with the strongest increases found within the motile guild. In addition, Trophic Diatom Index (TDI) values were typically higher at downstream sites. Water quality gradients appeared to be an important drive"&amp;"r of diatom assemblages, but the influence of other abiotic factors could not be ruled out and should be investigated further. Our results demonstrate the value of diatom assemblage data from national-scale biomonitoring networks to detect the effects of "&amp;"water supply reservoirs on instream communities at large spatial scales. This information may assist water resource managers with the future implementation of mitigation measures such as setting environmental flow targets.")</f>
        <v>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v>
      </c>
      <c r="C1221" s="24" t="str">
        <f>IFERROR(__xludf.DUMMYFUNCTION("""COMPUTED_VALUE"""),"10.7717/peerj.8092")</f>
        <v>10.7717/peerj.8092</v>
      </c>
      <c r="D1221" s="24" t="str">
        <f>IFERROR(__xludf.DUMMYFUNCTION("""COMPUTED_VALUE"""),"Keck et al")</f>
        <v>Keck et al</v>
      </c>
      <c r="E1221" s="24" t="str">
        <f>IFERROR(__xludf.DUMMYFUNCTION("""COMPUTED_VALUE"""),"WOS:000498840700007")</f>
        <v>WOS:000498840700007</v>
      </c>
      <c r="F1221" s="24" t="str">
        <f>IFERROR(__xludf.DUMMYFUNCTION("""COMPUTED_VALUE"""),"[""ELIGIBLE""]")</f>
        <v>["ELIGIBLE"]</v>
      </c>
    </row>
    <row r="1222">
      <c r="A1222" s="24" t="str">
        <f>IFERROR(__xludf.DUMMYFUNCTION("""COMPUTED_VALUE"""),"Benthic Marine Ciliate Assemblages from Southern Brazil and Their Relationship with Seasonality and Urbanization Level")</f>
        <v>Benthic Marine Ciliate Assemblages from Southern Brazil and Their Relationship with Seasonality and Urbanization Level</v>
      </c>
      <c r="B1222" s="24" t="str">
        <f>IFERROR(__xludf.DUMMYFUNCTION("""COMPUTED_VALUE"""),"Sandy beaches represent two-thirds of littoral zones worldwide. Complex factors such as winds, waves, and sediment characterize this environment. Ciliophora is one of the most diversified unicellular eukaryotic phyla and, in marine sediments, can reach 40"&amp;" species per cm(3). Despite its importance, knowledge about interstitial communities is still lacking. In the present work, we characterized the assemblage of interstitial ciliates from sandy beaches in the north coastal area of Rio Grande do Sul state, s"&amp;"outhern Brazil. Fourteen sampling sites distributed along the swash zone of seven beaches with different degrees of urban development were sampled over the course of one year. At each site, eight sediment samples were taken, and a total of 51 species dist"&amp;"ributed in 37 ciliate genera were identified. Classes Spirotrichea (29%) and Karyorelictea (21%) accounted for 50% of ciliate species richness, with the highest richness being observed within the context of an intermediately urbanized setting. Community a"&amp;"nalyses revealed that ciliate community is influenced by urbanization degree and season, with distinct assemblages occurring in highly urbanized areas. In beaches affected by a high level of human activity, disturbance effects increased diversity, while i"&amp;"n areas showing a milder influence of urbanization, the level of disturbance may be low, resulting in lower richness.")</f>
        <v>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v>
      </c>
      <c r="C1222" s="24" t="str">
        <f>IFERROR(__xludf.DUMMYFUNCTION("""COMPUTED_VALUE"""),"10.3390/d12010016")</f>
        <v>10.3390/d12010016</v>
      </c>
      <c r="D1222" s="24" t="str">
        <f>IFERROR(__xludf.DUMMYFUNCTION("""COMPUTED_VALUE"""),"Keck et al")</f>
        <v>Keck et al</v>
      </c>
      <c r="E1222" s="24" t="str">
        <f>IFERROR(__xludf.DUMMYFUNCTION("""COMPUTED_VALUE"""),"WOS:000513019300013")</f>
        <v>WOS:000513019300013</v>
      </c>
      <c r="F1222" s="24" t="str">
        <f>IFERROR(__xludf.DUMMYFUNCTION("""COMPUTED_VALUE"""),"[""ELIGIBLE""]")</f>
        <v>["ELIGIBLE"]</v>
      </c>
    </row>
    <row r="1223">
      <c r="A1223" s="24" t="str">
        <f>IFERROR(__xludf.DUMMYFUNCTION("""COMPUTED_VALUE"""),"Effects of the Discharge of Iron Ore Tailings on Subtidal Rocky-Bottom Communities in Northern Chile")</f>
        <v>Effects of the Discharge of Iron Ore Tailings on Subtidal Rocky-Bottom Communities in Northern Chile</v>
      </c>
      <c r="B1223" s="24" t="str">
        <f>IFERROR(__xludf.DUMMYFUNCTION("""COMPUTED_VALUE"""),"Some of the many mining operations that exist in northern Chile dispose their mine tailings directly into the sea. Little is known about the effects of these tailings on shallow rocky subtidal communities. This study reports these effects for an iron ore "&amp;"pelletization plant that has discharged for ca. 23 years in the intertidal of a cove on the exposed rocky coast of northern Chile, generating high turbidity in the water column and deposit of sediments on the bottom. A nonparametric multidimensional scali"&amp;"ng (nMDS) ordination analysis for the species of the rocky subtidal communities, based on the Bray-Curtis dissimilarity index, showed great differences, the affected communities being dominated by incrusting invertebrates, whereas the unaffected areas at "&amp;"the same depth had kelp beds. The effects were observed only close to the discharge and were not observed in the more shallow water communities, which in affected and unaffected areas consisted of barren grounds dominated by calcareous algae and sea urchi"&amp;"ns. The effect on the vertical zonation pattern of communities did not produce differences in the effective diversity, which turned out to be similar among affected and control sites. This occurred because of the replacement, more than the elimination, of"&amp;" species on affected sites. This type of study, in which information is generally maintained in reports only seen by industry and governments, needs to be published to contribute to a more comprehensive database for the improvement of decision-making proc"&amp;"esses regarding coastal subtidal rocky communities and the effects of human activities on these environments.")</f>
        <v>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v>
      </c>
      <c r="C1223" s="24" t="str">
        <f>IFERROR(__xludf.DUMMYFUNCTION("""COMPUTED_VALUE"""),"10.2112/JCOASTRES-D-12-00086.1")</f>
        <v>10.2112/JCOASTRES-D-12-00086.1</v>
      </c>
      <c r="D1223" s="24" t="str">
        <f>IFERROR(__xludf.DUMMYFUNCTION("""COMPUTED_VALUE"""),"Keck et al")</f>
        <v>Keck et al</v>
      </c>
      <c r="E1223" s="24" t="str">
        <f>IFERROR(__xludf.DUMMYFUNCTION("""COMPUTED_VALUE"""),"WOS:000336005100008")</f>
        <v>WOS:000336005100008</v>
      </c>
      <c r="F1223" s="24" t="str">
        <f>IFERROR(__xludf.DUMMYFUNCTION("""COMPUTED_VALUE"""),"[""ELIGIBLE""]")</f>
        <v>["ELIGIBLE"]</v>
      </c>
    </row>
    <row r="1224">
      <c r="A1224" s="24" t="str">
        <f>IFERROR(__xludf.DUMMYFUNCTION("""COMPUTED_VALUE"""),"Modeling microbial communities from atrazine contaminated soils promotes the development of biostimulation solutions")</f>
        <v>Modeling microbial communities from atrazine contaminated soils promotes the development of biostimulation solutions</v>
      </c>
      <c r="B1224" s="24" t="str">
        <f>IFERROR(__xludf.DUMMYFUNCTION("""COMPUTED_VALUE"""),"Microbial communities play a vital role in biogeochemical cycles, allowing the biodegradation of a wide range of pollutants. The composition of the community and the interactions between its members affect degradation rate and determine the identity of th"&amp;"e final products. Here, we demonstrate the application of sequencing technologies and metabolic modeling approaches towards enhancing biodegradation of atrazine-a herbicide causing environmental pollution. Treatment of agriculture soil with atrazine is sh"&amp;"own to induce significant changes in community structure and functional performances. Genome-scale metabolic models were constructed for Arthrobacter, the atrazine degrader, and four other non-atrazine degrading species whose relative abundance in soil wa"&amp;"s changed following exposure to the herbicide. By modeling community function we show that consortia including the direct degrader and non-degrader differentially abundant species perform better than Arthrobacter alone. Simulations predict that growth/deg"&amp;"radation enhancement is derived by metabolic exchanges between community members. Based on simulations we designed endogenous consortia optimized for enhanced degradation whose performances were validated in vitro and biostimulation strategies that were t"&amp;"ested in pot experiments. Overall, our analysis demonstrates that understanding community function in its wider context, beyond the single direct degrader perspective, promotes the design of biostimulation strategies.")</f>
        <v>Microbial communities play a vital role in biogeochemical cycles, allowing the biodegradation of a wide range of pollutants. The composition of the community and the interactions between its members affect degradation rate and determine the identity of the final products. Here, we demonstrate the application of sequencing technologies and metabolic modeling approaches towards enhancing biodegradation of atrazine-a herbicide causing environmental pollution. Treatment of agriculture soil with atrazine is shown to induce significant changes in community structure and functional performances. Genome-scale metabolic models were constructed for Arthrobacter, the atrazine degrader, and four other non-atrazine degrading species whose relative abundance in soil was changed following exposure to the herbicide. By modeling community function we show that consortia including the direct degrader and non-degrader differentially abundant species perform better than Arthrobacter alone. Simulations predict that growth/degradation enhancement is derived by metabolic exchanges between community members. Based on simulations we designed endogenous consortia optimized for enhanced degradation whose performances were validated in vitro and biostimulation strategies that were tested in pot experiments. Overall, our analysis demonstrates that understanding community function in its wider context, beyond the single direct degrader perspective, promotes the design of biostimulation strategies.</v>
      </c>
      <c r="C1224" s="24" t="str">
        <f>IFERROR(__xludf.DUMMYFUNCTION("""COMPUTED_VALUE"""),"10.1038/s41396-018-0288-5")</f>
        <v>10.1038/s41396-018-0288-5</v>
      </c>
      <c r="D1224" s="24" t="str">
        <f>IFERROR(__xludf.DUMMYFUNCTION("""COMPUTED_VALUE"""),"Keck et al")</f>
        <v>Keck et al</v>
      </c>
      <c r="E1224" s="24" t="str">
        <f>IFERROR(__xludf.DUMMYFUNCTION("""COMPUTED_VALUE"""),"WOS:000455747900020")</f>
        <v>WOS:000455747900020</v>
      </c>
      <c r="F1224" s="24" t="str">
        <f>IFERROR(__xludf.DUMMYFUNCTION("""COMPUTED_VALUE"""),"[""ELIGIBLE""]")</f>
        <v>["ELIGIBLE"]</v>
      </c>
    </row>
    <row r="1225">
      <c r="A1225" s="24" t="str">
        <f>IFERROR(__xludf.DUMMYFUNCTION("""COMPUTED_VALUE"""),"Influence of land use on the taxonomic and functional diversity of dung beetles (Coleoptera: Scarabaeinae) in the southern Atlantic forest of Argentina")</f>
        <v>Influence of land use on the taxonomic and functional diversity of dung beetles (Coleoptera: Scarabaeinae) in the southern Atlantic forest of Argentina</v>
      </c>
      <c r="B1225" s="24" t="str">
        <f>IFERROR(__xludf.DUMMYFUNCTION("""COMPUTED_VALUE"""),"The degradation and replacement of native ecosystems affects both their taxonomic and functional biodiversity. However, native species may find a gradient of habitat suitability in different land uses within a region. The aim of this study was to evaluate"&amp;" the effect of land use on the taxonomic and functional diversity of dung beetle assemblages in the southern Atlantic forest of Argentina. Dung beetles were sampled in both the native forest (control) and different land uses (Pine and Yerba mate plantatio"&amp;"ns and cattle pastures) during the 2014 summer, using pitfall traps baited with human feces and rotten meat. Samplings were taken from 20 different sites, with five replicates of each land use and the native forest (100 pitfall traps in total). A total of"&amp;" 1699 beetles of 27 species were captured. Canthon quinquemaculatus, Canthon conformis and Dichotomius sericeus were the most abundant species. Cattle pastures were the land use most negatively affected in their taxonomic and functional diversity, particu"&amp;"larly large paracoprid dung beetles. Pine plantations maintained their taxonomic and functional diversity in relation to the native forest and Yerba mate plantations showed, in general, an intermediate situation. Microclimatic conditions (average temperat"&amp;"ure and humidity and maximum temperature) were correlated with functional diversity (the proportion of large paracoprid dung beetles decreased with increasing temperature) and are probably good predictors to explain the observed patterns of functional div"&amp;"ersity of dung beetles. The development of sustainable production systems that preserve the native biodiversity requires the conservation of key components from the ecological niche of native species, especially microclimatic conditions.")</f>
        <v>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v>
      </c>
      <c r="C1225" s="24" t="str">
        <f>IFERROR(__xludf.DUMMYFUNCTION("""COMPUTED_VALUE"""),"10.1007/s10841-017-9964-4")</f>
        <v>10.1007/s10841-017-9964-4</v>
      </c>
      <c r="D1225" s="24" t="str">
        <f>IFERROR(__xludf.DUMMYFUNCTION("""COMPUTED_VALUE"""),"Keck et al")</f>
        <v>Keck et al</v>
      </c>
      <c r="E1225" s="24" t="str">
        <f>IFERROR(__xludf.DUMMYFUNCTION("""COMPUTED_VALUE"""),"WOS:000399241300014")</f>
        <v>WOS:000399241300014</v>
      </c>
      <c r="F1225" s="24" t="str">
        <f>IFERROR(__xludf.DUMMYFUNCTION("""COMPUTED_VALUE"""),"[""ELIGIBLE""]")</f>
        <v>["ELIGIBLE"]</v>
      </c>
    </row>
    <row r="1226">
      <c r="A1226" s="24" t="str">
        <f>IFERROR(__xludf.DUMMYFUNCTION("""COMPUTED_VALUE"""),"Effects of mussel culture husbandry practices on various benthic characteristics")</f>
        <v>Effects of mussel culture husbandry practices on various benthic characteristics</v>
      </c>
      <c r="B1226" s="24" t="str">
        <f>IFERROR(__xludf.DUMMYFUNCTION("""COMPUTED_VALUE"""),"Sediments and macroinvertebrate diversity underneath suspended mussel lines were examined in a shallow water system in Prince Edward Island, Canada. The objectives of the study were to describe the benthic environment in a typical mussel farm from eastern"&amp;" Canada and to underline various relationships between benthic parameters and husbandry practices. Benthic parameters included granulometry of the sediments, organic matter and sulfide contents as well as redox potential and common macroinvertebrate diver"&amp;"sity indices. Husbandry operation parameters investigated were the number of years of operation and mussel culture density for a given lease. The results did not show any particular spatial patterns. The sediments' mud content varied between 96 and 100%. "&amp;"Redox potential varied between -150 and 250 mV while sulfide concentration ranged between 100 and 9500 mu M. Organic matter content varied between 1 and 16%. A total of 31 species were identified. Diversity indices were small throughout the study site. Th"&amp;"e number of years of operation for a given site varied between 0 (control sites) and 16 years while mussel culture densities ranged between 0 (control sites) and 0.70 kg/m(2). Overall, no strong relationship was underlined between benthic parameters and s"&amp;"tudied husbandry practices. BIOENV analyses showed that culture density explained a small proportion of the benthic assemblages variability underneath mussel lines when using the macroinvertebrate abundance data set (r = 0.137). Similar analyses showed th"&amp;"at water depth better explained the variability observed under mussel lines when using the macroinvertebrate presence/absence data set (r = 0.263). The absence of a strong relationship between husbandry practices and the studied benthic parameters might b"&amp;"e related to the oceanographic characteristics and land-based activities associated with the water system rather than direct and cumulative effects of mussel culture. (C) 2005 Elsevier B.V. All rights reserved.")</f>
        <v>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v>
      </c>
      <c r="C1226" s="24" t="str">
        <f>IFERROR(__xludf.DUMMYFUNCTION("""COMPUTED_VALUE"""),"10.1016/j.aquaculture.2005.01.030")</f>
        <v>10.1016/j.aquaculture.2005.01.030</v>
      </c>
      <c r="D1226" s="24" t="str">
        <f>IFERROR(__xludf.DUMMYFUNCTION("""COMPUTED_VALUE"""),"Keck et al")</f>
        <v>Keck et al</v>
      </c>
      <c r="E1226" s="24" t="str">
        <f>IFERROR(__xludf.DUMMYFUNCTION("""COMPUTED_VALUE"""),"WOS:000233225500016")</f>
        <v>WOS:000233225500016</v>
      </c>
      <c r="F1226" s="24" t="str">
        <f>IFERROR(__xludf.DUMMYFUNCTION("""COMPUTED_VALUE"""),"[""ELIGIBLE""]")</f>
        <v>["ELIGIBLE"]</v>
      </c>
    </row>
    <row r="1227">
      <c r="A1227" s="24" t="str">
        <f>IFERROR(__xludf.DUMMYFUNCTION("""COMPUTED_VALUE"""),"Persistent contamination of polycyclic aromatic hydrocarbons (PAHs) and phthalates linked to the shift of microbial function in urban river sediments")</f>
        <v>Persistent contamination of polycyclic aromatic hydrocarbons (PAHs) and phthalates linked to the shift of microbial function in urban river sediments</v>
      </c>
      <c r="B1227" s="24" t="str">
        <f>IFERROR(__xludf.DUMMYFUNCTION("""COMPUTED_VALUE"""),"Urban rivers were heavily polluted, which resulted in blackening and odorization (i.e., black-odor rivers). Nevertheless, very limited information is available on sediment contamination levels of black-odor rivers and their linkage to the patterns of micr"&amp;"obial functional genes. This study investigated distribution of polycyclic aromatic hydrocarbons (PAHs) and phthalates (PAEs) and their linkages to bacterial community and related functional genes in river sediments. The results demonstrate that higher av"&amp;"erage levels of E16PAHs (1405 mu g/ kg, dry weight) and E6PAEs (7120 mu g/kg) were observed in sediments from heavy black-odor rivers than the moderate ones (E16PAHs: 462 mu g/kg; E6PAEs: 2470 mu g/kg). The taxon composition and diversities of bacterial c"&amp;"ommunity in sediments varied with significantly lower diversity indices in heavy black-odor rivers than moderate ones. Sediments from heavy black-odor rivers enriched certain PAH and PAE degrading bacteria and genes. Unfortunately, PAH and PAE contaminati"&amp;"on demonstrated negative influences on nitrogen and phosphorus metabolism related bacteria and function genes but significant positive influences on certain sulfur metabolism related bacterial taxa and sulfur reduction gene, which might cause nitrogen and"&amp;" phosphorus accumulation and black-odor phenomenon in heavy black-odor rivers. This study highlights PAH and PAE contamination in urban rivers may shift bacterial community and detrimentally affect their ecological functions.")</f>
        <v>Urban rivers were heavily polluted, which resulted in blackening and odorization (i.e., black-odor rivers). Nevertheless, very limited information is available on sediment contamination levels of black-odor rivers and their linkage to the patterns of microbial functional genes. This study investigated distribution of polycyclic aromatic hydrocarbons (PAHs) and phthalates (PAEs) and their linkages to bacterial community and related functional genes in river sediments. The results demonstrate that higher average levels of E16PAHs (1405 mu g/ kg, dry weight) and E6PAEs (7120 mu g/kg) were observed in sediments from heavy black-odor rivers than the moderate ones (E16PAHs: 462 mu g/kg; E6PAEs: 2470 mu g/kg). The taxon composition and diversities of bacterial community in sediments varied with significantly lower diversity indices in heavy black-odor rivers than moderate ones. Sediments from heavy black-odor rivers enriched certain PAH and PAE degrading bacteria and genes. Unfortunately, PAH and PAE contamination demonstrated negative influences on nitrogen and phosphorus metabolism related bacteria and function genes but significant positive influences on certain sulfur metabolism related bacterial taxa and sulfur reduction gene, which might cause nitrogen and phosphorus accumulation and black-odor phenomenon in heavy black-odor rivers. This study highlights PAH and PAE contamination in urban rivers may shift bacterial community and detrimentally affect their ecological functions.</v>
      </c>
      <c r="C1227" s="24" t="str">
        <f>IFERROR(__xludf.DUMMYFUNCTION("""COMPUTED_VALUE"""),"10.1016/j.jhazmat.2021.125416")</f>
        <v>10.1016/j.jhazmat.2021.125416</v>
      </c>
      <c r="D1227" s="24" t="str">
        <f>IFERROR(__xludf.DUMMYFUNCTION("""COMPUTED_VALUE"""),"Keck et al")</f>
        <v>Keck et al</v>
      </c>
      <c r="E1227" s="24" t="str">
        <f>IFERROR(__xludf.DUMMYFUNCTION("""COMPUTED_VALUE"""),"WOS:000653032300006")</f>
        <v>WOS:000653032300006</v>
      </c>
      <c r="F1227" s="24" t="str">
        <f>IFERROR(__xludf.DUMMYFUNCTION("""COMPUTED_VALUE"""),"[""ELIGIBLE""]")</f>
        <v>["ELIGIBLE"]</v>
      </c>
    </row>
    <row r="1228">
      <c r="A1228" s="24" t="str">
        <f>IFERROR(__xludf.DUMMYFUNCTION("""COMPUTED_VALUE"""),"Regional boreal biodiversity peaks at intermediate human disturbance")</f>
        <v>Regional boreal biodiversity peaks at intermediate human disturbance</v>
      </c>
      <c r="B1228" s="24" t="str">
        <f>IFERROR(__xludf.DUMMYFUNCTION("""COMPUTED_VALUE"""),"The worldwide biodiversity crisis has intensified the need to better understand how biodiversity and human disturbance are related. The 'intermediate disturbance hypothesis' suggests that disturbance regimes generate predictable non-linear patterns in spe"&amp;"cies richness. Evidence often contradicts intermediate disturbance hypothesis at small scales, and is generally lacking at large regional scales. Here, we present the largest extent study of human impacts on boreal plant biodiversity to date. Disturbance "&amp;"extent ranged from 0 to 100% disturbed in vascular plant communities, varying from intact forest to agricultural fields, forestry cut blocks and oil sands. We show for the first time that across a broad region species richness peaked in communities with i"&amp;"ntermediate anthropogenic disturbance, as predicted by intermediate disturbance hypothesis, even when accounting for many environmental covariates. Intermediate disturbance hypothesis was consistently supported across trees, shrubs, forbs and grasses, wit"&amp;"h temporary and perpetual disturbances. However, only native species fit this pattern; exotic species richness increased linearly with disturbance.")</f>
        <v>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v>
      </c>
      <c r="C1228" s="24" t="str">
        <f>IFERROR(__xludf.DUMMYFUNCTION("""COMPUTED_VALUE"""),"10.1038/ncomms2145")</f>
        <v>10.1038/ncomms2145</v>
      </c>
      <c r="D1228" s="24" t="str">
        <f>IFERROR(__xludf.DUMMYFUNCTION("""COMPUTED_VALUE"""),"Keck et al")</f>
        <v>Keck et al</v>
      </c>
      <c r="E1228" s="24" t="str">
        <f>IFERROR(__xludf.DUMMYFUNCTION("""COMPUTED_VALUE"""),"WOS:000313514100052")</f>
        <v>WOS:000313514100052</v>
      </c>
      <c r="F1228" s="24" t="str">
        <f>IFERROR(__xludf.DUMMYFUNCTION("""COMPUTED_VALUE"""),"[""ELIGIBLE""]")</f>
        <v>["ELIGIBLE"]</v>
      </c>
    </row>
    <row r="1229">
      <c r="A1229" s="24" t="str">
        <f>IFERROR(__xludf.DUMMYFUNCTION("""COMPUTED_VALUE"""),"Biodiversity recovery during rainforest reforestation as indicated by rapid assessment of epigaeic ants in tropical and subtropical Australia")</f>
        <v>Biodiversity recovery during rainforest reforestation as indicated by rapid assessment of epigaeic ants in tropical and subtropical Australia</v>
      </c>
      <c r="B1229" s="24" t="str">
        <f>IFERROR(__xludf.DUMMYFUNCTION("""COMPUTED_VALUE"""),"There is growing interest in the potential for reforestation to assist the recovery of rainforest biodiversity. There is also a need to identify taxonomically tractable groups for use as cost-effective indicators when monitoring the status of biodiversity"&amp;" within reforested sites. Insects are an important component of terrestrial biodiversity but often require considerable resources to sample at species level. Ant genera and generic-based functional groups have been suggested as possible indicators of envi"&amp;"ronmental disturbance. Here we ask to what extent the development of biodiversity is indicated by epigacic ant genera and functional groups, across different types of reforestation in tropical and subtropical Australia. In each region, we used pitfall tra"&amp;"ps to sample the ants in replicate sites of: unmanaged regrowth, monoculture and mixed species plantations and 'ecological restoration' plantings, together with reference sites in pasture and rainforest. We recorded 35 epigaeic ant genera (and 4623 indivi"&amp;"duals) from 50 tropical sites, and 39 genera (and 9904 individuals) from 54 subtropical sites, with 47 genera overall. Community composition of both genera and functional groups differed between pasture and rainforest, although many genera were widespread"&amp;" in both. Reforested sites were intermediate between pasture and rainforest in both regions, and showed a gradient associated with decreasing grass and increasing tree and litter cover. Older monoculture plantations and ecological restoration plantings ha"&amp;"d the most rainforest-like ant assemblages, and mixed-species cabinet timber plots the least, of the reforested sites. We conclude that ground-active ant genera and functional groups sampled in rapid surveys by pitfall-trapping showed only a modest abilit"&amp;"y to discriminate among different types of reforestation. Species-level identification, perhaps together with expanded sampling effort, could be more informative, but would require resourcing beyond the scope of rapid assessments.")</f>
        <v>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v>
      </c>
      <c r="C1229" s="24" t="str">
        <f>IFERROR(__xludf.DUMMYFUNCTION("""COMPUTED_VALUE"""),"10.1111/j.1442-9993.2009.01943.x")</f>
        <v>10.1111/j.1442-9993.2009.01943.x</v>
      </c>
      <c r="D1229" s="24" t="str">
        <f>IFERROR(__xludf.DUMMYFUNCTION("""COMPUTED_VALUE"""),"Keck et al")</f>
        <v>Keck et al</v>
      </c>
      <c r="E1229" s="24" t="str">
        <f>IFERROR(__xludf.DUMMYFUNCTION("""COMPUTED_VALUE"""),"WOS:000268196000007")</f>
        <v>WOS:000268196000007</v>
      </c>
      <c r="F1229" s="24" t="str">
        <f>IFERROR(__xludf.DUMMYFUNCTION("""COMPUTED_VALUE"""),"[""ELIGIBLE""]")</f>
        <v>["ELIGIBLE"]</v>
      </c>
    </row>
    <row r="1230">
      <c r="A1230" s="24" t="str">
        <f>IFERROR(__xludf.DUMMYFUNCTION("""COMPUTED_VALUE"""),"Understanding Fish Assemblage Structure in Lentic Ecosystems: Relative Effects of Abiotic Factors and Management Legacies")</f>
        <v>Understanding Fish Assemblage Structure in Lentic Ecosystems: Relative Effects of Abiotic Factors and Management Legacies</v>
      </c>
      <c r="B1230" s="24" t="str">
        <f>IFERROR(__xludf.DUMMYFUNCTION("""COMPUTED_VALUE"""),"We investigated associations of fish assemblages and habitat characteristics (e.g., morphology and water chemistry) from 45 natural lakes and reservoirs in Iowa to determine whether species or trophic guild composition and environmental correlations were "&amp;"concordant between waterbodies of different origins. Overall, fish assemblage composition between natural lakes and reservoirs was consistently dissimilar based on a permutational multivariate ANOVA. Species composition from nonmetric multidimensional sca"&amp;"ling ordinations for reservoirs was correlated with a variety of limnological and physical characteristics, whereas species composition and trophic composition of natural lakes were weakly associated with habitat characteristics. Species richness was posi"&amp;"tively related to waterbody and watershed size for reservoirs but not for natural lakes. Conversely, species richness was negatively correlated with increasing eutrophic conditions in natural lakes but not in reservoirs. Overall, distinct differences in a"&amp;"ssemblage composition were observed between natural and artificial lentic ecosystems and may have resulted from underlying differences in limnological, physical, and anthropogenic influences between systems. Dissimilar management legacies between waterbod"&amp;"y types, such as limited or no stocking of nonrecreationally important species and the use of piscicides, may have additionally had overriding effects on the observed assemblage-environmental relationships. For instance, lower trophic richness and species"&amp;" richness in reservoirs appeared to have resulted from replacement of a diversity of small-bodied native species by relatively few commonly stocked sport fishes. Our results emphasize the need to consider waterbody origin and the potential influence of hi"&amp;"storical or current management strategies on fish assemblage characterization and subsequent inferences made from environmental correlations.")</f>
        <v>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v>
      </c>
      <c r="C1230" s="24" t="str">
        <f>IFERROR(__xludf.DUMMYFUNCTION("""COMPUTED_VALUE"""),"10.1002/nafm.10304")</f>
        <v>10.1002/nafm.10304</v>
      </c>
      <c r="D1230" s="24" t="str">
        <f>IFERROR(__xludf.DUMMYFUNCTION("""COMPUTED_VALUE"""),"Keck et al")</f>
        <v>Keck et al</v>
      </c>
      <c r="E1230" s="24" t="str">
        <f>IFERROR(__xludf.DUMMYFUNCTION("""COMPUTED_VALUE"""),"WOS:000481873200001")</f>
        <v>WOS:000481873200001</v>
      </c>
      <c r="F1230" s="24" t="str">
        <f>IFERROR(__xludf.DUMMYFUNCTION("""COMPUTED_VALUE"""),"[""ELIGIBLE""]")</f>
        <v>["ELIGIBLE"]</v>
      </c>
    </row>
    <row r="1231">
      <c r="A1231" s="24" t="str">
        <f>IFERROR(__xludf.DUMMYFUNCTION("""COMPUTED_VALUE"""),"Strong legacy of agricultural land use on soils and understory plant communities in longleaf pine woodlands")</f>
        <v>Strong legacy of agricultural land use on soils and understory plant communities in longleaf pine woodlands</v>
      </c>
      <c r="B1231" s="24" t="str">
        <f>IFERROR(__xludf.DUMMYFUNCTION("""COMPUTED_VALUE"""),"Post-agricultural ecosystems are increasingly prevalent in contemporary landscapes. Understanding the ecological impacts of agricultural legacies, which may last for decades to millennia following agricultural abandonment, is critical for interpreting con"&amp;"temporary patterns of biodiversity and for informing strategies for the restoration of post-agricultural ecosystems. However, the study of agricultural legacies is complicated by non-random land-use decisions: areas selected for agriculture commonly diffe"&amp;"r from non-agricultural areas in ways that may confound interpretation of agricultural legacies (e.g., agricultural areas may have more productive soils). We evaluated legacies of tillage agriculture in longleaf pine (Pinus palustris) woodlands of the Sou"&amp;"theastern United States, using a paired-plot study design (n = 29 paired remnant and post-agricultural woodlands) to minimize the confounding influence of non-random past land-use decisions. Agricultural legacies were prevalent, but not due to differences"&amp;" in the types of sites selected for agriculture. Nearly 60 years after agricultural abandonment and afforestation, numerous soil attributes (i.e., N, P, organic matter, soil water holding capacity) remain altered in post-agricultural woodlands, relative t"&amp;"o adjacent remnants. Overstory tree abundance and understory plant species richness were similar in remnant and post-agricultural woodlands, but we found a pronounced agricultural legacy on over- and understory plant community composition. Understory comp"&amp;"ositional differences were striking, particularly given the proximity of post-agricultural woodlands to immediately adjacent remnant source populations and the time (&gt;50 years) for source populations to spread. This difference in understory community comp"&amp;"osition could be caused by the persistent environmental differences we observed or by dispersal limitation, as evidenced by greater species richness in post-agricultural sites with greater historical landscape connectivity. We suggest that future experime"&amp;"ntal work will further assist in a mechanistic understanding of how agricultural legacies impede understory plant recovery and that this understanding will benefit the formulation of strategies for the restoration of post-agricultural longleaf pine woodla"&amp;"nds and other forested systems. (C) 2013 Elsevier B.V. All rights reserved.")</f>
        <v>Post-agricultural ecosystems are increasingly prevalent in contemporary landscapes. Understanding the ecological impacts of agricultural legacies, which may last for decades to millennia following agricultural abandonment, is critical for interpreting contemporary patterns of biodiversity and for informing strategies for the restoration of post-agricultural ecosystems. However, the study of agricultural legacies is complicated by non-random land-use decisions: areas selected for agriculture commonly differ from non-agricultural areas in ways that may confound interpretation of agricultural legacies (e.g., agricultural areas may have more productive soils). We evaluated legacies of tillage agriculture in longleaf pine (Pinus palustris) woodlands of the Southeastern United States, using a paired-plot study design (n = 29 paired remnant and post-agricultural woodlands) to minimize the confounding influence of non-random past land-use decisions. Agricultural legacies were prevalent, but not due to differences in the types of sites selected for agriculture. Nearly 60 years after agricultural abandonment and afforestation, numerous soil attributes (i.e., N, P, organic matter, soil water holding capacity) remain altered in post-agricultural woodlands, relative to adjacent remnants. Overstory tree abundance and understory plant species richness were similar in remnant and post-agricultural woodlands, but we found a pronounced agricultural legacy on over- and understory plant community composition. Understory compositional differences were striking, particularly given the proximity of post-agricultural woodlands to immediately adjacent remnant source populations and the time (&gt;50 years) for source populations to spread. This difference in understory community composition could be caused by the persistent environmental differences we observed or by dispersal limitation, as evidenced by greater species richness in post-agricultural sites with greater historical landscape connectivity. We suggest that future experimental work will further assist in a mechanistic understanding of how agricultural legacies impede understory plant recovery and that this understanding will benefit the formulation of strategies for the restoration of post-agricultural longleaf pine woodlands and other forested systems. (C) 2013 Elsevier B.V. All rights reserved.</v>
      </c>
      <c r="C1231" s="24" t="str">
        <f>IFERROR(__xludf.DUMMYFUNCTION("""COMPUTED_VALUE"""),"10.1016/j.foreco.2013.09.053")</f>
        <v>10.1016/j.foreco.2013.09.053</v>
      </c>
      <c r="D1231" s="24" t="str">
        <f>IFERROR(__xludf.DUMMYFUNCTION("""COMPUTED_VALUE"""),"Keck et al")</f>
        <v>Keck et al</v>
      </c>
      <c r="E1231" s="24" t="str">
        <f>IFERROR(__xludf.DUMMYFUNCTION("""COMPUTED_VALUE"""),"WOS:000330601000098")</f>
        <v>WOS:000330601000098</v>
      </c>
      <c r="F1231" s="24" t="str">
        <f>IFERROR(__xludf.DUMMYFUNCTION("""COMPUTED_VALUE"""),"[""ELIGIBLE""]")</f>
        <v>["ELIGIBLE"]</v>
      </c>
    </row>
    <row r="1232">
      <c r="A1232" s="24" t="str">
        <f>IFERROR(__xludf.DUMMYFUNCTION("""COMPUTED_VALUE"""),"Habitat alteration by invasive European green crab (Carcinus maenas) causes eelgrass loss in British Columbia, Canada")</f>
        <v>Habitat alteration by invasive European green crab (Carcinus maenas) causes eelgrass loss in British Columbia, Canada</v>
      </c>
      <c r="B1232" s="24" t="str">
        <f>IFERROR(__xludf.DUMMYFUNCTION("""COMPUTED_VALUE"""),"Dominant, habitat-forming plant species, such as seagrasses, are key components of coastal ecosystems worldwide. Multiple stressors, including invasive species that directly alter, remove, or replace the foundation plant species, threaten these ecosystems"&amp;". On the Atlantic coast of North America, ecosystem engineering by invasive European green crab (Carcinus maenas) has been linked to the loss of some eelgrass (Zostera marina) beds. However, the interaction of the same co-occurring species on the Pacific "&amp;"coast has not been investigated. We conducted an enclosure experiment in Barkley Sound, British Columbia, to determine if the engineering impacts of green crabs on Pacific eelgrass ecosystems mirror those previously identified on the Atlantic coast. Eelgr"&amp;"ass shoot density declined rapidly over 4 weeks, with a 73-81% greater loss in enclosures with high crab density compared to the low-density and control treatments. The low ratio of eelgrass blades to rhizomes in the high-density treatment suggests that b"&amp;"lade shredding, rather than bioturbation of whole plants, was the main mechanism of eelgrass loss. Eelgrass was detected in green crab stomach contents, consistent with observations from the Atlantic coast. Crab density did not have a detectable effect on"&amp;" the biomass or community composition of benthic fauna associated with eelgrass over the duration of the experiment. The eelgrass loss we observed was consistent with losses observed on the Atlantic coast, which raises management concerns on the Pacific c"&amp;"oast, particularly in areas where green crabs co-occur with other coastal stressors and with ecologically and economically important species such as salmon.")</f>
        <v>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v>
      </c>
      <c r="C1232" s="24" t="str">
        <f>IFERROR(__xludf.DUMMYFUNCTION("""COMPUTED_VALUE"""),"10.1007/s10530-019-02072-z")</f>
        <v>10.1007/s10530-019-02072-z</v>
      </c>
      <c r="D1232" s="24" t="str">
        <f>IFERROR(__xludf.DUMMYFUNCTION("""COMPUTED_VALUE"""),"Keck et al")</f>
        <v>Keck et al</v>
      </c>
      <c r="E1232" s="24" t="str">
        <f>IFERROR(__xludf.DUMMYFUNCTION("""COMPUTED_VALUE"""),"WOS:000492419000012")</f>
        <v>WOS:000492419000012</v>
      </c>
      <c r="F1232" s="24" t="str">
        <f>IFERROR(__xludf.DUMMYFUNCTION("""COMPUTED_VALUE"""),"[""ELIGIBLE""]")</f>
        <v>["ELIGIBLE"]</v>
      </c>
    </row>
    <row r="1233">
      <c r="A1233" s="24" t="str">
        <f>IFERROR(__xludf.DUMMYFUNCTION("""COMPUTED_VALUE"""),"Titanium dioxide nanoparticles strongly impact soil microbial function by affecting archaeal nitrifiers")</f>
        <v>Titanium dioxide nanoparticles strongly impact soil microbial function by affecting archaeal nitrifiers</v>
      </c>
      <c r="B1233" s="24" t="str">
        <f>IFERROR(__xludf.DUMMYFUNCTION("""COMPUTED_VALUE"""),"Soils are facing new environmental stressors, such as titanium dioxide nanoparticles (TiO2-NPs). While these emerging pollutants are increasingly released into most ecosystems, including agricultural fields, their potential impacts on soil and its functio"&amp;"n remain to be investigated. Here we report the response of the microbial community of an agricultural soil exposed over 90 days to TiO2-NPs (1 and 500 mg kg(-1) dry soil). To assess their impact on soil function, we focused on the nitrogen cycle and meas"&amp;"ured nitrification and denitrification enzymatic activities and by quantifying specific representative genes (amoA for ammonia-oxidizers, nirK and nirS for denitrifiers). Additionally, diversity shifts were examined in bacteria, archaea, and the ammonia-o"&amp;"xidizing clades of each domain. With strong negative impacts on nitrification enzyme activities and the abundances of ammonia-oxidizing microorganism, TiO2-NPs triggered cascading negative effects on denitrification enzyme activity and a deep modification"&amp;" of the bacterial community structure after just 90 days of exposure to even the lowest, realistic concentration of NPs. These results appeal further research to assess how these emerging pollutants modify the soil health and broader ecosystem function.")</f>
        <v>Soils are facing new environmental stressors, such as titanium dioxide nanoparticles (TiO2-NPs). While these emerging pollutants are increasingly released into most ecosystems, including agricultural fields, their potential impacts on soil and its function remain to be investigated. Here we report the response of the microbial community of an agricultural soil exposed over 90 days to TiO2-NPs (1 and 500 mg kg(-1) dry soil). To assess their impact on soil function, we focused on the nitrogen cycle and measured nitrification and denitrification enzymatic activities and by quantifying specific representative genes (amoA for ammonia-oxidizers, nirK and nirS for denitrifiers). Additionally, diversity shifts were examined in bacteria, archaea, and the ammonia-oxidizing clades of each domain. With strong negative impacts on nitrification enzyme activities and the abundances of ammonia-oxidizing microorganism, TiO2-NPs triggered cascading negative effects on denitrification enzyme activity and a deep modification of the bacterial community structure after just 90 days of exposure to even the lowest, realistic concentration of NPs. These results appeal further research to assess how these emerging pollutants modify the soil health and broader ecosystem function.</v>
      </c>
      <c r="C1233" s="24" t="str">
        <f>IFERROR(__xludf.DUMMYFUNCTION("""COMPUTED_VALUE"""),"10.1038/srep33643")</f>
        <v>10.1038/srep33643</v>
      </c>
      <c r="D1233" s="24" t="str">
        <f>IFERROR(__xludf.DUMMYFUNCTION("""COMPUTED_VALUE"""),"Keck et al")</f>
        <v>Keck et al</v>
      </c>
      <c r="E1233" s="24" t="str">
        <f>IFERROR(__xludf.DUMMYFUNCTION("""COMPUTED_VALUE"""),"WOS:000384041800001")</f>
        <v>WOS:000384041800001</v>
      </c>
      <c r="F1233" s="24" t="str">
        <f>IFERROR(__xludf.DUMMYFUNCTION("""COMPUTED_VALUE"""),"[""ELIGIBLE""]")</f>
        <v>["ELIGIBLE"]</v>
      </c>
    </row>
    <row r="1234">
      <c r="A1234" s="24" t="str">
        <f>IFERROR(__xludf.DUMMYFUNCTION("""COMPUTED_VALUE"""),"Does restoration of structural heterogeneity in streams enhance fish and macroinvertebrate diversity?")</f>
        <v>Does restoration of structural heterogeneity in streams enhance fish and macroinvertebrate diversity?</v>
      </c>
      <c r="B1234" s="24" t="str">
        <f>IFERROR(__xludf.DUMMYFUNCTION("""COMPUTED_VALUE"""),"Restoration schemes often rely on the assumption that enhancing habitat complexity through addition of in-stream structures such as boulders and woody debris leads to increased biodiversity, but evidence for this assumption is. scarce. We compared structu"&amp;"ral heterogeneity and fish and invertebrate diversity at restored, unrestored, and reference sites on tributaries of the Ume River, northern Sweden, where several kilometers of streams have been restored from channelization through placement of boulders i"&amp;"nto the channel. Structural heterogeneity at the study sites was assessed using a contour tracer at two spatial resolutions likely to be affected by restoration. These are the patch scale (0.7 in), reflecting substratum characteristics, and the reach scal"&amp;"e (50 in), reflecting general channel topography. Fish and invertebrate samples collected via electroshocking were used to assess taxonomic richness, taxonomic density, evenness, and assemblage composition at the study sites. Measures of structural hetero"&amp;"geneity were substantially higher at restored relative to channelized sites; however, components of fish and invertebrate diversity were similar between these treatments. At restored sites, measures of structural heterogeneity and fish and invertebrate di"&amp;"versity Were consistent with, or slightly exceeded reference levels. This implies that local (patch to reach) heterogeneity did not structure fish and invertebrate assemblages in the study streams. Our results suggest that restoration might have little be"&amp;"neficial effect on biodiversity if the restoration schemes (and the original impact under amelioration) do not affect structural heterogeneity relevant to the target organisms.")</f>
        <v>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v>
      </c>
      <c r="C1234" s="24" t="str">
        <f>IFERROR(__xludf.DUMMYFUNCTION("""COMPUTED_VALUE"""),"10.1890/04-1372")</f>
        <v>10.1890/04-1372</v>
      </c>
      <c r="D1234" s="24" t="str">
        <f>IFERROR(__xludf.DUMMYFUNCTION("""COMPUTED_VALUE"""),"Keck et al")</f>
        <v>Keck et al</v>
      </c>
      <c r="E1234" s="24" t="str">
        <f>IFERROR(__xludf.DUMMYFUNCTION("""COMPUTED_VALUE"""),"WOS:000233858900018")</f>
        <v>WOS:000233858900018</v>
      </c>
      <c r="F1234" s="24" t="str">
        <f>IFERROR(__xludf.DUMMYFUNCTION("""COMPUTED_VALUE"""),"[""ELIGIBLE""]")</f>
        <v>["ELIGIBLE"]</v>
      </c>
    </row>
    <row r="1235">
      <c r="A1235" s="24" t="str">
        <f>IFERROR(__xludf.DUMMYFUNCTION("""COMPUTED_VALUE"""),"From Genes to Nitrogen Removal: Determining the Impacts of Poultry Industry Wastewater on Tidal Creek Denitrification")</f>
        <v>From Genes to Nitrogen Removal: Determining the Impacts of Poultry Industry Wastewater on Tidal Creek Denitrification</v>
      </c>
      <c r="B1235" s="24" t="str">
        <f>IFERROR(__xludf.DUMMYFUNCTION("""COMPUTED_VALUE"""),"The intensification of the poultry industry in the last decades has led to a sharp increase in the number of animal processing plants discharging wastewater to water bodies. These discharges may have a significant effect on environmental quality and on im"&amp;"portant ecosystem functions, such as denitrification. We conducted a seasonal survey and a microcosm experiment in an impacted and a reference tidal creek to investigate the impacts of wastewater discharge from a poultry processing plant on sedimentary mi"&amp;"crobial communities, denitrification activity, and nitrate removal. Denitrification potential was measured using slurry incubations, and the microbial community was examined with 16S rDNA MiSeq sequencing and quantitative polymerise chain reaction of deni"&amp;"trification genes. The lowest denitrification rates were observed in the impacted creek, especially near the wastewater discharge, and denitrification inhibition by impacted creek water was clearly observed in the microcosm experiment. Denitrification rat"&amp;"es were associated with changes in the microbial community composition and gene abundance. Estimated nitrate removal was lower in the impacted creek, and higher chlorophyll levels were observed in a downstream coastal bay through remote sensing. This stud"&amp;"y demonstrates denitrification inhibition by wastewater discharge from a poultry processing plant with potential consequences to coastal eutrophication.")</f>
        <v>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v>
      </c>
      <c r="C1235" s="24" t="str">
        <f>IFERROR(__xludf.DUMMYFUNCTION("""COMPUTED_VALUE"""),"10.1021/acs.est.9b03560")</f>
        <v>10.1021/acs.est.9b03560</v>
      </c>
      <c r="D1235" s="24" t="str">
        <f>IFERROR(__xludf.DUMMYFUNCTION("""COMPUTED_VALUE"""),"Keck et al")</f>
        <v>Keck et al</v>
      </c>
      <c r="E1235" s="24" t="str">
        <f>IFERROR(__xludf.DUMMYFUNCTION("""COMPUTED_VALUE"""),"WOS:000506723200017")</f>
        <v>WOS:000506723200017</v>
      </c>
      <c r="F1235" s="24" t="str">
        <f>IFERROR(__xludf.DUMMYFUNCTION("""COMPUTED_VALUE"""),"[""ELIGIBLE""]")</f>
        <v>["ELIGIBLE"]</v>
      </c>
    </row>
    <row r="1236">
      <c r="A1236" s="24" t="str">
        <f>IFERROR(__xludf.DUMMYFUNCTION("""COMPUTED_VALUE"""),"Effects of long-term dumping of harbor-dredged material on macrozoobenthos at four disposal sites along the Emilia-Romagna coast (Northern Adriatic Sea, Italy)")</f>
        <v>Effects of long-term dumping of harbor-dredged material on macrozoobenthos at four disposal sites along the Emilia-Romagna coast (Northern Adriatic Sea, Italy)</v>
      </c>
      <c r="B1236" s="24" t="str">
        <f>IFERROR(__xludf.DUMMYFUNCTION("""COMPUTED_VALUE"""),"Sediment from harbors of the Emilia-Romagna (Northern Adriatic Sea) were dredged and dumped in four disposal areas characterized by muddy bottoms. The long-term effects of the dumping on macrozoobenthic communities were investigated before and after 6 mon"&amp;"th, 8 month, 2 years and 4 years. The disposal of dredged material did not influence the granulometry and %TOC in the sediment, and no alterations in the structure of the macrobenthic communities were observed in the four areas. The lack of impact could b"&amp;"e ascribed to the environmental characteristics and precautionary measures taken to minimize the effects of the dumping. It appears that: (1) the communities of the dumping areas are well adapted to unstable environments; (2) the sediments were disposed g"&amp;"radually and homogeneously over relatively large areas; Other factors that help to reduce the impact of sediment disposal are the low concentrations of contaminants in dredged materials and the similarity of sediment in the dredged and disposal areas. Off"&amp;"-shore discharge appears a sustainable strategy for the management of uncontaminated dredged sediments from the Northern Adriatic Sea harbors. (c) 2005 Elsevier Ltd. All rights reserved.")</f>
        <v>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v>
      </c>
      <c r="C1236" s="24" t="str">
        <f>IFERROR(__xludf.DUMMYFUNCTION("""COMPUTED_VALUE"""),"10.1016/j.marpolbul.2005.06.031")</f>
        <v>10.1016/j.marpolbul.2005.06.031</v>
      </c>
      <c r="D1236" s="24" t="str">
        <f>IFERROR(__xludf.DUMMYFUNCTION("""COMPUTED_VALUE"""),"Keck et al")</f>
        <v>Keck et al</v>
      </c>
      <c r="E1236" s="24" t="str">
        <f>IFERROR(__xludf.DUMMYFUNCTION("""COMPUTED_VALUE"""),"WOS:000234236600025")</f>
        <v>WOS:000234236600025</v>
      </c>
      <c r="F1236" s="24" t="str">
        <f>IFERROR(__xludf.DUMMYFUNCTION("""COMPUTED_VALUE"""),"[""ELIGIBLE""]")</f>
        <v>["ELIGIBLE"]</v>
      </c>
    </row>
    <row r="1237">
      <c r="A1237" s="24" t="str">
        <f>IFERROR(__xludf.DUMMYFUNCTION("""COMPUTED_VALUE"""),"Size-dependent adverse effects of microplastics on intestinal microbiota and metabolic homeostasis in the marine medaka (Oryzias melastigma)")</f>
        <v>Size-dependent adverse effects of microplastics on intestinal microbiota and metabolic homeostasis in the marine medaka (Oryzias melastigma)</v>
      </c>
      <c r="B1237" s="24" t="str">
        <f>IFERROR(__xludf.DUMMYFUNCTION("""COMPUTED_VALUE"""),"Microplastic (MP) is an emerging environmental pollutant and exposure to MPs has been associated with numerous adverse health outcomes in both wild and laboratory animals. The toxicity of MPs depends on concentration, exposure time, chemical composition a"&amp;"nd size distribution, but the impacts of particle size remain inconclusive yet. In this study, adult marine medaka (Oryzias melastigma) were exposed to different size of polystyrene MPs (PS-MPs) with concentration of 10 mg/L for 60 days and the growth per"&amp;"formance, lipid metabolism, immune parameters and gut microbiome were determined. Results indicated that particle size is a dominant factor causing lipid metabolism disorders and hepatic toxicity in PS-MPs-exposed fish. The body weight, adipocyte size and"&amp;" hepatic lipid contents were significantly increased in 200 ?m PS-MPs-exposed fish, while 2 and 10 ?m PS-MPs-exposed fish exhibited liver injury principally manifested as the presence ofl ittle fibrosis and inflammation. Given that larger particles could "&amp;"not enter the circulatory system, the impacts of PS-MPs on intestinal microbial biota homeostasis were further investigated. The results not only showed the characterization of gut microbial communities in Oryzias melastigma, but also indicated that micro"&amp;"bial diversity and composition were altered in gut of fish exposed to PS-MPs, in particular 200 ?m PS-MPs. The differentially abundant bacterial taxa in PS-MPs-exposed fish mainly belonged to the phylum Verrucomicrobia, Firmicutes and Fusobacteria. And fu"&amp;"rthermore, increased abundance of Verrucomicrobia and Firmicutes/Bacteroidetes ratio and decreased Fusobacteria were correlated with the increased bodyweight. Intestinal microbiome should play a critical role in regulating host lipid metabolism in fish ex"&amp;"posed to lager size of PS-MPs.")</f>
        <v>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v>
      </c>
      <c r="C1237" s="24" t="str">
        <f>IFERROR(__xludf.DUMMYFUNCTION("""COMPUTED_VALUE"""),"10.1016/j.envint.2021.106452")</f>
        <v>10.1016/j.envint.2021.106452</v>
      </c>
      <c r="D1237" s="24" t="str">
        <f>IFERROR(__xludf.DUMMYFUNCTION("""COMPUTED_VALUE"""),"Keck et al")</f>
        <v>Keck et al</v>
      </c>
      <c r="E1237" s="24" t="str">
        <f>IFERROR(__xludf.DUMMYFUNCTION("""COMPUTED_VALUE"""),"WOS:000630905700001")</f>
        <v>WOS:000630905700001</v>
      </c>
      <c r="F1237" s="24" t="str">
        <f>IFERROR(__xludf.DUMMYFUNCTION("""COMPUTED_VALUE"""),"[""ELIGIBLE""]")</f>
        <v>["ELIGIBLE"]</v>
      </c>
    </row>
    <row r="1238">
      <c r="A1238" s="24" t="str">
        <f>IFERROR(__xludf.DUMMYFUNCTION("""COMPUTED_VALUE"""),"Robustness, sensitivity and reproducibility of eDNA metabarcoding as an environmental biomonitoring tool in coastal salmon aquaculture - An inter-laboratory study")</f>
        <v>Robustness, sensitivity and reproducibility of eDNA metabarcoding as an environmental biomonitoring tool in coastal salmon aquaculture - An inter-laboratory study</v>
      </c>
      <c r="B1238" s="24" t="str">
        <f>IFERROR(__xludf.DUMMYFUNCTION("""COMPUTED_VALUE"""),"Environmental DNA metabarcoding of benthic bacterial communities emerged as a very powerful technology to assess environmental disturbance effects of coastal salmon aquaculture. A prerequisite for the implementation of this approach into compliance monito"&amp;"ring regulations is its robustness and reproducibility of obtained results. In the framework of regular compliance monitoring of a Scottish salmon farm, we therefore collected sediment samples along a transect from the salmon cages to reference sites in d"&amp;"uplicates (biological replicates). Aliquots of both biological replicate samples were then processed by two different laboratories using independently the same eDNA metabarcoding protocol (technical replicates). Measures of alpha diversity and beta divers"&amp;"ity, as well as taxonomic profiles of benthic bacterial communities were highly congruent among technical replicates, which even showed less variations then the biological replicates that were processed within each laboratory. Both technical replicate dat"&amp;"asets identified the same bacterial indicator taxon groups and ASVs that are characteristic for the environmental quality (EQ) categories to which each of the samples was assigned based on traditional macroinvertebrate biomonitoring of the same samples. I"&amp;"n a supervised machine learning (SML) approach, we could classify all individual samples from one technical replicate dataset into the correct EQ category using all samples of the other technical replicate dataset as a training dataset for the SML algorit"&amp;"hm. We conclude that eDNA metabarcoding is sufficiently robust that different laboratories come to the same conclusions regarding officially regulated action criteria for environmental impact assessments in salmon aquaculture.")</f>
        <v>Environmental DNA metabarcoding of benthic bacterial communities emerged as a very powerful technology to assess environmental disturbance effects of coastal salmon aquaculture. A prerequisite for the implementation of this approach into compliance monitoring regulations is its robustness and reproducibility of obtained results. In the framework of regular compliance monitoring of a Scottish salmon farm, we therefore collected sediment samples along a transect from the salmon cages to reference sites in duplicates (biological replicates). Aliquots of both biological replicate samples were then processed by two different laboratories using independently the same eDNA metabarcoding protocol (technical replicates). Measures of alpha diversity and beta diversity, as well as taxonomic profiles of benthic bacterial communities were highly congruent among technical replicates, which even showed less variations then the biological replicates that were processed within each laboratory. Both technical replicate datasets identified the same bacterial indicator taxon groups and ASVs that are characteristic for the environmental quality (EQ) categories to which each of the samples was assigned based on traditional macroinvertebrate biomonitoring of the same samples. In a supervised machine learning (SML) approach, we could classify all individual samples from one technical replicate dataset into the correct EQ category using all samples of the other technical replicate dataset as a training dataset for the SML algorithm. We conclude that eDNA metabarcoding is sufficiently robust that different laboratories come to the same conclusions regarding officially regulated action criteria for environmental impact assessments in salmon aquaculture.</v>
      </c>
      <c r="C1238" s="24" t="str">
        <f>IFERROR(__xludf.DUMMYFUNCTION("""COMPUTED_VALUE"""),"10.1016/j.ecolind.2020.107049")</f>
        <v>10.1016/j.ecolind.2020.107049</v>
      </c>
      <c r="D1238" s="24" t="str">
        <f>IFERROR(__xludf.DUMMYFUNCTION("""COMPUTED_VALUE"""),"Keck et al")</f>
        <v>Keck et al</v>
      </c>
      <c r="E1238" s="24" t="str">
        <f>IFERROR(__xludf.DUMMYFUNCTION("""COMPUTED_VALUE"""),"WOS:000604863700001")</f>
        <v>WOS:000604863700001</v>
      </c>
      <c r="F1238" s="24" t="str">
        <f>IFERROR(__xludf.DUMMYFUNCTION("""COMPUTED_VALUE"""),"[""ELIGIBLE""]")</f>
        <v>["ELIGIBLE"]</v>
      </c>
    </row>
    <row r="1239">
      <c r="A1239" s="24" t="str">
        <f>IFERROR(__xludf.DUMMYFUNCTION("""COMPUTED_VALUE"""),"Long-Term Nitrogen Amendment Alters the Diversity and Assemblage of Soil Bacterial Communities in Tallgrass Prairie")</f>
        <v>Long-Term Nitrogen Amendment Alters the Diversity and Assemblage of Soil Bacterial Communities in Tallgrass Prairie</v>
      </c>
      <c r="B1239" s="24" t="str">
        <f>IFERROR(__xludf.DUMMYFUNCTION("""COMPUTED_VALUE"""),"Anthropogenic changes are altering the environmental conditions and the biota of ecosystems worldwide. In many temperate grasslands, such as North American tallgrass prairie, these changes include alteration in historically important disturbance regimes ("&amp;"e.g., frequency of fires) and enhanced availability of potentially limiting nutrients, particularly nitrogen. Such anthropogenically-driven changes in the environment are known to elicit substantial changes in plant and consumer communities aboveground, b"&amp;"ut much less is known about their effects on soil microbial communities. Due to the high diversity of soil microbes and methodological challenges associated with assessing microbial community composition, relatively few studies have addressed specific tax"&amp;"onomic changes underlying microbial community-level responses to different fire regimes or nutrient amendments in tallgrass prairie. We used deep sequencing of the V3 region of the 16S rRNA gene to explore the effects of contrasting fire regimes and nutri"&amp;"ent enrichment on soil bacterial communities in a long-term (20 yrs) experiment in native tallgrass prairie in the eastern Central Plains. We focused on responses to nutrient amendments coupled with two extreme fire regimes (annual prescribed spring burni"&amp;"ng and complete fire exclusion). The dominant bacterial phyla identified were Proteobacteria, Verrucomicrobia, Bacteriodetes, Acidobacteria, Firmicutes, and Actinobacteria and made up 80% of all taxa quantified. Chronic nitrogen enrichment significantly i"&amp;"mpacted bacterial community diversity and community structure varied according to nitrogen treatment, but not phosphorus enrichment or fire regime. We also found significant responses of individual bacterial groups including Nitrospira and Gammaproteobact"&amp;"eria to long-term nitrogen enrichment. Our results show that soil nitrogen enrichment can significantly alter bacterial community diversity, structure, and individual taxa abundance, which have important implications for both managed and natural grassland"&amp;" ecosystems.")</f>
        <v>Anthropogenic changes are altering the environmental conditions and the biota of ecosystems worldwide. In many temperate grasslands, such as North American tallgrass prairie, these changes include alteration in historically important disturbance regimes (e.g., frequency of fires) and enhanced availability of potentially limiting nutrients, particularly nitrogen. Such anthropogenically-driven changes in the environment are known to elicit substantial changes in plant and consumer communities aboveground, but much less is known about their effects on soil microbial communities. Due to the high diversity of soil microbes and methodological challenges associated with assessing microbial community composition, relatively few studies have addressed specific taxonomic changes underlying microbial community-level responses to different fire regimes or nutrient amendments in tallgrass prairie. We used deep sequencing of the V3 region of the 16S rRNA gene to explore the effects of contrasting fire regimes and nutrient enrichment on soil bacterial communities in a long-term (20 yrs) experiment in native tallgrass prairie in the eastern Central Plains. We focused on responses to nutrient amendments coupled with two extreme fire regimes (annual prescribed spring burning and complete fire exclusion). The dominant bacterial phyla identified were Proteobacteria, Verrucomicrobia, Bacteriodetes, Acidobacteria, Firmicutes, and Actinobacteria and made up 80% of all taxa quantified. Chronic nitrogen enrichment significantly impacted bacterial community diversity and community structure varied according to nitrogen treatment, but not phosphorus enrichment or fire regime. We also found significant responses of individual bacterial groups including Nitrospira and Gammaproteobacteria to long-term nitrogen enrichment. Our results show that soil nitrogen enrichment can significantly alter bacterial community diversity, structure, and individual taxa abundance, which have important implications for both managed and natural grassland ecosystems.</v>
      </c>
      <c r="C1239" s="24" t="str">
        <f>IFERROR(__xludf.DUMMYFUNCTION("""COMPUTED_VALUE"""),"10.1371/journal.pone.0067884")</f>
        <v>10.1371/journal.pone.0067884</v>
      </c>
      <c r="D1239" s="24" t="str">
        <f>IFERROR(__xludf.DUMMYFUNCTION("""COMPUTED_VALUE"""),"Keck et al")</f>
        <v>Keck et al</v>
      </c>
      <c r="E1239" s="24" t="str">
        <f>IFERROR(__xludf.DUMMYFUNCTION("""COMPUTED_VALUE"""),"WOS:000321148400138")</f>
        <v>WOS:000321148400138</v>
      </c>
      <c r="F1239" s="24" t="str">
        <f>IFERROR(__xludf.DUMMYFUNCTION("""COMPUTED_VALUE"""),"[""ELIGIBLE""]")</f>
        <v>["ELIGIBLE"]</v>
      </c>
    </row>
    <row r="1240">
      <c r="A1240" s="24" t="str">
        <f>IFERROR(__xludf.DUMMYFUNCTION("""COMPUTED_VALUE"""),"Density and diversity of macroinvertebrates in Colombian Andean streams impacted by mining, agriculture and cattle production")</f>
        <v>Density and diversity of macroinvertebrates in Colombian Andean streams impacted by mining, agriculture and cattle production</v>
      </c>
      <c r="B1240" s="24" t="str">
        <f>IFERROR(__xludf.DUMMYFUNCTION("""COMPUTED_VALUE"""),"Background. Mining, agriculture and cattle production are activities that threaten the quality and quantity of water resources in the Colombian Andes. However, many drainage basins in this region have not been subjected to simultaneous evaluation of the i"&amp;"mpact these activities have on the density, diversity and composition of aquatic macroinvertebrates (AMI). The first two of these ecological variables are expected to decrease drastically from zones with no apparent impact towards areas with anthropogenic"&amp;" activity, which areas with mining will present the most impoverished AMI community. Methods. We evaluated the density, diversity and composition dissimilarity of AMI in streams impacted by gold mining, agriculture and cattle production. Two reference str"&amp;"eams were also studied. Six benthic samplings were conducted bimonthly (Feb 2014-Feb 2015) using a Surber net. Water samples were taken in order to make environmental evaluation among the aforementioned streams, including hydrological, physicochemical and"&amp;" bacteriological parameters (HPCB). Diversity was evaluated as the effective number of RTUs-recognizable taxonomic units-by comparing the richness, typical diversity, and effective number of the most abundant RTUs. Compositional dissimilarity was examined"&amp;" with nMDS and CCA analysis. Results. A total of 7,483 organisms were collected: 14 orders, 42 families and 71 RTUs. Our prediction regarding the density and diversity of AMI (Reference &gt; Cattle production &gt; Agriculture &gt; Mining) was partially fulfilled, "&amp;"since the agriculture-dominated stream presented a more impoverished AMI community than that of the gold mining stream. However, these streams presented lower diversity than the cattle production and reference streams, and the AMI density only differed si"&amp;"gnificantly between one reference stream and the agriculture stream. The AMI composition in the agriculture-dominated stream clearly differed from that of the other streams. Discussion. The observation of a more impoverished AMI community in agricultural "&amp;"production areas compared to those with mining or cattle production may reflect the importance of the remaining riparian vegetation, which was scarce at the stream with agricultural activity. Moreover, the low diversity, and mainly the reduced AMI richnes"&amp;"s, in the agriculture stream coincided with the absence of insect genera are intolerant to deterioration of the biological and physicochemical conditions of the water (e.g. Anacroneuria). Conclusions. The results suggest that the local impact of agricultu"&amp;"ral activities may be of equal or greater magnitude than that of mining in terms of AMI density, diversity and composition, in the Colombian Andean riverscape. Future studies should systematically evaluate, throughout the annual cycle, the relative effect"&amp;"s of the productive land use, the remaining native vegetation cover and the consequent changes in the HPCB parameters of the water on AMI communities in Colombian Andean basins.")</f>
        <v>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v>
      </c>
      <c r="C1240" s="24" t="str">
        <f>IFERROR(__xludf.DUMMYFUNCTION("""COMPUTED_VALUE"""),"10.7717/peerj.9619")</f>
        <v>10.7717/peerj.9619</v>
      </c>
      <c r="D1240" s="24" t="str">
        <f>IFERROR(__xludf.DUMMYFUNCTION("""COMPUTED_VALUE"""),"Keck et al")</f>
        <v>Keck et al</v>
      </c>
      <c r="E1240" s="24" t="str">
        <f>IFERROR(__xludf.DUMMYFUNCTION("""COMPUTED_VALUE"""),"WOS:000569546800002")</f>
        <v>WOS:000569546800002</v>
      </c>
      <c r="F1240" s="24" t="str">
        <f>IFERROR(__xludf.DUMMYFUNCTION("""COMPUTED_VALUE"""),"[""ELIGIBLE""]")</f>
        <v>["ELIGIBLE"]</v>
      </c>
    </row>
    <row r="1241">
      <c r="A1241" s="24" t="str">
        <f>IFERROR(__xludf.DUMMYFUNCTION("""COMPUTED_VALUE"""),"Soil microbial community responses to contamination with silver, aluminium oxide and silicon dioxide nanoparticles")</f>
        <v>Soil microbial community responses to contamination with silver, aluminium oxide and silicon dioxide nanoparticles</v>
      </c>
      <c r="B1241" s="24" t="str">
        <f>IFERROR(__xludf.DUMMYFUNCTION("""COMPUTED_VALUE"""),"Soil microorganisms are key contributors to nutrient cycling and are essential for the maintenance of healthy soils and sustainable agriculture. Although the antimicrobial effects of a broad range of nanoparticulate substances have been characterised in v"&amp;"itro, little is known about the impact of these compounds on microbial communities in environments such as soil. In this study, the effect of three widely used nanoparticulates (silver, silicon dioxide and aluminium oxide) on bacterial and fungal communit"&amp;"ies in an agricultural pastureland soil was examined in a microcosm-based experiment using a combination of enzyme analysis, molecular fingerprinting and amplicon sequencing. A relatively low concentration of silver nanoparticles (AgNPs) significantly red"&amp;"uced total soil dehydrogenase and urease activity, while Al2O3 and SiO2 nanoparticles had no effect. Amplicon sequencing revealed substantial shifts in bacterial community composition in soils amended with AgNPs, with significant decreases in the relative"&amp;" abundance of Acidobacteria and Verrucomicrobia and an increase in Proteobacteria. In particular, the relative abundance of the Proteobacterial genus Dyella significantly increased in AgNP amended soil. The effects of Al2O3 and SiO2 NPs on bacterial commu"&amp;"nity composition were less pronounced. AgNPs significantly reduced bacterial and archaeal amoA gene abundance in soil, with the archaea more susceptible than bacteria. AgNPs also significantly impacted soil fungal community structure, while Al2O3 and SiO2"&amp;" NPs had no effect. Several fungal ribotypes increased in soil amended with AgNPs, compared to control soil. This study highlights the need to consider the effects of individual nanoparticles on soil microbial communities when assessing their environmenta"&amp;"l impact.")</f>
        <v>Soil microorganisms are key contributors to nutrient cycling and are essential for the maintenance of healthy soils and sustainable agriculture. Although the antimicrobial effects of a broad range of nanoparticulate substances have been characterised in vitro, little is known about the impact of these compounds on microbial communities in environments such as soil. In this study, the effect of three widely used nanoparticulates (silver, silicon dioxide and aluminium oxide) on bacterial and fungal communities in an agricultural pastureland soil was examined in a microcosm-based experiment using a combination of enzyme analysis, molecular fingerprinting and amplicon sequencing. A relatively low concentration of silver nanoparticles (AgNPs) significantly reduced total soil dehydrogenase and urease activity, while Al2O3 and SiO2 nanoparticles had no effect. Amplicon sequencing revealed substantial shifts in bacterial community composition in soils amended with AgNPs, with significant decreases in the relative abundance of Acidobacteria and Verrucomicrobia and an increase in Proteobacteria. In particular, the relative abundance of the Proteobacterial genus Dyella significantly increased in AgNP amended soil. The effects of Al2O3 and SiO2 NPs on bacterial community composition were less pronounced. AgNPs significantly reduced bacterial and archaeal amoA gene abundance in soil, with the archaea more susceptible than bacteria. AgNPs also significantly impacted soil fungal community structure, while Al2O3 and SiO2 NPs had no effect. Several fungal ribotypes increased in soil amended with AgNPs, compared to control soil. This study highlights the need to consider the effects of individual nanoparticles on soil microbial communities when assessing their environmental impact.</v>
      </c>
      <c r="C1241" s="24" t="str">
        <f>IFERROR(__xludf.DUMMYFUNCTION("""COMPUTED_VALUE"""),"10.1007/s10646-017-1776-5")</f>
        <v>10.1007/s10646-017-1776-5</v>
      </c>
      <c r="D1241" s="24" t="str">
        <f>IFERROR(__xludf.DUMMYFUNCTION("""COMPUTED_VALUE"""),"Keck et al")</f>
        <v>Keck et al</v>
      </c>
      <c r="E1241" s="24" t="str">
        <f>IFERROR(__xludf.DUMMYFUNCTION("""COMPUTED_VALUE"""),"WOS:000399817400015")</f>
        <v>WOS:000399817400015</v>
      </c>
      <c r="F1241" s="24" t="str">
        <f>IFERROR(__xludf.DUMMYFUNCTION("""COMPUTED_VALUE"""),"[""ELIGIBLE""]")</f>
        <v>["ELIGIBLE"]</v>
      </c>
    </row>
    <row r="1242">
      <c r="A1242" s="24" t="str">
        <f>IFERROR(__xludf.DUMMYFUNCTION("""COMPUTED_VALUE"""),"Macrozoobenthic assemblages around a marine terminal for re-gasifying liquefied natural gas (LNG) in the north Adriatic Sea (Italy)")</f>
        <v>Macrozoobenthic assemblages around a marine terminal for re-gasifying liquefied natural gas (LNG) in the north Adriatic Sea (Italy)</v>
      </c>
      <c r="B1242" s="24" t="str">
        <f>IFERROR(__xludf.DUMMYFUNCTION("""COMPUTED_VALUE"""),"The first offshore liquefied natural gas (LNG) terminal in Italy and the first gravity based structure (GBS) in the world for unloading, storing and re-gasifying liquefied natural gas, was authorized and realized. The Institute for Environmental Protectio"&amp;"n and Research (ISPRA, formerly ICRAM) formulated and implemented a multidisciplinary monitoring plan at verifying possible impacts of the project on marine environment. Data from June 2006 to July 2012 on the soft-bottom macro-zoobenthic assemblages arou"&amp;"nd the LNG terminal are presented, with the aim of verifying possible disturbances on these assemblages associated with the LNG terminal, by comparing the structure of the benthic communities before and after installation of the terminal, and during its o"&amp;"peration. Well-structured assemblages were observed for the entire period investigated, with all taxa normally represented both quantitatively and qualitatively. A temporary disturbance due to the construction of the LNG terminal was detected in the surro"&amp;"unding sediments, while the presence of the concrete structure did not show significant effects at the investigated distances.")</f>
        <v>The first offshore liquefied natural gas (LNG) terminal in Italy and the first gravity based structure (GBS) in the world for unloading, storing and re-gasifying liquefied natural gas, was authorized and realized. The Institute for Environmental Protection and Research (ISPRA, formerly ICRAM) formulated and implemented a multidisciplinary monitoring plan at verifying possible impacts of the project on marine environment. Data from June 2006 to July 2012 on the soft-bottom macro-zoobenthic assemblages around the LNG terminal are presented, with the aim of verifying possible disturbances on these assemblages associated with the LNG terminal, by comparing the structure of the benthic communities before and after installation of the terminal, and during its operation. Well-structured assemblages were observed for the entire period investigated, with all taxa normally represented both quantitatively and qualitatively. A temporary disturbance due to the construction of the LNG terminal was detected in the surrounding sediments, while the presence of the concrete structure did not show significant effects at the investigated distances.</v>
      </c>
      <c r="C1242" s="24" t="str">
        <f>IFERROR(__xludf.DUMMYFUNCTION("""COMPUTED_VALUE"""),"10.1017/S0025315415000338")</f>
        <v>10.1017/S0025315415000338</v>
      </c>
      <c r="D1242" s="24" t="str">
        <f>IFERROR(__xludf.DUMMYFUNCTION("""COMPUTED_VALUE"""),"Keck et al")</f>
        <v>Keck et al</v>
      </c>
      <c r="E1242" s="24" t="str">
        <f>IFERROR(__xludf.DUMMYFUNCTION("""COMPUTED_VALUE"""),"WOS:000364937700004")</f>
        <v>WOS:000364937700004</v>
      </c>
      <c r="F1242" s="24" t="str">
        <f>IFERROR(__xludf.DUMMYFUNCTION("""COMPUTED_VALUE"""),"[""ELIGIBLE""]")</f>
        <v>["ELIGIBLE"]</v>
      </c>
    </row>
    <row r="1243">
      <c r="A1243" s="24" t="str">
        <f>IFERROR(__xludf.DUMMYFUNCTION("""COMPUTED_VALUE"""),"Differential diameter-size effects of forest management on tree species richness and community structure: implications for conservation")</f>
        <v>Differential diameter-size effects of forest management on tree species richness and community structure: implications for conservation</v>
      </c>
      <c r="B1243" s="24" t="str">
        <f>IFERROR(__xludf.DUMMYFUNCTION("""COMPUTED_VALUE"""),"In this paper we tested the hypothesis that logging effects in the adult tree community reverberate upon the regeneration contingent. We examined the differences on the tree community between forest reserves and 10 year-old logged areas in the Yucatan Pen"&amp;"insula. We used a paired design in three independent sites to estimate the effects of logging on tree species richness, diversity, composition and structure. Analyses were conducted differentiating individuals of four diameter-size classes: 1-5, 5-10, 10-"&amp;"25, and &gt; 25 cm DBH. We found out that there were differential effects by size. Species richness in the smaller and larger diameter-size classes was significantly lower in logged areas. Floristic composition was also different between logged and unlogged "&amp;"areas, with a trend towards more secondary forest associated species and less primary forest associated species in logged areas, and a higher density of species represented by a single individual in unlogged reserves. In terms of structure, trees DBH &lt; 10"&amp;" cm, lianas, and re-sprouting stumps were more abundant in logged areas. Our findings suggest that 10 years after logging, harvested areas show alterations in structure, and potentially a reduction in species richness. We suggest that to make timber extra"&amp;"ction and forest conservation compatible at this site, it is necessary to gain a better understanding of the ecology and regeneration requirements of the less abundant species, and to assess whether current logging practices might hinder their permanence "&amp;"in the study area.")</f>
        <v>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v>
      </c>
      <c r="C1243" s="24" t="str">
        <f>IFERROR(__xludf.DUMMYFUNCTION("""COMPUTED_VALUE"""),"10.1007/s10531-011-0046-8")</f>
        <v>10.1007/s10531-011-0046-8</v>
      </c>
      <c r="D1243" s="24" t="str">
        <f>IFERROR(__xludf.DUMMYFUNCTION("""COMPUTED_VALUE"""),"Keck et al")</f>
        <v>Keck et al</v>
      </c>
      <c r="E1243" s="24" t="str">
        <f>IFERROR(__xludf.DUMMYFUNCTION("""COMPUTED_VALUE"""),"WOS:000290726200014")</f>
        <v>WOS:000290726200014</v>
      </c>
      <c r="F1243" s="24" t="str">
        <f>IFERROR(__xludf.DUMMYFUNCTION("""COMPUTED_VALUE"""),"[""ELIGIBLE""]")</f>
        <v>["ELIGIBLE"]</v>
      </c>
    </row>
    <row r="1244">
      <c r="A1244" s="24" t="str">
        <f>IFERROR(__xludf.DUMMYFUNCTION("""COMPUTED_VALUE"""),"Habitat type plays a greater role than livestock grazing in structuring shrubsteppe plant-pollinator communities")</f>
        <v>Habitat type plays a greater role than livestock grazing in structuring shrubsteppe plant-pollinator communities</v>
      </c>
      <c r="B1244" s="24" t="str">
        <f>IFERROR(__xludf.DUMMYFUNCTION("""COMPUTED_VALUE"""),"Livestock grazing is a widespread grassland disturbance and can negatively impact biodiversity. Pollinators constitute a vital component of grassland ecosystems, but the impact of grazing on pollinator diversity has seldom been evaluated in North America."&amp;" We assessed vegetation structure, and pollinator and flowering plant abundance, richness, diversity, and community composition in four pairs of spring-grazed/ungrazed sites in south-central British Columbia, Canada. We also investigated whether pollinato"&amp;"r or floral communities differed between the two threatened shrubsteppe habitat types we sampled-antelope-brush and big sagebrush shrubsteppe. Pan-trapping surveys captured 5907 bees, flies, beetles, wasps and butterflies constituting 253 species. We foun"&amp;"d that the percent cover of shrubs and bare soil increased with grazing, while the height of grasses and forbs decreased. In contrast, pollinator and flowering plant abundance, richness, diversity, and community composition were not significantly affected"&amp;" by grazing. Flowering plant and pollinator community composition did differ significantly between shrubsteppe habitats. Our results indicate that grasslands in North America, when managed responsibly, can maintain pollinator and flowering plant diversity"&amp;" under grazing pressure. The continued effort of land managers to balance ecological integrity and economic viability will be important for the conservation of grassland pollination systems.")</f>
        <v>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v>
      </c>
      <c r="C1244" s="24" t="str">
        <f>IFERROR(__xludf.DUMMYFUNCTION("""COMPUTED_VALUE"""),"10.1007/s10841-016-9884-8")</f>
        <v>10.1007/s10841-016-9884-8</v>
      </c>
      <c r="D1244" s="24" t="str">
        <f>IFERROR(__xludf.DUMMYFUNCTION("""COMPUTED_VALUE"""),"Keck et al")</f>
        <v>Keck et al</v>
      </c>
      <c r="E1244" s="24" t="str">
        <f>IFERROR(__xludf.DUMMYFUNCTION("""COMPUTED_VALUE"""),"WOS:000379034600016")</f>
        <v>WOS:000379034600016</v>
      </c>
      <c r="F1244" s="24" t="str">
        <f>IFERROR(__xludf.DUMMYFUNCTION("""COMPUTED_VALUE"""),"[""ELIGIBLE""]")</f>
        <v>["ELIGIBLE"]</v>
      </c>
    </row>
    <row r="1245">
      <c r="A1245" s="24" t="str">
        <f>IFERROR(__xludf.DUMMYFUNCTION("""COMPUTED_VALUE"""),"Presence of invasive Gambusia alters ecological communities and the functions they perform in lentic ecosystems")</f>
        <v>Presence of invasive Gambusia alters ecological communities and the functions they perform in lentic ecosystems</v>
      </c>
      <c r="B1245" s="24" t="str">
        <f>IFERROR(__xludf.DUMMYFUNCTION("""COMPUTED_VALUE"""),"By acting as novel competitors and predators, a single invasive species can detrimentally affect multiple native species in different trophic levels. Although quantifying invasive effects through single-species interactions is important, understanding the"&amp;"ir effect on ecosystems as a whole is vital to enable effective protection and management. This is particularly true in freshwater ecosystems, where invasive species constitute the single greatest threat to biodiversity. Poeciliid fishes of the genus Gamb"&amp;"usia are among the most widespread invasive species on earth. In the present study of lentic ecosystems (i.e. lakes), we first showed that Gambusia alter zooplankton community composition and size distribution, likely through size-selective predation. Sec"&amp;"ond, we demonstrate that benthic macroinvertebrate communities significantly differ between sites with and without invasive Gambusia. The presence of Gambusia appears to reduce leaf-litter decomposition rates, which is likely an indirect effect of reducti"&amp;"ons in detritivore abundances. Reductions in decomposition rates found in the present study suggest that through trophic cascades, invasive Gambusia is able to indirectly alter ecosystem functions. The study has highlighted that the widespread effects of "&amp;"invasive aquatic species are able to permeate through entire ecosystems, being more pervasive than previously recognised.")</f>
        <v>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v>
      </c>
      <c r="C1245" s="24" t="str">
        <f>IFERROR(__xludf.DUMMYFUNCTION("""COMPUTED_VALUE"""),"10.1071/MF16301")</f>
        <v>10.1071/MF16301</v>
      </c>
      <c r="D1245" s="24" t="str">
        <f>IFERROR(__xludf.DUMMYFUNCTION("""COMPUTED_VALUE"""),"Keck et al")</f>
        <v>Keck et al</v>
      </c>
      <c r="E1245" s="24" t="str">
        <f>IFERROR(__xludf.DUMMYFUNCTION("""COMPUTED_VALUE"""),"WOS:000411826800008")</f>
        <v>WOS:000411826800008</v>
      </c>
      <c r="F1245" s="24" t="str">
        <f>IFERROR(__xludf.DUMMYFUNCTION("""COMPUTED_VALUE"""),"[""ELIGIBLE""]")</f>
        <v>["ELIGIBLE"]</v>
      </c>
    </row>
    <row r="1246">
      <c r="A1246" s="24" t="str">
        <f>IFERROR(__xludf.DUMMYFUNCTION("""COMPUTED_VALUE"""),"The Effect of Laver-Farming on the Distribution of Copepod Community in the West Coast of Korea")</f>
        <v>The Effect of Laver-Farming on the Distribution of Copepod Community in the West Coast of Korea</v>
      </c>
      <c r="B1246" s="24" t="str">
        <f>IFERROR(__xludf.DUMMYFUNCTION("""COMPUTED_VALUE"""),"To understand the effect of farms on copepod communities in the coastal marine environment, this study investigated the environmental variables and copepod communities in June 2016 in the coastal region adjacent to the Geum River estuary. Copepod communit"&amp;"ies were more abundant in laver farms than in areas not covered by laver farms, due to the availability of various food sources and low predation risks. Although laver farms had low abundance (cells/mL) of phytoplankton, they were observed to have high sp"&amp;"ecies diversity. This provides an environment in which a variety of food items is available for copepod communities. Moreover, fishes were more abundant in the areas not occupied by farms than in laver farms. the complex habitat structure created by abund"&amp;"ant laver, as well as frequent human interference in laver farms, has a negative impact on the distribution of fish communities. However, the abundance of copepod communities in laver farms is important for a continuous supplement to the diet of fishes in"&amp;" the marine environment, where food sources are likely to be depleted. Thus, the positive effects of laver farms on copepod communities can greatly contribute to the population growth of fishes and to the sustainability of copepod communities in the coast"&amp;"al marine environment. However, the artificial disturbances that frequently occur in laver farms are likely to lead to eutrophication and various types of water pollution in the coastal marine environment, so proper control and management of human activit"&amp;"y are required.")</f>
        <v>To understand the effect of farms on copepod communities in the coastal marine environment, this study investigated the environmental variables and copepod communities in June 2016 in the coastal region adjacent to the Geum River estuary. Copepod communities were more abundant in laver farms than in areas not covered by laver farms, due to the availability of various food sources and low predation risks. Although laver farms had low abundance (cells/mL) of phytoplankton, they were observed to have high species diversity. This provides an environment in which a variety of food items is available for copepod communities. Moreover, fishes were more abundant in the areas not occupied by farms than in laver farms. the complex habitat structure created by abundant laver, as well as frequent human interference in laver farms, has a negative impact on the distribution of fish communities. However, the abundance of copepod communities in laver farms is important for a continuous supplement to the diet of fishes in the marine environment, where food sources are likely to be depleted. Thus, the positive effects of laver farms on copepod communities can greatly contribute to the population growth of fishes and to the sustainability of copepod communities in the coastal marine environment. However, the artificial disturbances that frequently occur in laver farms are likely to lead to eutrophication and various types of water pollution in the coastal marine environment, so proper control and management of human activity are required.</v>
      </c>
      <c r="C1246" s="24" t="str">
        <f>IFERROR(__xludf.DUMMYFUNCTION("""COMPUTED_VALUE"""),"10.2112/S1102-008.1")</f>
        <v>10.2112/S1102-008.1</v>
      </c>
      <c r="D1246" s="24" t="str">
        <f>IFERROR(__xludf.DUMMYFUNCTION("""COMPUTED_VALUE"""),"Keck et al")</f>
        <v>Keck et al</v>
      </c>
      <c r="E1246" s="24" t="str">
        <f>IFERROR(__xludf.DUMMYFUNCTION("""COMPUTED_VALUE"""),"WOS:000600072400009")</f>
        <v>WOS:000600072400009</v>
      </c>
      <c r="F1246" s="24" t="str">
        <f>IFERROR(__xludf.DUMMYFUNCTION("""COMPUTED_VALUE"""),"[""ELIGIBLE""]")</f>
        <v>["ELIGIBLE"]</v>
      </c>
    </row>
    <row r="1247">
      <c r="A1247" s="24" t="str">
        <f>IFERROR(__xludf.DUMMYFUNCTION("""COMPUTED_VALUE"""),"Replication and mitigation of effects of confounding variables in environmental impact assessment: effect of marinas on rocky-shore assemblages")</f>
        <v>Replication and mitigation of effects of confounding variables in environmental impact assessment: effect of marinas on rocky-shore assemblages</v>
      </c>
      <c r="B1247" s="24" t="str">
        <f>IFERROR(__xludf.DUMMYFUNCTION("""COMPUTED_VALUE"""),"Design- and model-based approaches provide 2 distinct frameworks in which to analyse environmental impacts. While both approaches have been criticized to some extent, the possibility of modeling environmental variability with covariates in the analysis of"&amp;" structured sampling designs seems to have eluded the attention of environmental ecologists. We applied a beyond-BACI (before, after, control, impact) sampling design to a post-impact study on the effects of marinas on assemblages of algae and invertebrat"&amp;"es on rocky seashores at 2 locations in the NW Mediterranean. The 2 locations were on the opposite (northern and southern) sides of a promontory, about 30 km apart. A shore next to the marina and 3 reference shores were sampled at each location to obtain "&amp;"independent estimates of differences between disturbed and undisturbed conditions. An additional set of 3 shores were sampled at a location on the western coast to test whether structured spatial patterns around the promontory might confound the analysis "&amp;"of impact. Midshore and lowshore habitats were sampled on all shores. Multivariate and univariate analyses revealed differences between disturbed and reference assemblages mostly at one location in the midshore habitat. Analyses conducted on the lowshore "&amp;"data indicated that assemblages of marinas followed different temporal trajectories than reference shores consistently at the 2 locations. Spatial variability around the promontory was large, as indicated by significant linear and quadratic contrasts amon"&amp;"g all locations. When impacts were examined using either the geographic position of shores or their rank position around the promontory as a covariate, results did not differ from those of the original analyses. The present study highlights possible ways "&amp;"to overcome the dichotomy between design- and model-based approaches, namely that studies of impact can and should be examined at replicated locations whenever possible and that covariables can be included in the analysis of structured sampling designs to"&amp;" increase precision and accuracy in assessment of environmental impacts.")</f>
        <v>Design- and model-based approaches provide 2 distinct frameworks in which to analyse environmental impacts. While both approaches have been criticized to some extent, the possibility of modeling environmental variability with covariates in the analysis of structured sampling designs seems to have eluded the attention of environmental ecologists. We applied a beyond-BACI (before, after, control, impact) sampling design to a post-impact study on the effects of marinas on assemblages of algae and invertebrates on rocky seashores at 2 locations in the NW Mediterranean. The 2 locations were on the opposite (northern and southern) sides of a promontory, about 30 km apart. A shore next to the marina and 3 reference shores were sampled at each location to obtain independent estimates of differences between disturbed and undisturbed conditions. An additional set of 3 shores were sampled at a location on the western coast to test whether structured spatial patterns around the promontory might confound the analysis of impact. Midshore and lowshore habitats were sampled on all shores. Multivariate and univariate analyses revealed differences between disturbed and reference assemblages mostly at one location in the midshore habitat. Analyses conducted on the lowshore data indicated that assemblages of marinas followed different temporal trajectories than reference shores consistently at the 2 locations. Spatial variability around the promontory was large, as indicated by significant linear and quadratic contrasts among all locations. When impacts were examined using either the geographic position of shores or their rank position around the promontory as a covariate, results did not differ from those of the original analyses. The present study highlights possible ways to overcome the dichotomy between design- and model-based approaches, namely that studies of impact can and should be examined at replicated locations whenever possible and that covariables can be included in the analysis of structured sampling designs to increase precision and accuracy in assessment of environmental impacts.</v>
      </c>
      <c r="C1247" s="24" t="str">
        <f>IFERROR(__xludf.DUMMYFUNCTION("""COMPUTED_VALUE"""),"10.3354/meps334021")</f>
        <v>10.3354/meps334021</v>
      </c>
      <c r="D1247" s="24" t="str">
        <f>IFERROR(__xludf.DUMMYFUNCTION("""COMPUTED_VALUE"""),"Keck et al")</f>
        <v>Keck et al</v>
      </c>
      <c r="E1247" s="24" t="str">
        <f>IFERROR(__xludf.DUMMYFUNCTION("""COMPUTED_VALUE"""),"WOS:000245862000003")</f>
        <v>WOS:000245862000003</v>
      </c>
      <c r="F1247" s="24" t="str">
        <f>IFERROR(__xludf.DUMMYFUNCTION("""COMPUTED_VALUE"""),"[""ELIGIBLE""]")</f>
        <v>["ELIGIBLE"]</v>
      </c>
    </row>
    <row r="1248">
      <c r="A1248" s="24" t="str">
        <f>IFERROR(__xludf.DUMMYFUNCTION("""COMPUTED_VALUE"""),"The effects of a sediment flushing on Alpine macroinvertebrate communities")</f>
        <v>The effects of a sediment flushing on Alpine macroinvertebrate communities</v>
      </c>
      <c r="B1248" s="24" t="str">
        <f>IFERROR(__xludf.DUMMYFUNCTION("""COMPUTED_VALUE"""),"Sediment flushing from dams can help desilting reservoirs and reinstate the longitudinal sediment transfer continuity in rivers, but negative ecological impacts might arise. We monitored the ecological effects of a flushing event conducted from 27th May t"&amp;"o 14th June 2019 in the Rienz River, in South Tyrol (NE Italy). Using a multi-habitat scheme approach, we collected macroinvertebrates 10 days before, and then 40 and 74 days after the completion of the operations. We selected seven biological traits-orga"&amp;"nism size, life cycle duration, mobility (dispersal and locomotion), feeding type, substrate and current velocity preference-to characterize and compare the invertebrate communities before and after the sediment pulse disturbance. Turbidity was recorded c"&amp;"ontinuously for the entire duration of the event. Results indicate that invertebrate assemblages exhibited a general decrease in taxonomic richness and Shannon diversity 40 days after the event, but density and richness recovered over time. Shifts in spec"&amp;"ies composition were observed in post flushing samples, with a reduction in density of sensitive species (Heptageniidae) and shredders. Post-flushing samples were generally characterized by sediment-tolerant taxa, able to cope with the new habitat conditi"&amp;"ons. Altered taxonomic and functional community composition following the flushing prevented the full functional recovery to pre-disturbance conditions.")</f>
        <v>Sediment flushing from dams can help desilting reservoirs and reinstate the longitudinal sediment transfer continuity in rivers, but negative ecological impacts might arise. We monitored the ecological effects of a flushing event conducted from 27th May to 14th June 2019 in the Rienz River, in South Tyrol (NE Italy). Using a multi-habitat scheme approach, we collected macroinvertebrates 10 days before, and then 40 and 74 days after the completion of the operations. We selected seven biological traits-organism size, life cycle duration, mobility (dispersal and locomotion), feeding type, substrate and current velocity preference-to characterize and compare the invertebrate communities before and after the sediment pulse disturbance. Turbidity was recorded continuously for the entire duration of the event. Results indicate that invertebrate assemblages exhibited a general decrease in taxonomic richness and Shannon diversity 40 days after the event, but density and richness recovered over time. Shifts in species composition were observed in post flushing samples, with a reduction in density of sensitive species (Heptageniidae) and shredders. Post-flushing samples were generally characterized by sediment-tolerant taxa, able to cope with the new habitat conditions. Altered taxonomic and functional community composition following the flushing prevented the full functional recovery to pre-disturbance conditions.</v>
      </c>
      <c r="C1248" s="24" t="str">
        <f>IFERROR(__xludf.DUMMYFUNCTION("""COMPUTED_VALUE"""),"10.1007/s10750-021-04608-8")</f>
        <v>10.1007/s10750-021-04608-8</v>
      </c>
      <c r="D1248" s="24" t="str">
        <f>IFERROR(__xludf.DUMMYFUNCTION("""COMPUTED_VALUE"""),"Keck et al")</f>
        <v>Keck et al</v>
      </c>
      <c r="E1248" s="24" t="str">
        <f>IFERROR(__xludf.DUMMYFUNCTION("""COMPUTED_VALUE"""),"WOS:000648501600002")</f>
        <v>WOS:000648501600002</v>
      </c>
      <c r="F1248" s="24" t="str">
        <f>IFERROR(__xludf.DUMMYFUNCTION("""COMPUTED_VALUE"""),"[""ELIGIBLE""]")</f>
        <v>["ELIGIBLE"]</v>
      </c>
    </row>
    <row r="1249">
      <c r="A1249" s="24" t="str">
        <f>IFERROR(__xludf.DUMMYFUNCTION("""COMPUTED_VALUE"""),"Pollution from azithromycin-manufacturing promotes macrolide-resistance gene propagation and induces spatial and seasonal bacterial community shifts in receiving river sediments")</f>
        <v>Pollution from azithromycin-manufacturing promotes macrolide-resistance gene propagation and induces spatial and seasonal bacterial community shifts in receiving river sediments</v>
      </c>
      <c r="B1249" s="24" t="str">
        <f>IFERROR(__xludf.DUMMYFUNCTION("""COMPUTED_VALUE"""),"Effluents from antibiotic manufacturing may contain high concentrations of antibiotics, which are the main driving force behind the selection and spread of antibiotic resistance genes in the environment. However, our knowledge about the impact of such eff"&amp;"luent discharges on the antibiotic resistome and bacterial communities is still limited. To gain insight into this impact, we collected effluents from an azithromycin-manufacturing industry discharge site as well as upstream and downstream sediments from "&amp;"the receiving Sava river during both winter and summer season. Chemical analyses of sediment and effluent samples indicated that the effluent discharge significantly increased the amount of macrolide antibiotics, heavy metals and nutrients in the receivin"&amp;"g river sediments. Quantitative PCR revealed a significant increase of relative abundances of macrolide-resistance genes and class 1 integrons in effluent-impacted sediments. Amplicon sequencing of 16S rRNA genes showed spatial and seasonal bacterial comm"&amp;"unity shifts in the receiving sediments. Redundancy analysis and Mantel test indicated that macrolides and copper together with nutrients significantly correlated with community shift close to the effluent discharge site. The number of taxa that were sign"&amp;"ificantly increased in relative abundance at the discharge site decreased rapidly at the downstream sites, showing the resilience of the indigenous sediment bacterial community. Seasonal changes in the chemical properties of the sediment along with change"&amp;"s in effluent community composition could be responsible for sediment community shifts between winter and summer. Altogether, this study showed that the discharge of pharmaceutical effluents altered physicochemical characteristics and bacterial community "&amp;"of receiving river sediments, which contributed to the enrichment of macrolide-resistance genes and integrons.")</f>
        <v>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v>
      </c>
      <c r="C1249" s="24" t="str">
        <f>IFERROR(__xludf.DUMMYFUNCTION("""COMPUTED_VALUE"""),"10.1016/j.envint.2018.12.050")</f>
        <v>10.1016/j.envint.2018.12.050</v>
      </c>
      <c r="D1249" s="24" t="str">
        <f>IFERROR(__xludf.DUMMYFUNCTION("""COMPUTED_VALUE"""),"Keck et al")</f>
        <v>Keck et al</v>
      </c>
      <c r="E1249" s="24" t="str">
        <f>IFERROR(__xludf.DUMMYFUNCTION("""COMPUTED_VALUE"""),"WOS:000455532500056")</f>
        <v>WOS:000455532500056</v>
      </c>
      <c r="F1249" s="24" t="str">
        <f>IFERROR(__xludf.DUMMYFUNCTION("""COMPUTED_VALUE"""),"[""ELIGIBLE""]")</f>
        <v>["ELIGIBLE"]</v>
      </c>
    </row>
    <row r="1250">
      <c r="A1250" s="24" t="str">
        <f>IFERROR(__xludf.DUMMYFUNCTION("""COMPUTED_VALUE"""),"Shifts from native to non-indigenous mussels: Enhanced habitat complexity and its effects on faunal assemblages")</f>
        <v>Shifts from native to non-indigenous mussels: Enhanced habitat complexity and its effects on faunal assemblages</v>
      </c>
      <c r="B1250" s="24" t="str">
        <f>IFERROR(__xludf.DUMMYFUNCTION("""COMPUTED_VALUE"""),"Ecosystem engineers such as mussels may affect strongly both the structure of benthic assemblages and the ecosystem functioning. The black-pygmy mussel Limnoperna securis is an invasive species that is spreading along the Galician coast (NW Spain). Its cu"&amp;"rrent distribution overlaps with the distribution of the commercial native mussel species Mytilus galloproyincialis, but only in the inner part of two southern Galician rias. Here, we analysed the assemblages associated with clumps of the two mussel speci"&amp;"es and evaluated if the invasive species increased complexity of habitat. To measure complexity of clumps we used a new method modified from the chain and tape method. Results showed that the identity of the mussel influenced macrofaunal assemblages, but "&amp;"not meiofauna. L. securis increased the complexity of clumps, and such complexity explained a high percentage of variability of macrofauna. The shift in dominance from M. galloprovincialis to L securis may alter habitat structure and complexity, affecting"&amp;" the macrofaunal assemblages with unpredictable consequences on trophic web relations. (C) 2013 Elsevier Ltd. All rights reserved.")</f>
        <v>Ecosystem engineers such as mussels may affect strongly both the structure of benthic assemblages and the ecosystem functioning. The black-pygmy mussel Limnoperna securis is an invasive species that is spreading along the Galician coast (NW Spain). Its current distribution overlaps with the distribution of the commercial native mussel species Mytilus galloproyincialis, but only in the inner part of two southern Galician rias. Here, we analysed the assemblages associated with clumps of the two mussel species and evaluated if the invasive species increased complexity of habitat. To measure complexity of clumps we used a new method modified from the chain and tape method. Results showed that the identity of the mussel influenced macrofaunal assemblages, but not meiofauna. L. securis increased the complexity of clumps, and such complexity explained a high percentage of variability of macrofauna. The shift in dominance from M. galloprovincialis to L securis may alter habitat structure and complexity, affecting the macrofaunal assemblages with unpredictable consequences on trophic web relations. (C) 2013 Elsevier Ltd. All rights reserved.</v>
      </c>
      <c r="C1250" s="24" t="str">
        <f>IFERROR(__xludf.DUMMYFUNCTION("""COMPUTED_VALUE"""),"10.1016/j.marenvres.2013.05.015")</f>
        <v>10.1016/j.marenvres.2013.05.015</v>
      </c>
      <c r="D1250" s="24" t="str">
        <f>IFERROR(__xludf.DUMMYFUNCTION("""COMPUTED_VALUE"""),"Keck et al")</f>
        <v>Keck et al</v>
      </c>
      <c r="E1250" s="24" t="str">
        <f>IFERROR(__xludf.DUMMYFUNCTION("""COMPUTED_VALUE"""),"WOS:000324610200010")</f>
        <v>WOS:000324610200010</v>
      </c>
      <c r="F1250" s="24" t="str">
        <f>IFERROR(__xludf.DUMMYFUNCTION("""COMPUTED_VALUE"""),"[""ELIGIBLE""]")</f>
        <v>["ELIGIBLE"]</v>
      </c>
    </row>
    <row r="1251">
      <c r="A1251" s="24" t="str">
        <f>IFERROR(__xludf.DUMMYFUNCTION("""COMPUTED_VALUE"""),"Variation, distribution, and diversity of canonical ammonia-oxidizing microorganisms and complete-nitrifying bacteria in highly contaminated ecological restoration regions in the Siding mine area")</f>
        <v>Variation, distribution, and diversity of canonical ammonia-oxidizing microorganisms and complete-nitrifying bacteria in highly contaminated ecological restoration regions in the Siding mine area</v>
      </c>
      <c r="B1251" s="24" t="str">
        <f>IFERROR(__xludf.DUMMYFUNCTION("""COMPUTED_VALUE"""),"Canonical ammonia-oxidizing archaea (AOA), ammonia-oxidizing bacteria (AOB) and complete-nitrifying bacteria (comammox) exist in a variety of ecosystems. However, little is known about AOA, AOB and comammox or their contributions to nitrification in the s"&amp;"oils of heavily degraded and acidic mine regions. In the present study, the activity, richness, diversity and distribution patterns of AOA, AOB and comammox in the Siding mine area were investigated. Nemerow's multifactor pollution index (PN) values indic"&amp;"ated that the soil in all three areas in the Siding mine area was highly contaminated by Cd, Pb, Zn, Mn and Cu. The AOA, AOB and comammox amoA gene copy numbers exhibited significant positive correlations with Pb and Zn levels and PN values, which indicat"&amp;"ed that the populations of AOA, AOB and comammox underwent adaptation and reproduction in response to pollution from multiple metals in the Siding mine area. Among them, the abundance of AOA was the highest, and AOA may survive better than AOB and comammo"&amp;"x under such severely pollution-stressed and ammonialimited conditions. The phyla Thaumarchaeota and Crenarchaeota may play vital roles in the soil ammonia oxidation process. Unlike AOA, AOB may use soil available phosphorus to help them compete for NH3 a"&amp;"nd other limiting nutrients with AOA and heterotrophs. Moreover, soil organic matter was the main factor influencing the species diversity of AOB, the beta-diversity of AOB and comammox, and the community composition of AOA, AOB and comammox. Our research"&amp;" will help to explain the role and importance of AOA, AOB and comammox in the different ecological restoration regions in the Siding mine area.")</f>
        <v>Canonical ammonia-oxidizing archaea (AOA), ammonia-oxidizing bacteria (AOB) and complete-nitrifying bacteria (comammox) exist in a variety of ecosystems. However, little is known about AOA, AOB and comammox or their contributions to nitrification in the soils of heavily degraded and acidic mine regions. In the present study, the activity, richness, diversity and distribution patterns of AOA, AOB and comammox in the Siding mine area were investigated. Nemerow's multifactor pollution index (PN) values indicated that the soil in all three areas in the Siding mine area was highly contaminated by Cd, Pb, Zn, Mn and Cu. The AOA, AOB and comammox amoA gene copy numbers exhibited significant positive correlations with Pb and Zn levels and PN values, which indicated that the populations of AOA, AOB and comammox underwent adaptation and reproduction in response to pollution from multiple metals in the Siding mine area. Among them, the abundance of AOA was the highest, and AOA may survive better than AOB and comammox under such severely pollution-stressed and ammonialimited conditions. The phyla Thaumarchaeota and Crenarchaeota may play vital roles in the soil ammonia oxidation process. Unlike AOA, AOB may use soil available phosphorus to help them compete for NH3 and other limiting nutrients with AOA and heterotrophs. Moreover, soil organic matter was the main factor influencing the species diversity of AOB, the beta-diversity of AOB and comammox, and the community composition of AOA, AOB and comammox. Our research will help to explain the role and importance of AOA, AOB and comammox in the different ecological restoration regions in the Siding mine area.</v>
      </c>
      <c r="C1251" s="24" t="str">
        <f>IFERROR(__xludf.DUMMYFUNCTION("""COMPUTED_VALUE"""),"10.1016/j.ecoenv.2021.112274")</f>
        <v>10.1016/j.ecoenv.2021.112274</v>
      </c>
      <c r="D1251" s="24" t="str">
        <f>IFERROR(__xludf.DUMMYFUNCTION("""COMPUTED_VALUE"""),"Keck et al")</f>
        <v>Keck et al</v>
      </c>
      <c r="E1251" s="24" t="str">
        <f>IFERROR(__xludf.DUMMYFUNCTION("""COMPUTED_VALUE"""),"WOS:000663125200002")</f>
        <v>WOS:000663125200002</v>
      </c>
      <c r="F1251" s="24" t="str">
        <f>IFERROR(__xludf.DUMMYFUNCTION("""COMPUTED_VALUE"""),"[""ELIGIBLE""]")</f>
        <v>["ELIGIBLE"]</v>
      </c>
    </row>
    <row r="1252">
      <c r="A1252" s="24" t="str">
        <f>IFERROR(__xludf.DUMMYFUNCTION("""COMPUTED_VALUE"""),"Effect of land use on mayfly assemblages structure in Neotropical headwater streams")</f>
        <v>Effect of land use on mayfly assemblages structure in Neotropical headwater streams</v>
      </c>
      <c r="B1252" s="24" t="str">
        <f>IFERROR(__xludf.DUMMYFUNCTION("""COMPUTED_VALUE"""),"The aim of this study was to test the effect of agricultural and forestry land use on the structure of mayfly assemblages in low-order streams. Twenty-nine headwater streams were investigated in the state of Sao Paulo. We analyzed 15 streams in pristine a"&amp;"reas (mixed tropical rainforest, semideciduous forest and dense tropical rainforest), and 14 streams covered with sugarcane, eucalyptus and pasture. Mayfly richness obtained by rarefaction curves was higher in pristine areas (21 genera), especially in mix"&amp;"ed and semideciduous forest when compared to land use (9 genera), where values were particularly low in sugarcane plantation (3 genera). The non-metric multidimensional scaling (NMDS) ordination showed clear difference in mayfly assemblages between land u"&amp;"ses and pristine areas, supported by analysis of similarity (R=0.67, p=0.001). In partial redundancy analysis (pRDA), the environmental descriptors that best explained differences in assemblage structure were Riparian, Channel and Environmental Inventory "&amp;"(RCE) index score, percentage of fine sediment stream substrate, water pH and land elevation. Our results show that agricultural and forestry land use has a strong negative effect on the structure of mayfly assemblages. These results also support the use "&amp;"of mayflies as environmental indicators, as some genera were sensitive to changes in land use, while others responded to naturally occurring changes in the study area.")</f>
        <v>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v>
      </c>
      <c r="C1252" s="24" t="str">
        <f>IFERROR(__xludf.DUMMYFUNCTION("""COMPUTED_VALUE"""),"10.1590/0001-3765201420130516")</f>
        <v>10.1590/0001-3765201420130516</v>
      </c>
      <c r="D1252" s="24" t="str">
        <f>IFERROR(__xludf.DUMMYFUNCTION("""COMPUTED_VALUE"""),"Keck et al")</f>
        <v>Keck et al</v>
      </c>
      <c r="E1252" s="24" t="str">
        <f>IFERROR(__xludf.DUMMYFUNCTION("""COMPUTED_VALUE"""),"WOS:000347526200016")</f>
        <v>WOS:000347526200016</v>
      </c>
      <c r="F1252" s="24" t="str">
        <f>IFERROR(__xludf.DUMMYFUNCTION("""COMPUTED_VALUE"""),"[""ELIGIBLE""]")</f>
        <v>["ELIGIBLE"]</v>
      </c>
    </row>
    <row r="1253">
      <c r="A1253" s="24" t="str">
        <f>IFERROR(__xludf.DUMMYFUNCTION("""COMPUTED_VALUE"""),"The earthworm microbiome is resilient to exposure to biocidal metal nanoparticles")</f>
        <v>The earthworm microbiome is resilient to exposure to biocidal metal nanoparticles</v>
      </c>
      <c r="B1253" s="24" t="str">
        <f>IFERROR(__xludf.DUMMYFUNCTION("""COMPUTED_VALUE"""),"Environmental pollution can disrupt the interactions between animals and their symbiotic bacteria, which can lead to adverse effects on the host even in the absence of direct chemical toxicity. It is therefore crucial to understand how environmental pollu"&amp;"tants affect animal microbiomes, especially for those chemicals that are designed to target microbes. Here, we study the effects of two biocidal nano particles (NPs) (Ag and CuO) on the soil bacterial community and the resident gutmicrobiome of the earthw"&amp;"orm Eisenia fetida over a 28-day period using metabarcoding techniques. Exposures to NPs were conducted following OECD test guidelines and effects on earthworm reproduction and juvenile biomass were additionally recorded in order to compare effects on the"&amp;" host to effects on microbiomes. By employing a full concentration series, we were able to link pollutants to microbiome effects in high resolution. Multivariate analysis, differential abundance analysis and species sensitivity distribution analysis showe"&amp;"d that Ag-NPs are more toxic to soil bacteria than CuO-NPs. In contrast to the strong effects of CuO-NPs and Ag-NPs on the soil bacterial community, the earthworm gut microbiome is largely resilient to exposure to biocidal NPs. Despite this buffering effe"&amp;"ct, CuO-NPs did negatively affect the relative abundance of some earthworm symbionts, including 'Candidatus Lumbricincola'. Changes in the soil bacterial community and the earthworm microbiome occur at total copper concentrations often found or modelled t"&amp;"o occur in agricultural fields, demonstrating that soil bacterial communities and individual taxa in the earthworm microbiome may be at risk from environmental copper exposure including in nanomaterial form. (c) 2020 Elsevier Ltd. All rights reserved.")</f>
        <v>Environmental pollution can disrupt the interactions between animals and their symbiotic bacteria, which can lead to adverse effects on the host even in the absence of direct chemical toxicity. It is therefore crucial to understand how environmental pollutants affect animal microbiomes, especially for those chemicals that are designed to target microbes. Here, we study the effects of two biocidal nano particles (NPs) (Ag and CuO) on the soil bacterial community and the resident gutmicrobiome of the earthworm Eisenia fetida over a 28-day period using metabarcoding techniques. Exposures to NPs were conducted following OECD test guidelines and effects on earthworm reproduction and juvenile biomass were additionally recorded in order to compare effects on the host to effects on microbiomes. By employing a full concentration series, we were able to link pollutants to microbiome effects in high resolution. Multivariate analysis, differential abundance analysis and species sensitivity distribution analysis showed that Ag-NPs are more toxic to soil bacteria than CuO-NPs. In contrast to the strong effects of CuO-NPs and Ag-NPs on the soil bacterial community, the earthworm gut microbiome is largely resilient to exposure to biocidal NPs. Despite this buffering effect, CuO-NPs did negatively affect the relative abundance of some earthworm symbionts, including 'Candidatus Lumbricincola'. Changes in the soil bacterial community and the earthworm microbiome occur at total copper concentrations often found or modelled to occur in agricultural fields, demonstrating that soil bacterial communities and individual taxa in the earthworm microbiome may be at risk from environmental copper exposure including in nanomaterial form. (c) 2020 Elsevier Ltd. All rights reserved.</v>
      </c>
      <c r="C1253" s="24" t="str">
        <f>IFERROR(__xludf.DUMMYFUNCTION("""COMPUTED_VALUE"""),"10.1016/j.envpol.2020.115633")</f>
        <v>10.1016/j.envpol.2020.115633</v>
      </c>
      <c r="D1253" s="24" t="str">
        <f>IFERROR(__xludf.DUMMYFUNCTION("""COMPUTED_VALUE"""),"Keck et al")</f>
        <v>Keck et al</v>
      </c>
      <c r="E1253" s="24" t="str">
        <f>IFERROR(__xludf.DUMMYFUNCTION("""COMPUTED_VALUE"""),"WOS:000593967100026")</f>
        <v>WOS:000593967100026</v>
      </c>
      <c r="F1253" s="24" t="str">
        <f>IFERROR(__xludf.DUMMYFUNCTION("""COMPUTED_VALUE"""),"[""ELIGIBLE""]")</f>
        <v>["ELIGIBLE"]</v>
      </c>
    </row>
    <row r="1254">
      <c r="A1254" s="24" t="str">
        <f>IFERROR(__xludf.DUMMYFUNCTION("""COMPUTED_VALUE"""),"Assessing environmental effects of the bay scallop Argopecten irradians culture in China: Using abiotic and biotic indicators")</f>
        <v>Assessing environmental effects of the bay scallop Argopecten irradians culture in China: Using abiotic and biotic indicators</v>
      </c>
      <c r="B1254" s="24" t="str">
        <f>IFERROR(__xludf.DUMMYFUNCTION("""COMPUTED_VALUE"""),"This study aims to identify the effect of biodeposition from a non-indigenous scallop (bay scallop) farm on sediment organisms in a semi-closed bay in Bohai Sea, China. Sediment characteristics, the meifauna community, and harpacticoid copepod assemblages"&amp;" were investigated before aquaculture and during the high biodeposition period at three scallop farms: Sandy-Shallow (SS), Muddy Shallow (MS), and Muddy Deep (MD), and their correspondent control sites. Total organic carbon and total nitrogen did not accu"&amp;"mulate under the scallop farms. Although sedimentary bioavailable organic matter (biopolycarbon and Chlorophyll a) can accumulate under the scallop farms, all sediment characteristics were within the range of a meso-oligotrophic state. Bioindicators showe"&amp;"d a location-specific response. Only in Farm SS the meiofauna community differed from the control site as there was a larger proportion of nematodes. The density and diversity of harpacticoid copepods were enhanced by scallop farms in MD, while a slight r"&amp;"eduction of copepod density was found at SS due to the scallop farming. The overall results suggested that this non-indigenous scallop farming had minimal detrimental effect on the benthic environment in Laizhou Bay. Also, the bioavailable organic matter,"&amp;" the entire meiofauna community and harpacticoid copepod assemblages were useful tools for assessing of the potential environmental impact of shellfish farming")</f>
        <v>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v>
      </c>
      <c r="C1254" s="24" t="str">
        <f>IFERROR(__xludf.DUMMYFUNCTION("""COMPUTED_VALUE"""),"10.1016/j.aquaculture.2018.09.050")</f>
        <v>10.1016/j.aquaculture.2018.09.050</v>
      </c>
      <c r="D1254" s="24" t="str">
        <f>IFERROR(__xludf.DUMMYFUNCTION("""COMPUTED_VALUE"""),"Keck et al")</f>
        <v>Keck et al</v>
      </c>
      <c r="E1254" s="24" t="str">
        <f>IFERROR(__xludf.DUMMYFUNCTION("""COMPUTED_VALUE"""),"WOS:000447083800035")</f>
        <v>WOS:000447083800035</v>
      </c>
      <c r="F1254" s="24" t="str">
        <f>IFERROR(__xludf.DUMMYFUNCTION("""COMPUTED_VALUE"""),"[""ELIGIBLE""]")</f>
        <v>["ELIGIBLE"]</v>
      </c>
    </row>
    <row r="1255">
      <c r="A1255" s="24" t="str">
        <f>IFERROR(__xludf.DUMMYFUNCTION("""COMPUTED_VALUE"""),"Geographical distribution of zooplankton biodiversity in highly polluted running water ecosystems: Validation of fine-scale species sorting hypothesis")</f>
        <v>Geographical distribution of zooplankton biodiversity in highly polluted running water ecosystems: Validation of fine-scale species sorting hypothesis</v>
      </c>
      <c r="B1255" s="24" t="str">
        <f>IFERROR(__xludf.DUMMYFUNCTION("""COMPUTED_VALUE"""),"Dispersal, rather than species sorting, is widely recognized as the dominant driver for determining meta-community structure at fine geographical scales in running water ecosystems. However, this view has been challenged by a recently proposed fine-scale "&amp;"species sorting hypothesis, where community structure can be largely determined by an environmental gradient formed by local pollution at fine scales. Here, we tested this hypothesis by studying community composition and geographical distribution of metaz"&amp;"oan zooplankton in a heavily polluted riverthe North Canal River in the Haihe River Basin, China. Analysis of similarity (ANOSIM) showed that the community composition of metazoan zooplankton differed significantly (p=.001) along the environmental gradien"&amp;"t. Ammonium (NH4-N) was the leading factor responsible for changes in zooplankton community structure and geographical distribution, followed by total dissolved solid (TDS), Na, dissolved oxygen (DO) and temperature (T). Variation partitioning revealed a "&amp;"larger contribution of environmental variables (21.6%) than spatial variables (1.1%) to the total explained variation of zooplankton communities. Our results support that species sorting, rather than dispersal, played a key role in structuring communities"&amp;". Threshold Indicator Taxa ANalysis (TITAN) also revealed significant change points at both taxon and community levels along the gradient of NH4-N, providing further support for the influence of environmental variables on zooplankton communities. Collecti"&amp;"vely, we validate the fine-scale species sorting hypothesis when an environmental gradient exists in running water ecosystems at fine geographical scales. However, future studies on interactions between pollutants and zooplankton communities are still nee"&amp;"ded to better understand mechanisms responsible for the meta-community dynamics.")</f>
        <v>Dispersal, rather than species sorting, is widely recognized as the dominant driver for determining meta-community structure at fine geographical scales in running water ecosystems. However, this view has been challenged by a recently proposed fine-scale species sorting hypothesis, where community structure can be largely determined by an environmental gradient formed by local pollution at fine scales. Here, we tested this hypothesis by studying community composition and geographical distribution of metazoan zooplankton in a heavily polluted riverthe North Canal River in the Haihe River Basin, China. Analysis of similarity (ANOSIM) showed that the community composition of metazoan zooplankton differed significantly (p=.001) along the environmental gradient. Ammonium (NH4-N) was the leading factor responsible for changes in zooplankton community structure and geographical distribution, followed by total dissolved solid (TDS), Na, dissolved oxygen (DO) and temperature (T). Variation partitioning revealed a larger contribution of environmental variables (21.6%) than spatial variables (1.1%) to the total explained variation of zooplankton communities. Our results support that species sorting, rather than dispersal, played a key role in structuring communities. Threshold Indicator Taxa ANalysis (TITAN) also revealed significant change points at both taxon and community levels along the gradient of NH4-N, providing further support for the influence of environmental variables on zooplankton communities. Collectively, we validate the fine-scale species sorting hypothesis when an environmental gradient exists in running water ecosystems at fine geographical scales. However, future studies on interactions between pollutants and zooplankton communities are still needed to better understand mechanisms responsible for the meta-community dynamics.</v>
      </c>
      <c r="C1255" s="24" t="str">
        <f>IFERROR(__xludf.DUMMYFUNCTION("""COMPUTED_VALUE"""),"10.1002/ece3.4037")</f>
        <v>10.1002/ece3.4037</v>
      </c>
      <c r="D1255" s="24" t="str">
        <f>IFERROR(__xludf.DUMMYFUNCTION("""COMPUTED_VALUE"""),"Keck et al")</f>
        <v>Keck et al</v>
      </c>
      <c r="E1255" s="24" t="str">
        <f>IFERROR(__xludf.DUMMYFUNCTION("""COMPUTED_VALUE"""),"WOS:000434093100009")</f>
        <v>WOS:000434093100009</v>
      </c>
      <c r="F1255" s="24" t="str">
        <f>IFERROR(__xludf.DUMMYFUNCTION("""COMPUTED_VALUE"""),"[""ELIGIBLE""]")</f>
        <v>["ELIGIBLE"]</v>
      </c>
    </row>
    <row r="1256">
      <c r="A1256" s="24" t="str">
        <f>IFERROR(__xludf.DUMMYFUNCTION("""COMPUTED_VALUE"""),"Effect of different grazing intensities on bacterial community composition and diversity in rhizosphere and non-rhizosphere soils in desert steppe of China")</f>
        <v>Effect of different grazing intensities on bacterial community composition and diversity in rhizosphere and non-rhizosphere soils in desert steppe of China</v>
      </c>
      <c r="B1256" s="24" t="str">
        <f>IFERROR(__xludf.DUMMYFUNCTION("""COMPUTED_VALUE"""),"Degradation and desertification are extremely significant environmental problems in arid and semi-arid grassland ecosystems. Long-term overgrazing is the most fundamental cause of grassland degradation. We investigated relationships between grazing intens"&amp;"ity and bacterial communities in non-rhizospheric and rhizospheric soils in desert steppe, including 0-10, 10-20 and 20-30 cm depth soils, as well as Stipa breviflora Griseb., Cleistogenes songorica (Roshev.) Ohwi, Artemisia frigida Willd. and plant commu"&amp;"nity rhizospheric soils. This involved simulating grazing intensities in a long-term localization experiment, using a randomized block design. The effects of grazing on non-rhizospheric soil bacterial abundance were reflected in the 0-10 cm layer, increas"&amp;"ing under light grazing and decreasing rapidly under moderate and heavy grazing, mainly related to Bacillus. Bacterial abundance in dominant plant rhizosphere responded differently. In A. frigida Willd. Rhizosphere, it decreased with increasing grazing in"&amp;"tensity (a trend repeated in mixed rhizosphere). Bacterial abundance in S. breviflora and C. songorica rhizosphere increased under light and decreased under moderate and heavy grazing. Thus, changes in the dominant plant rhizospheric bacterial community d"&amp;"id not significantly affect bacterial abundance in mixed rhizosphere. Changes in the rhizospheric bacterial abundance mainly resulted from levels of the dominant species, Streptomyces and Arthrobacter. There were significantly different results for bacter"&amp;"ial community structure. Specifically, grazing had a nonsignificant and significant impact on bacterial community structures in non-rhizospheric (F-PERMANOVA = 1.38, p = 0.199) and rhizospheric (F-PERMANOVA = 2.03, p = 0.012) soil, respectively, varying s"&amp;"ignificantly among plants (F-PERMANOVA = 1.9, p = 0.022). In conclusion, bacterial communities in rhizosphere were mainly affected by plant species and were more sensitive to changing grazing intensity than in non-rhizospheric soil.")</f>
        <v>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v>
      </c>
      <c r="C1256" s="24" t="str">
        <f>IFERROR(__xludf.DUMMYFUNCTION("""COMPUTED_VALUE"""),"10.4067/S0718-58392019000400531")</f>
        <v>10.4067/S0718-58392019000400531</v>
      </c>
      <c r="D1256" s="24" t="str">
        <f>IFERROR(__xludf.DUMMYFUNCTION("""COMPUTED_VALUE"""),"Keck et al")</f>
        <v>Keck et al</v>
      </c>
      <c r="E1256" s="24" t="str">
        <f>IFERROR(__xludf.DUMMYFUNCTION("""COMPUTED_VALUE"""),"WOS:000492756200004")</f>
        <v>WOS:000492756200004</v>
      </c>
      <c r="F1256" s="24" t="str">
        <f>IFERROR(__xludf.DUMMYFUNCTION("""COMPUTED_VALUE"""),"[""ELIGIBLE""]")</f>
        <v>["ELIGIBLE"]</v>
      </c>
    </row>
    <row r="1257">
      <c r="A1257" s="24" t="str">
        <f>IFERROR(__xludf.DUMMYFUNCTION("""COMPUTED_VALUE"""),"Seasonal changes in the diversity and composition of the litter fauna in native forests and rubber plantations")</f>
        <v>Seasonal changes in the diversity and composition of the litter fauna in native forests and rubber plantations</v>
      </c>
      <c r="B1257" s="24" t="str">
        <f>IFERROR(__xludf.DUMMYFUNCTION("""COMPUTED_VALUE"""),"The litter layer of tropical forests supports a significant fraction of total arthropod diversity and decomposition of this layer is the main pathway by which nutrients are returned to the soil and CO2 to the atmosphere. Conversion of tropical forests to "&amp;"agriculture is the main threat to biodiversity and ecosystem services, and understanding effects on the litter layer is important for understanding and mitigating these impacts. We used high through-put DNA sequencing of the mitochondrial cytochrome c oxi"&amp;"dase subunit I (COI) gene to assess seasonal changes in the diversity and composition of the litter fauna at five matched pairs of native forests and rubber plantations in tropical SW China every month for a year, and measured the environmental factors ex"&amp;"pected to drive intra-annual variation. Forests and rubber had very different arthropod assemblages throughout the year, with forests more species-rich than rubber in all months except February. Very high rates of intra-annual turnover in species composit"&amp;"ion in both forests and rubber were associated with seasonality in environmental variables, with the influence of particular variables differing among taxa. Tropical arthropods are very sensitive to seasonality and sampling at only one time of the year ca"&amp;"ptures only a subset of the total community.")</f>
        <v>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v>
      </c>
      <c r="C1257" s="24" t="str">
        <f>IFERROR(__xludf.DUMMYFUNCTION("""COMPUTED_VALUE"""),"10.1038/s41598-018-28603-7")</f>
        <v>10.1038/s41598-018-28603-7</v>
      </c>
      <c r="D1257" s="24" t="str">
        <f>IFERROR(__xludf.DUMMYFUNCTION("""COMPUTED_VALUE"""),"Keck et al")</f>
        <v>Keck et al</v>
      </c>
      <c r="E1257" s="24" t="str">
        <f>IFERROR(__xludf.DUMMYFUNCTION("""COMPUTED_VALUE"""),"WOS:000437673200006")</f>
        <v>WOS:000437673200006</v>
      </c>
      <c r="F1257" s="24" t="str">
        <f>IFERROR(__xludf.DUMMYFUNCTION("""COMPUTED_VALUE"""),"[""ELIGIBLE""]")</f>
        <v>["ELIGIBLE"]</v>
      </c>
    </row>
    <row r="1258">
      <c r="A1258" s="24" t="str">
        <f>IFERROR(__xludf.DUMMYFUNCTION("""COMPUTED_VALUE"""),"Effects of diesel and lubricant oils on Antarctic benthic microbial communities over five years")</f>
        <v>Effects of diesel and lubricant oils on Antarctic benthic microbial communities over five years</v>
      </c>
      <c r="B1258" s="24" t="str">
        <f>IFERROR(__xludf.DUMMYFUNCTION("""COMPUTED_VALUE"""),"A 5 yr field experiment was carried out comparing the effects of Special Antarctic Blend (SAB) diesel, synthetic lubricant (Mobil 0W40), used synthetic lubricant (used Mobil 0W40) and a biodegradable lubricant (Titan GT1) on Antarctic benthic microbial co"&amp;"mmunities. Sediment from an uncontaminated site was collected, spiked with one of the oils and deployed in O'Brien Bay, East Antarctica. Sediment samples were then collected over 5 yr. All the oils caused changes in the microbial community in the top 1 cm"&amp;" of sediment, as determined by 16S ribosomal ribonucleic acid (rRNA) gene-based terminal restriction fragment length polymorphism analysis. The greatest effect was observed in the SAB diesel treatment. The biodegradable oil did not have a significant effe"&amp;"ct on the communities initially, but the communities present at 2 and 5 yr were significantly different to the controls. The unused and used lubricants were both significantly different to the control treatment. All the oils degraded, with 39% of the SAB,"&amp;" 15% of the unused lubricant, 15% of the used lubricant and 12% of the biodegradable oil, remaining after 5 yr. These results show that the effects of all these oils will be evident in the Antarctic benthic ecosystem for longer than 5 yr. This highlights "&amp;"the need for studies into the longevity and ecotoxicology of oil products in the Antarctic environment.")</f>
        <v>A 5 yr field experiment was carried out comparing the effects of Special Antarctic Blend (SAB) diesel, synthetic lubricant (Mobil 0W40), used synthetic lubricant (used Mobil 0W40) and a biodegradable lubricant (Titan GT1) on Antarctic benthic microbial communities. Sediment from an uncontaminated site was collected, spiked with one of the oils and deployed in O'Brien Bay, East Antarctica. Sediment samples were then collected over 5 yr. All the oils caused changes in the microbial community in the top 1 cm of sediment, as determined by 16S ribosomal ribonucleic acid (rRNA) gene-based terminal restriction fragment length polymorphism analysis. The greatest effect was observed in the SAB diesel treatment. The biodegradable oil did not have a significant effect on the communities initially, but the communities present at 2 and 5 yr were significantly different to the controls. The unused and used lubricants were both significantly different to the control treatment. All the oils degraded, with 39% of the SAB, 15% of the unused lubricant, 15% of the used lubricant and 12% of the biodegradable oil, remaining after 5 yr. These results show that the effects of all these oils will be evident in the Antarctic benthic ecosystem for longer than 5 yr. This highlights the need for studies into the longevity and ecotoxicology of oil products in the Antarctic environment.</v>
      </c>
      <c r="C1258" s="24" t="str">
        <f>IFERROR(__xludf.DUMMYFUNCTION("""COMPUTED_VALUE"""),"10.3354/ame01441")</f>
        <v>10.3354/ame01441</v>
      </c>
      <c r="D1258" s="24" t="str">
        <f>IFERROR(__xludf.DUMMYFUNCTION("""COMPUTED_VALUE"""),"Keck et al")</f>
        <v>Keck et al</v>
      </c>
      <c r="E1258" s="24" t="str">
        <f>IFERROR(__xludf.DUMMYFUNCTION("""COMPUTED_VALUE"""),"WOS:000284005000002")</f>
        <v>WOS:000284005000002</v>
      </c>
      <c r="F1258" s="24" t="str">
        <f>IFERROR(__xludf.DUMMYFUNCTION("""COMPUTED_VALUE"""),"[""ELIGIBLE""]")</f>
        <v>["ELIGIBLE"]</v>
      </c>
    </row>
    <row r="1259">
      <c r="A1259" s="24" t="str">
        <f>IFERROR(__xludf.DUMMYFUNCTION("""COMPUTED_VALUE"""),"Petroleum Contamination and Plant Identity Influence Soil and Root Microbial Communities While AMF Spores Retrieved from the Same Plants Possess Markedly Different Communities")</f>
        <v>Petroleum Contamination and Plant Identity Influence Soil and Root Microbial Communities While AMF Spores Retrieved from the Same Plants Possess Markedly Different Communities</v>
      </c>
      <c r="B1259" s="24" t="str">
        <f>IFERROR(__xludf.DUMMYFUNCTION("""COMPUTED_VALUE"""),"Phytoremediation is a promising in situ green technology based on the use of plants to cleanup soils from organic and inorganic pollutants. Microbes, particularly bacteria and fungi, that closely interact with plant roots play key roles in phytoremediatio"&amp;"n processes. In polluted soils, the root-associated microbes contribute to alleviation of plant stress, improve nutrient uptake and may either degrade or sequester a large range of soil pollutants. Therefore, improving the efficiency of phytoremediation r"&amp;"equires a thorough knowledge of the microbial diversity living in the rhizosphere and in close association with plant roots in both the surface and the endosphere. This study aims to assess fungal ITS and bacterial 16S rRNA gene diversity using high-throu"&amp;"ghput sequencing in rhizospheric soils and roots of three plant species (Solidago canadensis, Populus balsamifera, and Lycopus europaeus) growing spontaneously in three petroleum hydrocarbon polluted sedimentation basins. Microbial community structures of"&amp;" rhizospheric soils and roots were compared with those of microbes associated with arbuscular mycorrhizal fungal (AMF) spores to determine the links between the root and rhizosphere communities and those associated with AMF. Our results showed a differenc"&amp;"e in OTU richness and community structure composition between soils and roots for both bacteria and fungi. We found that petroleum hydrocarbon pollutant (PHP) concentrations have a significant effect on fungal and bacterial community structures in both so"&amp;"ils and roots, whereas plant species identity showed a significant effect only on the roots for bacteria and fungi. Our results also showed that the community composition of bacteria and fungi in soil and roots varied from those associated with AMF spores"&amp;" harvested from the same plants. This let us to speculate that in petroleum hydrocarbon contaminated soils, AMF may release chemical compounds by which they recruit beneficial microbes to tolerate or degrade the PHPs present in the soil.")</f>
        <v>Phytoremediation is a promising in situ green technology based on the use of plants to cleanup soils from organic and inorganic pollutants. Microbes, particularly bacteria and fungi, that closely interact with plant roots play key roles in phytoremediation processes. In polluted soils, the root-associated microbes contribute to alleviation of plant stress, improve nutrient uptake and may either degrade or sequester a large range of soil pollutants. Therefore, improving the efficiency of phytoremediation requires a thorough knowledge of the microbial diversity living in the rhizosphere and in close association with plant roots in both the surface and the endosphere. This study aims to assess fungal ITS and bacterial 16S rRNA gene diversity using high-throughput sequencing in rhizospheric soils and roots of three plant species (Solidago canadensis, Populus balsamifera, and Lycopus europaeus) growing spontaneously in three petroleum hydrocarbon polluted sedimentation basins. Microbial community structures of rhizospheric soils and roots were compared with those of microbes associated with arbuscular mycorrhizal fungal (AMF) spores to determine the links between the root and rhizosphere communities and those associated with AMF. Our results showed a difference in OTU richness and community structure composition between soils and roots for both bacteria and fungi. We found that petroleum hydrocarbon pollutant (PHP) concentrations have a significant effect on fungal and bacterial community structures in both soils and roots, whereas plant species identity showed a significant effect only on the roots for bacteria and fungi. Our results also showed that the community composition of bacteria and fungi in soil and roots varied from those associated with AMF spores harvested from the same plants. This let us to speculate that in petroleum hydrocarbon contaminated soils, AMF may release chemical compounds by which they recruit beneficial microbes to tolerate or degrade the PHPs present in the soil.</v>
      </c>
      <c r="C1259" s="24" t="str">
        <f>IFERROR(__xludf.DUMMYFUNCTION("""COMPUTED_VALUE"""),"10.3389/fpls.2017.01381")</f>
        <v>10.3389/fpls.2017.01381</v>
      </c>
      <c r="D1259" s="24" t="str">
        <f>IFERROR(__xludf.DUMMYFUNCTION("""COMPUTED_VALUE"""),"Keck et al")</f>
        <v>Keck et al</v>
      </c>
      <c r="E1259" s="24" t="str">
        <f>IFERROR(__xludf.DUMMYFUNCTION("""COMPUTED_VALUE"""),"WOS:000407698700001")</f>
        <v>WOS:000407698700001</v>
      </c>
      <c r="F1259" s="24" t="str">
        <f>IFERROR(__xludf.DUMMYFUNCTION("""COMPUTED_VALUE"""),"[""ELIGIBLE""]")</f>
        <v>["ELIGIBLE"]</v>
      </c>
    </row>
    <row r="1260">
      <c r="A1260" s="24" t="str">
        <f>IFERROR(__xludf.DUMMYFUNCTION("""COMPUTED_VALUE"""),"Forest area and connectivity influence root-associated fungal communities in a fragmented landscape")</f>
        <v>Forest area and connectivity influence root-associated fungal communities in a fragmented landscape</v>
      </c>
      <c r="B1260" s="24" t="str">
        <f>IFERROR(__xludf.DUMMYFUNCTION("""COMPUTED_VALUE"""),"Habitat fragmentation is well known to affect plant and animal diversity as a result of reduced habitat area and connectivity, but its effects on microorganisms are poorly understood. Using high-throughput sequencing of two regions of the rRNA gene, we st"&amp;"udied the effects of forest area and connectivity on the diversity and composition of fungi associated with the roots of the dominant tree, Metrosideros polymorpha, in a lava-fragmented landscape on the Island of Hawaii. We found that local fungal diversi"&amp;"ty increased with forest area, whereas fungal species composition was correlated with fragment connectivity. Fragment size and connectivity were significant predictors even when we included environmental covariates, which were also associated with fungal "&amp;"diversity and composition. Fungal species composition was more similar among highly connected fragments than among poorly connected ones. We also identified individual taxa that varied in abundance with connectivity. Taken together, our results show that "&amp;"habitat fragmentation can alter microbial diversity and composition via differential response among fungal phyla and individual taxa to habitat connectivity.")</f>
        <v>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v>
      </c>
      <c r="C1260" s="24" t="str">
        <f>IFERROR(__xludf.DUMMYFUNCTION("""COMPUTED_VALUE"""),"10.1002/ecy.1472")</f>
        <v>10.1002/ecy.1472</v>
      </c>
      <c r="D1260" s="24" t="str">
        <f>IFERROR(__xludf.DUMMYFUNCTION("""COMPUTED_VALUE"""),"Keck et al")</f>
        <v>Keck et al</v>
      </c>
      <c r="E1260" s="24" t="str">
        <f>IFERROR(__xludf.DUMMYFUNCTION("""COMPUTED_VALUE"""),"WOS:000382527100021")</f>
        <v>WOS:000382527100021</v>
      </c>
      <c r="F1260" s="24" t="str">
        <f>IFERROR(__xludf.DUMMYFUNCTION("""COMPUTED_VALUE"""),"[""ELIGIBLE""]")</f>
        <v>["ELIGIBLE"]</v>
      </c>
    </row>
    <row r="1261">
      <c r="A1261" s="24" t="str">
        <f>IFERROR(__xludf.DUMMYFUNCTION("""COMPUTED_VALUE"""),"Assessment of Arctic Community Wastewater Impacts on Marine Benthic Invertebrates.")</f>
        <v>Assessment of Arctic Community Wastewater Impacts on Marine Benthic Invertebrates.</v>
      </c>
      <c r="B1261" s="24" t="str">
        <f>IFERROR(__xludf.DUMMYFUNCTION("""COMPUTED_VALUE"""),"This study sought to understand the performance of arctic treatment systems and the impact of wastewater effluent on benthic invertebrate communities in arctic receiving water habitats. Effluent quality and benthic impacts were monitored in the receiving "&amp;"water of five communities across Nunavut that differed in the type and level of treatment achieved by wastewater infrastructure, the volume of effluent and receiving water mixing environment. We detected minimal impacts to benthic communities (&lt;225 m line"&amp;"ar distance from the effluent source) in four out of the five communities (Grise Fiord, Kugaaruk, Pond Inlet, and Pangnirtung), where the population was &lt;2000 people. In these small communities impacts were characterized by increases or decreases in speci"&amp;"es richness, diversity, evenness, and density, and some differences in benthic species composition. This was in contrast to benthic sediments in Iqaluit (population 6699), which were devoid of benthic fauna up to 580 m from the effluent source in response"&amp;" to sediment anoxia. Variation in benthic community response between sampling locations was attributed primarily to differences in effluent volume, with effluent quality and receiving water hydrodynamics playing secondary roles. The results of this study "&amp;"will help to inform the development of northern specific treatment performance standards which will aid in prioritizing community wastewater system upgrades in arctic communities.")</f>
        <v>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v>
      </c>
      <c r="C1261" s="24" t="str">
        <f>IFERROR(__xludf.DUMMYFUNCTION("""COMPUTED_VALUE"""),"10.1021/es503330n")</f>
        <v>10.1021/es503330n</v>
      </c>
      <c r="D1261" s="24" t="str">
        <f>IFERROR(__xludf.DUMMYFUNCTION("""COMPUTED_VALUE"""),"Keck et al")</f>
        <v>Keck et al</v>
      </c>
      <c r="E1261" s="24" t="str">
        <f>IFERROR(__xludf.DUMMYFUNCTION("""COMPUTED_VALUE"""),"WOS:000348332400009")</f>
        <v>WOS:000348332400009</v>
      </c>
      <c r="F1261" s="24" t="str">
        <f>IFERROR(__xludf.DUMMYFUNCTION("""COMPUTED_VALUE"""),"[""ELIGIBLE""]")</f>
        <v>["ELIGIBLE"]</v>
      </c>
    </row>
    <row r="1262">
      <c r="A1262" s="24" t="str">
        <f>IFERROR(__xludf.DUMMYFUNCTION("""COMPUTED_VALUE"""),"Non-native rainbow trout change the structure of benthic communities in headwater streams of the Cape Floristic Region, South Africa")</f>
        <v>Non-native rainbow trout change the structure of benthic communities in headwater streams of the Cape Floristic Region, South Africa</v>
      </c>
      <c r="B1262" s="24" t="str">
        <f>IFERROR(__xludf.DUMMYFUNCTION("""COMPUTED_VALUE"""),"Introduced rainbow trout Oncorhynchus mykiss have invaded many headwater streams in the Cape Floristic Region (CFR) and depleted, or eliminated, native fish populations. However, the question of whether trout invasions also have consequences for lower tro"&amp;"phic levels in these systems has not been addressed. We used a broad-scale comparative study in the upper Breede River catchment (CFR) to evaluate differences in benthic community structure between sites on headwater streams with and without trout, and th"&amp;"ereby infer community-level impacts of trout. There were differences in invertebrate abundance and assemblage composition, and algal biomass, between sites with and without trout. Specifically, the abundance of certain herbivorous invertebrate taxa was hi"&amp;"gher, and the biomass of benthic algae lower, at sites invaded by trout. This pattern implies that trout have induced a trophic cascade by releasing herbivorous invertebrates from predation, leading to an increase in grazing pressure and a consequent indi"&amp;"rect decrease in the biomass of benthic algae; a pattern that contrasts with the majority of studies investigating community-level impacts of introduced trout elsewhere. These findings, together with comparisons of environmental conditions between invaded"&amp;" and uninvaded sites, indicate that trout invasions have changed the structure and function of benthic communities in these streams.")</f>
        <v>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v>
      </c>
      <c r="C1262" s="24" t="str">
        <f>IFERROR(__xludf.DUMMYFUNCTION("""COMPUTED_VALUE"""),"10.1007/s10750-014-2067-2")</f>
        <v>10.1007/s10750-014-2067-2</v>
      </c>
      <c r="D1262" s="24" t="str">
        <f>IFERROR(__xludf.DUMMYFUNCTION("""COMPUTED_VALUE"""),"Keck et al")</f>
        <v>Keck et al</v>
      </c>
      <c r="E1262" s="24" t="str">
        <f>IFERROR(__xludf.DUMMYFUNCTION("""COMPUTED_VALUE"""),"WOS:000346636900001")</f>
        <v>WOS:000346636900001</v>
      </c>
      <c r="F1262" s="24" t="str">
        <f>IFERROR(__xludf.DUMMYFUNCTION("""COMPUTED_VALUE"""),"[""ELIGIBLE""]")</f>
        <v>["ELIGIBLE"]</v>
      </c>
    </row>
    <row r="1263">
      <c r="A1263" s="24" t="str">
        <f>IFERROR(__xludf.DUMMYFUNCTION("""COMPUTED_VALUE"""),"Response of a salt marsh microbial community to antibiotic contamination")</f>
        <v>Response of a salt marsh microbial community to antibiotic contamination</v>
      </c>
      <c r="B1263" s="24" t="str">
        <f>IFERROR(__xludf.DUMMYFUNCTION("""COMPUTED_VALUE"""),"Salt marsh plants and associated microorganisms can have an important role in contaminant removal from estuaries, through bioremediation processes. Nevertheless, the interaction between emerging contaminants, namely antibiotics, and plant-microorganism as"&amp;"sociations in estuarine environment are still scarcely known. In this vein, the aim of the present study was to evaluate, in controlled conditions, the response of a salt marsh plant-microorganism association to a contamination with a veterinary antibioti"&amp;"c. For that a saltmarsh plant (Phragmites australis) and its respective rhizosediment were collected in a temperate estuary (Lima estuary, NW Portugal) and exposed for 7 days to enrofloxacin (ENR) under different nutritional conditions in sediment elutria"&amp;"tes. Response was evaluated in terms of ENR removal and changes in microbial community structure (evaluated by ARISA) and abundance (estimated by DAPI). In general, no significant changes were observed in microbial abundance. Changes in bacterial richness"&amp;" and diversity were observed but only in unplanted systems. However, multivariate analysis of ARISA profiles showed significant effect of both the presence of plant and type of treatment on the microbial community structure, with significant differences a"&amp;"mong all treatment groups. In addition, plants and associated microorganisms presented a potential for antibiotic removal that, although highly dependent on their nutritional status, can be a valuable asset to recover impacted areas such as estuarine ones"&amp;". (C) 2015 Elsevier B.V. All rights reserved.")</f>
        <v>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v>
      </c>
      <c r="C1263" s="24" t="str">
        <f>IFERROR(__xludf.DUMMYFUNCTION("""COMPUTED_VALUE"""),"10.1016/j.scitotenv.2015.06.029")</f>
        <v>10.1016/j.scitotenv.2015.06.029</v>
      </c>
      <c r="D1263" s="24" t="str">
        <f>IFERROR(__xludf.DUMMYFUNCTION("""COMPUTED_VALUE"""),"Keck et al")</f>
        <v>Keck et al</v>
      </c>
      <c r="E1263" s="24" t="str">
        <f>IFERROR(__xludf.DUMMYFUNCTION("""COMPUTED_VALUE"""),"WOS:000360286500029")</f>
        <v>WOS:000360286500029</v>
      </c>
      <c r="F1263" s="24" t="str">
        <f>IFERROR(__xludf.DUMMYFUNCTION("""COMPUTED_VALUE"""),"[""ELIGIBLE""]")</f>
        <v>["ELIGIBLE"]</v>
      </c>
    </row>
    <row r="1264">
      <c r="A1264" s="24" t="str">
        <f>IFERROR(__xludf.DUMMYFUNCTION("""COMPUTED_VALUE"""),"Anthropogenic Disturbance Can Determine the Magnitude of Opportunistic Species Responses on Marine Urban Infrastructures")</f>
        <v>Anthropogenic Disturbance Can Determine the Magnitude of Opportunistic Species Responses on Marine Urban Infrastructures</v>
      </c>
      <c r="B1264" s="24" t="str">
        <f>IFERROR(__xludf.DUMMYFUNCTION("""COMPUTED_VALUE"""),"Background: Coastal landscapes are being transformed as a consequence of the increasing demand for infrastructures to sustain residential, commercial and tourist activities. Thus, intertidal and shallow marine habitats are largely being replaced by a vari"&amp;"ety of artificial substrata (e. g. breakwaters, seawalls, jetties). Understanding the ecological functioning of these artificial habitats is key to planning their design and management, in order to minimise their impacts and to improve their potential to "&amp;"contribute to marine biodiversity and ecosystem functioning. Nonetheless, little effort has been made to assess the role of human disturbances in shaping the structure of assemblages on marine artificial infrastructures. We tested the hypothesis that some"&amp;" negative impacts associated with the expansion of opportunistic and invasive species on urban infrastructures can be related to the severe human disturbances that are typical of these environments, such as those from maintenance and renovation works. Met"&amp;"hodology/Principal Findings: Maintenance caused a marked decrease in the cover of dominant space occupiers, such as mussels and oysters, and a significant enhancement of opportunistic and invasive forms, such as biofilm and macroalgae. These effects were "&amp;"particularly pronounced on sheltered substrata compared to exposed substrata. Experimental application of the disturbance in winter reduced the magnitude of the impacts compared to application in spring or summer. We use these results to identify possible"&amp;" management strategies to inform the improvement of the ecological value of artificial marine infrastructures. Conclusions/Significance: We demonstrate that some of the impacts of globally expanding marine urban infrastructures, such as those related to t"&amp;"he spread of opportunistic, and invasive species could be mitigated through ecologically-driven planning and management of long-term maintenance of these structures. Impact mitigation is a possible outcome of policies that consider the ecological features"&amp;" of built infrastructures and the fundamental value of controlling biodiversity in marine urban systems.")</f>
        <v>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v>
      </c>
      <c r="C1264" s="24" t="str">
        <f>IFERROR(__xludf.DUMMYFUNCTION("""COMPUTED_VALUE"""),"10.1371/journal.pone.0022985")</f>
        <v>10.1371/journal.pone.0022985</v>
      </c>
      <c r="D1264" s="24" t="str">
        <f>IFERROR(__xludf.DUMMYFUNCTION("""COMPUTED_VALUE"""),"Keck et al")</f>
        <v>Keck et al</v>
      </c>
      <c r="E1264" s="24" t="str">
        <f>IFERROR(__xludf.DUMMYFUNCTION("""COMPUTED_VALUE"""),"WOS:000293558900050")</f>
        <v>WOS:000293558900050</v>
      </c>
      <c r="F1264" s="24" t="str">
        <f>IFERROR(__xludf.DUMMYFUNCTION("""COMPUTED_VALUE"""),"[""ELIGIBLE""]")</f>
        <v>["ELIGIBLE"]</v>
      </c>
    </row>
    <row r="1265">
      <c r="A1265" s="24" t="str">
        <f>IFERROR(__xludf.DUMMYFUNCTION("""COMPUTED_VALUE"""),"Simulated leakage of high pCO2 water negatively impacts bivalve dominated infaunal communities from the Western Baltic Sea")</f>
        <v>Simulated leakage of high pCO2 water negatively impacts bivalve dominated infaunal communities from the Western Baltic Sea</v>
      </c>
      <c r="B1265" s="24" t="str">
        <f>IFERROR(__xludf.DUMMYFUNCTION("""COMPUTED_VALUE"""),"Carbon capture and storage is promoted as a mitigation method counteracting the increase of atmospheric CO2 levels. However, at this stage, environmental consequences of potential CO2 leakage from sub-seabed storage sites are still largely unknown. In a 3"&amp;"-month-long mesocosm experiment, this study assessed the impact of elevated pCO(2) levels (1,500 to 24,400 mu atm) on Cerastoderma edule dominated benthic communities from the Baltic Sea. Mortality of C. edule was significantly increased in the highest tr"&amp;"eatment (24,400 mu atm) and exceeded 50%. Furthermore, mortality of small size classes (0-1 cm) was significantly increased in treatment levels &gt;= 6,600 mu atm. First signs of external shell dissolution became visible at &gt;= 1,500 mu atm, holes were observ"&amp;"ed at &gt; 6,600 mu atm. C. edule body condition decreased significantly at all treatment levels (1,500-24,400 mu atm). Dominant meiofauna taxa remained unaffected in abundance. Densities of calcifying meiofauna taxa (i.e. Gastropoda and Ostracoda) decreased"&amp;" in high CO2 treatments (&gt; 6,600 mu atm), while the non - calcifying Gastrotricha significantly increased in abundance at 24,400 mu atm. In addition, microbial community composition was altered at the highest pCO(2) level. We conclude that strong CO2 leak"&amp;"age can alter benthic infauna community composition at multiple trophic levels, likely due to high mortality of the dominant macrofauna species C. edule.")</f>
        <v>Carbon capture and storage is promoted as a mitigation method counteracting the increase of atmospheric CO2 levels. However, at this stage, environmental consequences of potential CO2 leakage from sub-seabed storage sites are still largely unknown. In a 3-month-long mesocosm experiment, this study assessed the impact of elevated pCO(2) levels (1,500 to 24,400 mu atm) on Cerastoderma edule dominated benthic communities from the Baltic Sea. Mortality of C. edule was significantly increased in the highest treatment (24,400 mu atm) and exceeded 50%. Furthermore, mortality of small size classes (0-1 cm) was significantly increased in treatment levels &gt;= 6,600 mu atm. First signs of external shell dissolution became visible at &gt;= 1,500 mu atm, holes were observed at &gt; 6,600 mu atm. C. edule body condition decreased significantly at all treatment levels (1,500-24,400 mu atm). Dominant meiofauna taxa remained unaffected in abundance. Densities of calcifying meiofauna taxa (i.e. Gastropoda and Ostracoda) decreased in high CO2 treatments (&gt; 6,600 mu atm), while the non - calcifying Gastrotricha significantly increased in abundance at 24,400 mu atm. In addition, microbial community composition was altered at the highest pCO(2) level. We conclude that strong CO2 leakage can alter benthic infauna community composition at multiple trophic levels, likely due to high mortality of the dominant macrofauna species C. edule.</v>
      </c>
      <c r="C1265" s="24" t="str">
        <f>IFERROR(__xludf.DUMMYFUNCTION("""COMPUTED_VALUE"""),"10.1038/srep31447")</f>
        <v>10.1038/srep31447</v>
      </c>
      <c r="D1265" s="24" t="str">
        <f>IFERROR(__xludf.DUMMYFUNCTION("""COMPUTED_VALUE"""),"Keck et al")</f>
        <v>Keck et al</v>
      </c>
      <c r="E1265" s="24" t="str">
        <f>IFERROR(__xludf.DUMMYFUNCTION("""COMPUTED_VALUE"""),"WOS:000381662600001")</f>
        <v>WOS:000381662600001</v>
      </c>
      <c r="F1265" s="24" t="str">
        <f>IFERROR(__xludf.DUMMYFUNCTION("""COMPUTED_VALUE"""),"[""ELIGIBLE""]")</f>
        <v>["ELIGIBLE"]</v>
      </c>
    </row>
    <row r="1266">
      <c r="A1266" s="24" t="str">
        <f>IFERROR(__xludf.DUMMYFUNCTION("""COMPUTED_VALUE"""),"Effects of land use on streams: traditional and functional analyses of benthic diatoms")</f>
        <v>Effects of land use on streams: traditional and functional analyses of benthic diatoms</v>
      </c>
      <c r="B1266" s="24" t="str">
        <f>IFERROR(__xludf.DUMMYFUNCTION("""COMPUTED_VALUE"""),"Agriculture and urbanisation, the two forms of land use, represent serious threats to the ecological status of aquatic ecosystems, especially in the case of small streams at low altitudes. In this study, 75 Hungarian streams were analysed to explore the e"&amp;"ffects of these land use types on the composition of benthic diatom communities and their richness. In the Carpathian region, species and trait composition, as well as species richness, varied primarily according to the local environmental variables follo"&amp;"wed by the shared effects of the environmental factors and land use types. At the same time, functional richness was chiefly explained by the pure effects of land use. However, the difference in trait composition between areas dominated by forest (low pro"&amp;"file guild, small cell size) and agriculture (motile ecological guilds with middle size, linear-lanceolate shape) was obvious. Higher proportion of water and artificial surfaces might support the spread of diatom species with specific traits: low profile "&amp;"guild with a slightly elongated outline. Nevertheless, no effect of urbanisation on the set of traits, species composition and richness was detected at either local or catchment scale, which might be due to the relatively small portion of artificial surfa"&amp;"ces in the watersheds as a whole.")</f>
        <v>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v>
      </c>
      <c r="C1266" s="24" t="str">
        <f>IFERROR(__xludf.DUMMYFUNCTION("""COMPUTED_VALUE"""),"10.1007/s10750-020-04294-y")</f>
        <v>10.1007/s10750-020-04294-y</v>
      </c>
      <c r="D1266" s="24" t="str">
        <f>IFERROR(__xludf.DUMMYFUNCTION("""COMPUTED_VALUE"""),"Keck et al")</f>
        <v>Keck et al</v>
      </c>
      <c r="E1266" s="24" t="str">
        <f>IFERROR(__xludf.DUMMYFUNCTION("""COMPUTED_VALUE"""),"WOS:000533060700003")</f>
        <v>WOS:000533060700003</v>
      </c>
      <c r="F1266" s="24" t="str">
        <f>IFERROR(__xludf.DUMMYFUNCTION("""COMPUTED_VALUE"""),"[""ELIGIBLE""]")</f>
        <v>["ELIGIBLE"]</v>
      </c>
    </row>
    <row r="1267">
      <c r="A1267" s="24" t="str">
        <f>IFERROR(__xludf.DUMMYFUNCTION("""COMPUTED_VALUE"""),"Environmental and ecological changes associated with a marina")</f>
        <v>Environmental and ecological changes associated with a marina</v>
      </c>
      <c r="B1267" s="24" t="str">
        <f>IFERROR(__xludf.DUMMYFUNCTION("""COMPUTED_VALUE"""),"Anthropogenic modifications to waterways are common and their ecological consequences must be understood to effectively conserve local biodiversity. The facilitation of recreational boating activities often requires substantial alteration of natural areas"&amp;", however the environmental and ecological consequences of such alterations are rarely described in the scientific literature. In this study, ecological and physico-chemical conditions were investigated in a recreational boating marina, located inside a m"&amp;"arine park on the south-east coast of Australia. Recruitment panels were deployed for 8weeks both inside and outside the marina, and differences in the composition of the developing fouling communities were observed. The recruitment of taxa, which often h"&amp;"ave short-lived larvae, was increased inside the marina (bryozoans, spirorbids and sponges) while the recruitment of taxa, which often have longer-lived larvae, was reduced or absent (barnacles, solitary ascidians and non-spirorbid polychaetes). Differenc"&amp;"es were also observed in environmental conditions inside the marina cf. directly outside. The marina environment had higher turbidity, temperature and pH along with higher concentrations of lead and copper in suspended sediments, while flow rates and trap"&amp;"ped sediment loads were reduced inside the marina. The differences observed in the study suggest that there may be marked environmental changes associated with marina developments. The potential ecological consequences of these changes should be a primary"&amp;" consideration during the planning process, particularly for developments in locations of notable ecological value.")</f>
        <v>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v>
      </c>
      <c r="C1267" s="24" t="str">
        <f>IFERROR(__xludf.DUMMYFUNCTION("""COMPUTED_VALUE"""),"10.1080/08927014.2013.805751")</f>
        <v>10.1080/08927014.2013.805751</v>
      </c>
      <c r="D1267" s="24" t="str">
        <f>IFERROR(__xludf.DUMMYFUNCTION("""COMPUTED_VALUE"""),"Keck et al")</f>
        <v>Keck et al</v>
      </c>
      <c r="E1267" s="24" t="str">
        <f>IFERROR(__xludf.DUMMYFUNCTION("""COMPUTED_VALUE"""),"WOS:000321828200005")</f>
        <v>WOS:000321828200005</v>
      </c>
      <c r="F1267" s="24" t="str">
        <f>IFERROR(__xludf.DUMMYFUNCTION("""COMPUTED_VALUE"""),"[""ELIGIBLE""]")</f>
        <v>["ELIGIBLE"]</v>
      </c>
    </row>
    <row r="1268">
      <c r="A1268" s="24" t="str">
        <f>IFERROR(__xludf.DUMMYFUNCTION("""COMPUTED_VALUE"""),"Effects of urbanization and urban stream restoration on the physical and biological structure of stream ecosystems")</f>
        <v>Effects of urbanization and urban stream restoration on the physical and biological structure of stream ecosystems</v>
      </c>
      <c r="B1268" s="24" t="str">
        <f>IFERROR(__xludf.DUMMYFUNCTION("""COMPUTED_VALUE"""),"Streams, as low-lying points in the landscape, are strongly influenced by the stormwaters, pollutants, and warming that characterize catchment urbanization. River restoration projects are an increasingly popular method for mitigating urban insults. Despit"&amp;"e the growing frequency and high expense of urban stream restoration projects, very few projects have been evaluated to determine whether they can successfully enhance habitat structure or support the stream biota characteristic of reference sites. We com"&amp;"pared the physical and biological structure of four urban degraded, four urban restored, and four forested streams in the Piedmont region of North Carolina to quantify the ability of reach-scale stream restoration to restore physical and biological struct"&amp;"ure to urban streams and to examine the assumption that providing habitat is sufficient for biological recovery. To be successful at mitigating urban impacts, the habitat structure and biological communities found in restored streams should be more simila"&amp;"r to forested reference sites than to their urban degraded counterparts. For every measured reach-and patch-scale attribute, we found that restored streams were indistinguishable from their degraded urban stream counterparts. Forested streams were shallow"&amp;"er, had greater habitat complexity and median sediment size, and contained less-tolerant communities with higher sensitive taxa richness than streams in either urban category. Because heavy machinery is used to regrade and reconfigure restored channels, r"&amp;"estored streams had less canopy cover than either forested or urban streams. Channel habitat complexity and watershed impervious surface cover (ISC) were the best predictors of sensitive taxa richness and biotic index at the reach and catchment scale, res"&amp;"pectively. Macroinvertebrate communities in restored channels were compositionally similar to the communities in urban degraded channels, and both were dissimilar to communities in forested streams. The macroinvertebrate communities of both restored and u"&amp;"rban degraded streams were correlated with environmental variables characteristic of degraded urban systems. Our study suggests that reach-scale restoration is not successfully mitigating for the factors causing physical and biological degradation.")</f>
        <v>Streams, as low-lying points in the landscape, are strongly influenced by the stormwaters, pollutants, and warming that characterize catchment urbanization. River restoration projects are an increasingly popular method for mitigating urban insults. Despite the growing frequency and high expense of urban stream restoration projects, very few projects have been evaluated to determine whether they can successfully enhance habitat structure or support the stream biota characteristic of reference sites. We compared the physical and biological structure of four urban degraded, four urban restored, and four forested streams in the Piedmont region of North Carolina to quantify the ability of reach-scale stream restoration to restore physical and biological structure to urban streams and to examine the assumption that providing habitat is sufficient for biological recovery. To be successful at mitigating urban impacts, the habitat structure and biological communities found in restored streams should be more similar to forested reference sites than to their urban degraded counterparts. For every measured reach-and patch-scale attribute, we found that restored streams were indistinguishable from their degraded urban stream counterparts. Forested streams were shallower, had greater habitat complexity and median sediment size, and contained less-tolerant communities with higher sensitive taxa richness than streams in either urban category. Because heavy machinery is used to regrade and reconfigure restored channels, restored streams had less canopy cover than either forested or urban streams. Channel habitat complexity and watershed impervious surface cover (ISC) were the best predictors of sensitive taxa richness and biotic index at the reach and catchment scale, respectively. Macroinvertebrate communities in restored channels were compositionally similar to the communities in urban degraded channels, and both were dissimilar to communities in forested streams. The macroinvertebrate communities of both restored and urban degraded streams were correlated with environmental variables characteristic of degraded urban systems. Our study suggests that reach-scale restoration is not successfully mitigating for the factors causing physical and biological degradation.</v>
      </c>
      <c r="C1268" s="24" t="str">
        <f>IFERROR(__xludf.DUMMYFUNCTION("""COMPUTED_VALUE"""),"10.1890/10-1551.1")</f>
        <v>10.1890/10-1551.1</v>
      </c>
      <c r="D1268" s="24" t="str">
        <f>IFERROR(__xludf.DUMMYFUNCTION("""COMPUTED_VALUE"""),"Keck et al")</f>
        <v>Keck et al</v>
      </c>
      <c r="E1268" s="24" t="str">
        <f>IFERROR(__xludf.DUMMYFUNCTION("""COMPUTED_VALUE"""),"WOS:000294155900006")</f>
        <v>WOS:000294155900006</v>
      </c>
      <c r="F1268" s="24" t="str">
        <f>IFERROR(__xludf.DUMMYFUNCTION("""COMPUTED_VALUE"""),"[""ELIGIBLE""]")</f>
        <v>["ELIGIBLE"]</v>
      </c>
    </row>
    <row r="1269">
      <c r="A1269" s="24" t="str">
        <f>IFERROR(__xludf.DUMMYFUNCTION("""COMPUTED_VALUE"""),"Comparative characterization of microbial communities that inhabit arsenic-rich and antimony-rich contaminated sites: Responses to two different contamination conditions")</f>
        <v>Comparative characterization of microbial communities that inhabit arsenic-rich and antimony-rich contaminated sites: Responses to two different contamination conditions</v>
      </c>
      <c r="B1269" s="24" t="str">
        <f>IFERROR(__xludf.DUMMYFUNCTION("""COMPUTED_VALUE"""),"Due to extensive mining and industrial activities, arsenic (As) and antimony (Sb) contaminations are becoming a global environmental concern. Both As and Sb are toxic and carcinogenic metalloids from the group 15 in the periodic table. Since As and Sb sha"&amp;"re many similar geochemical properties, it is often assumed that they exert similar environmental pressure on the native microbial communities. This hypothesis, however, still requires further confirmation. In the current study, a systematic comparison of"&amp;" microbial responses to As and Sb contamination were conducted. The results suggested that regular geochemical parameters, such as pH, nitrate, and TOC, were the driving forces for shaping the microbial community. In correspondence, two heavily contaminat"&amp;"ed groups showed similar microbial community compositions and the same microbial populations were enriched. The interactions between the contaminant fractions (As and Sb related fractions) and the individual OTUs, however, suggested the different and more"&amp;" diverse impacts of As comparing to Sb fractions, with more taxa significantly impacted by As species comparing to Sb species. The identification of the keystone taxa in the heavily contaminated samples revealed a group of microbial populations that could"&amp;" survive in both As and Sb heavily contaminated conditions and may providing critical environmental services to the community. Further investigation of these key microbial populations may provide valuable insights on employing these microorganisms for rem"&amp;"ediation applications. (C) 2020 Elsevier Ltd. All rights reserved.")</f>
        <v>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v>
      </c>
      <c r="C1269" s="24" t="str">
        <f>IFERROR(__xludf.DUMMYFUNCTION("""COMPUTED_VALUE"""),"10.1016/j.envpol.2020.114052")</f>
        <v>10.1016/j.envpol.2020.114052</v>
      </c>
      <c r="D1269" s="24" t="str">
        <f>IFERROR(__xludf.DUMMYFUNCTION("""COMPUTED_VALUE"""),"Keck et al")</f>
        <v>Keck et al</v>
      </c>
      <c r="E1269" s="24" t="str">
        <f>IFERROR(__xludf.DUMMYFUNCTION("""COMPUTED_VALUE"""),"WOS:000528537600037")</f>
        <v>WOS:000528537600037</v>
      </c>
      <c r="F1269" s="24" t="str">
        <f>IFERROR(__xludf.DUMMYFUNCTION("""COMPUTED_VALUE"""),"[""ELIGIBLE""]")</f>
        <v>["ELIGIBLE"]</v>
      </c>
    </row>
    <row r="1270">
      <c r="A1270" s="24" t="str">
        <f>IFERROR(__xludf.DUMMYFUNCTION("""COMPUTED_VALUE"""),"Challenges using extrapolated family-level macroinvertebrate metrics in moderately disturbed tropical streams: a case-study from Belize")</f>
        <v>Challenges using extrapolated family-level macroinvertebrate metrics in moderately disturbed tropical streams: a case-study from Belize</v>
      </c>
      <c r="B1270" s="24" t="str">
        <f>IFERROR(__xludf.DUMMYFUNCTION("""COMPUTED_VALUE"""),"Family-level biotic metrics were originally designed to rapidly assess gross organic pollution effects, but came to be regarded as general measures of stream degradation. Improvements in water quality in developed countries have reignited debate about the"&amp;" limitations of family-level taxonomy to detect subtle change, and is resulting in a shift back towards generic and species-level analysis to assess smaller effects. Although the scale of pollution characterizing past condition of streams in developed cou"&amp;"ntries persists in many developing regions, some areas are still considered to be only moderately disturbed. We sampled streams in Belize to investigate the ability of family-level macroinvertebrate metrics to detect change in stream catchments where less"&amp;" than 30% of forest had been cleared. Where disturbance did not co-vary with natural gradients of change, and in areas characterized by low intensity activities, none of the metrics tested detected significant change, despite evidence of environmental imp"&amp;"acts. We highlight the need for further research to clarify the response of metrics to disturbance over a broader study area that allows replication for confounding sources of natural variation. We also recommend research to develop more detailed understa"&amp;"nding of the taxonomy and ecology of Neotropical macroinvertebrates to improve the robustness of metric use.")</f>
        <v>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v>
      </c>
      <c r="C1270" s="24" t="str">
        <f>IFERROR(__xludf.DUMMYFUNCTION("""COMPUTED_VALUE"""),"10.1007/s10750-017-3100-z")</f>
        <v>10.1007/s10750-017-3100-z</v>
      </c>
      <c r="D1270" s="24" t="str">
        <f>IFERROR(__xludf.DUMMYFUNCTION("""COMPUTED_VALUE"""),"Keck et al")</f>
        <v>Keck et al</v>
      </c>
      <c r="E1270" s="24" t="str">
        <f>IFERROR(__xludf.DUMMYFUNCTION("""COMPUTED_VALUE"""),"WOS:000401474400017")</f>
        <v>WOS:000401474400017</v>
      </c>
      <c r="F1270" s="24" t="str">
        <f>IFERROR(__xludf.DUMMYFUNCTION("""COMPUTED_VALUE"""),"[""ELIGIBLE""]")</f>
        <v>["ELIGIBLE"]</v>
      </c>
    </row>
    <row r="1271">
      <c r="A1271" s="24" t="str">
        <f>IFERROR(__xludf.DUMMYFUNCTION("""COMPUTED_VALUE"""),"Effects of hay management and native species sowing on grassland community structure, biomass, and restoration")</f>
        <v>Effects of hay management and native species sowing on grassland community structure, biomass, and restoration</v>
      </c>
      <c r="B1271" s="24" t="str">
        <f>IFERROR(__xludf.DUMMYFUNCTION("""COMPUTED_VALUE"""),"Prairie hay meadows are important reservoirs of grassland biodiversity in the tallgrass prairie regions of the central United States and are the object of increasing attention for conservation and restoration. In addition, there is growing interest in the"&amp;" potential use of such low-input, high-diversity (LIHD) native grasslands for biofuel production. The uplands of eastern Kansas, USA, which prior to European settlement were dominated by tallgrass prairie, are currently utilized for intensive agriculture "&amp;"or exist in a state of abandonment from agriculture. The dominant grasslands in the region are currently high-input, low-diversity (HILD) hay fields seeded to introduced C-3 hay grasses. We present results from a long-term experiment conducted in a recent"&amp;"ly abandoned HILD hay field in eastern Kansas to evaluate effects of fertilization, haying, and native species sowing on community dynamics, biomass, and potential for restoration to native LIHD hay meadow. Fertilized plots maintained dominance by introdu"&amp;"ced grasses, maintained low diversity, and were largely resistant to colonization throughout the study. Non-fertilized plots exhibited rapid successional turnover, increased diversity, and increased abundance of C-4 grasses over time. Haying led to modest"&amp;" changes in species composition and lessened the negative impact of fertilization on diversity. In non-fertilized plots, sowing increased representation by native species and increased diversity, successional turnover, and biomass production. Our results "&amp;"support the shifting limitations hypothesis of community organization and highlight the importance of species pools and seed limitations in constraining successional turnover, community structure, and ecosystem productivity under conditions of low fertili"&amp;"ty. Our findings also indicate that several biological and functional aspects of LIHD hay meadows can be restored from abandoned HILD hay fields by ceasing fertilization and reintroducing native species through sowing. Declines in primary production and h"&amp;"ay yield that result from the cessation of fertilization may be at least partially compensated for by restoration.")</f>
        <v>Prairie hay meadows are important reservoirs of grassland biodiversity in the tallgrass prairie regions of the central United States and are the object of increasing attention for conservation and restoration. In addition, there is growing interest in the potential use of such low-input, high-diversity (LIHD) native grasslands for biofuel production. The uplands of eastern Kansas, USA, which prior to European settlement were dominated by tallgrass prairie, are currently utilized for intensive agriculture or exist in a state of abandonment from agriculture. The dominant grasslands in the region are currently high-input, low-diversity (HILD) hay fields seeded to introduced C-3 hay grasses. We present results from a long-term experiment conducted in a recently abandoned HILD hay field in eastern Kansas to evaluate effects of fertilization, haying, and native species sowing on community dynamics, biomass, and potential for restoration to native LIHD hay meadow. Fertilized plots maintained dominance by introduced grasses, maintained low diversity, and were largely resistant to colonization throughout the study. Non-fertilized plots exhibited rapid successional turnover, increased diversity, and increased abundance of C-4 grasses over time. Haying led to modest changes in species composition and lessened the negative impact of fertilization on diversity. In non-fertilized plots, sowing increased representation by native species and increased diversity, successional turnover, and biomass production. Our results support the shifting limitations hypothesis of community organization and highlight the importance of species pools and seed limitations in constraining successional turnover, community structure, and ecosystem productivity under conditions of low fertility. Our findings also indicate that several biological and functional aspects of LIHD hay meadows can be restored from abandoned HILD hay fields by ceasing fertilization and reintroducing native species through sowing. Declines in primary production and hay yield that result from the cessation of fertilization may be at least partially compensated for by restoration.</v>
      </c>
      <c r="C1271" s="24" t="str">
        <f>IFERROR(__xludf.DUMMYFUNCTION("""COMPUTED_VALUE"""),"10.1890/08-0849.1")</f>
        <v>10.1890/08-0849.1</v>
      </c>
      <c r="D1271" s="24" t="str">
        <f>IFERROR(__xludf.DUMMYFUNCTION("""COMPUTED_VALUE"""),"Keck et al")</f>
        <v>Keck et al</v>
      </c>
      <c r="E1271" s="24" t="str">
        <f>IFERROR(__xludf.DUMMYFUNCTION("""COMPUTED_VALUE"""),"WOS:000269942500016")</f>
        <v>WOS:000269942500016</v>
      </c>
      <c r="F1271" s="24" t="str">
        <f>IFERROR(__xludf.DUMMYFUNCTION("""COMPUTED_VALUE"""),"[""ELIGIBLE""]")</f>
        <v>["ELIGIBLE"]</v>
      </c>
    </row>
    <row r="1272">
      <c r="A1272" s="24" t="str">
        <f>IFERROR(__xludf.DUMMYFUNCTION("""COMPUTED_VALUE"""),"Long lasting impact of forest harvesting on the diversity of herbivorous insects")</f>
        <v>Long lasting impact of forest harvesting on the diversity of herbivorous insects</v>
      </c>
      <c r="B1272" s="24" t="str">
        <f>IFERROR(__xludf.DUMMYFUNCTION("""COMPUTED_VALUE"""),"Many of the protected forest areas in Uganda have been subject to logging in the past. It is known that logging changes communities, but how long these changes last is unclear. Most of the studies on butterflies and moths have looked at the effects of log"&amp;"ging relatively shortly (&lt; 15 years) after the logging took place. In this study we investigated community of herbivorous lepidopteran larvae and its temporal dynamics in a natural forest and three differently managed forest compartments after 40 years of"&amp;" regeneration. We collected samples of larvae from the leaves of Neoboutonia macrocalyx Pax. between April 2006 and March 2008 in Kibale National Park, Western Uganda. Herbivory, density of larvae, and species richness were significantly lower in logged c"&amp;"ompartments than in natural forest. Furthermore, the community composition differed significantly between the logged compartments and the natural forest. There was seasonal variation in larval density, species richness and diversity. In species richness a"&amp;"nd diversity the variation was synchronous in all the study areas, but larval density did not vary synchronously across the compartments, probably due to the impact of logging on the environment. We also observed changes in the community composition durin"&amp;"g different seasons in all the study areas. We attribute the long term impact of logging to the hindered regeneration of logged compartments and recommend restoration activities to help to return the logged areas closer to the natural state.")</f>
        <v>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v>
      </c>
      <c r="C1272" s="24" t="str">
        <f>IFERROR(__xludf.DUMMYFUNCTION("""COMPUTED_VALUE"""),"10.1007/s10531-009-9689-0")</f>
        <v>10.1007/s10531-009-9689-0</v>
      </c>
      <c r="D1272" s="24" t="str">
        <f>IFERROR(__xludf.DUMMYFUNCTION("""COMPUTED_VALUE"""),"Keck et al")</f>
        <v>Keck et al</v>
      </c>
      <c r="E1272" s="24" t="str">
        <f>IFERROR(__xludf.DUMMYFUNCTION("""COMPUTED_VALUE"""),"WOS:000272173600016")</f>
        <v>WOS:000272173600016</v>
      </c>
      <c r="F1272" s="24" t="str">
        <f>IFERROR(__xludf.DUMMYFUNCTION("""COMPUTED_VALUE"""),"[""ELIGIBLE""]")</f>
        <v>["ELIGIBLE"]</v>
      </c>
    </row>
    <row r="1273">
      <c r="A1273" s="24" t="str">
        <f>IFERROR(__xludf.DUMMYFUNCTION("""COMPUTED_VALUE"""),"The impact of urbanisation on avian species: The inextricable link between people and birds")</f>
        <v>The impact of urbanisation on avian species: The inextricable link between people and birds</v>
      </c>
      <c r="B1273" s="24" t="str">
        <f>IFERROR(__xludf.DUMMYFUNCTION("""COMPUTED_VALUE"""),"This study investigates the impact of urbanisation on birdlife in a major city. Line transects and point counts were used to survey birds in three habitat types: parkland, residential areas and business/industrial areas. Abundance, richness and diversity "&amp;"of assemblages were determined for all bird species and for those birds native to the area. Behaviours of birds, and of human residents in relation to birds, in these urban areas were documented, including all instances of avian aggression. Bird species, "&amp;"including a subset of native bird species, have greater abundance and richness in parklands. Overall species diversity is greatest in residential habitat types, but native diversity is greatest in parklands. Introduced species are most abundant in busines"&amp;"s/industrial habitat types. The most frequent aggressive encounters were initiated by noisy miners Manorina melanocephalas, one of the four most common species throughout all habitat types (other common species include the rainbow lorikeet Trichoglossus h"&amp;"aematodus, rock dove Columba livia and common myna Sturnus tristis). Other behaviours involved birds utilising food and roost resources and were classified as being caused by active and passive human behaviours. These outcomes indicate that local changes "&amp;"to the environment can impact the bird species by providing different food and roost resources. Human residents and local governments have a range of tools to modify the diversity of urban areas. Further research is needed to determine alternative definit"&amp;"ions of modification, such as defining it as open space, and investigating the health of the avian populations in urban areas.")</f>
        <v>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v>
      </c>
      <c r="C1273" s="24" t="str">
        <f>IFERROR(__xludf.DUMMYFUNCTION("""COMPUTED_VALUE"""),"10.1007/s11252-012-0283-y")</f>
        <v>10.1007/s11252-012-0283-y</v>
      </c>
      <c r="D1273" s="24" t="str">
        <f>IFERROR(__xludf.DUMMYFUNCTION("""COMPUTED_VALUE"""),"Keck et al")</f>
        <v>Keck et al</v>
      </c>
      <c r="E1273" s="24" t="str">
        <f>IFERROR(__xludf.DUMMYFUNCTION("""COMPUTED_VALUE"""),"WOS:000323220800006")</f>
        <v>WOS:000323220800006</v>
      </c>
      <c r="F1273" s="24" t="str">
        <f>IFERROR(__xludf.DUMMYFUNCTION("""COMPUTED_VALUE"""),"[""ELIGIBLE""]")</f>
        <v>["ELIGIBLE"]</v>
      </c>
    </row>
    <row r="1274">
      <c r="A1274" s="24" t="str">
        <f>IFERROR(__xludf.DUMMYFUNCTION("""COMPUTED_VALUE"""),"Antibiotic accumulation, growth performance, intestinal diversification, and function of Nile tilapia (Oreochromis niloticus) feed by diets supplemented with different doses of sulfamethoxazole")</f>
        <v>Antibiotic accumulation, growth performance, intestinal diversification, and function of Nile tilapia (Oreochromis niloticus) feed by diets supplemented with different doses of sulfamethoxazole</v>
      </c>
      <c r="B1274" s="24" t="str">
        <f>IFERROR(__xludf.DUMMYFUNCTION("""COMPUTED_VALUE"""),"To comprehensively investigate the effects of exposure to legal doses of sulfamethoxazole (SMZ) in Nile tilapia (Oreochromis niloticus), fishes were exposed to diets supplemented with different doses of SMZ (NS, normal feed; LS, 20 mg/kg center dot day; M"&amp;"S, 200 mg/kg center dot day; and HS, 1000 mg/kg center dot day) for 4 weeks and then fed with normal feed for 4 weeks. General SMZ accumulation, growth performance, intestinal short-chain fatty acids, intestinal flora diversity, composition, and function "&amp;"were systemically evaluated. Results indicated that the SMZ accumulation in O. niloticus muscles, intestinal contents, and aquaculture environment positively correlated to the exposure dose. The growth performance, measured by weight increase, was MS&gt;LS&gt;N"&amp;"S, while HS antibiotics retarded the growth. SMZ-exposed O. niloticus had an increased number of fat particles in the liver and a change in the content of intestinal SCFAs. Moreover, SMZ exposure changed the biological diversity of the intestinal flora an"&amp;"d subsequently induced microbiota dysbiosis, primarily inhibiting the growth of Fusobacteria, especially in HS group. Overall, exposure to higher SMZ doses than the recommended ones impair general intestinal functions and provokes health risk in fish. Thi"&amp;"s study highlights the importance of rational and regulated use of SMZ in aquaculture.")</f>
        <v>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v>
      </c>
      <c r="C1274" s="24" t="str">
        <f>IFERROR(__xludf.DUMMYFUNCTION("""COMPUTED_VALUE"""),"10.1007/s11356-021-15253-y")</f>
        <v>10.1007/s11356-021-15253-y</v>
      </c>
      <c r="D1274" s="24" t="str">
        <f>IFERROR(__xludf.DUMMYFUNCTION("""COMPUTED_VALUE"""),"Keck et al")</f>
        <v>Keck et al</v>
      </c>
      <c r="E1274" s="24" t="str">
        <f>IFERROR(__xludf.DUMMYFUNCTION("""COMPUTED_VALUE"""),"WOS:000670173900015")</f>
        <v>WOS:000670173900015</v>
      </c>
      <c r="F1274" s="24" t="str">
        <f>IFERROR(__xludf.DUMMYFUNCTION("""COMPUTED_VALUE"""),"[""ELIGIBLE""]")</f>
        <v>["ELIGIBLE"]</v>
      </c>
    </row>
    <row r="1275">
      <c r="A1275" s="24" t="str">
        <f>IFERROR(__xludf.DUMMYFUNCTION("""COMPUTED_VALUE"""),"Artisanal mining impacts small mammals while chainsaw milling is a more sustainable practice in Ghana")</f>
        <v>Artisanal mining impacts small mammals while chainsaw milling is a more sustainable practice in Ghana</v>
      </c>
      <c r="B1275" s="24" t="str">
        <f>IFERROR(__xludf.DUMMYFUNCTION("""COMPUTED_VALUE"""),"Logging and mining are widespread in most West African countries and considering their socio-economic importance, little is known about their ecological impacts. In this study, we investigated the effects of chainsaw milling (logging) and artisanal mining"&amp;" on terrestrial small mammal communities in a tropical forest in Ghana. For this, we compared abundance, diversity measures and community composition of small mammals active at the forest floor in logged, mined and undisturbed forest sites. We found that "&amp;"abundance was higher in logged and undisturbed forest sites than in mined sites. Small mammal species richness, Shannon diversity and Pielou's evenness did not differ significantly among the three forest disturbance categories. Community composition of sm"&amp;"all mammals varied between mined and undisturbed sites as well as between mined and logged sites, suggesting differential species responses to altered environments. This may be due to the presence of pits in mined forest sites, hence a reduction in exploi"&amp;"table ground habitat structures for shelter, nesting or food. Overall, our results suggest that artisanal mining has strong impacts on community composition of forest floor small mammals in tropical forests while the effect of logging by chainsaw milling "&amp;"activities is minimal, especially when practiced at low intensity. This effect was moderated by elevation and distance to streams that equally shaped small mammal communities. More research on the effects of specific forms of logging and mining activities"&amp;" on small mammals are urgently needed to better protect species in forests impacted by logging and mining.")</f>
        <v>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v>
      </c>
      <c r="C1275" s="24" t="str">
        <f>IFERROR(__xludf.DUMMYFUNCTION("""COMPUTED_VALUE"""),"10.1007/s10531-020-02089-0")</f>
        <v>10.1007/s10531-020-02089-0</v>
      </c>
      <c r="D1275" s="24" t="str">
        <f>IFERROR(__xludf.DUMMYFUNCTION("""COMPUTED_VALUE"""),"Keck et al")</f>
        <v>Keck et al</v>
      </c>
      <c r="E1275" s="24" t="str">
        <f>IFERROR(__xludf.DUMMYFUNCTION("""COMPUTED_VALUE"""),"WOS:000595373400001")</f>
        <v>WOS:000595373400001</v>
      </c>
      <c r="F1275" s="24" t="str">
        <f>IFERROR(__xludf.DUMMYFUNCTION("""COMPUTED_VALUE"""),"[""ELIGIBLE""]")</f>
        <v>["ELIGIBLE"]</v>
      </c>
    </row>
    <row r="1276">
      <c r="A1276" s="24" t="str">
        <f>IFERROR(__xludf.DUMMYFUNCTION("""COMPUTED_VALUE"""),"Impacts of oil palm agriculture on phyllostomid bat assemblages")</f>
        <v>Impacts of oil palm agriculture on phyllostomid bat assemblages</v>
      </c>
      <c r="B1276" s="24" t="str">
        <f>IFERROR(__xludf.DUMMYFUNCTION("""COMPUTED_VALUE"""),"Rising global demand for palm oil comes mainly at the expense of tropical forests, and palm plantations are increasing steadily in Latin America. Conversion of forest to oil palm agriculture accelerates biodiversity loss by dramatically altering availabil"&amp;"ity and abundance of resources. Assessing the impact of these monocultures on highly diverse keystone groups such as bats is of particular ecological and economic importance. We compared phyllostomid bat assemblages in mature lowland forest interior, at f"&amp;"orest margins and within oil palm plantations in southwestern Costa Rica. A total of 45 mist-netting nights in the late dry season yielded 1235 individual captures from 31 species. Bat assemblages in oil palm plantations were clearly distinct from those a"&amp;"t forest sites and exhibited lower species richness, similar to results reported for Southeast Asia. Assemblage structure within oil palm plantations was characterized by increased relative abundance of common frugivorous Stenodermatinae and the loss of r"&amp;"are species, mainly disturbance-sensitive animalivorous Phyllostominae. Although plantations may serve as flyways for highly mobile matrix-tolerant species, even small oil palm plantations seem to act as effective barriers for many others, particularly un"&amp;"derstory gleaning animalivores. By decreasing landscape permeability even for highly mobile animals such as bats, oil palm agriculture may consequently reduce population connectivity and foster faunal impoverishment, which in turn can diminish crucial eco"&amp;"system services provided by bats. The advancing expansion of these monocultures in Latin America calls for appropriate precautionary conservation measures to protect and preserve biodiversity in oil palm growing countries.")</f>
        <v>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v>
      </c>
      <c r="C1276" s="24" t="str">
        <f>IFERROR(__xludf.DUMMYFUNCTION("""COMPUTED_VALUE"""),"10.1007/s10531-015-1021-6")</f>
        <v>10.1007/s10531-015-1021-6</v>
      </c>
      <c r="D1276" s="24" t="str">
        <f>IFERROR(__xludf.DUMMYFUNCTION("""COMPUTED_VALUE"""),"Keck et al")</f>
        <v>Keck et al</v>
      </c>
      <c r="E1276" s="24" t="str">
        <f>IFERROR(__xludf.DUMMYFUNCTION("""COMPUTED_VALUE"""),"WOS:000365094300009")</f>
        <v>WOS:000365094300009</v>
      </c>
      <c r="F1276" s="24" t="str">
        <f>IFERROR(__xludf.DUMMYFUNCTION("""COMPUTED_VALUE"""),"[""ELIGIBLE""]")</f>
        <v>["ELIGIBLE"]</v>
      </c>
    </row>
    <row r="1277">
      <c r="A1277" s="24" t="str">
        <f>IFERROR(__xludf.DUMMYFUNCTION("""COMPUTED_VALUE"""),"Salvage logging management affects species' roles in connecting plant-pollinator interaction networks across post-wildfire landscapes")</f>
        <v>Salvage logging management affects species' roles in connecting plant-pollinator interaction networks across post-wildfire landscapes</v>
      </c>
      <c r="B1277" s="24" t="str">
        <f>IFERROR(__xludf.DUMMYFUNCTION("""COMPUTED_VALUE"""),"Spatial connections between habitats are important to allow movement of organisms across heterogeneous landscapes with diverse disturbances and management. Similarly, species providing functional connections between subnetworks of species interactions (mo"&amp;"dules) are important for ecosystem services across these landscapes. These functional connectors have received less study. In post-wildfire landscapes, we investigated the influence of salvage logging, a common management technique, on plant-pollinator ne"&amp;"twork modularity. We measured the composition, strength and characteristics of forb and bee connector species across spatial and temporal scales. Salvage logging influenced the structure of plant-pollinator interaction networks. Network modularity was hig"&amp;"her in salvage-logged areas compared to unlogged areas, indicating that logging functionally fragmented these species interactions. There were compositional differences in connectors, especially of plants, between logged and unlogged areas. Plant species,"&amp;" but not bee species, had weaker connections across modules in salvage-logged areas, suggesting that although some plant species were serving as connectors after salvage logging, they were performing worse in this role. While some suites of species formed"&amp;" spatial connections, others formed temporal connections (linking interactions across the growing season), indicating that disparate groups of species are likely needed to provide these critical functions across space and time. Synthesis and applications."&amp;" Investigating species' roles as connectors can provide a more complete understanding of the implications of management and provide insight into how best to conserve or restore the structure and function of species interactions across landscape mosaics. B"&amp;"ees may be more capable of readily responding to changes in their plant partner's spatial or temporal distributions due to salvage logging. As a result, bees may be better poised to maintain stable connections across modules compared to plants, and manage"&amp;"ment actions supporting highly mobile connector species (like bees) may help offset detrimental effects of salvage logging or other disturbances. This work also indicates that minimizing the spatial extent of salvage logging relative to the proximity of o"&amp;"ther habitat types will likely aid species in forming spatial connections. Applying this framework of species as network connectors may help maintain the spatial and temporal continuity of floral resources and pollination services, even when management re"&amp;"duces biodiversity.")</f>
        <v>Spatial connections between habitats are important to allow movement of organisms across heterogeneous landscapes with diverse disturbances and management. Similarly, species providing functional connections between subnetworks of species interactions (modules) are important for ecosystem services across these landscapes. These functional connectors have received less study. In post-wildfire landscapes, we investigated the influence of salvage logging, a common management technique, on plant-pollinator network modularity. We measured the composition, strength and characteristics of forb and bee connector species across spatial and temporal scales. Salvage logging influenced the structure of plant-pollinator interaction networks. Network modularity was higher in salvage-logged areas compared to unlogged areas, indicating that logging functionally fragmented these species interactions. There were compositional differences in connectors, especially of plants, between logged and unlogged areas. Plant species, but not bee species, had weaker connections across modules in salvage-logged areas, suggesting that although some plant species were serving as connectors after salvage logging, they were performing worse in this role. While some suites of species formed spatial connections, others formed temporal connections (linking interactions across the growing season), indicating that disparate groups of species are likely needed to provide these critical functions across space and time. Synthesis and applications. Investigating species' roles as connectors can provide a more complete understanding of the implications of management and provide insight into how best to conserve or restore the structure and function of species interactions across landscape mosaics. Bees may be more capable of readily responding to changes in their plant partner's spatial or temporal distributions due to salvage logging. As a result, bees may be better poised to maintain stable connections across modules compared to plants, and management actions supporting highly mobile connector species (like bees) may help offset detrimental effects of salvage logging or other disturbances. This work also indicates that minimizing the spatial extent of salvage logging relative to the proximity of other habitat types will likely aid species in forming spatial connections. Applying this framework of species as network connectors may help maintain the spatial and temporal continuity of floral resources and pollination services, even when management reduces biodiversity.</v>
      </c>
      <c r="C1277" s="24" t="str">
        <f>IFERROR(__xludf.DUMMYFUNCTION("""COMPUTED_VALUE"""),"10.1111/1365-2664.13928")</f>
        <v>10.1111/1365-2664.13928</v>
      </c>
      <c r="D1277" s="24" t="str">
        <f>IFERROR(__xludf.DUMMYFUNCTION("""COMPUTED_VALUE"""),"Keck et al")</f>
        <v>Keck et al</v>
      </c>
      <c r="E1277" s="24" t="str">
        <f>IFERROR(__xludf.DUMMYFUNCTION("""COMPUTED_VALUE"""),"WOS:000659306800001")</f>
        <v>WOS:000659306800001</v>
      </c>
      <c r="F1277" s="24" t="str">
        <f>IFERROR(__xludf.DUMMYFUNCTION("""COMPUTED_VALUE"""),"[""ELIGIBLE""]")</f>
        <v>["ELIGIBLE"]</v>
      </c>
    </row>
    <row r="1278">
      <c r="A1278" s="24" t="str">
        <f>IFERROR(__xludf.DUMMYFUNCTION("""COMPUTED_VALUE"""),"Long-term manure addition reduces diversity and changes community structure of diazotrophs in a neutral black soil of northeast China")</f>
        <v>Long-term manure addition reduces diversity and changes community structure of diazotrophs in a neutral black soil of northeast China</v>
      </c>
      <c r="B1278" s="24" t="str">
        <f>IFERROR(__xludf.DUMMYFUNCTION("""COMPUTED_VALUE"""),"Although biological nitrogen fixation is an important nitrogen source for agroecosystem, the knowledge of their response to long-term fertilization under neutral soil is limited. The aims of this study were to explore the effects of different fertilizatio"&amp;"n treatments on diversity and compositions of diazotrophic community in a neutral black soil in northeast China. The long-term fertilization experiment under monoculture maize was established in a neutral black soil since 1979. Soil samples from four trea"&amp;"tments were collected in September 2014: non-fertilization (NoF), chemical fertilization (CF), manure fertilization (M), and chemical fertilization plus manure (CFM). qPCR and Illumina MiSeq sequencing were used to assess the abundance and compositions of"&amp;" diazotrophic community targeting nifH gene. M treatment significantly increased the nifH gene abundance, but inverse trends were found in the CF and CFM treatments when compared with NoF. The diazotrophic community was overwhelmingly dominated by Alphapr"&amp;"oteobacteria with relative higher abundance in manure-added treatments. Principal coordinate analysis (PCoA) indicated that the total diazotrophic community was separated into two groups with and without manure addition, and soil available P was the most "&amp;"influential factor on the changes of diazotrophic community. Our results suggested that soil nutrients rather than soil pH were the main influential factors on the changes of diazotrophic communities and manure addition had a greater effect than chemical "&amp;"fertilization on diazotrophic community structure in neutral black soil.")</f>
        <v>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v>
      </c>
      <c r="C1278" s="24" t="str">
        <f>IFERROR(__xludf.DUMMYFUNCTION("""COMPUTED_VALUE"""),"10.1007/s11368-018-1975-6")</f>
        <v>10.1007/s11368-018-1975-6</v>
      </c>
      <c r="D1278" s="24" t="str">
        <f>IFERROR(__xludf.DUMMYFUNCTION("""COMPUTED_VALUE"""),"Keck et al")</f>
        <v>Keck et al</v>
      </c>
      <c r="E1278" s="24" t="str">
        <f>IFERROR(__xludf.DUMMYFUNCTION("""COMPUTED_VALUE"""),"WOS:000430473300024")</f>
        <v>WOS:000430473300024</v>
      </c>
      <c r="F1278" s="24" t="str">
        <f>IFERROR(__xludf.DUMMYFUNCTION("""COMPUTED_VALUE"""),"[""ELIGIBLE""]")</f>
        <v>["ELIGIBLE"]</v>
      </c>
    </row>
    <row r="1279">
      <c r="A1279" s="24" t="str">
        <f>IFERROR(__xludf.DUMMYFUNCTION("""COMPUTED_VALUE"""),"ARTHROPOD AND PLANT COMMUNITIES AS INDICATORS OF LAND REHABILITATION EFFECTIVENESS IN A SEMIARID SHRUBSTEPPE")</f>
        <v>ARTHROPOD AND PLANT COMMUNITIES AS INDICATORS OF LAND REHABILITATION EFFECTIVENESS IN A SEMIARID SHRUBSTEPPE</v>
      </c>
      <c r="B1279" s="24" t="str">
        <f>IFERROR(__xludf.DUMMYFUNCTION("""COMPUTED_VALUE"""),"We describe it case study evaluating the ecological impact of Bromus tectorum L. (cheatgrass) invasion following fire disturbance and the effectiveness of revegetation its a means of rehabilitation ill it degraded semiarid shrubsteppe system. The effectiv"&amp;"eness of rehabilitation efforts was assessed relative to arthropod richness, vegetation and arthropod community composition, and ground-cover characteristics ill 3 habitats: undisturbed, burned and weed infested (B. tectorum), and burned then rehabilitate"&amp;"d with native and nonnative vegetation. Arthropods were collected ill each habitat using pitfall traps. Differences ill arthropod richness were compared using rarefaction curves. Nonmetric multidimensional scaling and nonparametric multivariate statistica"&amp;"l procedures, including analysis of similarity and similarity percentage routines, were used to compare arthropod and vegetation community composition and ground-cover characteristics between habitats. Arthropod communities in the rehabilitated habitat we"&amp;"re distinct front those observed ill the undisturbed and weed-infested habitats. Rehabilitation ill this study resulted ill a shift toward conditions observed ill an undisturbed habitat and perhaps is all intermediate step to Complete restoration. Arthrop"&amp;"od richness, arthropod and vegetation community composition, and ground-cover characteristics were all useful indicators but returned slightly different results. Assessing multiple variables yielded the most complete understanding of the habitats studied.")</f>
        <v>We describe it case study evaluating the ecological impact of Bromus tectorum L. (cheatgrass) invasion following fire disturbance and the effectiveness of revegetation its a means of rehabilitation ill it degraded semiarid shrubsteppe system. The effectiveness of rehabilitation efforts was assessed relative to arthropod richness, vegetation and arthropod community composition, and ground-cover characteristics ill 3 habitats: undisturbed, burned and weed infested (B. tectorum), and burned then rehabilitated with native and nonnative vegetation. Arthropods were collected ill each habitat using pitfall traps. Differences ill arthropod richness were compared using rarefaction curves. Nonmetric multidimensional scaling and nonparametric multivariate statistical procedures, including analysis of similarity and similarity percentage routines, were used to compare arthropod and vegetation community composition and ground-cover characteristics between habitats. Arthropod communities in the rehabilitated habitat were distinct front those observed ill the undisturbed and weed-infested habitats. Rehabilitation ill this study resulted ill a shift toward conditions observed ill an undisturbed habitat and perhaps is all intermediate step to Complete restoration. Arthropod richness, arthropod and vegetation community composition, and ground-cover characteristics were all useful indicators but returned slightly different results. Assessing multiple variables yielded the most complete understanding of the habitats studied.</v>
      </c>
      <c r="C1279" s="24" t="str">
        <f>IFERROR(__xludf.DUMMYFUNCTION("""COMPUTED_VALUE"""),"10.3398/064.069.0412")</f>
        <v>10.3398/064.069.0412</v>
      </c>
      <c r="D1279" s="24" t="str">
        <f>IFERROR(__xludf.DUMMYFUNCTION("""COMPUTED_VALUE"""),"Keck et al")</f>
        <v>Keck et al</v>
      </c>
      <c r="E1279" s="24" t="str">
        <f>IFERROR(__xludf.DUMMYFUNCTION("""COMPUTED_VALUE"""),"WOS:000273548100012")</f>
        <v>WOS:000273548100012</v>
      </c>
      <c r="F1279" s="24" t="str">
        <f>IFERROR(__xludf.DUMMYFUNCTION("""COMPUTED_VALUE"""),"[""ELIGIBLE""]")</f>
        <v>["ELIGIBLE"]</v>
      </c>
    </row>
    <row r="1280">
      <c r="A1280" s="24" t="str">
        <f>IFERROR(__xludf.DUMMYFUNCTION("""COMPUTED_VALUE"""),"Application of Environmental DNA Metabarcoding to Spatiotemporal Finfish Community Assessment in a Temperate Embayment")</f>
        <v>Application of Environmental DNA Metabarcoding to Spatiotemporal Finfish Community Assessment in a Temperate Embayment</v>
      </c>
      <c r="B1280" s="24" t="str">
        <f>IFERROR(__xludf.DUMMYFUNCTION("""COMPUTED_VALUE"""),"Environmental DNA (eDNA) metabarcoding was used to characterize finfish communities in the nearshore estuarine environment. Monthly sampling was conducted June - August 2017 at two sites with structured habitats: a natural rock reef and a shellfish aquacu"&amp;"lture farm within the same coastal embayment of Long Island Sound (LIS), CT, United States. Seventeen common and 25 rare finfish taxa were detected using eDNA metabarcoding. Incomplete status of reference sequence databases for finfish species was identif"&amp;"ied as a methodological challenge. Confidence in molecular identification was improved appreciably through the use of publicly available data obtained from local trawling and seining surveys. Comparison between eDNA metabarcoding and trawling surveys on 6"&amp;"/27/2017, the only day when both data types were available, revealed more finfish species detected by eDNA metabarcoding. The high sensitivity of eDNA metabarcoding detected finfish species rarely observed in traditional surveys and showed the potential f"&amp;"or this methodology to augment existing literature for finfish species distribution patterns and invasive species detection. Non-metric multidimensional scaling (NMS) analysis of finfish communities achieved a low-stress, 2D solution, and revealed greater"&amp;" variation between samples collected from different months than samples collected from the two habitats. Similarly, permutational analysis of variance (PERMANOVA) found both month and the interaction term (month x site) significant, with the latter identi"&amp;"fying site as significant only in July and August. Different finfish assemblages were significantly associated with each axis, axes representing temporal and spatial variations, respectively. Additionally, polycarbonate and nylon filters were compared to "&amp;"optimize the sampling method; finfish communities retrieved using the two types of filters were statistically indistinguishable by NMS analysis, although the filtration time for nylon filters was shorter. If the objective is to detect rare species, nylon "&amp;"filters are recommended over polycarbonate filters because of higher capture rates of rare taxa. Our study demonstrates the potential for applying eDNA metabarcoding as a stand-alone method to conduct finfish surveys with high sensitivity.")</f>
        <v>Environmental DNA (eDNA) metabarcoding was used to characterize finfish communities in the nearshore estuarine environment. Monthly sampling was conducted June - August 2017 at two sites with structured habitats: a natural rock reef and a shellfish aquaculture farm within the same coastal embayment of Long Island Sound (LIS), CT, United States. Seventeen common and 25 rare finfish taxa were detected using eDNA metabarcoding. Incomplete status of reference sequence databases for finfish species was identified as a methodological challenge. Confidence in molecular identification was improved appreciably through the use of publicly available data obtained from local trawling and seining surveys. Comparison between eDNA metabarcoding and trawling surveys on 6/27/2017, the only day when both data types were available, revealed more finfish species detected by eDNA metabarcoding. The high sensitivity of eDNA metabarcoding detected finfish species rarely observed in traditional surveys and showed the potential for this methodology to augment existing literature for finfish species distribution patterns and invasive species detection. Non-metric multidimensional scaling (NMS) analysis of finfish communities achieved a low-stress, 2D solution, and revealed greater variation between samples collected from different months than samples collected from the two habitats. Similarly, permutational analysis of variance (PERMANOVA) found both month and the interaction term (month x site) significant, with the latter identifying site as significant only in July and August. Different finfish assemblages were significantly associated with each axis, axes representing temporal and spatial variations, respectively. Additionally, polycarbonate and nylon filters were compared to optimize the sampling method; finfish communities retrieved using the two types of filters were statistically indistinguishable by NMS analysis, although the filtration time for nylon filters was shorter. If the objective is to detect rare species, nylon filters are recommended over polycarbonate filters because of higher capture rates of rare taxa. Our study demonstrates the potential for applying eDNA metabarcoding as a stand-alone method to conduct finfish surveys with high sensitivity.</v>
      </c>
      <c r="C1280" s="24" t="str">
        <f>IFERROR(__xludf.DUMMYFUNCTION("""COMPUTED_VALUE"""),"10.3389/fmars.2019.00674")</f>
        <v>10.3389/fmars.2019.00674</v>
      </c>
      <c r="D1280" s="24" t="str">
        <f>IFERROR(__xludf.DUMMYFUNCTION("""COMPUTED_VALUE"""),"Keck et al")</f>
        <v>Keck et al</v>
      </c>
      <c r="E1280" s="24" t="str">
        <f>IFERROR(__xludf.DUMMYFUNCTION("""COMPUTED_VALUE"""),"WOS:000493728100001")</f>
        <v>WOS:000493728100001</v>
      </c>
      <c r="F1280" s="24" t="str">
        <f>IFERROR(__xludf.DUMMYFUNCTION("""COMPUTED_VALUE"""),"[""ELIGIBLE""]")</f>
        <v>["ELIGIBLE"]</v>
      </c>
    </row>
    <row r="1281">
      <c r="A1281" s="24" t="str">
        <f>IFERROR(__xludf.DUMMYFUNCTION("""COMPUTED_VALUE"""),"Soil constraints for arbuscular mycorrhizal fungi spore community in degraded sites of rupestrian grassland: Implications for restoration")</f>
        <v>Soil constraints for arbuscular mycorrhizal fungi spore community in degraded sites of rupestrian grassland: Implications for restoration</v>
      </c>
      <c r="B1281" s="24" t="str">
        <f>IFERROR(__xludf.DUMMYFUNCTION("""COMPUTED_VALUE"""),"The arbuscular mycorrhizal fungi (AMF) are important organisms with enormous potential for use in ecological restoration due to their positive association to seedlings. We evaluated the effects of soil degradation on a species-rich AMF community that coul"&amp;"d hinder the restoration of rupestrian grassland sites whose soil had been removed. Soil samples were taken from reference and degraded sites. We assessed the density, species richness, and composition of AMF, as well as soil macronutrients, metals, and t"&amp;"exture. We found lower AMF density and richness in degraded than in reference sites. AMF community seemed to be negatively affected by a low level of potassium (K) and a higher concentration of heavy metals and day in degraded sites. Besides the shifts in"&amp;" AMF composition associated mainly with K concentration, we found that the lack of this nutrient in degraded sites was also related to a significant reduction in density of AMF species, which are thought to play important roles in plant development and, t"&amp;"herefore, in ecological restoration. Thus, we emphasize that efforts to restore degraded areas of rupestrian grassland should contemplate the reestablishment of soil physical and chemical properties, such as a lower clay concentration, and levels of nutri"&amp;"ents that are key for AMF colonization. In addition, we suggest the further development of protocols for inoculation of seedlings and soil with AMF species to improve the success of replantation.")</f>
        <v>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v>
      </c>
      <c r="C1281" s="24" t="str">
        <f>IFERROR(__xludf.DUMMYFUNCTION("""COMPUTED_VALUE"""),"10.1016/j.ejsobi.2018.12.003")</f>
        <v>10.1016/j.ejsobi.2018.12.003</v>
      </c>
      <c r="D1281" s="24" t="str">
        <f>IFERROR(__xludf.DUMMYFUNCTION("""COMPUTED_VALUE"""),"Keck et al")</f>
        <v>Keck et al</v>
      </c>
      <c r="E1281" s="24" t="str">
        <f>IFERROR(__xludf.DUMMYFUNCTION("""COMPUTED_VALUE"""),"WOS:000455693400008")</f>
        <v>WOS:000455693400008</v>
      </c>
      <c r="F1281" s="24" t="str">
        <f>IFERROR(__xludf.DUMMYFUNCTION("""COMPUTED_VALUE"""),"[""ELIGIBLE""]")</f>
        <v>["ELIGIBLE"]</v>
      </c>
    </row>
    <row r="1282">
      <c r="A1282" s="24" t="str">
        <f>IFERROR(__xludf.DUMMYFUNCTION("""COMPUTED_VALUE"""),"Effects of Land Cover Pattern Along Urban-Rural Gradient on Bird Diversity in Wetlands")</f>
        <v>Effects of Land Cover Pattern Along Urban-Rural Gradient on Bird Diversity in Wetlands</v>
      </c>
      <c r="B1282" s="24" t="str">
        <f>IFERROR(__xludf.DUMMYFUNCTION("""COMPUTED_VALUE"""),"Wetlands play an important role in the feeding, breeding, and lives of birds. However, available habitats for bird species are changing due to intensifying human activity, especially in the context of China's mass urbanization. Urban sprawl has taken over"&amp;" the wetlands along the lakes in the past decades, which places tremendous pressure on wetland ecosystems and, therefore, on bird communities. However, the ways urban land cover pattern along the urban-rural gradient affects bird communities is still uncl"&amp;"ear. To investigate the influence of land cover pattern on the alpha and beta diversity of birds in the urban-rural gradient we chose 31 sites distributed within the wetlands around the Dianchi Lake in Yunnan, China. We calculated the species richness to "&amp;"indicate alpha diversity and used the Morisita-Horn index to indicate beta diversity. Meanwhile, we assessed the land cover pattern of each site by measuring the proportion of emergent plants, floating plants, submerged plants, ponds, forests, lawns, road"&amp;"s, agricultural lands and built lands in a quadrat of 1 square kilometer. Simple linear regressions, model selection, and an averaging approach based on corrected Akaike information criterion (AICc) were used to test the effects of land cover pattern on b"&amp;"ird diversity. Using one-way ANOVA and Tukey's HSD (honestly significant difference) test, we compared the difference between alpha and beta diversity, respectively, along the urban-rural gradient. Based on our analyses, urban and suburban wetland birds w"&amp;"ere significantly homogeneous. The community structure in rural wetlands, however, was significantly different from that of the suburban and urban areas. According to our research, the land cover patterns that influenced bird species richness were the bui"&amp;"lt lands acreage, submerged plants acreage, ponds acreage, and the edge density of emergent plants. Meanwhile, of these variables, the built lands acreage, ponds acreage and edge density of emergent plants were significantly different in urban, suburban, "&amp;"and rural wetlands. Therefore, to maintain high biodiversity in wetlands affected by urbanization, we must pay more attention to the land cover patterns.")</f>
        <v>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v>
      </c>
      <c r="C1282" s="24" t="str">
        <f>IFERROR(__xludf.DUMMYFUNCTION("""COMPUTED_VALUE"""),"10.3390/d11060086")</f>
        <v>10.3390/d11060086</v>
      </c>
      <c r="D1282" s="24" t="str">
        <f>IFERROR(__xludf.DUMMYFUNCTION("""COMPUTED_VALUE"""),"Keck et al")</f>
        <v>Keck et al</v>
      </c>
      <c r="E1282" s="24" t="str">
        <f>IFERROR(__xludf.DUMMYFUNCTION("""COMPUTED_VALUE"""),"WOS:000474935000002")</f>
        <v>WOS:000474935000002</v>
      </c>
      <c r="F1282" s="24" t="str">
        <f>IFERROR(__xludf.DUMMYFUNCTION("""COMPUTED_VALUE"""),"[""ELIGIBLE""]")</f>
        <v>["ELIGIBLE"]</v>
      </c>
    </row>
    <row r="1283">
      <c r="A1283" s="24" t="str">
        <f>IFERROR(__xludf.DUMMYFUNCTION("""COMPUTED_VALUE"""),"Reconstruction of trophic state in Danish lakes using subfossil chydorid (Cladocera) assemblages")</f>
        <v>Reconstruction of trophic state in Danish lakes using subfossil chydorid (Cladocera) assemblages</v>
      </c>
      <c r="B1283" s="24" t="str">
        <f>IFERROR(__xludf.DUMMYFUNCTION("""COMPUTED_VALUE"""),"Surficial sediments from 32 Danish lakes were screened for subfossil chydorid (Cladocera) assemblages. Two data sets from 1965 and 1992 were examined by cluster analysis and nonmetric multidimensional scaling (NMDS) for lake classification. The best envir"&amp;"onmental variable to explain the 1992 species data was total phosphorus (TP) (r = 0.58, Spearman rank correlation), and NMDS defined three lake classes that were significantly different in communities (p &lt; 0.01, ANOSIM) and in TP values. Canonical corresp"&amp;"ondence analysis found a strong relationship between the species data and log(TP) (axis 1 eigenvalue = 0.30, total inertia = 0.85, log(TP) intraset correlation = 0.92). Environmental variables were tested by forward selection and six variables were found "&amp;"to be statistically significant by 99 unrestricted Monte Carlo permutations. Weighted averaging regression and calibration models were established from the 1992 chydorid data and corresponding contemporary log-transformed TP data. The model's predictive a"&amp;"bility was assessed by the bootstrapped coefficient of determination and the bootstrapped root mean squared error of prediction (r(boot)(2) = 0.79, RMSEboot = 0.24). The patterns of changes in chemical and biological variables (diversity, Bray-Curtis diss"&amp;"imilarity) over the 27-year period placed the 32 lakes in six different response groups.")</f>
        <v>Surficial sediments from 32 Danish lakes were screened for subfossil chydorid (Cladocera) assemblages. Two data sets from 1965 and 1992 were examined by cluster analysis and nonmetric multidimensional scaling (NMDS) for lake classification. The best environmental variable to explain the 1992 species data was total phosphorus (TP) (r = 0.58, Spearman rank correlation), and NMDS defined three lake classes that were significantly different in communities (p &lt; 0.01, ANOSIM) and in TP values. Canonical correspondence analysis found a strong relationship between the species data and log(TP) (axis 1 eigenvalue = 0.30, total inertia = 0.85, log(TP) intraset correlation = 0.92). Environmental variables were tested by forward selection and six variables were found to be statistically significant by 99 unrestricted Monte Carlo permutations. Weighted averaging regression and calibration models were established from the 1992 chydorid data and corresponding contemporary log-transformed TP data. The model's predictive ability was assessed by the bootstrapped coefficient of determination and the bootstrapped root mean squared error of prediction (r(boot)(2) = 0.79, RMSEboot = 0.24). The patterns of changes in chemical and biological variables (diversity, Bray-Curtis dissimilarity) over the 27-year period placed the 32 lakes in six different response groups.</v>
      </c>
      <c r="C1283" s="24" t="str">
        <f>IFERROR(__xludf.DUMMYFUNCTION("""COMPUTED_VALUE"""),"10.1139/cjfas-55-5-1093")</f>
        <v>10.1139/cjfas-55-5-1093</v>
      </c>
      <c r="D1283" s="24" t="str">
        <f>IFERROR(__xludf.DUMMYFUNCTION("""COMPUTED_VALUE"""),"Keck et al")</f>
        <v>Keck et al</v>
      </c>
      <c r="E1283" s="24" t="str">
        <f>IFERROR(__xludf.DUMMYFUNCTION("""COMPUTED_VALUE"""),"WOS:000075787000005")</f>
        <v>WOS:000075787000005</v>
      </c>
      <c r="F1283" s="24" t="str">
        <f>IFERROR(__xludf.DUMMYFUNCTION("""COMPUTED_VALUE"""),"[""ELIGIBLE""]")</f>
        <v>["ELIGIBLE"]</v>
      </c>
    </row>
    <row r="1284">
      <c r="A1284" s="24" t="str">
        <f>IFERROR(__xludf.DUMMYFUNCTION("""COMPUTED_VALUE"""),"Influence of Post-Clearing Treatment on the Recovery of Herbaceous Plant Communities in Amazonian Secondary Forests")</f>
        <v>Influence of Post-Clearing Treatment on the Recovery of Herbaceous Plant Communities in Amazonian Secondary Forests</v>
      </c>
      <c r="B1284" s="24" t="str">
        <f>IFERROR(__xludf.DUMMYFUNCTION("""COMPUTED_VALUE"""),"Secondary forests are an increasingly common feature in tropical landscapes worldwide and understanding their regeneration is necessary to design effective restoration strategies. It has previously been shown that the woody species community in secondary "&amp;"forests can follow different successional pathways according to the nature of past human activities in the area, yet little is known about patterns of herbaceous species diversity in secondary forests with different histories of land use. We compared the "&amp;"diversity and abundance of herbaceous plant communities in two types of Central Amazonian secondary forests-those regenerating on pastures created by felling and burning trees and those where trees were felled only. We also tested if plant density and spe"&amp;"cies richness in secondary forests are related to proximity to primary forest. In comparison with primary forest sites, forests regenerating on non-burned habitats had lower herbaceous plant density and species richness than those on burned ones. However,"&amp;" species composition and abundance in non-burned stands were more similar to those of primary forest, whereas several secondary forest specialist species were found in burned stands. In both non-burned and burned forests, distance from the forest edge was"&amp;" not related to herbaceous density and species richness. Overall, our results suggest that the natural regeneration of herbaceous species in secondary tropical forests is dependent on a site's post-clearing treatment. We recommend evaluating the land hist"&amp;"ory of a site prior to developing and implementing a restoration strategy, as this will influence the biological template on which restoration efforts are overlaid.")</f>
        <v>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v>
      </c>
      <c r="C1284" s="24" t="str">
        <f>IFERROR(__xludf.DUMMYFUNCTION("""COMPUTED_VALUE"""),"10.1111/j.1526-100X.2010.00715.x")</f>
        <v>10.1111/j.1526-100X.2010.00715.x</v>
      </c>
      <c r="D1284" s="24" t="str">
        <f>IFERROR(__xludf.DUMMYFUNCTION("""COMPUTED_VALUE"""),"Keck et al")</f>
        <v>Keck et al</v>
      </c>
      <c r="E1284" s="24" t="str">
        <f>IFERROR(__xludf.DUMMYFUNCTION("""COMPUTED_VALUE"""),"WOS:000281717200006")</f>
        <v>WOS:000281717200006</v>
      </c>
      <c r="F1284" s="24" t="str">
        <f>IFERROR(__xludf.DUMMYFUNCTION("""COMPUTED_VALUE"""),"[""ELIGIBLE""]")</f>
        <v>["ELIGIBLE"]</v>
      </c>
    </row>
    <row r="1285">
      <c r="A1285" s="24" t="str">
        <f>IFERROR(__xludf.DUMMYFUNCTION("""COMPUTED_VALUE"""),"Is being green what matters? Functional diversity of cavity-nesting bees and wasps and their interaction networks with parasites in different reforestation types in Amazonia")</f>
        <v>Is being green what matters? Functional diversity of cavity-nesting bees and wasps and their interaction networks with parasites in different reforestation types in Amazonia</v>
      </c>
      <c r="B1285" s="24" t="str">
        <f>IFERROR(__xludf.DUMMYFUNCTION("""COMPUTED_VALUE"""),"Understanding the processes that shape biotic interactions within biological communities helps us to develop strategies for the establishment of ecological communities and to rehabilitate the functionality of degraded environments. We evaluated the functi"&amp;"onal diversity of cavity-nesting bees and wasps and their interaction networks established with nest parasites in different types of reforestation in Southern Amazonia. To do so, we used bee and wasp trap-nests to sample six different types of environment"&amp;"s: pasture, teak reforestation, fig reforestation, mixed reforestation, natural regeneration and primary forest. Although the bees' functional diversity indices evaluated did not vary between reforestation types and natural forests, the functional traits "&amp;"of these insects were quite different in reforestation with planting species, especially teak. For wasps, we observed lower functional diversity in pasture, fig plantation and mixed reforestation. Moreover, we observed that while teak reforestation presen"&amp;"ted the highest parasite richness, parasitism rate and diversity of interactions, natural regeneration shows higher interaction specialisation. Our results indicate that the simplification of the structure of reforested environments contributes to increas"&amp;"e the divergence in the functional diversity of cavity-nesting bee and wasp community and the interactions they establish with their parasites in relation to natural environments. However, these differences can be reduced by structuring the environment. T"&amp;"hus, natural regeneration can be a favourable strategy if the degraded areas are not severely impacted and present proximity to the source of propagules.")</f>
        <v>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v>
      </c>
      <c r="C1285" s="24" t="str">
        <f>IFERROR(__xludf.DUMMYFUNCTION("""COMPUTED_VALUE"""),"10.1111/icad.12495")</f>
        <v>10.1111/icad.12495</v>
      </c>
      <c r="D1285" s="24" t="str">
        <f>IFERROR(__xludf.DUMMYFUNCTION("""COMPUTED_VALUE"""),"Keck et al")</f>
        <v>Keck et al</v>
      </c>
      <c r="E1285" s="24" t="str">
        <f>IFERROR(__xludf.DUMMYFUNCTION("""COMPUTED_VALUE"""),"WOS:000635772600001")</f>
        <v>WOS:000635772600001</v>
      </c>
      <c r="F1285" s="24" t="str">
        <f>IFERROR(__xludf.DUMMYFUNCTION("""COMPUTED_VALUE"""),"[""ELIGIBLE""]")</f>
        <v>["ELIGIBLE"]</v>
      </c>
    </row>
    <row r="1286">
      <c r="A1286" s="24" t="str">
        <f>IFERROR(__xludf.DUMMYFUNCTION("""COMPUTED_VALUE"""),"Benthic recovery during open sea fish farming abatement in Western Mediterranean, Spain")</f>
        <v>Benthic recovery during open sea fish farming abatement in Western Mediterranean, Spain</v>
      </c>
      <c r="B1286" s="24" t="str">
        <f>IFERROR(__xludf.DUMMYFUNCTION("""COMPUTED_VALUE"""),"Fish farming is an important source of organic matter input in coastal waters, which contributes to eutrophication. In this study, the macrofaunal benthic community was studied after the cessation of fish farming with the aim of improving our understandin"&amp;"g of benthic succession and sediment recovery in a marine ecosystem. The results showed that the best environmental variables for assessing organic pollution were acid-volatile sulfides (AVS) and redox potential. Succession and recovery was best explained"&amp;" by macrofaunal analysis based on community composition as well as on trophic groups. The patterns of recovery differed between each impacted station. For this reason, succession could not be accurately predicted due to the unique environmental parameters"&amp;" and the singular community functional structure of each location. The Azti Marine Benthic Index (AMBI) proved its validity for assessing pollution but did not distinguish between successional stages. (c) 2006 Elsevier Ltd. All rights reserved.")</f>
        <v>Fish farming is an important source of organic matter input in coastal waters, which contributes to eutrophication. In this study, the macrofaunal benthic community was studied after the cessation of fish farming with the aim of improving our understanding of benthic succession and sediment recovery in a marine ecosystem. The results showed that the best environmental variables for assessing organic pollution were acid-volatile sulfides (AVS) and redox potential. Succession and recovery was best explained by macrofaunal analysis based on community composition as well as on trophic groups. The patterns of recovery differed between each impacted station. For this reason, succession could not be accurately predicted due to the unique environmental parameters and the singular community functional structure of each location. The Azti Marine Benthic Index (AMBI) proved its validity for assessing pollution but did not distinguish between successional stages. (c) 2006 Elsevier Ltd. All rights reserved.</v>
      </c>
      <c r="C1286" s="24" t="str">
        <f>IFERROR(__xludf.DUMMYFUNCTION("""COMPUTED_VALUE"""),"10.1016/j.marenvres.2006.05.006")</f>
        <v>10.1016/j.marenvres.2006.05.006</v>
      </c>
      <c r="D1286" s="24" t="str">
        <f>IFERROR(__xludf.DUMMYFUNCTION("""COMPUTED_VALUE"""),"Keck et al")</f>
        <v>Keck et al</v>
      </c>
      <c r="E1286" s="24" t="str">
        <f>IFERROR(__xludf.DUMMYFUNCTION("""COMPUTED_VALUE"""),"WOS:000242784500004")</f>
        <v>WOS:000242784500004</v>
      </c>
      <c r="F1286" s="24" t="str">
        <f>IFERROR(__xludf.DUMMYFUNCTION("""COMPUTED_VALUE"""),"[""ELIGIBLE""]")</f>
        <v>["ELIGIBLE"]</v>
      </c>
    </row>
    <row r="1287">
      <c r="A1287" s="24" t="str">
        <f>IFERROR(__xludf.DUMMYFUNCTION("""COMPUTED_VALUE"""),"Effects of Coastal Urbanization on Salt-Marsh Faunal Assemblages in the Northern Gulf of Mexico")</f>
        <v>Effects of Coastal Urbanization on Salt-Marsh Faunal Assemblages in the Northern Gulf of Mexico</v>
      </c>
      <c r="B1287" s="24" t="str">
        <f>IFERROR(__xludf.DUMMYFUNCTION("""COMPUTED_VALUE"""),"Coastal landscapes in the northern Gulf of Mexico, specifically the Mississippi coast, have undergone rapid urbanization that may impact the suitability of salt-marsh ecosystems for maintaining and regulating estuarine faunal communities. We used a landsc"&amp;"ape ecology approach to quantify the composition and configuration of salt-marsh habitats and developed surfaces at multiple spatial scales surrounding three small, first-order salt-marsh tidal creeks arrayed along a gradient of urbanization in two river-"&amp;"dominated estuaries. From May 3 to June 4, 2010, nekton and macroinfauna were collected weekly at all six sites. Due to the greater abundance of grass shrimp Palaemonetes spp., brown shrimp Farfantepenaeus aztecus, blue crab Callinectes sapidus, Gulf Menh"&amp;"aden Brevoortia patronus, and Spot Leiostomus xanthurus, tidal creeks in intact natural (IN) salt-marsh landscapes supported a nekton assemblage that was significantly different from those in partially urbanized (PU) or completely urbanized (CU) salt-mars"&amp;"h landscapes. However, PU landscapes still supported an abundant nekton assemblage. In addition, the results illustrated a linkage between life history traits and landscape characteristics. Resident and transient nekton species that have specific habitat "&amp;"requirements are more likely to be impacted in urbanized landscapes than more mobile species that are able to exploit multiple habitats. Patterns were less clear for macroinfaunal assemblages, although they were comparatively less abundant in CU salt-mars"&amp;"h landscapes than in either IN or PU landscapes. The low abundance or absence of several macroinfaunal taxa in CU landscapes may be viewed as an additional indicator of poor habitat quality for nekton. The observed patterns also suggested that benthic sed"&amp;"iments in the CU salt-marsh landscapes were altered in comparison with IN or PU landscapes. The amount of developed shoreline and various metrics related to salt marsh fragmentation were important drivers of observed patterns in nekton and macroinfaunal a"&amp;"ssemblages.")</f>
        <v>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v>
      </c>
      <c r="C1287" s="24" t="str">
        <f>IFERROR(__xludf.DUMMYFUNCTION("""COMPUTED_VALUE"""),"10.1080/19425120.2014.893467")</f>
        <v>10.1080/19425120.2014.893467</v>
      </c>
      <c r="D1287" s="24" t="str">
        <f>IFERROR(__xludf.DUMMYFUNCTION("""COMPUTED_VALUE"""),"Keck et al")</f>
        <v>Keck et al</v>
      </c>
      <c r="E1287" s="24" t="str">
        <f>IFERROR(__xludf.DUMMYFUNCTION("""COMPUTED_VALUE"""),"WOS:000343697600008")</f>
        <v>WOS:000343697600008</v>
      </c>
      <c r="F1287" s="24" t="str">
        <f>IFERROR(__xludf.DUMMYFUNCTION("""COMPUTED_VALUE"""),"[""ELIGIBLE""]")</f>
        <v>["ELIGIBLE"]</v>
      </c>
    </row>
    <row r="1288">
      <c r="A1288" s="24" t="str">
        <f>IFERROR(__xludf.DUMMYFUNCTION("""COMPUTED_VALUE"""),"Garden pond diversity: Opportunities for urban freshwater conservation")</f>
        <v>Garden pond diversity: Opportunities for urban freshwater conservation</v>
      </c>
      <c r="B1288" s="24" t="str">
        <f>IFERROR(__xludf.DUMMYFUNCTION("""COMPUTED_VALUE"""),"Urbanisation is increasing globally, degrading terrestrial and freshwater habitats and reducing faunal and floral richness. Whilst the potential for garden ponds to serve as important biodiversity resources in urban areas has been documented in a limited "&amp;"number of studies, quantifying the contribution of garden ponds to urban freshwater diversity has been largely neglected. This study aims to quantify the taxonomic richness, community composition and conservation value of aquatic macroinvertebrates in dom"&amp;"estic garden and non-urban ponds. Taxonomic richness was significantly lower in garden ponds than non-urban ponds at an alpha and gamma scale. A greater richness of Odonata, Coleoptera, Gastropoda and Hemiptera were recorded in non-urban ponds. Garden pon"&amp;"ds were found to support compositionally different macroinvertebrate communities compared to non-urban ponds, influenced by variation in water depth and conductivity. A total of 23 taxa were recorded from garden ponds only. Non-urban ponds had a significa"&amp;"ntly higher conservation value compared to garden ponds (87% of garden ponds were of low or moderate conservation value, while only 35% of non-urban ponds were in these categories). Although garden ponds currently support limited macroinvertebrate diversi"&amp;"ty and have lower conservation value, they contribute to the regional species pool and their potential to limit future urban biodiversity loss is significant. Given their high abundance and popularity within the urban landscape, clear guidance is required"&amp;" for pond-owners on how to best manage garden ponds to support and sustain biodiversity. For this to be achieved, research is required to increase fundamental understanding of urban pond ecology, and the development of evidence led garden pond management "&amp;"practices. (C) 2021 Gesellschaft fur Okologie. Published by Elsevier GmbH. All rights reserved.")</f>
        <v>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v>
      </c>
      <c r="C1288" s="24" t="str">
        <f>IFERROR(__xludf.DUMMYFUNCTION("""COMPUTED_VALUE"""),"10.1016/j.baae.2021.09.005")</f>
        <v>10.1016/j.baae.2021.09.005</v>
      </c>
      <c r="D1288" s="24" t="str">
        <f>IFERROR(__xludf.DUMMYFUNCTION("""COMPUTED_VALUE"""),"Keck et al")</f>
        <v>Keck et al</v>
      </c>
      <c r="E1288" s="24" t="str">
        <f>IFERROR(__xludf.DUMMYFUNCTION("""COMPUTED_VALUE"""),"WOS:000712062900003")</f>
        <v>WOS:000712062900003</v>
      </c>
      <c r="F1288" s="24" t="str">
        <f>IFERROR(__xludf.DUMMYFUNCTION("""COMPUTED_VALUE"""),"[""ELIGIBLE""]")</f>
        <v>["ELIGIBLE"]</v>
      </c>
    </row>
    <row r="1289">
      <c r="A1289" s="24" t="str">
        <f>IFERROR(__xludf.DUMMYFUNCTION("""COMPUTED_VALUE"""),"Effects of 2,2-dichloroacetamide (DCAcAm), an emerging disinfection by-product in drinking water, on the intestinal microbiota of adult zebrafish")</f>
        <v>Effects of 2,2-dichloroacetamide (DCAcAm), an emerging disinfection by-product in drinking water, on the intestinal microbiota of adult zebrafish</v>
      </c>
      <c r="B1289" s="24" t="str">
        <f>IFERROR(__xludf.DUMMYFUNCTION("""COMPUTED_VALUE"""),"The presence of disinfection by-products (DBPs) increases the mutagenicity of water and may pose adverse health effects. Gut microbiota exerts a fundamental role on host physiology, and how extrinsic perturbations influence its composition has been increa"&amp;"singly examined. However, the effect of DBPs on gut microbiota is still poorly understood. In the present study, adult zebrafish were exposed to different concentrations of dichloroacetamide (DCAcAm, an emerging nitrogenous DBP) for 30 days. Sequencing of"&amp;" 16S rRNA amplicons revealed a significant change in the richness and diversity of microbiota in the gut of DCAcAm-exposed zebrafish. At the phylum level, the abundance of Proteobacteria decreased and the abundance of Fusobacteria and Firmicutes increased"&amp;" significantly in the gut after exposure to 100 and 500 mu g/L DCAcAm. At the genus level, the abundances of several bacteria which are considered pathogens or opportunistic pathogens in fish and closely related to fish metabolism, disease and inflammatio"&amp;"n (Aeromonas, Stenotrophomonas, Bacteroides and Ralstonia) increased in the DCAcAm-treated groups. Our results reveal that DBPs in drinking water potentially affect gut microbiota composition, which may contribute to the toxicity assessment of DBPs in fut"&amp;"ure and provide new insight into the complex interactions between the DBPs in drinking water and host health.")</f>
        <v>The presence of disinfection by-products (DBPs) increases the mutagenicity of water and may pose adverse health effects. Gut microbiota exerts a fundamental role on host physiology, and how extrinsic perturbations influence its composition has been increasingly examined. However, the effect of DBPs on gut microbiota is still poorly understood. In the present study, adult zebrafish were exposed to different concentrations of dichloroacetamide (DCAcAm, an emerging nitrogenous DBP) for 30 days. Sequencing of 16S rRNA amplicons revealed a significant change in the richness and diversity of microbiota in the gut of DCAcAm-exposed zebrafish. At the phylum level, the abundance of Proteobacteria decreased and the abundance of Fusobacteria and Firmicutes increased significantly in the gut after exposure to 100 and 500 mu g/L DCAcAm. At the genus level, the abundances of several bacteria which are considered pathogens or opportunistic pathogens in fish and closely related to fish metabolism, disease and inflammation (Aeromonas, Stenotrophomonas, Bacteroides and Ralstonia) increased in the DCAcAm-treated groups. Our results reveal that DBPs in drinking water potentially affect gut microbiota composition, which may contribute to the toxicity assessment of DBPs in future and provide new insight into the complex interactions between the DBPs in drinking water and host health.</v>
      </c>
      <c r="C1289" s="24" t="str">
        <f>IFERROR(__xludf.DUMMYFUNCTION("""COMPUTED_VALUE"""),"10.2166/wh.2019.081")</f>
        <v>10.2166/wh.2019.081</v>
      </c>
      <c r="D1289" s="24" t="str">
        <f>IFERROR(__xludf.DUMMYFUNCTION("""COMPUTED_VALUE"""),"Keck et al")</f>
        <v>Keck et al</v>
      </c>
      <c r="E1289" s="24" t="str">
        <f>IFERROR(__xludf.DUMMYFUNCTION("""COMPUTED_VALUE"""),"WOS:000491466900003")</f>
        <v>WOS:000491466900003</v>
      </c>
      <c r="F1289" s="24" t="str">
        <f>IFERROR(__xludf.DUMMYFUNCTION("""COMPUTED_VALUE"""),"[""ELIGIBLE""]")</f>
        <v>["ELIGIBLE"]</v>
      </c>
    </row>
    <row r="1290">
      <c r="A1290" s="24" t="str">
        <f>IFERROR(__xludf.DUMMYFUNCTION("""COMPUTED_VALUE"""),"Structure, composition and dynamics of a calcareous grassland metacommunity over a 70-year interval")</f>
        <v>Structure, composition and dynamics of a calcareous grassland metacommunity over a 70-year interval</v>
      </c>
      <c r="B1290" s="24" t="str">
        <f>IFERROR(__xludf.DUMMYFUNCTION("""COMPUTED_VALUE"""),"1. Calcareous grasslands are communities of high conservation value, often characterized by high plant species richness. These grasslands have experienced a major decline in area throughout Europe, principally resulting from agricultural intensification. "&amp;"Although they have been the focus of extensive previous research, few attempts have been made to examine the long-term dynamics of multiple communities at the landscape scale.")</f>
        <v>1. Calcareous grasslands are communities of high conservation value, often characterized by high plant species richness. These grasslands have experienced a major decline in area throughout Europe, principally resulting from agricultural intensification. Although they have been the focus of extensive previous research, few attempts have been made to examine the long-term dynamics of multiple communities at the landscape scale.</v>
      </c>
      <c r="C1290" s="24" t="str">
        <f>IFERROR(__xludf.DUMMYFUNCTION("""COMPUTED_VALUE"""),"10.1111/j.1365-2745.2011.01923.x")</f>
        <v>10.1111/j.1365-2745.2011.01923.x</v>
      </c>
      <c r="D1290" s="24" t="str">
        <f>IFERROR(__xludf.DUMMYFUNCTION("""COMPUTED_VALUE"""),"Keck et al")</f>
        <v>Keck et al</v>
      </c>
      <c r="E1290" s="24" t="str">
        <f>IFERROR(__xludf.DUMMYFUNCTION("""COMPUTED_VALUE"""),"WOS:000298014400018")</f>
        <v>WOS:000298014400018</v>
      </c>
      <c r="F1290" s="24" t="str">
        <f>IFERROR(__xludf.DUMMYFUNCTION("""COMPUTED_VALUE"""),"[""ELIGIBLE""]")</f>
        <v>["ELIGIBLE"]</v>
      </c>
    </row>
    <row r="1291">
      <c r="A1291" s="24" t="str">
        <f>IFERROR(__xludf.DUMMYFUNCTION("""COMPUTED_VALUE"""),"Quantifying effects of pollution on biodiversity: a case study of highly diverse molluscan assemblages in the Mediterranean")</f>
        <v>Quantifying effects of pollution on biodiversity: a case study of highly diverse molluscan assemblages in the Mediterranean</v>
      </c>
      <c r="B1291" s="24" t="str">
        <f>IFERROR(__xludf.DUMMYFUNCTION("""COMPUTED_VALUE"""),"Structured sampling designs are important in the assessment of environmental impacts of variable ecological systems. Recent developments have provided a useful framework extending existing univariate techniques into a multivariate context. Measures of tax"&amp;"onomic relatedness have also been introduced, which complement existing measures of diversity of assemblages. In this study, the potential effects of sewage discharge on spatial patterns of highly diverse molluscan assemblages in a Mediterranean rocky sub"&amp;"tidal habitat were investigated. Nine 20 cmx20 cm quadrats were taken from each of three sites (80 m-100 m apart) within a putatively impacted location near a sewage outfall (I) and at each of two control locations (Cs) by destructive sampling by SCUBA di"&amp;"vers at a depth of 3 m-4 m. A total of 5507 specimens of 151 species were collected. The average and the variance in total abundance of molluscs were greater, on average, at I than at Cs. Higher abundances at the sewage outfall were largely driven by grea"&amp;"ter numbers of juvenile molluscs. The Shannon diversity of molluscs (H') was significantly lower at I, but no difference among locations was detected for the total number of species (S). In addition, the taxonomic distinctness (Delta*) of molluscs was gre"&amp;"ater at Cs, although it was more variable at I. Multivariate analyses showed that there was a significant difference in the structure of assemblages at I compared with Cs. The location near the outfall was characterized by greater abundances of several sp"&amp;"ecies, including especially the gastropods Pusillina philippi, Bittium latreilli, and Bittium reticulatum. There was also greater variability in the structure of assemblages among sites and among quadrats at control locations compared to those near the ou"&amp;"tfall. Using a suite of univariate and multivariate measures, including diversity indices, detailed information on taxonomic structure and analyses of variability at different spatial scales, provided useful insights into the effects of sewage impacts on "&amp;"these diverse assemblages. These results also highlighted the importance of analysing measures of variance, as well as mean in considering effects of stress in natural communities.")</f>
        <v>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v>
      </c>
      <c r="C1291" s="24" t="str">
        <f>IFERROR(__xludf.DUMMYFUNCTION("""COMPUTED_VALUE"""),"10.1007/s00227-005-0080-8")</f>
        <v>10.1007/s00227-005-0080-8</v>
      </c>
      <c r="D1291" s="24" t="str">
        <f>IFERROR(__xludf.DUMMYFUNCTION("""COMPUTED_VALUE"""),"Keck et al")</f>
        <v>Keck et al</v>
      </c>
      <c r="E1291" s="24" t="str">
        <f>IFERROR(__xludf.DUMMYFUNCTION("""COMPUTED_VALUE"""),"WOS:000233724300008")</f>
        <v>WOS:000233724300008</v>
      </c>
      <c r="F1291" s="24" t="str">
        <f>IFERROR(__xludf.DUMMYFUNCTION("""COMPUTED_VALUE"""),"[""ELIGIBLE""]")</f>
        <v>["ELIGIBLE"]</v>
      </c>
    </row>
    <row r="1292">
      <c r="A1292" s="24" t="str">
        <f>IFERROR(__xludf.DUMMYFUNCTION("""COMPUTED_VALUE"""),"Effects of temperature, diet and genotype-induced variations on the gut microbiota of abalone")</f>
        <v>Effects of temperature, diet and genotype-induced variations on the gut microbiota of abalone</v>
      </c>
      <c r="B1292" s="24" t="str">
        <f>IFERROR(__xludf.DUMMYFUNCTION("""COMPUTED_VALUE"""),"Abalone is one of the most commercially important seafood, while its fisheries and aquaculture activities are carried out in 20 countries worldwide. Gut microbiota plays critical roles in the physiological functions of aquatic animals, and it is influence"&amp;"d by numerous factors. Previous studies about the gut microbiota of abalone usually focused on analyzing bacterial taxonomy or the impact of a single abiotic factor. However, the effect of abiotic factors, combined with biotic factors (i.e., genotype), on"&amp;" gut microbiota of abalone has not been systematically explored. In China, the hybrid Haliotis discus hannai. x H. fulgens. has potential for large-scale farming in southern China by its fast growth rate and tolerance to higher temperature. In this study,"&amp;" we analyzed the effects of diet, temperature and genotypes on gut microbiota of abalones using 16S rRNA gene sequencing data. The experiments indicate that the top three dominant genera keep consistent across various temperatures, diets and genotypes. Th"&amp;"e alpha-diversity of the microbial community was affected by temperature, genotype and diet. On the whole, the alpha-diversity of the gut microbiota of H. discus hannai was higher than that of the hybrid under the same temperature or diet. For beta-divers"&amp;"ity, the microbial samples exhibited clear groups under abiotic gradients of temperature and diet. Some of the identified temperature-specific and diet-specific OTUs and KEGG Orthologs are related with degradation of carrageenan, laminaran and agar; metab"&amp;"olism of carbohydrate; biosynthesis of secondary metabolites and antibiotics, etc. According to permutational multivariate ANOVA, temperature and diet could explain almost 52% of bacterial structure variation. The gut microbiota of the two abalone genotyp"&amp;"es have different responses to environmental gradients of temperature and diet. The gut microbiota of H. discus hannai is more sensitive to temperature, while the hybrid is more sensitive to diet, which might be the potential explanation of its tolerance "&amp;"to higher temperature in breeding. This study makes the first attempt to correlate the structural variation of gut microbiota in abalone by considering both abiotic and biotic factors.")</f>
        <v>Abalone is one of the most commercially important seafood, while its fisheries and aquaculture activities are carried out in 20 countries worldwide. Gut microbiota plays critical roles in the physiological functions of aquatic animals, and it is influenced by numerous factors. Previous studies about the gut microbiota of abalone usually focused on analyzing bacterial taxonomy or the impact of a single abiotic factor. However, the effect of abiotic factors, combined with biotic factors (i.e., genotype), on gut microbiota of abalone has not been systematically explored. In China, the hybrid Haliotis discus hannai. x H. fulgens. has potential for large-scale farming in southern China by its fast growth rate and tolerance to higher temperature. In this study, we analyzed the effects of diet, temperature and genotypes on gut microbiota of abalones using 16S rRNA gene sequencing data. The experiments indicate that the top three dominant genera keep consistent across various temperatures, diets and genotypes. The alpha-diversity of the microbial community was affected by temperature, genotype and diet. On the whole, the alpha-diversity of the gut microbiota of H. discus hannai was higher than that of the hybrid under the same temperature or diet. For beta-diversity, the microbial samples exhibited clear groups under abiotic gradients of temperature and diet. Some of the identified temperature-specific and diet-specific OTUs and KEGG Orthologs are related with degradation of carrageenan, laminaran and agar; metabolism of carbohydrate; biosynthesis of secondary metabolites and antibiotics, etc. According to permutational multivariate ANOVA, temperature and diet could explain almost 52% of bacterial structure variation. The gut microbiota of the two abalone genotypes have different responses to environmental gradients of temperature and diet. The gut microbiota of H. discus hannai is more sensitive to temperature, while the hybrid is more sensitive to diet, which might be the potential explanation of its tolerance to higher temperature in breeding. This study makes the first attempt to correlate the structural variation of gut microbiota in abalone by considering both abiotic and biotic factors.</v>
      </c>
      <c r="C1292" s="24" t="str">
        <f>IFERROR(__xludf.DUMMYFUNCTION("""COMPUTED_VALUE"""),"10.1016/j.aquaculture.2020.735269")</f>
        <v>10.1016/j.aquaculture.2020.735269</v>
      </c>
      <c r="D1292" s="24" t="str">
        <f>IFERROR(__xludf.DUMMYFUNCTION("""COMPUTED_VALUE"""),"Keck et al")</f>
        <v>Keck et al</v>
      </c>
      <c r="E1292" s="24" t="str">
        <f>IFERROR(__xludf.DUMMYFUNCTION("""COMPUTED_VALUE"""),"WOS:000535436900009")</f>
        <v>WOS:000535436900009</v>
      </c>
      <c r="F1292" s="24" t="str">
        <f>IFERROR(__xludf.DUMMYFUNCTION("""COMPUTED_VALUE"""),"[""ELIGIBLE""]")</f>
        <v>["ELIGIBLE"]</v>
      </c>
    </row>
    <row r="1293">
      <c r="A1293" s="24" t="str">
        <f>IFERROR(__xludf.DUMMYFUNCTION("""COMPUTED_VALUE"""),"Arthropod communities and biological control in soybean fields: Forest cover at landscape scale is more influential than forest proximity")</f>
        <v>Arthropod communities and biological control in soybean fields: Forest cover at landscape scale is more influential than forest proximity</v>
      </c>
      <c r="B1293" s="24" t="str">
        <f>IFERROR(__xludf.DUMMYFUNCTION("""COMPUTED_VALUE"""),"Natural habitats surrounding annual crops influence biodiversity and the provision of ecosystem services within the cultivated habitats. Soybean, an important crop worldwide and the main crop in Argentina, is affected by several pest species, including st"&amp;"ink-bugs that damage soybean pods. Here, we studied the effects of Chaco Serrano forests on arthropod herbivores and natural enemies and on biologital control of stink bugs on soybean, at landscape (forest cover) and local (forest proximity) scales. We sa"&amp;"mpled arthropods on soybean plants by using the beating-sheet method, on nine landscapes (with low and high forest cover) and at 5, 25, 50 and 100 m from the forest, during soybean flowering and pod-filling stages. Biological control of stink bug eggs was"&amp;" assessed via sentinel-egg experiments in soybean and forest habitats. We found that landscapes with high forest cover presented higher richness and abundance of natural enemies and higher levels of biological control on stink bug eggs (both in the cropla"&amp;"nd and in the forest), while a similar trend for herbivores was restricted to soybean flowering stage. Community composition of both functional groups was also affected by forest cover and crop phenological stage. Forest proximity had more limited effects"&amp;": natural enemies showed more species and individuals at 5 m from the forest than at larger distances and, conversely, stink bug abundance was lower at the closest distance to the forest. We conclude than forest amount at landscape scale is more influenti"&amp;"al for arthropod biodiversity and biological control in soybean than forest proximity. Moreover, our results suggest that maintaining remnants of forest in agricultural landscapes can be effective for conservation of arthropod biodiversity while contribut"&amp;"ing to biological control of stink bugs in soybean fields. (C) 2017 Elsevier B.V. All rights reserved.")</f>
        <v>Natural habitats surrounding annual crops influence biodiversity and the provision of ecosystem services within the cultivated habitats. Soybean, an important crop worldwide and the main crop in Argentina, is affected by several pest species, including stink-bugs that damage soybean pods. Here, we studied the effects of Chaco Serrano forests on arthropod herbivores and natural enemies and on biologital control of stink bugs on soybean, at landscape (forest cover) and local (forest proximity) scales. We sampled arthropods on soybean plants by using the beating-sheet method, on nine landscapes (with low and high forest cover) and at 5, 25, 50 and 100 m from the forest, during soybean flowering and pod-filling stages. Biological control of stink bug eggs was assessed via sentinel-egg experiments in soybean and forest habitats. We found that landscapes with high forest cover presented higher richness and abundance of natural enemies and higher levels of biological control on stink bug eggs (both in the cropland and in the forest), while a similar trend for herbivores was restricted to soybean flowering stage. Community composition of both functional groups was also affected by forest cover and crop phenological stage. Forest proximity had more limited effects: natural enemies showed more species and individuals at 5 m from the forest than at larger distances and, conversely, stink bug abundance was lower at the closest distance to the forest. We conclude than forest amount at landscape scale is more influential for arthropod biodiversity and biological control in soybean than forest proximity. Moreover, our results suggest that maintaining remnants of forest in agricultural landscapes can be effective for conservation of arthropod biodiversity while contributing to biological control of stink bugs in soybean fields. (C) 2017 Elsevier B.V. All rights reserved.</v>
      </c>
      <c r="C1293" s="24" t="str">
        <f>IFERROR(__xludf.DUMMYFUNCTION("""COMPUTED_VALUE"""),"10.1016/j.agee.2017.02.002")</f>
        <v>10.1016/j.agee.2017.02.002</v>
      </c>
      <c r="D1293" s="24" t="str">
        <f>IFERROR(__xludf.DUMMYFUNCTION("""COMPUTED_VALUE"""),"Keck et al")</f>
        <v>Keck et al</v>
      </c>
      <c r="E1293" s="24" t="str">
        <f>IFERROR(__xludf.DUMMYFUNCTION("""COMPUTED_VALUE"""),"WOS:000397550100037")</f>
        <v>WOS:000397550100037</v>
      </c>
      <c r="F1293" s="24" t="str">
        <f>IFERROR(__xludf.DUMMYFUNCTION("""COMPUTED_VALUE"""),"[""ELIGIBLE""]")</f>
        <v>["ELIGIBLE"]</v>
      </c>
    </row>
    <row r="1294">
      <c r="A1294" s="24" t="str">
        <f>IFERROR(__xludf.DUMMYFUNCTION("""COMPUTED_VALUE"""),"Exposure to heavy metal and antibiotic enriches antibiotic resistant genes on the tire particles in soil")</f>
        <v>Exposure to heavy metal and antibiotic enriches antibiotic resistant genes on the tire particles in soil</v>
      </c>
      <c r="B1294" s="24" t="str">
        <f>IFERROR(__xludf.DUMMYFUNCTION("""COMPUTED_VALUE"""),"The widespread occurrence of tire particles (IPs) in soils has attracted considerable attention due to their potential threats. The assemblage of bacteria and associated antibiotic resistant genes (ARGs) on TPs is yet largely unknown, especially under the"&amp;" stress of soil pollutants. In the present study, TPs were incubated in soils with or without the stress of heavy metal (Cu2+) or/and antibiotic (tetracycline). and bacterial community and ARG profile on TPs and in soils were explored using high-throughpu"&amp;"t sequencing and high-throughput quantitative PCR. Results indicated that bacterial community structure on TPs was significantly different from the surrounding soils, with a lower diversity, and significantly shifted by heavy metal and antibiotic exposure"&amp;". Additionally, a diverse set of ARGs were detected on TPs, and their abundances were significantly increased under the stress of heavy metal and antibiotic, revealing a strong synergistic effect. Moreover, a good fit was observed for the correlation betw"&amp;"een bacterial community and ARG profile on TPs. Taken together, this study, for the first time, demonstrates that TPs can provide a novel niche for soil bacteria and soil resistome, and heavy metal and antibiotic exposure may potentially increase the abun"&amp;"dance of ARGs on TPs, threatening soil ecosystems and human health. (C) 2021 Elsevier B.V. All rights reserved.")</f>
        <v>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v>
      </c>
      <c r="C1294" s="24" t="str">
        <f>IFERROR(__xludf.DUMMYFUNCTION("""COMPUTED_VALUE"""),"10.1016/j.scitotenv.2021.148417")</f>
        <v>10.1016/j.scitotenv.2021.148417</v>
      </c>
      <c r="D1294" s="24" t="str">
        <f>IFERROR(__xludf.DUMMYFUNCTION("""COMPUTED_VALUE"""),"Keck et al")</f>
        <v>Keck et al</v>
      </c>
      <c r="E1294" s="24" t="str">
        <f>IFERROR(__xludf.DUMMYFUNCTION("""COMPUTED_VALUE"""),"WOS:000689569200007")</f>
        <v>WOS:000689569200007</v>
      </c>
      <c r="F1294" s="24" t="str">
        <f>IFERROR(__xludf.DUMMYFUNCTION("""COMPUTED_VALUE"""),"[""ELIGIBLE""]")</f>
        <v>["ELIGIBLE"]</v>
      </c>
    </row>
    <row r="1295">
      <c r="A1295" s="24" t="str">
        <f>IFERROR(__xludf.DUMMYFUNCTION("""COMPUTED_VALUE"""),"Alternative silvicultural practices with variable retention to improve understory plant diversity conservation in southern Patagonian forests")</f>
        <v>Alternative silvicultural practices with variable retention to improve understory plant diversity conservation in southern Patagonian forests</v>
      </c>
      <c r="B1295" s="24" t="str">
        <f>IFERROR(__xludf.DUMMYFUNCTION("""COMPUTED_VALUE"""),"Understory plants could can act as indicators of temperate forest sustainability, health and conservation status due to their importance in ecosystem function. Harvesting impacts on understory plant diversity depends on their intensity. Variable retention"&amp;" has been proposed to mitigate the harmful effects of timber harvesting, but its effectiveness remains unknown in southern Patagonian Nothofagus pumilio forests. The objectives of this study were to: (i) define a baseline of understory plant diversity in "&amp;"old-growth forests along a site quality gradient and under canopy gaps; (ii) evaluate stands with three different variable retention treatments compared to old-growth forests; and (iii) assess temporal changes during 4 years after harvesting (YAH). A 61 h"&amp;"a N. pumilio forest was selected. Understory plant (Dicotyledonae, Monocotyledonae and Pteridophyta) richness, cover (including woody debris and bare forest floor) and above-ground dry biomass were characterized in summer for 5 years. Before harvesting, b"&amp;"aseline samples were conducted along a site quality gradient and outside/inside canopy gaps. Analyzed treatments include a control of old-growth forest (OGF) and three different harvesting treatments with variable retention: (i) dispersed retention (DR) o"&amp;"f 30 m(2) ha(-1) (20-30% retention); (ii) aggregated retention (AR) with one aggregate per hectare and clear-cuts (28% retention); and (iii) combined dispersed and aggregated retention (DAR) with one aggregate per hectare and dispersed retention of 10-15 "&amp;"m(2) ha(-1) (40-50% retention). Data analyses included parametric and permutational ANOVAs, multivariate classification and ordinations. Before harvesting, 31 plant species were found, where richness, cover and biomass were directly related to site qualit"&amp;"y. The presence of canopy gaps did not have a significant impact on the measured variables. After harvesting, 20 new species appeared from adjacent associated environments (two from N. antarctica forests and 18 from grasslands and peatlands). At the stand"&amp;" level, understory values were higher in AR &gt; DR &gt; DAR &gt; OGF. Most (81-95%) plant richness at baseline conditions was conserved in all treatments, where inside the aggregates understory remained similar to OGF. Combination of aggregated and dispersed rete"&amp;"ntion (DAR) better limited exotic species introduction and protected sensitive species, improving conservation in harvested stands. Changes in understory variables were observed after the first YAH in all treatments; greater changes were observed in the h"&amp;"arvested areas than in aggregates. Changes stabilized at the fourth YAH. As a conclusion, the location of retention aggregates should be selected to preserve species understory diversity of more speciose and diverse habitats or particularly uncommon stand"&amp;"s. Implementation of different kinds (patterns and levels) of retention for improvement of biodiversity conservation in harvested forests should be included in timber and forest management planning. (C) 2011 Elsevier B.V. All rights reserved.")</f>
        <v>Understory plants could can act as indicators of temperate forest sustainability, health and conservation status due to their importance in ecosystem function. Harvesting impacts on understory plant diversity depends on their intensity. Variable retention has been proposed to mitigate the harmful effects of timber harvesting, but its effectiveness remains unknown in southern Patagonian Nothofagus pumilio forests. The objectives of this study were to: (i) define a baseline of understory plant diversity in old-growth forests along a site quality gradient and under canopy gaps; (ii) evaluate stands with three different variable retention treatments compared to old-growth forests; and (iii) assess temporal changes during 4 years after harvesting (YAH). A 61 ha N. pumilio forest was selected. Understory plant (Dicotyledonae, Monocotyledonae and Pteridophyta) richness, cover (including woody debris and bare forest floor) and above-ground dry biomass were characterized in summer for 5 years. Before harvesting, baseline samples were conducted along a site quality gradient and outside/inside canopy gaps. Analyzed treatments include a control of old-growth forest (OGF) and three different harvesting treatments with variable retention: (i) dispersed retention (DR) of 30 m(2) ha(-1) (20-30% retention); (ii) aggregated retention (AR) with one aggregate per hectare and clear-cuts (28% retention); and (iii) combined dispersed and aggregated retention (DAR) with one aggregate per hectare and dispersed retention of 10-15 m(2) ha(-1) (40-50% retention). Data analyses included parametric and permutational ANOVAs, multivariate classification and ordinations. Before harvesting, 31 plant species were found, where richness, cover and biomass were directly related to site quality. The presence of canopy gaps did not have a significant impact on the measured variables. After harvesting, 20 new species appeared from adjacent associated environments (two from N. antarctica forests and 18 from grasslands and peatlands). At the stand level, understory values were higher in AR &gt; DR &gt; DAR &gt; OGF. Most (81-95%) plant richness at baseline conditions was conserved in all treatments, where inside the aggregates understory remained similar to OGF. Combination of aggregated and dispersed retention (DAR) better limited exotic species introduction and protected sensitive species, improving conservation in harvested stands. Changes in understory variables were observed after the first YAH in all treatments; greater changes were observed in the harvested areas than in aggregates. Changes stabilized at the fourth YAH. As a conclusion, the location of retention aggregates should be selected to preserve species understory diversity of more speciose and diverse habitats or particularly uncommon stands. Implementation of different kinds (patterns and levels) of retention for improvement of biodiversity conservation in harvested forests should be included in timber and forest management planning. (C) 2011 Elsevier B.V. All rights reserved.</v>
      </c>
      <c r="C1295" s="24" t="str">
        <f>IFERROR(__xludf.DUMMYFUNCTION("""COMPUTED_VALUE"""),"10.1016/j.foreco.2011.06.021")</f>
        <v>10.1016/j.foreco.2011.06.021</v>
      </c>
      <c r="D1295" s="24" t="str">
        <f>IFERROR(__xludf.DUMMYFUNCTION("""COMPUTED_VALUE"""),"Keck et al")</f>
        <v>Keck et al</v>
      </c>
      <c r="E1295" s="24" t="str">
        <f>IFERROR(__xludf.DUMMYFUNCTION("""COMPUTED_VALUE"""),"WOS:000294143100010")</f>
        <v>WOS:000294143100010</v>
      </c>
      <c r="F1295" s="24" t="str">
        <f>IFERROR(__xludf.DUMMYFUNCTION("""COMPUTED_VALUE"""),"[""ELIGIBLE""]")</f>
        <v>["ELIGIBLE"]</v>
      </c>
    </row>
    <row r="1296">
      <c r="A1296" s="24" t="str">
        <f>IFERROR(__xludf.DUMMYFUNCTION("""COMPUTED_VALUE"""),"World's Largest Mass Bathing Event Influences the Bacterial Communities of Godavari, a Holy River of India")</f>
        <v>World's Largest Mass Bathing Event Influences the Bacterial Communities of Godavari, a Holy River of India</v>
      </c>
      <c r="B1296" s="24" t="str">
        <f>IFERROR(__xludf.DUMMYFUNCTION("""COMPUTED_VALUE"""),"Kumbh Mela is one of the largest religious mass gathering events (MGE) involving bathing in rivers. The exponential rise in the number of devotees, from around 0.4 million in 1903 to 120 million in 2013, bathing in small specified sites can have a dramati"&amp;"c impact on the river ecosystem. Here, we present the spatiotemporal profiling of bacterial communities in Godavari River, Nashik, India, comprising five sites during the Kumbh Mela, held in 2015. Assessment of environmental parameters indicated deteriora"&amp;"tion of water quality. Targeted amplicon sequencing demonstrates approximately 37.5% loss in microbial diversity because of anthropogenic activity during MGE. A significant decrease in phyla viz. Actinobacteria, Chloroflexi, Proteobacteria, and Bacteroide"&amp;"tes was observed, while we noted substantial increase in prevalence of the phylum Firmicutes (94.6%) during MGE. qPCR estimations suggested nearly 130-fold increase in bacterial load during the event. Bayesian mixing model accounted the source of enormous"&amp;" incorporation of bacterial load of human origin. Further, metagenomic imputations depicted increase in virulence and antibiotic resistance genes during the MGE. These observations suggest the striking impact of the mass bathing on river ecosystem. The su"&amp;"bsequent increase in infectious diseases and drug-resistant microbes pose a critical public health concern.")</f>
        <v>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v>
      </c>
      <c r="C1296" s="24" t="str">
        <f>IFERROR(__xludf.DUMMYFUNCTION("""COMPUTED_VALUE"""),"10.1007/s00248-018-1169-1")</f>
        <v>10.1007/s00248-018-1169-1</v>
      </c>
      <c r="D1296" s="24" t="str">
        <f>IFERROR(__xludf.DUMMYFUNCTION("""COMPUTED_VALUE"""),"Keck et al")</f>
        <v>Keck et al</v>
      </c>
      <c r="E1296" s="24" t="str">
        <f>IFERROR(__xludf.DUMMYFUNCTION("""COMPUTED_VALUE"""),"WOS:000443567600013")</f>
        <v>WOS:000443567600013</v>
      </c>
      <c r="F1296" s="24" t="str">
        <f>IFERROR(__xludf.DUMMYFUNCTION("""COMPUTED_VALUE"""),"[""ELIGIBLE""]")</f>
        <v>["ELIGIBLE"]</v>
      </c>
    </row>
    <row r="1297">
      <c r="A1297" s="24" t="str">
        <f>IFERROR(__xludf.DUMMYFUNCTION("""COMPUTED_VALUE"""),"Waste heaps left by historical Zn-Pb ore mining are hotspots of species diversity of beech forest understory vegetation")</f>
        <v>Waste heaps left by historical Zn-Pb ore mining are hotspots of species diversity of beech forest understory vegetation</v>
      </c>
      <c r="B1297" s="24" t="str">
        <f>IFERROR(__xludf.DUMMYFUNCTION("""COMPUTED_VALUE"""),"Metalliferous mining and smelting industries are associated with very high levels of heavy metal(loid) contamination of the environment. Heavy metals have been proved to significantly influence the species diversity and composition of grassland communitie"&amp;"s, but little is known on their effects on forest understory vegetation. Therefore, the aim of this study was to investigate the effects of the presence of small heaps of waste rock left by historical Zn-Pb ore mining on understory vegetation. The heaps a"&amp;"re scattered over vast areas of beech forests in southern Poland. Three types of study plots were established: (1) on waste heaps themselves, (2) in their vicinity (5-10 m from the foot of the heaps, with no waste rock but potentially influenced by the he"&amp;"aps through drainage water), and (3) at least 100 m from the foot of the heaps (pseudo-control). In all plots vegetation parameters, i.e., plant species number, cover and community composition, life forms and strategies, as well as basic soil properties w"&amp;"ere assessed. Although the heaps contained high concentrations of metals, namely Cd, Pb and Zn, they were characterised by higher cover and diversity of understory vegetation, including ancient forest and endangered species, in comparison to their surroun"&amp;"dings. They were also characterised by the distinct species composition of their plant communities. This might have resulted from the beneficial influence of high pH and Ca content originating from waste rock composed of dolomite and calcite, as well as f"&amp;"rom increased habitat heterogeneity, e.g. soil skeleton and steeper slopes. Another important factor influencing the richness and composition of understory was tree cover, which relates to the light transmissibility of the canopy. Our study proved that th"&amp;"e disturbance brought about by the former mining and processing of metal ores led to the formation of species-rich understory with high frequency and cover of naturally-valuable species. (C) 2017 Elsevier B.V. All rights reserved.")</f>
        <v>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v>
      </c>
      <c r="C1297" s="24" t="str">
        <f>IFERROR(__xludf.DUMMYFUNCTION("""COMPUTED_VALUE"""),"10.1016/j.scitotenv.2017.04.197")</f>
        <v>10.1016/j.scitotenv.2017.04.197</v>
      </c>
      <c r="D1297" s="24" t="str">
        <f>IFERROR(__xludf.DUMMYFUNCTION("""COMPUTED_VALUE"""),"Keck et al")</f>
        <v>Keck et al</v>
      </c>
      <c r="E1297" s="24" t="str">
        <f>IFERROR(__xludf.DUMMYFUNCTION("""COMPUTED_VALUE"""),"WOS:000405252000005")</f>
        <v>WOS:000405252000005</v>
      </c>
      <c r="F1297" s="24" t="str">
        <f>IFERROR(__xludf.DUMMYFUNCTION("""COMPUTED_VALUE"""),"[""ELIGIBLE""]")</f>
        <v>["ELIGIBLE"]</v>
      </c>
    </row>
    <row r="1298">
      <c r="A1298" s="24" t="str">
        <f>IFERROR(__xludf.DUMMYFUNCTION("""COMPUTED_VALUE"""),"Soil exposed to silver nanoparticles reveals significant changes in community structure and altered microbial transcriptional profiles")</f>
        <v>Soil exposed to silver nanoparticles reveals significant changes in community structure and altered microbial transcriptional profiles</v>
      </c>
      <c r="B1298" s="24" t="str">
        <f>IFERROR(__xludf.DUMMYFUNCTION("""COMPUTED_VALUE"""),"Anthropogenic activities can disrupt soil ecosystems, normally resulting in reduced soil microbial health. Regulatory agencies need to determine the effects of uncharacterized substances on soil microbial health to establish the safety of these chemicals "&amp;"if they end up in the environment. Previous work has focused on measuring traditional ecotoxicologial endpoints within the categories of microbial biomass, activity, and community structure/diversity. Because these tests can be labor intensive, lengthy to"&amp;" conduct, and cannot measure changes in individual gene functions, we wanted to establish whether metatranscriptomics could be used as a more sensitive endpoint and provide a perspective on community function that is more informative than taxonomic identi"&amp;"fication of microbes alone. We spiked a freshly collected sandy loam soil (Vulcan, Alberta, Canada) with 0, 60, 145, 347, 833, and 2000 mg kg(-1) of silver nanoparticles (AgNPs), a known antagonist of microorganisms due to its propensity for dissolution o"&amp;"f toxic silver ions. Assessments performed in our previous work using traditional tests demonstrated the toxicity of AgNPs on soil microbial processes. We expanded this analysis with genomics-based tests by measuring changes in community taxonomic structu"&amp;"re and function using 16S rDNA profiling and metatranscriptomics. In addition to identifying bacterial taxa affected by AgNPs, we found that genes involved in heavy metal resistance (e.g., the CzcA efflux pump) and other toxicity response pathways were hi"&amp;"ghly upregulated in the presence of silver. Dose-response analysis using BMDExpress2 software successfully modeled many physiologically relevant genes responding to low concentrations of AgNPs. We found that the transcriptomic point of departure (BMD50) w"&amp;"as lower than the IC50s calculated using the traditional tests in our previous work. These results suggest that dose-response modeling of metatranscriptomic gene expression is a useful tool in soil microbial health assessment. Summary: Genomics-based endp"&amp;"oints for the assessment of soil microbial health can be used to perform quantitative dose-response modeling, and soil-based RNAseq adds functional insights. Crown Copyright (C) 2019 Published by Elsevier Ltd. All rights reserved.")</f>
        <v>Anthropogenic activities can disrupt soil ecosystems, normally resulting in reduced soil microbial health. Regulatory agencies need to determine the effects of uncharacterized substances on soil microbial health to establish the safety of these chemicals if they end up in the environment. Previous work has focused on measuring traditional ecotoxicologial endpoints within the categories of microbial biomass, activity, and community structure/diversity. Because these tests can be labor intensive, lengthy to conduct, and cannot measure changes in individual gene functions, we wanted to establish whether metatranscriptomics could be used as a more sensitive endpoint and provide a perspective on community function that is more informative than taxonomic identification of microbes alone. We spiked a freshly collected sandy loam soil (Vulcan, Alberta, Canada) with 0, 60, 145, 347, 833, and 2000 mg kg(-1) of silver nanoparticles (AgNPs), a known antagonist of microorganisms due to its propensity for dissolution of toxic silver ions. Assessments performed in our previous work using traditional tests demonstrated the toxicity of AgNPs on soil microbial processes. We expanded this analysis with genomics-based tests by measuring changes in community taxonomic structure and function using 16S rDNA profiling and metatranscriptomics. In addition to identifying bacterial taxa affected by AgNPs, we found that genes involved in heavy metal resistance (e.g., the CzcA efflux pump) and other toxicity response pathways were highly upregulated in the presence of silver. Dose-response analysis using BMDExpress2 software successfully modeled many physiologically relevant genes responding to low concentrations of AgNPs. We found that the transcriptomic point of departure (BMD50) was lower than the IC50s calculated using the traditional tests in our previous work. These results suggest that dose-response modeling of metatranscriptomic gene expression is a useful tool in soil microbial health assessment. Summary: Genomics-based endpoints for the assessment of soil microbial health can be used to perform quantitative dose-response modeling, and soil-based RNAseq adds functional insights. Crown Copyright (C) 2019 Published by Elsevier Ltd. All rights reserved.</v>
      </c>
      <c r="C1298" s="24" t="str">
        <f>IFERROR(__xludf.DUMMYFUNCTION("""COMPUTED_VALUE"""),"10.1016/j.envpol.2019.113816")</f>
        <v>10.1016/j.envpol.2019.113816</v>
      </c>
      <c r="D1298" s="24" t="str">
        <f>IFERROR(__xludf.DUMMYFUNCTION("""COMPUTED_VALUE"""),"Keck et al")</f>
        <v>Keck et al</v>
      </c>
      <c r="E1298" s="24" t="str">
        <f>IFERROR(__xludf.DUMMYFUNCTION("""COMPUTED_VALUE"""),"WOS:000519655100047")</f>
        <v>WOS:000519655100047</v>
      </c>
      <c r="F1298" s="24" t="str">
        <f>IFERROR(__xludf.DUMMYFUNCTION("""COMPUTED_VALUE"""),"[""ELIGIBLE""]")</f>
        <v>["ELIGIBLE"]</v>
      </c>
    </row>
    <row r="1299">
      <c r="A1299" s="24" t="str">
        <f>IFERROR(__xludf.DUMMYFUNCTION("""COMPUTED_VALUE"""),"The effects of fragmentation on Araucaria forest: analysis of the fern and lycophyte communities at sites subject to different edge conditions")</f>
        <v>The effects of fragmentation on Araucaria forest: analysis of the fern and lycophyte communities at sites subject to different edge conditions</v>
      </c>
      <c r="B1299" s="24" t="str">
        <f>IFERROR(__xludf.DUMMYFUNCTION("""COMPUTED_VALUE"""),"Edge effects impact species richness and composition as a result of environmental changes caused by fragmentation. This study analyzed edge effects on a community of terrestrial ferns and lycophytes in an Araucaria forest in Brazil at sites subjected to d"&amp;"iffering edge conditions: (1) a site bordering a road running through the interior of a conservation unit, and (2) a site bordering an agricultural property. Twelve 10 x 10 m plots were selected at the edge and in the interior of each site, and accounted "&amp;"for a total of 48 plots. The edges had lost their characteristic floristic identity, suggesting that many species are sensitive to variations in environmental conditions. The edge effect had a negative impact on species richness as shown by the greater av"&amp;"erage numbers of fern and lycophyte species in forest interiors at both sites. The results showed that the forest fragments in contact with agricultural areas were subjected to more intense edge effects than the fragments bordering a road within a conserv"&amp;"ation unit.")</f>
        <v>Edge effects impact species richness and composition as a result of environmental changes caused by fragmentation. This study analyzed edge effects on a community of terrestrial ferns and lycophytes in an Araucaria forest in Brazil at sites subjected to differing edge conditions: (1) a site bordering a road running through the interior of a conservation unit, and (2) a site bordering an agricultural property. Twelve 10 x 10 m plots were selected at the edge and in the interior of each site, and accounted for a total of 48 plots. The edges had lost their characteristic floristic identity, suggesting that many species are sensitive to variations in environmental conditions. The edge effect had a negative impact on species richness as shown by the greater average numbers of fern and lycophyte species in forest interiors at both sites. The results showed that the forest fragments in contact with agricultural areas were subjected to more intense edge effects than the fragments bordering a road within a conservation unit.</v>
      </c>
      <c r="C1299" s="24" t="str">
        <f>IFERROR(__xludf.DUMMYFUNCTION("""COMPUTED_VALUE"""),"10.1590/0102-33062014abb3760")</f>
        <v>10.1590/0102-33062014abb3760</v>
      </c>
      <c r="D1299" s="24" t="str">
        <f>IFERROR(__xludf.DUMMYFUNCTION("""COMPUTED_VALUE"""),"Keck et al")</f>
        <v>Keck et al</v>
      </c>
      <c r="E1299" s="24" t="str">
        <f>IFERROR(__xludf.DUMMYFUNCTION("""COMPUTED_VALUE"""),"WOS:000356078800007")</f>
        <v>WOS:000356078800007</v>
      </c>
      <c r="F1299" s="24" t="str">
        <f>IFERROR(__xludf.DUMMYFUNCTION("""COMPUTED_VALUE"""),"[""ELIGIBLE""]")</f>
        <v>["ELIGIBLE"]</v>
      </c>
    </row>
    <row r="1300">
      <c r="A1300" s="24" t="str">
        <f>IFERROR(__xludf.DUMMYFUNCTION("""COMPUTED_VALUE"""),"Diversity of Bacterial Communities Along a Petroleum Contamination Gradient in Desert Soils")</f>
        <v>Diversity of Bacterial Communities Along a Petroleum Contamination Gradient in Desert Soils</v>
      </c>
      <c r="B1300" s="24" t="str">
        <f>IFERROR(__xludf.DUMMYFUNCTION("""COMPUTED_VALUE"""),"Microbial communities in oil-polluted desert soils have been rarely studied compared to their counterparts from freshwater and marine environments. We investigated bacterial diversity and changes therein in five desert soils exposed to different levels of"&amp;" oil pollution. Automated rRNA intergenic spacer (ARISA) analysis profiles showed that the bacterial communities of the five soils were profoundly different (analysis of similarities (ANOSIM), R = 0.45, P &lt; 0.0001) and shared less than 20 % of their opera"&amp;"tional taxonomic units (OTUs). OTU richness was relatively higher in the soils with the higher oil pollution levels. Multivariate analyses of ARISA profiles revealed that the microbial communities in the S soil, which contains the highest level of contami"&amp;"nation, were different from the other soils and formed a completely separate cluster. A total of 16,657 ribosomal sequences were obtained, with 42-89 % of these sequences belonging to the phylum Proteobacteria. While sequences belonging to Betaproteobacte"&amp;"ria, Gammaproteobacteria, Bacilli, and Actinobacteria were encountered in all soils, sequences belonging to anaerobic bacteria from the classes Deltaproteobacteria, Clostridia, and Anaerolineae were only detected in the S soil. Sequences belonging to the "&amp;"genus Terriglobus of the class Acidobacteria were only detected in the B3 soil with the lowest level of contamination. Redundancy analysis (RDA) showed that oil contamination level was the most determinant factor that explained variations in the microbial"&amp;" communities. We conclude that the exposure to different levels of oil contamination exerts a strong selective pressure on bacterial communities and that desert soils are rich in aerobic and anaerobic bacteria that could potentially contribute to the degr"&amp;"adation of hydrocarbons.")</f>
        <v>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v>
      </c>
      <c r="C1300" s="24" t="str">
        <f>IFERROR(__xludf.DUMMYFUNCTION("""COMPUTED_VALUE"""),"10.1007/s00248-014-0475-5")</f>
        <v>10.1007/s00248-014-0475-5</v>
      </c>
      <c r="D1300" s="24" t="str">
        <f>IFERROR(__xludf.DUMMYFUNCTION("""COMPUTED_VALUE"""),"Keck et al")</f>
        <v>Keck et al</v>
      </c>
      <c r="E1300" s="24" t="str">
        <f>IFERROR(__xludf.DUMMYFUNCTION("""COMPUTED_VALUE"""),"WOS:000347704500010")</f>
        <v>WOS:000347704500010</v>
      </c>
      <c r="F1300" s="24" t="str">
        <f>IFERROR(__xludf.DUMMYFUNCTION("""COMPUTED_VALUE"""),"[""ELIGIBLE""]")</f>
        <v>["ELIGIBLE"]</v>
      </c>
    </row>
    <row r="1301">
      <c r="A1301" s="24" t="str">
        <f>IFERROR(__xludf.DUMMYFUNCTION("""COMPUTED_VALUE"""),"Microplastics: New substrates for heterotrophic activity contribute to altering organic matter cycles in aquatic ecosystems")</f>
        <v>Microplastics: New substrates for heterotrophic activity contribute to altering organic matter cycles in aquatic ecosystems</v>
      </c>
      <c r="B1301" s="24" t="str">
        <f>IFERROR(__xludf.DUMMYFUNCTION("""COMPUTED_VALUE"""),"Heterotrophic microbes with the capability to process considerable amounts of organic matter can colonize microplastic particles (MP) in aquatic ecosystems. Weather colonization of microorganisms on MP will alter ecological niche and functioning of microb"&amp;"ial communities remains still unanswered. Therefore, we compared the functional diversity of biofilms on microplastics when incubated in three lakes in northeastern Germany differing in trophy and limnological features. For all lakes, we compared heterotr"&amp;"ophic activities of MP biofilms with those of microorganisms in the surrounding water by using Biolog (R) EcoPlates and assessed their oxygen consumption in microcosm assays with and without MP. The present study found that the total biofilm biomass was h"&amp;"igher in the oligo-mesotrophic and dystrophic lakes than in the eutrophic lake. In all lakes, functional diversity profiles of MP biofilms consistently differed from those in the surrounding water. However, solely in the oligo-mesotrophic lake MP biofilms"&amp;" had a higher functional richness compared to the ambient water. These results demonstrate that the functionality and hence the ecological role of MP-associated microbial communities are context-dependent, i.e. different environments lead to substantial c"&amp;"hanges in biomass build up and heterotrophic activities of MP biofilms. We propose that MP surfaces act as new niches for aquatic microorganisms and that the constantly increasing MP pollution has the potential to globally impact carbon dynamics of pelagi"&amp;"c environments by altering heterotrophic activities. (C) 2018 Elsevier B.V. All rights reserved.")</f>
        <v>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v>
      </c>
      <c r="C1301" s="24" t="str">
        <f>IFERROR(__xludf.DUMMYFUNCTION("""COMPUTED_VALUE"""),"10.1016/j.scitotenv.2018.04.199")</f>
        <v>10.1016/j.scitotenv.2018.04.199</v>
      </c>
      <c r="D1301" s="24" t="str">
        <f>IFERROR(__xludf.DUMMYFUNCTION("""COMPUTED_VALUE"""),"Keck et al")</f>
        <v>Keck et al</v>
      </c>
      <c r="E1301" s="24" t="str">
        <f>IFERROR(__xludf.DUMMYFUNCTION("""COMPUTED_VALUE"""),"WOS:000436494400110")</f>
        <v>WOS:000436494400110</v>
      </c>
      <c r="F1301" s="24" t="str">
        <f>IFERROR(__xludf.DUMMYFUNCTION("""COMPUTED_VALUE"""),"[""ELIGIBLE""]")</f>
        <v>["ELIGIBLE"]</v>
      </c>
    </row>
    <row r="1302">
      <c r="A1302" s="24" t="str">
        <f>IFERROR(__xludf.DUMMYFUNCTION("""COMPUTED_VALUE"""),"No Difference in Instream Decomposition Among Upland Agricultural and Forested Streams in Kenya")</f>
        <v>No Difference in Instream Decomposition Among Upland Agricultural and Forested Streams in Kenya</v>
      </c>
      <c r="B1302" s="24" t="str">
        <f>IFERROR(__xludf.DUMMYFUNCTION("""COMPUTED_VALUE"""),"Expansion of agriculture is particularly worrying in tropical regions of the world, where native forests have been replaced by croplands and grasslands, with severe consequences for biodiversity conservation and ecosystem functioning. However, limited dat"&amp;"a exist on the effects of agriculture on the functioning of tropical streams. We conducted a leaf litter decomposition experiment in coarse- and fine-mesh litterbags using the three species of leaves (Eucalyptus globulus [non-native], Vernonia myriantha, "&amp;"and Syzygium cordatum [indigenous]) in three forested and agricultural streams to determine the effect of agriculture on instream leaf litter decomposition in headwater stream sites. We also examined the functional composition of macroinvertebrates in the"&amp;" streams through the contents of benthic kick samples. Agricultural streams had a less dense riparian canopy and smaller abundance of coarse organic particulate matter, and higher electric conductivity and suspended solids than forested streams. In terms "&amp;"of the effects of litter quality on decomposition rates, Vernonia had the fastest decomposition rates while Eucalyptus had the slowest in both forested and agricultural sites. Shredder invertebrates were less abundant in agricultural streams, and in both "&amp;"stream types, they were less diverse and abundant than other functional groups. Overall, leaf litter decomposition rates did not respond to agricultural land-use. The hypothesized negative effects of agriculture on organic matter processing were minimal a"&amp;"nd likely modulated by intact riparian zones along agricultural streams.")</f>
        <v>Expansion of agriculture is particularly worrying in tropical regions of the world, where native forests have been replaced by croplands and grasslands, with severe consequences for biodiversity conservation and ecosystem functioning. However, limited data exist on the effects of agriculture on the functioning of tropical streams. We conducted a leaf litter decomposition experiment in coarse- and fine-mesh litterbags using the three species of leaves (Eucalyptus globulus [non-native], Vernonia myriantha, and Syzygium cordatum [indigenous]) in three forested and agricultural streams to determine the effect of agriculture on instream leaf litter decomposition in headwater stream sites. We also examined the functional composition of macroinvertebrates in the streams through the contents of benthic kick samples. Agricultural streams had a less dense riparian canopy and smaller abundance of coarse organic particulate matter, and higher electric conductivity and suspended solids than forested streams. In terms of the effects of litter quality on decomposition rates, Vernonia had the fastest decomposition rates while Eucalyptus had the slowest in both forested and agricultural sites. Shredder invertebrates were less abundant in agricultural streams, and in both stream types, they were less diverse and abundant than other functional groups. Overall, leaf litter decomposition rates did not respond to agricultural land-use. The hypothesized negative effects of agriculture on organic matter processing were minimal and likely modulated by intact riparian zones along agricultural streams.</v>
      </c>
      <c r="C1302" s="24" t="str">
        <f>IFERROR(__xludf.DUMMYFUNCTION("""COMPUTED_VALUE"""),"10.3389/fenvs.2021.794525")</f>
        <v>10.3389/fenvs.2021.794525</v>
      </c>
      <c r="D1302" s="24" t="str">
        <f>IFERROR(__xludf.DUMMYFUNCTION("""COMPUTED_VALUE"""),"Keck et al")</f>
        <v>Keck et al</v>
      </c>
      <c r="E1302" s="24" t="str">
        <f>IFERROR(__xludf.DUMMYFUNCTION("""COMPUTED_VALUE"""),"WOS:000732823000001")</f>
        <v>WOS:000732823000001</v>
      </c>
      <c r="F1302" s="24" t="str">
        <f>IFERROR(__xludf.DUMMYFUNCTION("""COMPUTED_VALUE"""),"[""ELIGIBLE""]")</f>
        <v>["ELIGIBLE"]</v>
      </c>
    </row>
    <row r="1303">
      <c r="A1303" s="24" t="str">
        <f>IFERROR(__xludf.DUMMYFUNCTION("""COMPUTED_VALUE"""),"Macroinvertebrate diversity loss in urban streams from tropical forests")</f>
        <v>Macroinvertebrate diversity loss in urban streams from tropical forests</v>
      </c>
      <c r="B1303" s="24" t="str">
        <f>IFERROR(__xludf.DUMMYFUNCTION("""COMPUTED_VALUE"""),"The increase of human activities in recent years has significantly interfered and affected aquatic ecosystems. In this present study, we investigate the effects of urbanization in the community structure of aquatic macroinvertebrates from Atlantic Forest "&amp;"streams. The sampling was conducted in the mountainous region of the State of Rio de Janeiro, Brazil in 10 urban and 10 preserved streams during the dry season (August September) of 2012. The streams were characterized for its environmental integrity cond"&amp;"itions and physico-chemical properties of water. The macroinvertebrates were sampled on rocky substrates with a kicknet. A total of 5370 individuals were collected from all streams and were distributed among Ephemeroptera, Odonata, PI ecoptera, Hemiptera,"&amp;" Megaloptera, Coleoptera, Trichoptera, Lepidoptera, and Diptera. In urban sites, all those orders were found, except Megaloptera, while only Mollusca was not found in preserved streams. We performed a non-metric multidimensional scaling (NMDS) analysis th"&amp;"at separated two groups distributed among sites in urban communities and another group outside this area. The dominance was significantly higher at urban sites, while the a diversity and equitability were greater in preserved sites. A canonical correspond"&amp;"ence analysis (CCA) was also performed, indicating that most taxa associated with high values of the Habitat Integrity Index (HII) and a few genus of the order Diptera with the high values of ammonia, total nitrogen, associated to streams in urban sites. "&amp;"Urban and preserved streams differ by physical-chemical variables and aquatic macro invertebrates. In urban streams, there is most dominance, while alpha diversity and equitability are higher in preserved streams.")</f>
        <v>The increase of human activities in recent years has significantly interfered and affected aquatic ecosystems. In this present study, we investigate the effects of urbanization in the community structure of aquatic macroinvertebrates from Atlantic Forest streams. The sampling was conducted in the mountainous region of the State of Rio de Janeiro, Brazil in 10 urban and 10 preserved streams during the dry season (August September) of 2012. The streams were characterized for its environmental integrity conditions and physico-chemical properties of water. The macroinvertebrates were sampled on rocky substrates with a kicknet. A total of 5370 individuals were collected from all streams and were distributed among Ephemeroptera, Odonata, PI ecoptera, Hemiptera, Megaloptera, Coleoptera, Trichoptera, Lepidoptera, and Diptera. In urban sites, all those orders were found, except Megaloptera, while only Mollusca was not found in preserved streams. We performed a non-metric multidimensional scaling (NMDS) analysis that separated two groups distributed among sites in urban communities and another group outside this area. The dominance was significantly higher at urban sites, while the a diversity and equitability were greater in preserved sites. A canonical correspondence analysis (CCA) was also performed, indicating that most taxa associated with high values of the Habitat Integrity Index (HII) and a few genus of the order Diptera with the high values of ammonia, total nitrogen, associated to streams in urban sites. Urban and preserved streams differ by physical-chemical variables and aquatic macro invertebrates. In urban streams, there is most dominance, while alpha diversity and equitability are higher in preserved streams.</v>
      </c>
      <c r="C1303" s="24" t="str">
        <f>IFERROR(__xludf.DUMMYFUNCTION("""COMPUTED_VALUE"""),"10.1007/s10661-016-5237-z")</f>
        <v>10.1007/s10661-016-5237-z</v>
      </c>
      <c r="D1303" s="24" t="str">
        <f>IFERROR(__xludf.DUMMYFUNCTION("""COMPUTED_VALUE"""),"Keck et al")</f>
        <v>Keck et al</v>
      </c>
      <c r="E1303" s="24" t="str">
        <f>IFERROR(__xludf.DUMMYFUNCTION("""COMPUTED_VALUE"""),"WOS:000372750100036")</f>
        <v>WOS:000372750100036</v>
      </c>
      <c r="F1303" s="24" t="str">
        <f>IFERROR(__xludf.DUMMYFUNCTION("""COMPUTED_VALUE"""),"[""ELIGIBLE""]")</f>
        <v>["ELIGIBLE"]</v>
      </c>
    </row>
    <row r="1304">
      <c r="A1304" s="24" t="str">
        <f>IFERROR(__xludf.DUMMYFUNCTION("""COMPUTED_VALUE"""),"Impact of the invasive seaweed Sargassum muticum (Phaeophyta) on an intertidal macroalgal assemblage")</f>
        <v>Impact of the invasive seaweed Sargassum muticum (Phaeophyta) on an intertidal macroalgal assemblage</v>
      </c>
      <c r="B1304" s="24" t="str">
        <f>IFERROR(__xludf.DUMMYFUNCTION("""COMPUTED_VALUE"""),"The impact of the invasive seaweed Sargassum muticum (Yendo) Fensholt on a low intertidal macroalgal assemblage was assessed at a semiexposed rocky shore in northern Spain between 2002 and 2004. Sargassum muticum plants were removed from the mature macroa"&amp;"lgal assemblage and from those occurring along the successional process of the assemblage. Biomass, richness, diversity, and percentage cover of macroalgae in experimental plots were compared with unmanipulated controls. The effect of S. muticum removal o"&amp;"n the macroalgal assemblage more than 2 years after the beginning of the experiment was negligible. Moreover, no differences between treatments were detected in the general patterns of succession. Only significant differences in S. muticum abundance were "&amp;"detected between treatments at the end of the experiment. We suggest that the low abundance of S. muticum at this intertidal level and its pseudoperennial life cycle may limit competition with native macroalgae. However, long-term removal experiments may "&amp;"be a more indicator of the impact of S. muticum at the upper limit of its vertical distribution.")</f>
        <v>The impact of the invasive seaweed Sargassum muticum (Yendo) Fensholt on a low intertidal macroalgal assemblage was assessed at a semiexposed rocky shore in northern Spain between 2002 and 2004. Sargassum muticum plants were removed from the mature macroalgal assemblage and from those occurring along the successional process of the assemblage. Biomass, richness, diversity, and percentage cover of macroalgae in experimental plots were compared with unmanipulated controls. The effect of S. muticum removal on the macroalgal assemblage more than 2 years after the beginning of the experiment was negligible. Moreover, no differences between treatments were detected in the general patterns of succession. Only significant differences in S. muticum abundance were detected between treatments at the end of the experiment. We suggest that the low abundance of S. muticum at this intertidal level and its pseudoperennial life cycle may limit competition with native macroalgae. However, long-term removal experiments may be a more indicator of the impact of S. muticum at the upper limit of its vertical distribution.</v>
      </c>
      <c r="C1304" s="24" t="str">
        <f>IFERROR(__xludf.DUMMYFUNCTION("""COMPUTED_VALUE"""),"10.1111/j.1529-8817.2005.00120.x")</f>
        <v>10.1111/j.1529-8817.2005.00120.x</v>
      </c>
      <c r="D1304" s="24" t="str">
        <f>IFERROR(__xludf.DUMMYFUNCTION("""COMPUTED_VALUE"""),"Keck et al")</f>
        <v>Keck et al</v>
      </c>
      <c r="E1304" s="24" t="str">
        <f>IFERROR(__xludf.DUMMYFUNCTION("""COMPUTED_VALUE"""),"WOS:000232050000002")</f>
        <v>WOS:000232050000002</v>
      </c>
      <c r="F1304" s="24" t="str">
        <f>IFERROR(__xludf.DUMMYFUNCTION("""COMPUTED_VALUE"""),"[""ELIGIBLE""]")</f>
        <v>["ELIGIBLE"]</v>
      </c>
    </row>
    <row r="1305">
      <c r="A1305" s="24" t="str">
        <f>IFERROR(__xludf.DUMMYFUNCTION("""COMPUTED_VALUE"""),"The effects of sewage-treatment-works effluent on epilithic bacterial and algal communities of three streams in Northern England")</f>
        <v>The effects of sewage-treatment-works effluent on epilithic bacterial and algal communities of three streams in Northern England</v>
      </c>
      <c r="B1305" s="24" t="str">
        <f>IFERROR(__xludf.DUMMYFUNCTION("""COMPUTED_VALUE"""),"The responses of epilithic bacterial and algal communities to sewage-treatment-works (STW) effluent were studied in three streams in North Yorkshire, England, using both conventional microbiological techniques and the techniques of molecular genomics. Cod"&amp;" Beck, Thornton Beck and the River Wiske, were visited in May-June 2000 and January 2001 and the epilithic communities on submerged stones were sampled to determine chlorophyll-a, leucine assimilation, bacterial abundance, identity and abundance of microa"&amp;"lgae, and epilithon dry and organic weights. Additionally, DNA from the epilithon of stones, collected in March-April and November 2000, was extracted, and samples were amplified using universal primers appropriate, respectively, for bacteria [Muyzer et a"&amp;"l., 1993. Applied and Environmental Microbiology 59: 695-700] and microscopic phototrophs [Nubel et al., 1997. Applied and Environmental Microbiology 63: 3327-3332] followed by DGGE (Denaturing Gradient Gel Electrophoresis). Differences in algal community"&amp;" composition and abundance were greater between streams than between sites upstream and downstream of the STW outfalls. DGGE banding profiles of bacterial communities revealed grouping according to stream, and not the formation of communities characterist"&amp;"ic of downstream sites; seasonal variation was also evident. Thus the discharge of STW effluent to the streams did not bring about the development of communities that are characteristically associated with organic pollution. Changes in composition and str"&amp;"ucture of bacterial and micro-algal epilithic communities were detected, but the relatively high quality effluents had only mild effects, not altering the environments sufficiently to override the natural differences between the three streams.")</f>
        <v>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v>
      </c>
      <c r="C1305" s="24" t="str">
        <f>IFERROR(__xludf.DUMMYFUNCTION("""COMPUTED_VALUE"""),"10.1007/s10750-006-0013-7")</f>
        <v>10.1007/s10750-006-0013-7</v>
      </c>
      <c r="D1305" s="24" t="str">
        <f>IFERROR(__xludf.DUMMYFUNCTION("""COMPUTED_VALUE"""),"Keck et al")</f>
        <v>Keck et al</v>
      </c>
      <c r="E1305" s="24" t="str">
        <f>IFERROR(__xludf.DUMMYFUNCTION("""COMPUTED_VALUE"""),"WOS:000239393800003")</f>
        <v>WOS:000239393800003</v>
      </c>
      <c r="F1305" s="24" t="str">
        <f>IFERROR(__xludf.DUMMYFUNCTION("""COMPUTED_VALUE"""),"[""ELIGIBLE""]")</f>
        <v>["ELIGIBLE"]</v>
      </c>
    </row>
    <row r="1306">
      <c r="A1306" s="24" t="str">
        <f>IFERROR(__xludf.DUMMYFUNCTION("""COMPUTED_VALUE"""),"Arid vegetation in disequilibrium with livestock grazing: Evidence from long-term exclosures")</f>
        <v>Arid vegetation in disequilibrium with livestock grazing: Evidence from long-term exclosures</v>
      </c>
      <c r="B1306" s="24" t="str">
        <f>IFERROR(__xludf.DUMMYFUNCTION("""COMPUTED_VALUE"""),"In recent decades, the conventional equilibrium paradigm for explaining rangeland vegetation dynamics has been challenged. Proponents of an alternative non-equilibrium paradigm argue that in variable rangeland environments, external climatic events are cr"&amp;"itical to vegetation dynamics and there is little opportunity for plantherbivore interactions to reach equilibrium. Understanding which paradigm more effectively describes an ecosystem has important consequences for management. In particular, some authors"&amp;" have argued that a focus on reducing stocking rates in non-equilibrium systems may be futile, and management should be opportunistic in response to unpredictable rainfall events. We measured herbaceous biomass and plant species richness and abundance at "&amp;"five 14-year exclosures on Innamincka Regional Reserve. Four were situated in the dunefields land system, and one on the Cooper Creek floodplain. We did not detect any significant differences between grazed and ungrazed treatments in total species richnes"&amp;"s or abundance, life form richness or abundance, or herbaceous biomass. Only one species, Portulaca oleracea, showed differences in abundance between treatments at more than one site, but the direction of these differences was not consistent. These result"&amp;"s suggest that the non-equilibrium paradigm more accurately describes vegetation dynamics in the dunefields and floodplains of north-eastern South Australia. It is possible that some species had been lost from the study area prior to the establishment of "&amp;"the exclosures, thereby precluding recovery with protection from grazing; however, a regional analysis of the flora reveals little evidence of this. We argue that the dominance of ephemeral species confers resilience by limiting the development of strong "&amp;"feedbacks between grazing intensity and vegetation dynamics. Current grazing practices seem consistent with the conservation of plant species diversity across the dunefields and floodplains. Future studies should focus on the impacts of cattle grazing on "&amp;"areas of the landscape dominated by palatable perennials, as well as the small number of rare and potentially grazing-sensitive species identified.")</f>
        <v>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v>
      </c>
      <c r="C1306" s="24" t="str">
        <f>IFERROR(__xludf.DUMMYFUNCTION("""COMPUTED_VALUE"""),"10.1111/j.1442-9993.2012.02374.x")</f>
        <v>10.1111/j.1442-9993.2012.02374.x</v>
      </c>
      <c r="D1306" s="24" t="str">
        <f>IFERROR(__xludf.DUMMYFUNCTION("""COMPUTED_VALUE"""),"Keck et al")</f>
        <v>Keck et al</v>
      </c>
      <c r="E1306" s="24" t="str">
        <f>IFERROR(__xludf.DUMMYFUNCTION("""COMPUTED_VALUE"""),"WOS:000313980500006")</f>
        <v>WOS:000313980500006</v>
      </c>
      <c r="F1306" s="24" t="str">
        <f>IFERROR(__xludf.DUMMYFUNCTION("""COMPUTED_VALUE"""),"[""ELIGIBLE""]")</f>
        <v>["ELIGIBLE"]</v>
      </c>
    </row>
    <row r="1307">
      <c r="A1307" s="24" t="str">
        <f>IFERROR(__xludf.DUMMYFUNCTION("""COMPUTED_VALUE"""),"Effect of nutrient enrichment on seagrass associated meiofauna in Tanzania")</f>
        <v>Effect of nutrient enrichment on seagrass associated meiofauna in Tanzania</v>
      </c>
      <c r="B1307" s="24" t="str">
        <f>IFERROR(__xludf.DUMMYFUNCTION("""COMPUTED_VALUE"""),"Abundance, diversity and community structure of meiofauna, with special emphasis on epiphytic harpacticoid copepods, occurring in Tanzanian seagrass beds under various nutrient inputs was determined. All measured parameters for epiphytic meiofauna and dia"&amp;"toms (fucoxanthin) were negatively affected by nutrient input and this was detected even at the higher taxonomic levels of meiofauna, supporting the validity of higher taxon surrogacy in environmental impact studies. However, benthic meiofauna and other b"&amp;"iofilm characteristics (chlorophyll a) did not show any difference between sites suggesting that nutrient enrichment had less impact on these variables. This indicates a differential impact of pollution on epiphytic vs. benthic communities. Consequently, "&amp;"different trophic levels will be impacted in various ways and hence the effects of pollution on the overall ecosystem functioning of seagrass beds are complex and not straightforward. Although the seagrass plants themselves don't show any major changes un"&amp;"der different nutrient input, associated organisms that guarantee energy flow at basal levels of the food web in this ecosystem can be largely impacted. (C) 2012 Elsevier Ltd. All rights reserved.")</f>
        <v>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v>
      </c>
      <c r="C1307" s="24" t="str">
        <f>IFERROR(__xludf.DUMMYFUNCTION("""COMPUTED_VALUE"""),"10.1016/j.marenvres.2012.09.005")</f>
        <v>10.1016/j.marenvres.2012.09.005</v>
      </c>
      <c r="D1307" s="24" t="str">
        <f>IFERROR(__xludf.DUMMYFUNCTION("""COMPUTED_VALUE"""),"Keck et al")</f>
        <v>Keck et al</v>
      </c>
      <c r="E1307" s="24" t="str">
        <f>IFERROR(__xludf.DUMMYFUNCTION("""COMPUTED_VALUE"""),"WOS:000311472900005")</f>
        <v>WOS:000311472900005</v>
      </c>
      <c r="F1307" s="24" t="str">
        <f>IFERROR(__xludf.DUMMYFUNCTION("""COMPUTED_VALUE"""),"[""ELIGIBLE""]")</f>
        <v>["ELIGIBLE"]</v>
      </c>
    </row>
    <row r="1308">
      <c r="A1308" s="24" t="str">
        <f>IFERROR(__xludf.DUMMYFUNCTION("""COMPUTED_VALUE"""),"Effect of the conversion of conventional pasture to intensive silvopastoral systems on edaphic bacterial and ammonia oxidizer communities in Colombia")</f>
        <v>Effect of the conversion of conventional pasture to intensive silvopastoral systems on edaphic bacterial and ammonia oxidizer communities in Colombia</v>
      </c>
      <c r="B1308" s="24" t="str">
        <f>IFERROR(__xludf.DUMMYFUNCTION("""COMPUTED_VALUE"""),"Colombia, as well as many tropical countries, has experienced severe deforestation in the last decades, and millions of acres of native forest areas (F) have been replaced by conventional monoculture pastures (CP), contributing to ecological and soil degr"&amp;"adation. In response, multi-canopy intensive silvopastoral systems (ISS), which includes herbs, shrubs and trees, have been developed to provide local fodder sources for livestock while reducing the need for external inputs with a goal to conserve landsca"&amp;"pes and improve soil quality. However, there is limited information on the temporal responsiveness of ISS to deliver ecosystem services as reflected in soil microbial properties. Therefore, the objective of this study was to examine the shifts of total an"&amp;"d ammonia-oxidizing bacteria (AOB) communities along an ISS chronosequence (ranging from 3 to 15 years since establishment), in comparison to CP and native F and investigate P. juliflora trees as a resource island relative to soil microbial properties. De"&amp;"naturing gradient gel electrophoresis (DGGE) fingerprints of 16S rRNA gene (total bacteria) as well as amoA gene (ammonia-oxidizing bacteria) (AOB) indicated that soil bacterial communities varied between the land uses, with higher similarities between F "&amp;"and ISS communities, in comparison to CP. The abundance and nitrification potential of ammonia oxidizers were significantly higher in CP and lower in F. In addition, the bacterial communities across ISS chronosequence were more similar between older (ISS-"&amp;"12) and intermediate (ISS-8) systems in comparison with youngest systems (ISS-3). Finally, the canopy of P. juliflora tree did not have an impact on structure of total bacterial community; though, it did have an effect on the structure of AOB communities."&amp;" Our study suggests that ISS might restore some of the ecosystem services offered by soil microbial communities. (C) 2015 Published by Elsevier Masson SAS.")</f>
        <v>Colombia, as well as many tropical countries, has experienced severe deforestation in the last decades, and millions of acres of native forest areas (F) have been replaced by conventional monoculture pastures (CP), contributing to ecological and soil degradation. In response, multi-canopy intensive silvopastoral systems (ISS), which includes herbs, shrubs and trees, have been developed to provide local fodder sources for livestock while reducing the need for external inputs with a goal to conserve landscapes and improve soil quality. However, there is limited information on the temporal responsiveness of ISS to deliver ecosystem services as reflected in soil microbial properties. Therefore, the objective of this study was to examine the shifts of total and ammonia-oxidizing bacteria (AOB) communities along an ISS chronosequence (ranging from 3 to 15 years since establishment), in comparison to CP and native F and investigate P. juliflora trees as a resource island relative to soil microbial properties. Denaturing gradient gel electrophoresis (DGGE) fingerprints of 16S rRNA gene (total bacteria) as well as amoA gene (ammonia-oxidizing bacteria) (AOB) indicated that soil bacterial communities varied between the land uses, with higher similarities between F and ISS communities, in comparison to CP. The abundance and nitrification potential of ammonia oxidizers were significantly higher in CP and lower in F. In addition, the bacterial communities across ISS chronosequence were more similar between older (ISS-12) and intermediate (ISS-8) systems in comparison with youngest systems (ISS-3). Finally, the canopy of P. juliflora tree did not have an impact on structure of total bacterial community; though, it did have an effect on the structure of AOB communities. Our study suggests that ISS might restore some of the ecosystem services offered by soil microbial communities. (C) 2015 Published by Elsevier Masson SAS.</v>
      </c>
      <c r="C1308" s="24" t="str">
        <f>IFERROR(__xludf.DUMMYFUNCTION("""COMPUTED_VALUE"""),"10.1016/j.ejsobi.2015.12.003")</f>
        <v>10.1016/j.ejsobi.2015.12.003</v>
      </c>
      <c r="D1308" s="24" t="str">
        <f>IFERROR(__xludf.DUMMYFUNCTION("""COMPUTED_VALUE"""),"Keck et al")</f>
        <v>Keck et al</v>
      </c>
      <c r="E1308" s="24" t="str">
        <f>IFERROR(__xludf.DUMMYFUNCTION("""COMPUTED_VALUE"""),"WOS:000368951200007")</f>
        <v>WOS:000368951200007</v>
      </c>
      <c r="F1308" s="24" t="str">
        <f>IFERROR(__xludf.DUMMYFUNCTION("""COMPUTED_VALUE"""),"[""ELIGIBLE""]")</f>
        <v>["ELIGIBLE"]</v>
      </c>
    </row>
    <row r="1309">
      <c r="A1309" s="24" t="str">
        <f>IFERROR(__xludf.DUMMYFUNCTION("""COMPUTED_VALUE"""),"Thallium shifts the bacterial and fungal community structures in thallium mine waste rocks")</f>
        <v>Thallium shifts the bacterial and fungal community structures in thallium mine waste rocks</v>
      </c>
      <c r="B1309" s="24" t="str">
        <f>IFERROR(__xludf.DUMMYFUNCTION("""COMPUTED_VALUE"""),"Thallium (TI) is a highly toxic metalloid and is considered a priority pollutant by the US Environmental Protection Agency (EPA). Currently, few studies have investigated the distribution patterns of bacterial and fungal microbiomes in TI-impacted environ"&amp;"ments. In this study, we used high-throughput sequencing to assess the bacterial and fungal profiles along a gradient of TI contents in TI mine waste rocks in southwestern China. Our results showed that TI had an important, but different influence on the "&amp;"bacterial and fungal diversity indices. Using linear regression analysis, we furtherly divided the dominant bacterial and fungal groups into three distinct microbial sub-communities thriving at high, moderate, and low levels of TI. Furthermore, our result"&amp;"s also showed that TI is also an important environmental variable that regulates the distribution patterns of ecological clusters and indicator genera. Interestingly, the microbial groups enriched in the samples with high TI levels were mainly involved in"&amp;" metal and nutrient cycling. Taken together, our results have provided useful information about the responses of bacterial and fungal groups to TI contamination. (C) 2020 Elsevier Ltd. All rights reserved.")</f>
        <v>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v>
      </c>
      <c r="C1309" s="24" t="str">
        <f>IFERROR(__xludf.DUMMYFUNCTION("""COMPUTED_VALUE"""),"10.1016/j.envpol.2020.115834")</f>
        <v>10.1016/j.envpol.2020.115834</v>
      </c>
      <c r="D1309" s="24" t="str">
        <f>IFERROR(__xludf.DUMMYFUNCTION("""COMPUTED_VALUE"""),"Keck et al")</f>
        <v>Keck et al</v>
      </c>
      <c r="E1309" s="24" t="str">
        <f>IFERROR(__xludf.DUMMYFUNCTION("""COMPUTED_VALUE"""),"WOS:000600553000112")</f>
        <v>WOS:000600553000112</v>
      </c>
      <c r="F1309" s="24" t="str">
        <f>IFERROR(__xludf.DUMMYFUNCTION("""COMPUTED_VALUE"""),"[""ELIGIBLE""]")</f>
        <v>["ELIGIBLE"]</v>
      </c>
    </row>
    <row r="1310">
      <c r="A1310" s="24" t="str">
        <f>IFERROR(__xludf.DUMMYFUNCTION("""COMPUTED_VALUE"""),"Evidence of protective effects on aquifer recharge from polluted tropical rivers: An analysis of hyporheic meiofauna and sediments")</f>
        <v>Evidence of protective effects on aquifer recharge from polluted tropical rivers: An analysis of hyporheic meiofauna and sediments</v>
      </c>
      <c r="B1310" s="24" t="str">
        <f>IFERROR(__xludf.DUMMYFUNCTION("""COMPUTED_VALUE"""),"Knowledge about the hyporheic zone is important to understand the pollutant attenuation processes that occur during the aquifer recharge, whether by natural or artificial means, for example, Bank Filtration. In this paper, the structure of the hyporheic m"&amp;"eiofauna and the influence of pollution, microphytobenthos and sedimentological parameters (grain size, organic matter and CaCO3 content) were studied at a periurban area of Beberibe River (Northeastern Brazil), the location of a riverbank filtration (RBF"&amp;") pilot project. PERMANOVA analysis indicated interactions between meiofauna community and the sampling sites, rainfall seasons, and depth. The release of untreated wastewater was the most influential factor for physical and biochemical features of the hy"&amp;"porheic zone, since the sampling sites with higher levels of elements related to eutrophication supported the highest levels of meiofauna abundance, fine sediments, organic matter, and CaCO3 content. It was verified that organic matter from domestic waste"&amp;"water in tropical streams can promote protective effects that favor the retention and biodegradation of pollutants in the hyporheic zone. The results reveal that, even in eutrophic rivers, there are factors that contribute to the processes of pollutant at"&amp;"tenuation in tropical hyporheic environments. The results demonstrate the potential for using RBF in communities without adequate sanitation, especially in developing countries.")</f>
        <v>Knowledge about the hyporheic zone is important to understand the pollutant attenuation processes that occur during the aquifer recharge, whether by natural or artificial means, for example, Bank Filtration. In this paper, the structure of the hyporheic meiofauna and the influence of pollution, microphytobenthos and sedimentological parameters (grain size, organic matter and CaCO3 content) were studied at a periurban area of Beberibe River (Northeastern Brazil), the location of a riverbank filtration (RBF) pilot project. PERMANOVA analysis indicated interactions between meiofauna community and the sampling sites, rainfall seasons, and depth. The release of untreated wastewater was the most influential factor for physical and biochemical features of the hyporheic zone, since the sampling sites with higher levels of elements related to eutrophication supported the highest levels of meiofauna abundance, fine sediments, organic matter, and CaCO3 content. It was verified that organic matter from domestic wastewater in tropical streams can promote protective effects that favor the retention and biodegradation of pollutants in the hyporheic zone. The results reveal that, even in eutrophic rivers, there are factors that contribute to the processes of pollutant attenuation in tropical hyporheic environments. The results demonstrate the potential for using RBF in communities without adequate sanitation, especially in developing countries.</v>
      </c>
      <c r="C1310" s="24" t="str">
        <f>IFERROR(__xludf.DUMMYFUNCTION("""COMPUTED_VALUE"""),"10.1002/rra.3906")</f>
        <v>10.1002/rra.3906</v>
      </c>
      <c r="D1310" s="24" t="str">
        <f>IFERROR(__xludf.DUMMYFUNCTION("""COMPUTED_VALUE"""),"Keck et al")</f>
        <v>Keck et al</v>
      </c>
      <c r="E1310" s="24" t="str">
        <f>IFERROR(__xludf.DUMMYFUNCTION("""COMPUTED_VALUE"""),"WOS:000723125900001")</f>
        <v>WOS:000723125900001</v>
      </c>
      <c r="F1310" s="24" t="str">
        <f>IFERROR(__xludf.DUMMYFUNCTION("""COMPUTED_VALUE"""),"[""ELIGIBLE""]")</f>
        <v>["ELIGIBLE"]</v>
      </c>
    </row>
    <row r="1311">
      <c r="A1311" s="24" t="str">
        <f>IFERROR(__xludf.DUMMYFUNCTION("""COMPUTED_VALUE"""),"Multi-stressor impacts on fungal diversity and ecosystem functions in streams: natural vs. anthropogenic stress")</f>
        <v>Multi-stressor impacts on fungal diversity and ecosystem functions in streams: natural vs. anthropogenic stress</v>
      </c>
      <c r="B1311" s="24" t="str">
        <f>IFERROR(__xludf.DUMMYFUNCTION("""COMPUTED_VALUE"""),"Biological assemblages are often subjected to multiple stressors emerging from both anthropogenic activities and naturally stressful conditions, and species' responses to simultaneous stressors may differ from those predicted based on the individual effec"&amp;"ts of each stressor alone. We studied the influence of land-use disturbance (forest drainage) on fungal decomposer assemblages and leaf decomposition rates in naturally harsh (low pH caused by black-shale dominated geology) vs. circumneutral streams. We u"&amp;"sed pyrosequencing to determine fungal richness and assemblage structure. Decomposition rates did not differ between circumneutral and naturally acidic reference sites. However, the effect of forest drainage on microbial decomposition was more pronounced "&amp;"in the naturally acidic streams than in circumneutral streams. Single-effect responses of fungal assemblages were mainly related to geology. Community similarity was significantly higher in the naturally acidic disturbed sites than in corresponding refere"&amp;"nce sites, suggesting that land-use disturbance simplifies fungal assemblages in naturally stressful conditions. Naturally acidic streams supported distinct fungal assemblages with many OTUs (operational taxonomic unit) unique to these streams. Our result"&amp;"s indicate that fungal assemblages in streams are sensitive to both structural and functional impairment in response to multiple stressors. Anthropogenic degradation of naturally acidic streams may decrease regional fungal diversity and impair ecosystem f"&amp;"unctions, and these globally occurring environments therefore deserve special attention in conservation planning.")</f>
        <v>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v>
      </c>
      <c r="C1311" s="24" t="str">
        <f>IFERROR(__xludf.DUMMYFUNCTION("""COMPUTED_VALUE"""),"10.1890/14-0743.1")</f>
        <v>10.1890/14-0743.1</v>
      </c>
      <c r="D1311" s="24" t="str">
        <f>IFERROR(__xludf.DUMMYFUNCTION("""COMPUTED_VALUE"""),"Keck et al")</f>
        <v>Keck et al</v>
      </c>
      <c r="E1311" s="24" t="str">
        <f>IFERROR(__xludf.DUMMYFUNCTION("""COMPUTED_VALUE"""),"WOS:000351275800008")</f>
        <v>WOS:000351275800008</v>
      </c>
      <c r="F1311" s="24" t="str">
        <f>IFERROR(__xludf.DUMMYFUNCTION("""COMPUTED_VALUE"""),"[""ELIGIBLE""]")</f>
        <v>["ELIGIBLE"]</v>
      </c>
    </row>
    <row r="1312">
      <c r="A1312" s="24" t="str">
        <f>IFERROR(__xludf.DUMMYFUNCTION("""COMPUTED_VALUE"""),"Zebrafish and water microbiome recovery after oxytetracycline exposure")</f>
        <v>Zebrafish and water microbiome recovery after oxytetracycline exposure</v>
      </c>
      <c r="B1312" s="24" t="str">
        <f>IFERROR(__xludf.DUMMYFUNCTION("""COMPUTED_VALUE"""),"Oxytetracycline (OTC) is a broad-spectrum antibiotic widely used in aquaculture, resulting in contamination of aquatic environments. In a previous study, we observed significant effects of OTC sublethal concentrations in zebrafish, its microbiome and the "&amp;"water bacterial community. Here we assessed the extent to which these effects are reversible after a recovery period. Zebrafish adults were exposed to OTC (10,000 mu g/L) via water exposure. Effects were analyzed at 5 days (5 dE) and 2 months (2 mE) of ex"&amp;"posure and recovery was assessed at 5 days (5dPE) and 1 month (1mPE) after exposure Impacts were observed in fish energetic reserves and in fish and water microbiomes structure, being significant even at 5 dE. At energetic reserves level, the effect in ce"&amp;"llular energy allocation (CEA) was dependent on the exposure time: initially CEA increased while after 2 mE CEA decreased. At microbiome level, diversity was not affected but the richness of the water microbiome significantly decreased at 2 mE. Regarding "&amp;"the post-exposure period, at CEA level, organisms seem to recover. In water and gut microbiomes OTC effects were also attenuated after exposure ceases, indicating a recovery. Even so, the structure of water exposed community remained significantly differe"&amp;"nt towards the control, while richness of this community significantly increased at 1mPE. During exposure the relative abundance of 11 and 16 genera was significantly affected in the gut and water microbiomes, respectively, though these numbers decreased "&amp;"to 4 and 8 genera in the post-exposure period. At functional level during exposure 12 and 13 pathways were predicted to be affected in zebrafish gut and water microbiomes respectively, while post-exposure few pathways remained significantly affected. Henc"&amp;"e, our results suggest a recovery of the fish fitness as well as of the water and intestine microbiomes after exposure ceases. Even so, some of the effects caused by OTC remain significant after this recovery period. (C) 2020 Elsevier Ltd. All rights rese"&amp;"rved.")</f>
        <v>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v>
      </c>
      <c r="C1312" s="24" t="str">
        <f>IFERROR(__xludf.DUMMYFUNCTION("""COMPUTED_VALUE"""),"10.1016/j.envpol.2020.116371")</f>
        <v>10.1016/j.envpol.2020.116371</v>
      </c>
      <c r="D1312" s="24" t="str">
        <f>IFERROR(__xludf.DUMMYFUNCTION("""COMPUTED_VALUE"""),"Keck et al")</f>
        <v>Keck et al</v>
      </c>
      <c r="E1312" s="24" t="str">
        <f>IFERROR(__xludf.DUMMYFUNCTION("""COMPUTED_VALUE"""),"WOS:000615555000098")</f>
        <v>WOS:000615555000098</v>
      </c>
      <c r="F1312" s="24" t="str">
        <f>IFERROR(__xludf.DUMMYFUNCTION("""COMPUTED_VALUE"""),"[""ELIGIBLE""]")</f>
        <v>["ELIGIBLE"]</v>
      </c>
    </row>
    <row r="1313">
      <c r="A1313" s="24" t="str">
        <f>IFERROR(__xludf.DUMMYFUNCTION("""COMPUTED_VALUE"""),"Adaptive shifts of bacterioplankton communities in response to nitrogen enrichment in a highly polluted river")</f>
        <v>Adaptive shifts of bacterioplankton communities in response to nitrogen enrichment in a highly polluted river</v>
      </c>
      <c r="B1313" s="24" t="str">
        <f>IFERROR(__xludf.DUMMYFUNCTION("""COMPUTED_VALUE"""),"Anthropogenic activity-mediated nutrient pollution, especially nitrogen enrichment, poses one of the major threats to river ecosystems. However, it remains unclear how and to which extent it affects aquatic microbial communities, especially in heavily pol"&amp;"luted rivers. In this study, a significant environmental gradient, particularly nitrogen gradient, was observed along a wastewater receiving river, the North Canal River (NCR). The pollution level was highest, moderate, and lowest in the up-, middle, and "&amp;"clown streams, respectively. The community composition of bacterioplankton transitioned from being Betaproteobacteria-dominated upstream to Gammaproteobacteria-dominated downstream. Copiotrophic groups, such as Polynucleobacter (Betaproteobacteria) and Hy"&amp;"drogenophaga (Betaproteobacteria), were dominant in the upstream. Multiple statistical analyses indicated that total nitrogen (TN) was the most important factor driving the adaptive shifts of community structure. Analyses of co-occurrence networks showed "&amp;"that the complexity of networks was disrupted in the up- and middle streams, while enhanced in the downstream. Our findings here suggested that microbial interactions were reduced in response to the aggravation of nutrient pollution. Similar to these chan"&amp;"ges, we observed significant dissimilarity of composition of functional groups, with highest abundance of nitrogen metabolism members under the highest level of nitrogen enrichment. Further analyses indicated that most of these functional groups belonged "&amp;"to Betaproteobacteria, suggesting the potential coupling of community composition and function diversity. In summary, adaptive shifts of bacterioplankton community composition, as well as species interactions, occurred in response to nutrient pollution in"&amp;" highly polluted water bodies. (C) 2018 Elsevier Ltd. All rights reserved.")</f>
        <v>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v>
      </c>
      <c r="C1313" s="24" t="str">
        <f>IFERROR(__xludf.DUMMYFUNCTION("""COMPUTED_VALUE"""),"10.1016/j.envpol.2018.11.002")</f>
        <v>10.1016/j.envpol.2018.11.002</v>
      </c>
      <c r="D1313" s="24" t="str">
        <f>IFERROR(__xludf.DUMMYFUNCTION("""COMPUTED_VALUE"""),"Keck et al")</f>
        <v>Keck et al</v>
      </c>
      <c r="E1313" s="24" t="str">
        <f>IFERROR(__xludf.DUMMYFUNCTION("""COMPUTED_VALUE"""),"WOS:000457511900031")</f>
        <v>WOS:000457511900031</v>
      </c>
      <c r="F1313" s="24" t="str">
        <f>IFERROR(__xludf.DUMMYFUNCTION("""COMPUTED_VALUE"""),"[""ELIGIBLE""]")</f>
        <v>["ELIGIBLE"]</v>
      </c>
    </row>
    <row r="1314">
      <c r="A1314" s="24" t="str">
        <f>IFERROR(__xludf.DUMMYFUNCTION("""COMPUTED_VALUE"""),"Non-indigenous marine macroalgae in native communities: a case study in the British Isles")</f>
        <v>Non-indigenous marine macroalgae in native communities: a case study in the British Isles</v>
      </c>
      <c r="B1314" s="24" t="str">
        <f>IFERROR(__xludf.DUMMYFUNCTION("""COMPUTED_VALUE"""),"It has traditionally been considered that areas with high natural species richness are likely to be more resistant to non-indigenous species than those with lower numbers of species. However, this theory has been the subject of a debate over the last deca"&amp;"de, since some studies have shown the opposite trend. In the present study, a macroalgal survey was carried out at 24 localities in Northern Ireland and southern England, using a quadrat approach in the lower littoral. The two opposing hypotheses were tes"&amp;"ted (negative versus positive relationship between native and non-indigenous species richness) in this marine environment. The effect of the presence of 'impacts', potential sources of disturbance and species introduction (e.g. marina, harbour or aquacult"&amp;"ure), was also tested. A positive relationship was found between the number of non-indigenous species and the native species richness at the three different scales tested (quadrats, sites and localities). At no scale did a richer native assemblage appear "&amp;"to restrict the establishment of introduced species. The analyses revealed greater species richness and different community composition, as well as more non-indigenous species, in southern England relative to Northern Ireland. The presence of the consider"&amp;"ed impacts had an effect on the community composition and species richness in southern England but not in Northern Ireland. Such impacts had no effect on the non-indigenous species richness in either area.")</f>
        <v>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v>
      </c>
      <c r="C1314" s="24" t="str">
        <f>IFERROR(__xludf.DUMMYFUNCTION("""COMPUTED_VALUE"""),"10.1017/S0025315408001409")</f>
        <v>10.1017/S0025315408001409</v>
      </c>
      <c r="D1314" s="24" t="str">
        <f>IFERROR(__xludf.DUMMYFUNCTION("""COMPUTED_VALUE"""),"Keck et al")</f>
        <v>Keck et al</v>
      </c>
      <c r="E1314" s="24" t="str">
        <f>IFERROR(__xludf.DUMMYFUNCTION("""COMPUTED_VALUE"""),"WOS:000257947000005")</f>
        <v>WOS:000257947000005</v>
      </c>
      <c r="F1314" s="24" t="str">
        <f>IFERROR(__xludf.DUMMYFUNCTION("""COMPUTED_VALUE"""),"[""ELIGIBLE""]")</f>
        <v>["ELIGIBLE"]</v>
      </c>
    </row>
    <row r="1315">
      <c r="A1315" s="24" t="str">
        <f>IFERROR(__xludf.DUMMYFUNCTION("""COMPUTED_VALUE"""),"Influence of riparian condition on aquatic macroinvertebrate communities in an agricultural catchment in south-eastern Australia")</f>
        <v>Influence of riparian condition on aquatic macroinvertebrate communities in an agricultural catchment in south-eastern Australia</v>
      </c>
      <c r="B1315" s="24" t="str">
        <f>IFERROR(__xludf.DUMMYFUNCTION("""COMPUTED_VALUE"""),"Riparian vegetation is known to affect aquatic macroinvertebrate communities through contributions of organic matter and shading. Despite the widespread degradation of riparian vegetation in Australia, there are relatively few studies examining the effect"&amp;" of changes in riparian vegetation on in-stream macroinvertebrate assemblages on individual catchments. In particular, information is lacking on the responses of macroinvertebrate communities in catchments dominated by agriculture, where farms that are ma"&amp;"naged at the paddock scale result in riparian vegetation condition varying over relatively short distances. In this study, macroinvertebrate assemblages were assessed from 12 reaches along a 25-km section of a small agricultural stream in south-eastern Au"&amp;"stralia. Riparian condition was assessed using in-stream coarse woody debris (CWD) levels and the rapid appraisal of riparian condition (RARC) index, a numerical system for categorising the health of riparian areas that incorporates sub-indices reflecting"&amp;" habitat continuity, vegetation cover, plant debris levels, native vegetation dominance, and other indicative features. There was a significant positive correlation between RARC scores and macroinvertebrate taxon richness (p &lt; 0.01), and also between CWD "&amp;"scores and macroinvertebrate taxon richness (p &lt; 0.05). In contrast, there was no significant correlation observed between riparian condition and the other macroinvertebrate indices (abundance, Shannon diversity, SIGNAL and SIGNAL2). Macroinvertebrate com"&amp;"munities were significantly different in stream reaches from different riparian condition categories (ANOSIM; p &lt; 0.05). Our results indicate that efforts to rehabilitate riparian vegetation may have a positive effect on in-stream biota even when implemen"&amp;"ted at a relatively small scale by individual landholders.")</f>
        <v>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v>
      </c>
      <c r="C1315" s="24" t="str">
        <f>IFERROR(__xludf.DUMMYFUNCTION("""COMPUTED_VALUE"""),"10.1007/s11284-010-0767-2")</f>
        <v>10.1007/s11284-010-0767-2</v>
      </c>
      <c r="D1315" s="24" t="str">
        <f>IFERROR(__xludf.DUMMYFUNCTION("""COMPUTED_VALUE"""),"Keck et al")</f>
        <v>Keck et al</v>
      </c>
      <c r="E1315" s="24" t="str">
        <f>IFERROR(__xludf.DUMMYFUNCTION("""COMPUTED_VALUE"""),"WOS:000286431900013")</f>
        <v>WOS:000286431900013</v>
      </c>
      <c r="F1315" s="24" t="str">
        <f>IFERROR(__xludf.DUMMYFUNCTION("""COMPUTED_VALUE"""),"[""ELIGIBLE""]")</f>
        <v>["ELIGIBLE"]</v>
      </c>
    </row>
    <row r="1316">
      <c r="A1316" s="24" t="str">
        <f>IFERROR(__xludf.DUMMYFUNCTION("""COMPUTED_VALUE"""),"Organic enrichment effects on a marine meiofauna community, with focus on Kinorhyncha")</f>
        <v>Organic enrichment effects on a marine meiofauna community, with focus on Kinorhyncha</v>
      </c>
      <c r="B1316" s="24" t="str">
        <f>IFERROR(__xludf.DUMMYFUNCTION("""COMPUTED_VALUE"""),"Within the framework of a programme aimed at monitoring the impact of fish farming on the marine biota, we have had the opportunity to study the effect of the organic enrichment caused by the fish farm on meiofauna abundances and Kinorhyncha communities' "&amp;"structure over two farming cycles. Up to now, studies on kinorhynchs have focussed mostly on the taxonomy, biogeography, and the ultrastructure, and, more recently, on the phylogenetic aspects of the taxon. Only few studies have dealt with the ecology of "&amp;"these creatures and studies focusing on the response of these animals to disturbances of anthropogenic origin are rare. The study took place in the Western Mediterranean and fauna was investigated based on three replicate cores collected from eight sites:"&amp;" one beneath the farm, four along a transect with increasing distances from the farm, and three control sites. Density data from beneath the cage and the three control sites was analysed within a beyond-B.A.C.I. (Before-After, Control-Impact) with asymmet"&amp;"rical sampling design, while a Before-After approach was used to analyse data from other sites. The latter approach was applied also to investigate the environmental variables from all the surveyed sites. Overall, 21 major meiofaunal groups were found in "&amp;"the area, with total densities ranging from 595 to 6818 ind/10 cm(2). We recorded a variation of the densities of several taxa after each cycle. In particular, we observed a significant increase of the total meiofauna and nematodes abundances, and a marke"&amp;"d decrease of kinorhynchs diversity and density at the sites beneath and near the farming 'Cage'. Conversely, kinorhynch density increased at sites far from the farm. Kinorhynchs were present with ten species, including a representative of the rare genus "&amp;"Condyloderes, and densities up to more than 245 ind./10 cm(2). Analyses indicate that kinorhynchs are particularly sensitive to sulfides. Accumulation of organic matter and high concentration of sulfides caused a marked reduction or even the disappearance"&amp;" of kinorhynchs. If confirmed by additional studies, the nematodes/kinorhynchs ratio could be used as simple and useful tool for the assessment of organic enrichment in marine environments, especially in muddy bottoms. (C) 2016 Elsevier GmbH. All rights r"&amp;"eserved.")</f>
        <v>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v>
      </c>
      <c r="C1316" s="24" t="str">
        <f>IFERROR(__xludf.DUMMYFUNCTION("""COMPUTED_VALUE"""),"10.1016/j.jcz.2016.03.013")</f>
        <v>10.1016/j.jcz.2016.03.013</v>
      </c>
      <c r="D1316" s="24" t="str">
        <f>IFERROR(__xludf.DUMMYFUNCTION("""COMPUTED_VALUE"""),"Keck et al")</f>
        <v>Keck et al</v>
      </c>
      <c r="E1316" s="24" t="str">
        <f>IFERROR(__xludf.DUMMYFUNCTION("""COMPUTED_VALUE"""),"WOS:000389109100009")</f>
        <v>WOS:000389109100009</v>
      </c>
      <c r="F1316" s="24" t="str">
        <f>IFERROR(__xludf.DUMMYFUNCTION("""COMPUTED_VALUE"""),"[""ELIGIBLE""]")</f>
        <v>["ELIGIBLE"]</v>
      </c>
    </row>
    <row r="1317">
      <c r="A1317" s="24" t="str">
        <f>IFERROR(__xludf.DUMMYFUNCTION("""COMPUTED_VALUE"""),"Microplastic Addition Alters the Microbial Community Structure and Stimulates Soil Carbon Dioxide Emissions in Vegetable-Growing Soil")</f>
        <v>Microplastic Addition Alters the Microbial Community Structure and Stimulates Soil Carbon Dioxide Emissions in Vegetable-Growing Soil</v>
      </c>
      <c r="B1317" s="24" t="str">
        <f>IFERROR(__xludf.DUMMYFUNCTION("""COMPUTED_VALUE"""),"Microplastic pollution has become an increasingly pervasive issue worldwide, but little is known about its effects on the soil environment. A soil microcosm experiment was conducted using low-density polyethylene microplastics to estimate the effect of mi"&amp;"croplastic pollution on soil nutrient cycling and the soil microbial community structure. The results showed that microplastic addition significantly promoted soil carbon dioxide emissions but not soil nitrous oxide emissions. Soil pH, dissolved organic c"&amp;"arbon, ammonia nitrogen, the contents of total phospholipid fatty acid (PLFA), and the ratios of gram-positive bacteria to gram-negative bacteria and saturated to monounsaturated PLFAs significantly increased. In addition, nitrate nitrogen and the ratios "&amp;"of fungi to bacteria, total iso-branched fatty acids to total anteiso-branched fatty acids, and cyclopropyl to precursor significantly decreased with increasing microplastic addition. The addition of microplastics decreased the abundance of ammonia oxidiz"&amp;"ing bacteria and nitrite reductase (nirS) but had little effect on the functional genes of ammonia oxidizing archaea, nitrite reductase (nirK), and nitrous oxide reductase. A principal coordinate analysis of the bacterial 16S ribosomal RNA gene and fungal"&amp;" internal transcribed spacer in the microplastic addition treatments revealed that the bacterial and fungal communities formed an obvious cluster. The average abundance of some microbial species with tolerance and degradability to microplastics, such as N"&amp;"ocardioidaceae, Amycolatopsis, Aeromicrobium, Cytophagaceae, Betaproteobacteria, Rhodoplanes, and Mortierella, in the microplastic addition treatments was significantly higher than that of the control treatment. The results suggested that microplastics ha"&amp;"ve obvious influences on microbial communities and may affect global carbon and nitrogen cycles. Environ Toxicol Chem 2020;00:1-14. (c) 2020 SETAC")</f>
        <v>Microplastic pollution has become an increasingly pervasive issue worldwide, but little is known about its effects on the soil environment. A soil microcosm experiment was conducted using low-density polyethylene microplastics to estimate the effect of microplastic pollution on soil nutrient cycling and the soil microbial community structure. The results showed that microplastic addition significantly promoted soil carbon dioxide emissions but not soil nitrous oxide emissions. Soil pH, dissolved organic carbon, ammonia nitrogen, the contents of total phospholipid fatty acid (PLFA), and the ratios of gram-positive bacteria to gram-negative bacteria and saturated to monounsaturated PLFAs significantly increased. In addition, nitrate nitrogen and the ratios of fungi to bacteria, total iso-branched fatty acids to total anteiso-branched fatty acids, and cyclopropyl to precursor significantly decreased with increasing microplastic addition. The addition of microplastics decreased the abundance of ammonia oxidizing bacteria and nitrite reductase (nirS) but had little effect on the functional genes of ammonia oxidizing archaea, nitrite reductase (nirK), and nitrous oxide reductase. A principal coordinate analysis of the bacterial 16S ribosomal RNA gene and fungal internal transcribed spacer in the microplastic addition treatments revealed that the bacterial and fungal communities formed an obvious cluster. The average abundance of some microbial species with tolerance and degradability to microplastics, such as Nocardioidaceae, Amycolatopsis, Aeromicrobium, Cytophagaceae, Betaproteobacteria, Rhodoplanes, and Mortierella, in the microplastic addition treatments was significantly higher than that of the control treatment. The results suggested that microplastics have obvious influences on microbial communities and may affect global carbon and nitrogen cycles. Environ Toxicol Chem 2020;00:1-14. (c) 2020 SETAC</v>
      </c>
      <c r="C1317" s="24" t="str">
        <f>IFERROR(__xludf.DUMMYFUNCTION("""COMPUTED_VALUE"""),"10.1002/etc.4916")</f>
        <v>10.1002/etc.4916</v>
      </c>
      <c r="D1317" s="24" t="str">
        <f>IFERROR(__xludf.DUMMYFUNCTION("""COMPUTED_VALUE"""),"Keck et al")</f>
        <v>Keck et al</v>
      </c>
      <c r="E1317" s="24" t="str">
        <f>IFERROR(__xludf.DUMMYFUNCTION("""COMPUTED_VALUE"""),"WOS:000598655000001")</f>
        <v>WOS:000598655000001</v>
      </c>
      <c r="F1317" s="24" t="str">
        <f>IFERROR(__xludf.DUMMYFUNCTION("""COMPUTED_VALUE"""),"[""ELIGIBLE""]")</f>
        <v>["ELIGIBLE"]</v>
      </c>
    </row>
    <row r="1318">
      <c r="A1318" s="24" t="str">
        <f>IFERROR(__xludf.DUMMYFUNCTION("""COMPUTED_VALUE"""),"Coleoptera assemblages of pine forests depends on the distance to the source of nitrogen pollution")</f>
        <v>Coleoptera assemblages of pine forests depends on the distance to the source of nitrogen pollution</v>
      </c>
      <c r="B1318" s="24" t="str">
        <f>IFERROR(__xludf.DUMMYFUNCTION("""COMPUTED_VALUE"""),"The paper analyzed the changes of beetle assemblages in the litter layer of eutrophic pine forests in the zone polluted by a nitrogen fertilizer plant Joint Stock Company Achema (Lithuania). We hypothesized that abundance, diversity and life traits of bee"&amp;"tle assemblages depend on the distance from the pollution source. The samples of the litter layer were taken from pine stands at the distances of 3, 5, 10 and 20 km from the plant. The PCA and GLM analyses were used to reduce the number of variables to th"&amp;"e main environmental gradient and assess the influence of environmental factors on beetle abundance, number of species, and life traits. The dependence of species number, abundance and the presence of forest and dendrophagous species on the distance from "&amp;"the plant was detected. A significant impact of organic carbon content, nitrogen emission and moss cover on other life traits of beetles was disclosed. The abundance of moss fraction in the litter layer was positively correlated with increasing distance f"&amp;"rom the plant. The ability to tolerate polluted sites by three species: Atheta fungi, Micrambe abietis and Brassicogethes aeneus, and intolerance of pollution by eight species: Bryaxis puncticollis, Quedius limbatus, Cyphon pubescens, Cephenium majus, Cyp"&amp;"hon padi, Cyphon variabilis, Gabrius appendiculatus and Philonthus cognatus, were detected by IndVal analysis. The distribution of litter species was affected by the distance from the plant and by the richness of moss cover.")</f>
        <v>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v>
      </c>
      <c r="C1318" s="24" t="str">
        <f>IFERROR(__xludf.DUMMYFUNCTION("""COMPUTED_VALUE"""),"10.1556/168.2016.17.2.11")</f>
        <v>10.1556/168.2016.17.2.11</v>
      </c>
      <c r="D1318" s="24" t="str">
        <f>IFERROR(__xludf.DUMMYFUNCTION("""COMPUTED_VALUE"""),"Keck et al")</f>
        <v>Keck et al</v>
      </c>
      <c r="E1318" s="24" t="str">
        <f>IFERROR(__xludf.DUMMYFUNCTION("""COMPUTED_VALUE"""),"WOS:000392008400011")</f>
        <v>WOS:000392008400011</v>
      </c>
      <c r="F1318" s="24" t="str">
        <f>IFERROR(__xludf.DUMMYFUNCTION("""COMPUTED_VALUE"""),"[""ELIGIBLE""]")</f>
        <v>["ELIGIBLE"]</v>
      </c>
    </row>
    <row r="1319">
      <c r="A1319" s="24" t="str">
        <f>IFERROR(__xludf.DUMMYFUNCTION("""COMPUTED_VALUE"""),"Community structure and nutrient level control the tolerance of autotrophic biofilm to silver contamination")</f>
        <v>Community structure and nutrient level control the tolerance of autotrophic biofilm to silver contamination</v>
      </c>
      <c r="B1319" s="24" t="str">
        <f>IFERROR(__xludf.DUMMYFUNCTION("""COMPUTED_VALUE"""),"Autotrophic biofilms are complex and fundamental biological compartments of many aquatic ecosystems. Since microbial species differ in their sensitivity to stressors, biofilms have long been proposed for assessing the quality of aquatic ecosystems. Among "&amp;"the many stressors impacting aquatic ecosystems, eutrophication and metal pollution are certainly the most common. Despite that these stressors often occur together, their effects on biofilms have been far much studied separately than interactively. In th"&amp;"is study, we evaluated the interactive effects of silver (Ag), a reemerging contaminant, and phosphorus (P), a nutrient often associated with freshwater eutrophication, on the structure and functioning of two types of autotrophic biofilms, one dominated b"&amp;"y diatoms and another one dominated by cyanobacteria. We hypothesized that P would alleviate the toxic effects of Ag, either directly, through the contribution of P in metal detoxification processes, or indirectly, through P-mediated shifts in biofilm com"&amp;"munity compositions and associated divergences in metal tolerance. Results showed that Ag impacted biofilm community structure and functioning but only at unrealistic concentrations (50 mu g/L). P availability led to significant shifts in biofilm communit"&amp;"y composition, these changes being more pronounced in diatom- than those in cyanobacteria-dominated biofilm. In addition, P tended to reduce the impact of Ag but only for the cyanobacteria-dominated biofilm. More generally, our results highlight the prepo"&amp;"nderant role of the initial community structure and nutrient level on biofilm response to metallic pollutants.")</f>
        <v>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v>
      </c>
      <c r="C1319" s="24" t="str">
        <f>IFERROR(__xludf.DUMMYFUNCTION("""COMPUTED_VALUE"""),"10.1007/s11356-014-3860-1")</f>
        <v>10.1007/s11356-014-3860-1</v>
      </c>
      <c r="D1319" s="24" t="str">
        <f>IFERROR(__xludf.DUMMYFUNCTION("""COMPUTED_VALUE"""),"Keck et al")</f>
        <v>Keck et al</v>
      </c>
      <c r="E1319" s="24" t="str">
        <f>IFERROR(__xludf.DUMMYFUNCTION("""COMPUTED_VALUE"""),"WOS:000360844200014")</f>
        <v>WOS:000360844200014</v>
      </c>
      <c r="F1319" s="24" t="str">
        <f>IFERROR(__xludf.DUMMYFUNCTION("""COMPUTED_VALUE"""),"[""ELIGIBLE""]")</f>
        <v>["ELIGIBLE"]</v>
      </c>
    </row>
    <row r="1320">
      <c r="A1320" s="24" t="str">
        <f>IFERROR(__xludf.DUMMYFUNCTION("""COMPUTED_VALUE"""),"Above and belowground community strategies respond to different global change drivers")</f>
        <v>Above and belowground community strategies respond to different global change drivers</v>
      </c>
      <c r="B1320" s="24" t="str">
        <f>IFERROR(__xludf.DUMMYFUNCTION("""COMPUTED_VALUE"""),"Environmental changes alter the diversity and structure of communities. By shifting the range of species traits that will be successful under new conditions, environmental drivers can also dramatically impact ecosystem functioning and resilience. Above an"&amp;"d belowground communities jointly regulate whole-ecosystem processes and responses to change, yet they are frequently studied separately. To determine whether these communities respond similarly to environmental changes, we measured taxonomic and trait-ba"&amp;"sed responses of plant and soil microbial communities to four years of experimental warming and nitrogen deposition in a temperate grassland. Plant diversity responded strongly to N addition, whereas soil microbial communities responded primarily to warmi"&amp;"ng, likely via an associated decrease in soil moisture. These above and belowground changes were associated with selection for more resource-conservative plant and microbe growth strategies, which reduced community functional diversity. Functional charact"&amp;"eristics of plant and soil microbial communities were weakly correlated (P = 0.07) under control conditions, but not when above or belowground communities were altered by either global change driver. These results highlight the potential for global change"&amp;" drivers operating simultaneously to have asynchronous impacts on above and belowground components of ecosystems. Assessment of a single ecosystem component may therefore greatly underestimate the whole-system impact of global environmental changes.")</f>
        <v>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v>
      </c>
      <c r="C1320" s="24" t="str">
        <f>IFERROR(__xludf.DUMMYFUNCTION("""COMPUTED_VALUE"""),"10.1038/s41598-019-39033-4")</f>
        <v>10.1038/s41598-019-39033-4</v>
      </c>
      <c r="D1320" s="24" t="str">
        <f>IFERROR(__xludf.DUMMYFUNCTION("""COMPUTED_VALUE"""),"Keck et al")</f>
        <v>Keck et al</v>
      </c>
      <c r="E1320" s="24" t="str">
        <f>IFERROR(__xludf.DUMMYFUNCTION("""COMPUTED_VALUE"""),"WOS:000459399400009")</f>
        <v>WOS:000459399400009</v>
      </c>
      <c r="F1320" s="24" t="str">
        <f>IFERROR(__xludf.DUMMYFUNCTION("""COMPUTED_VALUE"""),"[""ELIGIBLE""]")</f>
        <v>["ELIGIBLE"]</v>
      </c>
    </row>
    <row r="1321">
      <c r="A1321" s="24" t="str">
        <f>IFERROR(__xludf.DUMMYFUNCTION("""COMPUTED_VALUE"""),"Bioenergy vs biodiversity: effects of intensive forest biomass removal on stream and riparian communities")</f>
        <v>Bioenergy vs biodiversity: effects of intensive forest biomass removal on stream and riparian communities</v>
      </c>
      <c r="B1321" s="24" t="str">
        <f>IFERROR(__xludf.DUMMYFUNCTION("""COMPUTED_VALUE"""),"The removal of forest logging residues for bioenergy production is projected to increase by several orders of magnitudes in the near future. Little is known about the environmental consequences of this practice, however, especially in freshwater ecosystem"&amp;"s. Using data from 18 headwater streams in central Finland, we assessed the responses of four lotic (diatoms, bryophytes, dipterans and benthic macroinvertebrates) and two riparian (bryophytes and vascular plants) organism groups to logging residue remova"&amp;"l (LRR). The streams were divided in three groups: unharvested, conventional logging (no LRR) or LRR (both conventional logging and LRR). We hypothesized that conventional logging would result in intermediate biodiversity and environmental responses, with"&amp;" LRR showing the strongest effects. Contrary to our expectation, conventional logging elicited the strongest responses, whereas LRR had little additional impact when compared with conventional logging. This likely reflects a stricter adherence by the LRR "&amp;"operators to forest management guidelines. Our approach of comparing both conventional logging and LRR to unharvested sites yielded important insights that would have been missed otherwise. Rigorous monitoring using multiple taxonomic groups of both terre"&amp;"strial and freshwater origin is needed to detect the long-term effects of LRR activities.")</f>
        <v>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v>
      </c>
      <c r="C1321" s="24" t="str">
        <f>IFERROR(__xludf.DUMMYFUNCTION("""COMPUTED_VALUE"""),"10.1093/forestry/cpv008")</f>
        <v>10.1093/forestry/cpv008</v>
      </c>
      <c r="D1321" s="24" t="str">
        <f>IFERROR(__xludf.DUMMYFUNCTION("""COMPUTED_VALUE"""),"Keck et al")</f>
        <v>Keck et al</v>
      </c>
      <c r="E1321" s="24" t="str">
        <f>IFERROR(__xludf.DUMMYFUNCTION("""COMPUTED_VALUE"""),"WOS:000357521700009")</f>
        <v>WOS:000357521700009</v>
      </c>
      <c r="F1321" s="24" t="str">
        <f>IFERROR(__xludf.DUMMYFUNCTION("""COMPUTED_VALUE"""),"[""ELIGIBLE""]")</f>
        <v>["ELIGIBLE"]</v>
      </c>
    </row>
    <row r="1322">
      <c r="A1322" s="24" t="str">
        <f>IFERROR(__xludf.DUMMYFUNCTION("""COMPUTED_VALUE"""),"The Influence of Oyster Farming on Sediment Bacterial Communities")</f>
        <v>The Influence of Oyster Farming on Sediment Bacterial Communities</v>
      </c>
      <c r="B1322" s="24" t="str">
        <f>IFERROR(__xludf.DUMMYFUNCTION("""COMPUTED_VALUE"""),"Aquaculture currently provides half of all fish for human consumption, and this proportion is expected to increase to meet the growing global demand for protein. As aquaculture, including oyster farming, expands, it is increasingly important to understand"&amp;" effects on coastal ecosystems. The broad-scale ecological effects of oyster aquaculture are well documented; however, less is known regarding the influence of oyster aquaculture on sediment bacterial communities. To better understand this relationship, w"&amp;"e compared three different oyster farming practices that varied in oyster biomass and proximity of oysters to the sediment. We used high-throughput sequencing and quantitative polymerase chain reaction to examine the effect of oyster farming on sediment b"&amp;"acterial communities. We examined the entire bacterial community and looked specifically at bacteria that support essential estuarine ecosystem services (denitrifiers), as well as bacteria that can be detrimental to human health (members of the Vibrio gen"&amp;"us). We found that oyster biomass increased Vibrio richness and sediment carbon content, which influenced bacterial community composition. When compared to reference sites, the overall abundance of bacteria was increased by the bottom planting method, but"&amp;" the associated increases in denitrifiers and Vibrio were not significant. We were unable to detect V. parahaemolyticus, V. vulnificus, or V. cholera, the three most common Vibrio pathogens, in any sample, suggesting that oyster farming did not enhance th"&amp;"ese potential human pathogens in sediments at the time of sampling. These results highlight how differences in oyster farming practice can affect sediment bacterial communities, and the ecosystem services they provide.")</f>
        <v>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v>
      </c>
      <c r="C1322" s="24" t="str">
        <f>IFERROR(__xludf.DUMMYFUNCTION("""COMPUTED_VALUE"""),"10.1007/s12237-017-0301-7")</f>
        <v>10.1007/s12237-017-0301-7</v>
      </c>
      <c r="D1322" s="24" t="str">
        <f>IFERROR(__xludf.DUMMYFUNCTION("""COMPUTED_VALUE"""),"Keck et al")</f>
        <v>Keck et al</v>
      </c>
      <c r="E1322" s="24" t="str">
        <f>IFERROR(__xludf.DUMMYFUNCTION("""COMPUTED_VALUE"""),"WOS:000428847700013")</f>
        <v>WOS:000428847700013</v>
      </c>
      <c r="F1322" s="24" t="str">
        <f>IFERROR(__xludf.DUMMYFUNCTION("""COMPUTED_VALUE"""),"[""ELIGIBLE""]")</f>
        <v>["ELIGIBLE"]</v>
      </c>
    </row>
    <row r="1323">
      <c r="A1323" s="24" t="str">
        <f>IFERROR(__xludf.DUMMYFUNCTION("""COMPUTED_VALUE"""),"Spartina alterniflora raised soil sulfide content by regulating sulfur cycle-associated bacteria in the Jiuduansha Wetland of China")</f>
        <v>Spartina alterniflora raised soil sulfide content by regulating sulfur cycle-associated bacteria in the Jiuduansha Wetland of China</v>
      </c>
      <c r="B1323" s="24" t="str">
        <f>IFERROR(__xludf.DUMMYFUNCTION("""COMPUTED_VALUE"""),"Purpose The Spartina alterniflora invasion across the southeast coast in China significantly reduced vegetation diversity and generated associated ecological problems. Sulfur (S) is a vital nutrient, while sulfide is phytotoxic and the impact of S. altern"&amp;"iflora invasion on soil S cycle remains unclear. Therefore, this study aims to investigate the impacts of S. alterniflora invasion on the S cycle and associated soil microbial communities. Methods Both field investigation and lab-scale experiments were co"&amp;"nducted, analyzing soil sulfide and sulfate contents, soil properties over four seasons in the Jiuduansha Wetland of Shanghai, China, the high-throughput sequencing of soil microbial communities, S cycle-related functional genes and seed germination exper"&amp;"iments. Results The contents of sulfide, soil organic carbon (SOC), and total nitrogen (TN) in the bulk soil of S. alterniflora invaded area were higher than those in the native species S. mariqueter habitat and bare mudflat soils. Spartina alterniflora i"&amp;"nvasion increased the abundance of the Nitrospiraceae and Desulfarculaceae families and reduced that of Hydrogenophilaceae. The relative abundance of the SO42- reduction functional genes (dsrA + dsrB) in the soil was increased after S. alterniflora invasi"&amp;"on, while that of the S oxidation functional genes (yedZ + soxY) in the soil was reduced. Seed germination experiments with different sodium sulfide concentrations (Na2S) revealed that the phytotoxicity of sulfide caused more lethal damage to S. mariquete"&amp;"r than to S. alterniflora. Conclusion The S. alterniflora invasion significantly increased SOC and TN contents and reduced the abundance of sulfur-oxidizing functional genes, which led to the accumulation of soil sulfide.")</f>
        <v>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v>
      </c>
      <c r="C1323" s="24" t="str">
        <f>IFERROR(__xludf.DUMMYFUNCTION("""COMPUTED_VALUE"""),"10.1007/s11104-021-05154-x")</f>
        <v>10.1007/s11104-021-05154-x</v>
      </c>
      <c r="D1323" s="24" t="str">
        <f>IFERROR(__xludf.DUMMYFUNCTION("""COMPUTED_VALUE"""),"Keck et al")</f>
        <v>Keck et al</v>
      </c>
      <c r="E1323" s="24" t="str">
        <f>IFERROR(__xludf.DUMMYFUNCTION("""COMPUTED_VALUE"""),"WOS:000697072900001")</f>
        <v>WOS:000697072900001</v>
      </c>
      <c r="F1323" s="24" t="str">
        <f>IFERROR(__xludf.DUMMYFUNCTION("""COMPUTED_VALUE"""),"[""ELIGIBLE""]")</f>
        <v>["ELIGIBLE"]</v>
      </c>
    </row>
    <row r="1324">
      <c r="A1324" s="24" t="str">
        <f>IFERROR(__xludf.DUMMYFUNCTION("""COMPUTED_VALUE"""),"Simplification of seagrass food webs across a gradient of nutrient enrichment")</f>
        <v>Simplification of seagrass food webs across a gradient of nutrient enrichment</v>
      </c>
      <c r="B1324" s="24" t="str">
        <f>IFERROR(__xludf.DUMMYFUNCTION("""COMPUTED_VALUE"""),"Anthropogenic nutrient enrichment has resulted in significant changes in food web structure. Although such changes have been associated with the loss of diversity and ecosystem services, little empirical work has been done to study food webs of similar sy"&amp;"stems across a nutrient enrichment gradient. We examined 11 seagrass beds along a gradient of increasing delta N-15 of primary consumers, where delta N-15 is used as an indicator of sewage-derived nutrients. Observations across this gradient revealed corr"&amp;"esponding increases in consumer density and changes in distinct functional groups, whereas consumer diversity, seagrass canopy, and macrodetrital biomass decreased. However, maximum overall primary consumer diversity and minimum density occurred at interm"&amp;"ediate levels along the nutrient gradient. We hypothesize that higher species diversity at low to moderate levels of nutrient enrichment depends on the persistence of grazer-resistant seagrass. This seagrass canopy, and the significant macrodetritus it ge"&amp;"nerates, facilitates a variety of food and shelter resources. Overgrazed and simplified habitats may occur when densities of generalist urchins, capable of direct producer consumption, are no longer controlled through competition, predation, and intraguil"&amp;"d predation. We hypothesize that high and stable urchin populations appear possible with the increased availability of allochthonous phytoplankton and associated particulate detritus that is a well-known consequence of nutrient enrichment in aquatic syste"&amp;"ms.")</f>
        <v>Anthropogenic nutrient enrichment has resulted in significant changes in food web structure. Although such changes have been associated with the loss of diversity and ecosystem services, little empirical work has been done to study food webs of similar systems across a nutrient enrichment gradient. We examined 11 seagrass beds along a gradient of increasing delta N-15 of primary consumers, where delta N-15 is used as an indicator of sewage-derived nutrients. Observations across this gradient revealed corresponding increases in consumer density and changes in distinct functional groups, whereas consumer diversity, seagrass canopy, and macrodetrital biomass decreased. However, maximum overall primary consumer diversity and minimum density occurred at intermediate levels along the nutrient gradient. We hypothesize that higher species diversity at low to moderate levels of nutrient enrichment depends on the persistence of grazer-resistant seagrass. This seagrass canopy, and the significant macrodetritus it generates, facilitates a variety of food and shelter resources. Overgrazed and simplified habitats may occur when densities of generalist urchins, capable of direct producer consumption, are no longer controlled through competition, predation, and intraguild predation. We hypothesize that high and stable urchin populations appear possible with the increased availability of allochthonous phytoplankton and associated particulate detritus that is a well-known consequence of nutrient enrichment in aquatic systems.</v>
      </c>
      <c r="C1324" s="24" t="str">
        <f>IFERROR(__xludf.DUMMYFUNCTION("""COMPUTED_VALUE"""),"10.1139/F07-071")</f>
        <v>10.1139/F07-071</v>
      </c>
      <c r="D1324" s="24" t="str">
        <f>IFERROR(__xludf.DUMMYFUNCTION("""COMPUTED_VALUE"""),"Keck et al")</f>
        <v>Keck et al</v>
      </c>
      <c r="E1324" s="24" t="str">
        <f>IFERROR(__xludf.DUMMYFUNCTION("""COMPUTED_VALUE"""),"WOS:000249429200002")</f>
        <v>WOS:000249429200002</v>
      </c>
      <c r="F1324" s="24" t="str">
        <f>IFERROR(__xludf.DUMMYFUNCTION("""COMPUTED_VALUE"""),"[""ELIGIBLE""]")</f>
        <v>["ELIGIBLE"]</v>
      </c>
    </row>
    <row r="1325">
      <c r="A1325" s="24" t="str">
        <f>IFERROR(__xludf.DUMMYFUNCTION("""COMPUTED_VALUE"""),"Co-selection of antibiotic-resistant bacteria in a paddy soil exposed to As (III) contamination with an emphasis on potential pathogens")</f>
        <v>Co-selection of antibiotic-resistant bacteria in a paddy soil exposed to As (III) contamination with an emphasis on potential pathogens</v>
      </c>
      <c r="B1325" s="24" t="str">
        <f>IFERROR(__xludf.DUMMYFUNCTION("""COMPUTED_VALUE"""),"The increased acquisition of antibiotic resistance by pathogens is a global health concern. The environmental selection of antibiotic resistance can be caused by either antibiotic residues or co-selecting agents such as toxic metal(loid)s. This study expl"&amp;"ored the potential role of As(III) as a co-selecting driver in the spread of antibiotic resistance in paddy soils. By applying high-throughput sequencing, we found that the diversity and composition of soil microbial communities was significantly altered "&amp;"by As(III) exposure, resulting in an increased proportion of potential pathogens (9.9%) compared to the control soil (0.1%). Meanwhile, a total of 46 As(III)-resistant isolates were obtained from As(III)-exposure soil, among which potential pathogens acco"&amp;"unted for 54.3%. These As(III)-resistant bacteria showed a high incidence of resistance to sulfanilamide (100%) and streptomycin (88-93%). The association between antibiotic and As(III) resistances was further investigated in a potentially pathogenic isol"&amp;"ate by whole-genome sequencing and a transcription assay. The results showed that As(III) and antibiotic resistance genes might co-occur in a mobile genomic island and be co-regulated by As(III), implying that antibiotic resistance could be co-selected by"&amp;" As(III) via co-resistance and co-regulationmechanisms. Overall, these results suggest that As(III) exposure provides a strong selective pressure for the expansion of soil bacterial resistome. (C) 2020 Elsevier B.V. All rights reserved.")</f>
        <v>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v>
      </c>
      <c r="C1325" s="24" t="str">
        <f>IFERROR(__xludf.DUMMYFUNCTION("""COMPUTED_VALUE"""),"10.1016/j.scitotenv.2020.138367")</f>
        <v>10.1016/j.scitotenv.2020.138367</v>
      </c>
      <c r="D1325" s="24" t="str">
        <f>IFERROR(__xludf.DUMMYFUNCTION("""COMPUTED_VALUE"""),"Keck et al")</f>
        <v>Keck et al</v>
      </c>
      <c r="E1325" s="24" t="str">
        <f>IFERROR(__xludf.DUMMYFUNCTION("""COMPUTED_VALUE"""),"WOS:000537430800008")</f>
        <v>WOS:000537430800008</v>
      </c>
      <c r="F1325" s="24" t="str">
        <f>IFERROR(__xludf.DUMMYFUNCTION("""COMPUTED_VALUE"""),"[""ELIGIBLE""]")</f>
        <v>["ELIGIBLE"]</v>
      </c>
    </row>
    <row r="1326">
      <c r="A1326" s="24" t="str">
        <f>IFERROR(__xludf.DUMMYFUNCTION("""COMPUTED_VALUE"""),"Coral diversity across a disturbance gradient in the Pulau Seribu reef complex off Jakarta, Indonesia")</f>
        <v>Coral diversity across a disturbance gradient in the Pulau Seribu reef complex off Jakarta, Indonesia</v>
      </c>
      <c r="B1326" s="24" t="str">
        <f>IFERROR(__xludf.DUMMYFUNCTION("""COMPUTED_VALUE"""),"Very few coral reefs are located close enough to metropolitan cities to study the influence of large urban populations on reef communities. Here, we compare the impact of a large-scale disturbance gradient with local-scale disturbance on coral richness, c"&amp;"over, and composition in the Jakarta Bay and Pulau Seribu reef complex off Jakarta, Indonesia. We found no effect of local land-use type of coral reef islands on richness, composition or cover, nor did taxon richness differ among zones at the large-scale."&amp;" There was, however, a pronounced difference in composition and coral cover among zones. Cover was very low and composition differed markedly in the near-shore zone 1 (Jakarta Bay) where human-induced disturbance is most intense. Cover was highest in the "&amp;"outlying reefs of zone 3. The highly perturbed zone 1 reefs were, furthermore, distinguished by the virtual absence of otherwise abundant coral taxa such as Acropora hyacinthus and Porites rus and the prevalence of taxa such as Oulastrea crispata and Favi"&amp;"a maxima. Almost 60% of the spatial variation in composition was related to variation in shelf depth and island size. The importance of shelf depth was related to the prevalence of a strong environmental gradient in reef depth, pollution, and mechanical r"&amp;"eef disturbance and salinity from Jakarta Bay to the outlying reefs. Although there was a significant univariate relationship between spatial variation in composition and distance, this did not enter into the multivariate model, except when presence-absen"&amp;"ce data was used, indicating that environmental processes are the primary structuring forces in determining local coral assemblage composition across the Pulau Seribu complex.")</f>
        <v>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v>
      </c>
      <c r="C1326" s="24" t="str">
        <f>IFERROR(__xludf.DUMMYFUNCTION("""COMPUTED_VALUE"""),"10.1007/s10531-004-4692-y")</f>
        <v>10.1007/s10531-004-4692-y</v>
      </c>
      <c r="D1326" s="24" t="str">
        <f>IFERROR(__xludf.DUMMYFUNCTION("""COMPUTED_VALUE"""),"Keck et al")</f>
        <v>Keck et al</v>
      </c>
      <c r="E1326" s="24" t="str">
        <f>IFERROR(__xludf.DUMMYFUNCTION("""COMPUTED_VALUE"""),"WOS:000243321500019")</f>
        <v>WOS:000243321500019</v>
      </c>
      <c r="F1326" s="24" t="str">
        <f>IFERROR(__xludf.DUMMYFUNCTION("""COMPUTED_VALUE"""),"[""ELIGIBLE""]")</f>
        <v>["ELIGIBLE"]</v>
      </c>
    </row>
    <row r="1327">
      <c r="A1327" s="24" t="str">
        <f>IFERROR(__xludf.DUMMYFUNCTION("""COMPUTED_VALUE"""),"Effects of Oil-Palm Plantations on Diversity of Tropical Anurans")</f>
        <v>Effects of Oil-Palm Plantations on Diversity of Tropical Anurans</v>
      </c>
      <c r="B1327" s="24" t="str">
        <f>IFERROR(__xludf.DUMMYFUNCTION("""COMPUTED_VALUE"""),"Agriculturally altered vegetation, especially oil-palm plantations, is rapidly increasing in Southeast Asia. Low species diversity is associated with this commodity, but data on anuran diversity in oil-palm plantations are lacking. We investigated how anu"&amp;"ran biological diversity differs between forest and oil-palm plantation, and whether observed differences in biological diversity of these areas is linked to specific environmental factors. We hypothesized that biological diversity is lower in plantations"&amp;" and that plantations support a larger proportion of disturbance-tolerant species than forest. We compared species richness, abundance, and community composition between plantation and forest areas and between site types within plantation and forest (fore"&amp;"st stream vs. plantation stream, forest riparian vs. plantation riparian, forest terrestrial vs. plantation terrestrial). Not all measures of biological diversity differed between oil-palm plantations and secondary forest sites. Anuran community compositi"&amp;"on, however, differed greatly between forest and plantation, and communities of anurans in plantations contained species that prosper in disturbed areas. Although plantations supported large numbers of breeding anurans, we concluded the community consiste"&amp;"d of common species that were of little conservation concern (commonly found species include Fejervarya limnocharis, Microhyla heymonsi, and Hylarana erythrea). We believe that with a number of management interventions, oil-palm plantations can provide ha"&amp;"bitat for species that dwell in secondary forests.")</f>
        <v>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v>
      </c>
      <c r="C1327" s="24" t="str">
        <f>IFERROR(__xludf.DUMMYFUNCTION("""COMPUTED_VALUE"""),"10.1111/cobi.12062")</f>
        <v>10.1111/cobi.12062</v>
      </c>
      <c r="D1327" s="24" t="str">
        <f>IFERROR(__xludf.DUMMYFUNCTION("""COMPUTED_VALUE"""),"Keck et al")</f>
        <v>Keck et al</v>
      </c>
      <c r="E1327" s="24" t="str">
        <f>IFERROR(__xludf.DUMMYFUNCTION("""COMPUTED_VALUE"""),"WOS:000319399600022")</f>
        <v>WOS:000319399600022</v>
      </c>
      <c r="F1327" s="24" t="str">
        <f>IFERROR(__xludf.DUMMYFUNCTION("""COMPUTED_VALUE"""),"[""ELIGIBLE""]")</f>
        <v>["ELIGIBLE"]</v>
      </c>
    </row>
    <row r="1328">
      <c r="A1328" s="24" t="str">
        <f>IFERROR(__xludf.DUMMYFUNCTION("""COMPUTED_VALUE"""),"Intertidal assemblages associated with natural corallina turf and invasive mussel beds")</f>
        <v>Intertidal assemblages associated with natural corallina turf and invasive mussel beds</v>
      </c>
      <c r="B1328" s="24" t="str">
        <f>IFERROR(__xludf.DUMMYFUNCTION("""COMPUTED_VALUE"""),"There is considerable concern about conservation of biodiversity in highly disturbed and urbanized environments, although a very large proportion of biodiversity ( i. e. the small and cryptic invertebrates) have been little studied in this regard. Many bi"&amp;"ogenic structures ( e. g. coral reefs, mussel beds, foliose algae) provide habitat for a large number of small invertebrates. The features of these habitats to which these animals respond are complex and poorly documented. Invasive species are increasing "&amp;"in abundance and diversity in many disturbed estuaries, but most previous studies have concentrated on effects of invasive species on surrounding macroscopic assemblages. This study examines the assemblages of small invertebrates and algae living in natur"&amp;"al patches of coralline turf and in patches of the invasive mussel, Mytilus galloprovincialis, on seawalls in Sydney Harbour. Although most taxa identified were common to both habitats, they were generally more abundant in turf than in the mussels, especi"&amp;"ally the more widespread and numerous taxa. Few taxa were unique to either habitat and those were generally sparse and patchy. In addition, there were relatively more smaller animals in the algal turf than in the mussels, although it is not known whether "&amp;"these were juveniles of adults present in both habitats, or different species. These data show that coralline turf and mussel beds do not provide similar intertidal habitat for associated assemblages and that overgrowth of natural biota by mussels may hav"&amp;"e strong indirect effects on associated assemblages. These warrant further experimental investigation, so that the effects of invasive species on local biodiversity can be better understood and managed.")</f>
        <v>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v>
      </c>
      <c r="C1328" s="24" t="str">
        <f>IFERROR(__xludf.DUMMYFUNCTION("""COMPUTED_VALUE"""),"10.1007/s10531-004-0698-8")</f>
        <v>10.1007/s10531-004-0698-8</v>
      </c>
      <c r="D1328" s="24" t="str">
        <f>IFERROR(__xludf.DUMMYFUNCTION("""COMPUTED_VALUE"""),"Keck et al")</f>
        <v>Keck et al</v>
      </c>
      <c r="E1328" s="24" t="str">
        <f>IFERROR(__xludf.DUMMYFUNCTION("""COMPUTED_VALUE"""),"WOS:000229935300011")</f>
        <v>WOS:000229935300011</v>
      </c>
      <c r="F1328" s="24" t="str">
        <f>IFERROR(__xludf.DUMMYFUNCTION("""COMPUTED_VALUE"""),"[""ELIGIBLE""]")</f>
        <v>["ELIGIBLE"]</v>
      </c>
    </row>
    <row r="1329">
      <c r="A1329" s="24" t="str">
        <f>IFERROR(__xludf.DUMMYFUNCTION("""COMPUTED_VALUE"""),"Urban remnant size alters fungal functional groups dispersed by a digging mammal")</f>
        <v>Urban remnant size alters fungal functional groups dispersed by a digging mammal</v>
      </c>
      <c r="B1329" s="24" t="str">
        <f>IFERROR(__xludf.DUMMYFUNCTION("""COMPUTED_VALUE"""),"Digging animals perform many ecosystem functions, including soil turnover and vectoring fungi, particularly mycorrhizal fungi. However, these animals are also susceptible to the impacts of urbanisation, resulting in altered ecosystem processes. Some diggi"&amp;"ng mammals, such as the omnivorous quenda (Isoodon fusciventer), a medium-sized marsupial bandicoot endemic to southwestern Australia, persist in urban landscapes and may play important roles as fungal vectors. This paper examines the fungal community in "&amp;"quenda scats from natural vegetation remnants within a fragmented urban landscape to ask: are quenda acting as vectors for a functionally diverse fungal community?; what fungal functional types are being vectored?; and does remnant size impact fungal spec"&amp;"ies richness and composition vectored by quenda? We sequenced 53 scat samples collected from remnants and found that quenda disperse a functionally diverse fungal community, with 31% of the molecular operational taxonomic units (OTUs) putatively mycorrhiz"&amp;"al. Fungal OTU richness was greatest in scats from smaller remnants due to higher mean relative abundance of saprotrophs, pathogens and yeasts. Fungal OTU richness of ectomycorrhizal fungi, critical for plant growth, were found at a higher abundance in la"&amp;"rger remnants. Fungal composition was affected by remnant size, type and condition of vegetation, and soil type. Our results indicate that maintaining digging mammal populations within urban landscapes may assist with dispersal of fungi that facilitate fu"&amp;"ngal-plant interactions, contributing to ecosystem health. These results are important to understand the complex ecological implications of urbanisation, and how remaining mammals are critical in maintaining ecosystem processes within the urban land-use m"&amp;"atrix.")</f>
        <v>Digging animals perform many ecosystem functions, including soil turnover and vectoring fungi, particularly mycorrhizal fungi. However, these animals are also susceptible to the impacts of urbanisation, resulting in altered ecosystem processes. Some digging mammals, such as the omnivorous quenda (Isoodon fusciventer), a medium-sized marsupial bandicoot endemic to southwestern Australia, persist in urban landscapes and may play important roles as fungal vectors. This paper examines the fungal community in quenda scats from natural vegetation remnants within a fragmented urban landscape to ask: are quenda acting as vectors for a functionally diverse fungal community?; what fungal functional types are being vectored?; and does remnant size impact fungal species richness and composition vectored by quenda? We sequenced 53 scat samples collected from remnants and found that quenda disperse a functionally diverse fungal community, with 31% of the molecular operational taxonomic units (OTUs) putatively mycorrhizal. Fungal OTU richness was greatest in scats from smaller remnants due to higher mean relative abundance of saprotrophs, pathogens and yeasts. Fungal OTU richness of ectomycorrhizal fungi, critical for plant growth, were found at a higher abundance in larger remnants. Fungal composition was affected by remnant size, type and condition of vegetation, and soil type. Our results indicate that maintaining digging mammal populations within urban landscapes may assist with dispersal of fungi that facilitate fungal-plant interactions, contributing to ecosystem health. These results are important to understand the complex ecological implications of urbanisation, and how remaining mammals are critical in maintaining ecosystem processes within the urban land-use matrix.</v>
      </c>
      <c r="C1329" s="24" t="str">
        <f>IFERROR(__xludf.DUMMYFUNCTION("""COMPUTED_VALUE"""),"10.1007/s10531-021-02287-4")</f>
        <v>10.1007/s10531-021-02287-4</v>
      </c>
      <c r="D1329" s="24" t="str">
        <f>IFERROR(__xludf.DUMMYFUNCTION("""COMPUTED_VALUE"""),"Keck et al")</f>
        <v>Keck et al</v>
      </c>
      <c r="E1329" s="24" t="str">
        <f>IFERROR(__xludf.DUMMYFUNCTION("""COMPUTED_VALUE"""),"WOS:000701358300001")</f>
        <v>WOS:000701358300001</v>
      </c>
      <c r="F1329" s="24" t="str">
        <f>IFERROR(__xludf.DUMMYFUNCTION("""COMPUTED_VALUE"""),"[""ELIGIBLE""]")</f>
        <v>["ELIGIBLE"]</v>
      </c>
    </row>
    <row r="1330">
      <c r="A1330" s="24" t="str">
        <f>IFERROR(__xludf.DUMMYFUNCTION("""COMPUTED_VALUE"""),"Land use influences arbuscular mycorrhizal fungal communities in the farming-pastoral ecotone of northern China")</f>
        <v>Land use influences arbuscular mycorrhizal fungal communities in the farming-pastoral ecotone of northern China</v>
      </c>
      <c r="B1330" s="24" t="str">
        <f>IFERROR(__xludf.DUMMYFUNCTION("""COMPUTED_VALUE"""),"We performed a landscape-scale investigation to compare the arbuscular mycorrhizal fungal (AMF) communities between grasslands and farmlands in the farming-pastoral ecotone of northern China. AMF richness and community composition were examined with 454 p"&amp;"yrosequencing. Structural equation modelling (SEM) and multivariate analyses were applied to disentangle the direct and indirect effects (mediated by multiple environmental factors) of land use on AMF. Land use conversion from grassland to farmland signif"&amp;"icantly reduced AMF richness and extraradical hyphal length density, and these land use types also differed significantly in AMF community composition. SEM showed that the effects of land use on AMF richness and hyphal length density in soil were primaril"&amp;"y mediated by available phosphorus and soil structural quality. Soil texture was the strongest predictor of AMF community composition. Soil carbon, nitrogen and soil pH were also significantly correlated with AMF community composition, indicating that the"&amp;"se abiotic variables could be responsible for some of the community composition differences among sites. Our study shows that land use has a partly predictable effect on AMF communities across this ecologically relevant area of China, and indicates that h"&amp;"igh soil phosphorus concentrations and poor soil structure are particularly detrimental to AMF in this fragile ecosystem.")</f>
        <v>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v>
      </c>
      <c r="C1330" s="24" t="str">
        <f>IFERROR(__xludf.DUMMYFUNCTION("""COMPUTED_VALUE"""),"10.1111/nph.12961")</f>
        <v>10.1111/nph.12961</v>
      </c>
      <c r="D1330" s="24" t="str">
        <f>IFERROR(__xludf.DUMMYFUNCTION("""COMPUTED_VALUE"""),"Keck et al")</f>
        <v>Keck et al</v>
      </c>
      <c r="E1330" s="24" t="str">
        <f>IFERROR(__xludf.DUMMYFUNCTION("""COMPUTED_VALUE"""),"WOS:000344627200027")</f>
        <v>WOS:000344627200027</v>
      </c>
      <c r="F1330" s="24" t="str">
        <f>IFERROR(__xludf.DUMMYFUNCTION("""COMPUTED_VALUE"""),"[""ELIGIBLE""]")</f>
        <v>["ELIGIBLE"]</v>
      </c>
    </row>
    <row r="1331">
      <c r="A1331" s="24" t="str">
        <f>IFERROR(__xludf.DUMMYFUNCTION("""COMPUTED_VALUE"""),"Seasonality overrides differences in butterfly species composition between natural and anthropogenic forest habitats")</f>
        <v>Seasonality overrides differences in butterfly species composition between natural and anthropogenic forest habitats</v>
      </c>
      <c r="B1331" s="24" t="str">
        <f>IFERROR(__xludf.DUMMYFUNCTION("""COMPUTED_VALUE"""),"Anthropogenic disturbances that alter habitat structures can lead to strong changes in species composition. The importance of certain habitat features for structuring species composition, however, may be determined by the availability of resources that ca"&amp;"n seasonally fluctuate. The Kenyan Arabuko Sokoke coastal forest consists of three pristine forest types and provides various anthropogenic forest-like habitats, such as plantations and transition zones between forest and agricultural land. In parallel, t"&amp;"his region experiences pronounced climatic seasonality which causes differences in resource availability. To test for potential differences in butterfly communities between natural and anthropogenic forest habitats, and whether they vary seasonally, we as"&amp;"sessed butterfly species along transects in all five habitat types during the rainy and the consecutive dry season. We compiled ecological characteristics for each transect and for each butterfly species. We found highest species richness and abundances i"&amp;"n the three natural forest habitats during the rainy season. Our data show distinct species clusters for each habitat type during the rainy season. In contrast, butterfly species composition does not form distinct community groups during the dry season. D"&amp;"uring this time period, highest species richness and abundances are found in plantations. These temporal differences in species richness, abundance and species composition between the two seasons are assumed to be driven by limited nectar availability ins"&amp;"ide of the forest during the dry season. This situation might lead to increased mobility and the invasion of anthropogenic habitats, where nectar sources are still available during the dry season. Thus, plantations might represent a surrogate habitat for "&amp;"forest butterflies during their imaginal stage, but do not represent a suitable habitat providing all resources needed for successful larval development.")</f>
        <v>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v>
      </c>
      <c r="C1331" s="24" t="str">
        <f>IFERROR(__xludf.DUMMYFUNCTION("""COMPUTED_VALUE"""),"10.1111/acv.12408")</f>
        <v>10.1111/acv.12408</v>
      </c>
      <c r="D1331" s="24" t="str">
        <f>IFERROR(__xludf.DUMMYFUNCTION("""COMPUTED_VALUE"""),"Keck et al")</f>
        <v>Keck et al</v>
      </c>
      <c r="E1331" s="24" t="str">
        <f>IFERROR(__xludf.DUMMYFUNCTION("""COMPUTED_VALUE"""),"WOS:000452235300006")</f>
        <v>WOS:000452235300006</v>
      </c>
      <c r="F1331" s="24" t="str">
        <f>IFERROR(__xludf.DUMMYFUNCTION("""COMPUTED_VALUE"""),"[""ELIGIBLE""]")</f>
        <v>["ELIGIBLE"]</v>
      </c>
    </row>
    <row r="1332">
      <c r="A1332" s="24" t="str">
        <f>IFERROR(__xludf.DUMMYFUNCTION("""COMPUTED_VALUE"""),"Altered beta diversity in post-agricultural woodlands: two hypotheses and the role of scale")</f>
        <v>Altered beta diversity in post-agricultural woodlands: two hypotheses and the role of scale</v>
      </c>
      <c r="B1332" s="24" t="str">
        <f>IFERROR(__xludf.DUMMYFUNCTION("""COMPUTED_VALUE"""),"Agricultural land use commonly leaves a persistent signature on the ecosystems that develop after agricultural abandonment. This agricultural legacy limits the biodiversity supported by post-agricultural habitats compared to remnant habitats that have nev"&amp;"er been used for agriculture. In particular, beta diversity (variation in community composition across space) at both large and small spatial scales can differ between post-agricultural and remnant habitats, but we do not understand the mechanisms driving"&amp;" these differences. We surveyed plant communities at 29 pairs of post-agricultural and remnant longleaf pine woodlands (58 total woodlands) to test for patterns consistent with two hypothesized mechanisms for why post-agricultural ecosystems support alter"&amp;"ed beta diversity. 1) Post-agricultural sites support different levels of underlying environmental heterogeneity than remnants. 2) Establishment of species associated with remnant habitats into post- agricultural woodlands is limited by dispersal and/or e"&amp;"nvironmental conditions. We found no support for the environmental heterogeneity hypothesis and strong support for the idea that species establishment limits reassembling communities. Our results revealed a novel and important nuance to the establishment "&amp;"limitation hypothesis: spatially constrained, but not completely prevented, re-establishment of remnant-associated species in post-agricultural woodlands increased within-site beta diversity, contrary to results at larger among-site (landscape) scales. Ou"&amp;"r use of a powerful paired-site design permits these insights into how agriculture and abandonment affect beta diversity at two spatial scales, highlighting the prominent influence of edges even a half century after agricultural abandonment. The importanc"&amp;"e of constrained species establishment during ecosystem recovery, and its scale-dependent effect, could provide valuable guidance to enhance the utility of post-agricultural habitats for biodiversity conservation.")</f>
        <v>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v>
      </c>
      <c r="C1332" s="24" t="str">
        <f>IFERROR(__xludf.DUMMYFUNCTION("""COMPUTED_VALUE"""),"10.1111/ecog.01159")</f>
        <v>10.1111/ecog.01159</v>
      </c>
      <c r="D1332" s="24" t="str">
        <f>IFERROR(__xludf.DUMMYFUNCTION("""COMPUTED_VALUE"""),"Keck et al")</f>
        <v>Keck et al</v>
      </c>
      <c r="E1332" s="24" t="str">
        <f>IFERROR(__xludf.DUMMYFUNCTION("""COMPUTED_VALUE"""),"WOS:000355684500007")</f>
        <v>WOS:000355684500007</v>
      </c>
      <c r="F1332" s="24" t="str">
        <f>IFERROR(__xludf.DUMMYFUNCTION("""COMPUTED_VALUE"""),"[""ELIGIBLE""]")</f>
        <v>["ELIGIBLE"]</v>
      </c>
    </row>
    <row r="1333">
      <c r="A1333" s="24" t="str">
        <f>IFERROR(__xludf.DUMMYFUNCTION("""COMPUTED_VALUE"""),"Siliceous microfossil changes in impact and reference lakes in the uranium mining region of the Athabasca basin in northern Saskatchewan")</f>
        <v>Siliceous microfossil changes in impact and reference lakes in the uranium mining region of the Athabasca basin in northern Saskatchewan</v>
      </c>
      <c r="B1333" s="24" t="str">
        <f>IFERROR(__xludf.DUMMYFUNCTION("""COMPUTED_VALUE"""),"Uranium mining activities can lead to the release and accumulation of highly toxic elements into adjacent aquatic ecosystems resulting in potential impacts on the biota of the lakes. Lakes adjacent to uranium mines in the eastern margin of the Athabasca b"&amp;"asin in northern Saskatchewan were assessed for any detectable change in siliceous microfossils contemporaneous with documented metal enrichment. Analysis of similarities (ANOSIM) was used to determine if pre- and post-mining assemblages of five dated sed"&amp;"iment cores within 5 km of the mines were significantly different. These records were then compared to five sediment records from lakes 20 km west and northwest of the mining activities to assess any regional trends in variation in siliceous microfossils "&amp;"in the absence of mining activities in their watersheds. Significant changes in diatom species assemblages between pre- and post-mining samples were evident in three of the five lakes adjacent to mining, however, significant differences were also evident "&amp;"between pre- and post-mining time periods in all but one of the five reference lakes. Variability in the pre-mining diatom assemblages of both the reference and adjacent lakes indicates that any analyses of change must be lake specific. Benthic Fragilaria"&amp;"ceae were a common component of most lakes and were often identified through analysis of similarity percentages (SIMPER) as being amongst the highest contributors to the changes in the diatom composition, however, each lake also had other unique taxa chan"&amp;"ges contributing to the differences. The significant changes in specific diatom taxa from pre-mining to post-mining assemblages were not consistent across the impact lakes, nor were they consistent in the reference lakes. Teratological counts in the lakes"&amp;" adjacent to mining did not indicate any increases of deformed diatoms in the post-mining samples. The assessment of siliceous microfossil changes in the five lakes adjacent to mining operations with documented uranium enrichment, often accompanied by oth"&amp;"er elemental enrichments, suggests little influence on diatom assemblages can be linked to the uranium mining activities. This is supported by the significant changes also recorded in the siliceous component of the sediment record in the five reference si"&amp;"tes.")</f>
        <v>Uranium mining activities can lead to the release and accumulation of highly toxic elements into adjacent aquatic ecosystems resulting in potential impacts on the biota of the lakes. Lakes adjacent to uranium mines in the eastern margin of the Athabasca basin in northern Saskatchewan were assessed for any detectable change in siliceous microfossils contemporaneous with documented metal enrichment. Analysis of similarities (ANOSIM) was used to determine if pre- and post-mining assemblages of five dated sediment cores within 5 km of the mines were significantly different. These records were then compared to five sediment records from lakes 20 km west and northwest of the mining activities to assess any regional trends in variation in siliceous microfossils in the absence of mining activities in their watersheds. Significant changes in diatom species assemblages between pre- and post-mining samples were evident in three of the five lakes adjacent to mining, however, significant differences were also evident between pre- and post-mining time periods in all but one of the five reference lakes. Variability in the pre-mining diatom assemblages of both the reference and adjacent lakes indicates that any analyses of change must be lake specific. Benthic Fragilariaceae were a common component of most lakes and were often identified through analysis of similarity percentages (SIMPER) as being amongst the highest contributors to the changes in the diatom composition, however, each lake also had other unique taxa changes contributing to the differences. The significant changes in specific diatom taxa from pre-mining to post-mining assemblages were not consistent across the impact lakes, nor were they consistent in the reference lakes. Teratological counts in the lakes adjacent to mining did not indicate any increases of deformed diatoms in the post-mining samples. The assessment of siliceous microfossil changes in the five lakes adjacent to mining operations with documented uranium enrichment, often accompanied by other elemental enrichments, suggests little influence on diatom assemblages can be linked to the uranium mining activities. This is supported by the significant changes also recorded in the siliceous component of the sediment record in the five reference sites.</v>
      </c>
      <c r="C1333" s="24" t="str">
        <f>IFERROR(__xludf.DUMMYFUNCTION("""COMPUTED_VALUE"""),"10.1007/s10933-015-9828-4")</f>
        <v>10.1007/s10933-015-9828-4</v>
      </c>
      <c r="D1333" s="24" t="str">
        <f>IFERROR(__xludf.DUMMYFUNCTION("""COMPUTED_VALUE"""),"Keck et al")</f>
        <v>Keck et al</v>
      </c>
      <c r="E1333" s="24" t="str">
        <f>IFERROR(__xludf.DUMMYFUNCTION("""COMPUTED_VALUE"""),"WOS:000351294300002")</f>
        <v>WOS:000351294300002</v>
      </c>
      <c r="F1333" s="24" t="str">
        <f>IFERROR(__xludf.DUMMYFUNCTION("""COMPUTED_VALUE"""),"[""ELIGIBLE""]")</f>
        <v>["ELIGIBLE"]</v>
      </c>
    </row>
    <row r="1334">
      <c r="A1334" s="24" t="str">
        <f>IFERROR(__xludf.DUMMYFUNCTION("""COMPUTED_VALUE"""),"Assessing the Impact of Deforestation of the Atlantic Rainforest on Ant-Fruit Interactions: A Field Experiment Using Synthetic Fruits")</f>
        <v>Assessing the Impact of Deforestation of the Atlantic Rainforest on Ant-Fruit Interactions: A Field Experiment Using Synthetic Fruits</v>
      </c>
      <c r="B1334" s="24" t="str">
        <f>IFERROR(__xludf.DUMMYFUNCTION("""COMPUTED_VALUE"""),"Ants frequently interact with fleshy fruits on the ground of tropical forests. This interaction is regarded as mutualistic because seeds benefit from enhanced germination and dispersal to nutrient-rich microsites, whereas ants benefit from consuming the n"&amp;"utritious pulp/aril. Considering that the process of deforestation affects many attributes of the ecosystem such as species abundance and composition, and interspecific interactions, we asked whether the interaction between ants and fallen fleshy fruits i"&amp;"n the Brazilian Atlantic forest differs between human-created fragments and undisturbed forests. We controlled diaspore type and quantity by using synthetic fruits (a plastic 'seed' covered by a lipid-rich 'pulp'), which were comparable to lipid-rich frui"&amp;"ts. Eight independent areas (four undisturbed forests, and four disturbed forest fragments) were used in the field experiment, in which we recorded the attracted ant species, ant behaviour, and fruit removal distance. Fruits in undisturbed forest sites at"&amp;"tracted a higher number of species than those in disturbed forests. Moreover, the occurrence of large, fruit-carrying ponerine ants (Pachycondyla, Odontomachus; 1.1 to 1.4 cm) was higher in undisturbed forests. Large species (&gt;= 3 mm) of Pheidole (Myrmici"&amp;"nae), also able to remove fruits, did not differ between forest types. Following these changes in species occurrence, fruit displacement was more frequent in undisturbed than in disturbed forests. Moreover, displacement distances were also greater in the "&amp;"undisturbed forests. Our data suggest that fallen fleshy fruits interacting with ants face different fates depending on the conservation status of the forest. Together with the severe loss of their primary dispersers in human-disturbed tropical forest sit"&amp;"es, vertebrate-dispersed fruits may also be deprived of potential ant-derived benefits in these habitats due to shifts in the composition of interacting ant species. Our data illustrate the use of synthetic fruits to better understand the ecology of ant-f"&amp;"ruit interactions in variable ecological settings, including human-disturbed landscapes.")</f>
        <v>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v>
      </c>
      <c r="C1334" s="24" t="str">
        <f>IFERROR(__xludf.DUMMYFUNCTION("""COMPUTED_VALUE"""),"10.1371/journal.pone.0090369")</f>
        <v>10.1371/journal.pone.0090369</v>
      </c>
      <c r="D1334" s="24" t="str">
        <f>IFERROR(__xludf.DUMMYFUNCTION("""COMPUTED_VALUE"""),"Keck et al")</f>
        <v>Keck et al</v>
      </c>
      <c r="E1334" s="24" t="str">
        <f>IFERROR(__xludf.DUMMYFUNCTION("""COMPUTED_VALUE"""),"WOS:000332389000150")</f>
        <v>WOS:000332389000150</v>
      </c>
      <c r="F1334" s="24" t="str">
        <f>IFERROR(__xludf.DUMMYFUNCTION("""COMPUTED_VALUE"""),"[""ELIGIBLE""]")</f>
        <v>["ELIGIBLE"]</v>
      </c>
    </row>
    <row r="1335">
      <c r="A1335" s="24" t="str">
        <f>IFERROR(__xludf.DUMMYFUNCTION("""COMPUTED_VALUE"""),"Road Salts as Environmental Constraints in Urban Pond Food Webs")</f>
        <v>Road Salts as Environmental Constraints in Urban Pond Food Webs</v>
      </c>
      <c r="B1335" s="24" t="str">
        <f>IFERROR(__xludf.DUMMYFUNCTION("""COMPUTED_VALUE"""),"Freshwater salinization is an emerging environmental filter in urban aquatic ecosystems that receive chloride road salt runoff from vast expanses of impervious surface cover. Our study was designed to evaluate the effects of chloride contamination on urba"&amp;"n stormwater pond food webs through changes in zooplankton community composition as well as density and biomass of primary producers and consumers. From May - July 2009, we employed a 2x2x2 full-factorial design to manipulate chloride concentration (low ="&amp;" 177 mg L-1 Cl(-/)high = 1067 mg L-1 Cl-), gray treefrog (Hyla versicolor) tadpoles (presence/absence) and source of stormwater pond algae and zooplankton inoculum (low conductance/high conductance urban ponds) in 40, 600-L mesocosms. Road salt did serve "&amp;"as a constraint on zooplankton community structure, driving community divergence between the low and high chloride treatments. Phytoplankton biomass (chlorophyll[a]mu g L-1) in the mesocosms was significantly greater for the high conductance inoculum (P&lt;0"&amp;".001) and in the high chloride treatment (P = 0.046), whereas periphyton biomass was significantly lower in the high chloride treatment (P = 0.049). Gray treefrog tadpole time to metamorphosis did not vary significantly between treatments. However, mass a"&amp;"t metamorphosis was greater among tadpoles that experienced a faster than average time to metamorphosis and exposure to high chloride concentrations (P = 0.039). Our results indicate differential susceptibility to chloride salts among algal resources and "&amp;"zooplankton taxa, and further suggest that road salts can act as a significant environmental constraint on urban stormwater pond communities.")</f>
        <v>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v>
      </c>
      <c r="C1335" s="24" t="str">
        <f>IFERROR(__xludf.DUMMYFUNCTION("""COMPUTED_VALUE"""),"10.1371/journal.pone.0090168")</f>
        <v>10.1371/journal.pone.0090168</v>
      </c>
      <c r="D1335" s="24" t="str">
        <f>IFERROR(__xludf.DUMMYFUNCTION("""COMPUTED_VALUE"""),"Keck et al")</f>
        <v>Keck et al</v>
      </c>
      <c r="E1335" s="24" t="str">
        <f>IFERROR(__xludf.DUMMYFUNCTION("""COMPUTED_VALUE"""),"WOS:000332389000139")</f>
        <v>WOS:000332389000139</v>
      </c>
      <c r="F1335" s="24" t="str">
        <f>IFERROR(__xludf.DUMMYFUNCTION("""COMPUTED_VALUE"""),"[""ELIGIBLE""]")</f>
        <v>["ELIGIBLE"]</v>
      </c>
    </row>
    <row r="1336">
      <c r="A1336" s="24" t="str">
        <f>IFERROR(__xludf.DUMMYFUNCTION("""COMPUTED_VALUE"""),"Effects of Phragmites invasion on soil microbial activity and structure in a brackish marsh")</f>
        <v>Effects of Phragmites invasion on soil microbial activity and structure in a brackish marsh</v>
      </c>
      <c r="B1336" s="24" t="str">
        <f>IFERROR(__xludf.DUMMYFUNCTION("""COMPUTED_VALUE"""),"The spread of invasive plants in wetlands associated with human activity has become a serious environmental problem because of the negative effects of these species on biodiversity and biogeochemistry in ecosystems. Unlike their impacts on aboveground bio"&amp;"diversity, the responses of soil microbial communities and related soil characteristics to invasive plants are largely unknown. In this study, we assessed the structural and functional responses of soil microorganisms and belowground biogeochemistry to th"&amp;"e invasion of Phragemites australis, which has heavily invaded in wetland areas globally, in brackish marsh areas in Korea. We measured soil biogeochemical characteristics including extracellular enzyme activities and microbial community structure (t-RFLP"&amp;") in the marsh, both undisturbed and invaded areas over a year period. We found higher extracellular enzyme activity in invaded areas compared to the undisturbed region dominated by the native species Scirpus planiculmis, and this response was profound du"&amp;"ring the growing season. Fungal and bacterial community structure, analyzed by terminal-restriction fragment length polymorphism, indicated that invasion by Phragmites had little effect on these communities. However, significantly higher microbial diversi"&amp;"ty was found in intermediately invaded areas in which Scirpus and Phragmites were co-dominant. This result suggests that microbial diversity was affected by plant diversity, rather than invasion by or presence of a particular species. Our results suggest "&amp;"that physicochemical conditions related to dominant plant species alter microbial activity, while plant diversity is a more important regulator of microbial community structure and diversity.")</f>
        <v>The spread of invasive plants in wetlands associated with human activity has become a serious environmental problem because of the negative effects of these species on biodiversity and biogeochemistry in ecosystems. Unlike their impacts on aboveground biodiversity, the responses of soil microbial communities and related soil characteristics to invasive plants are largely unknown. In this study, we assessed the structural and functional responses of soil microorganisms and belowground biogeochemistry to the invasion of Phragemites australis, which has heavily invaded in wetland areas globally, in brackish marsh areas in Korea. We measured soil biogeochemical characteristics including extracellular enzyme activities and microbial community structure (t-RFLP) in the marsh, both undisturbed and invaded areas over a year period. We found higher extracellular enzyme activity in invaded areas compared to the undisturbed region dominated by the native species Scirpus planiculmis, and this response was profound during the growing season. Fungal and bacterial community structure, analyzed by terminal-restriction fragment length polymorphism, indicated that invasion by Phragmites had little effect on these communities. However, significantly higher microbial diversity was found in intermediately invaded areas in which Scirpus and Phragmites were co-dominant. This result suggests that microbial diversity was affected by plant diversity, rather than invasion by or presence of a particular species. Our results suggest that physicochemical conditions related to dominant plant species alter microbial activity, while plant diversity is a more important regulator of microbial community structure and diversity.</v>
      </c>
      <c r="C1336" s="24" t="str">
        <f>IFERROR(__xludf.DUMMYFUNCTION("""COMPUTED_VALUE"""),"10.1007/s11104-014-2339-7")</f>
        <v>10.1007/s11104-014-2339-7</v>
      </c>
      <c r="D1336" s="24" t="str">
        <f>IFERROR(__xludf.DUMMYFUNCTION("""COMPUTED_VALUE"""),"Keck et al")</f>
        <v>Keck et al</v>
      </c>
      <c r="E1336" s="24" t="str">
        <f>IFERROR(__xludf.DUMMYFUNCTION("""COMPUTED_VALUE"""),"WOS:000355152300005")</f>
        <v>WOS:000355152300005</v>
      </c>
      <c r="F1336" s="24" t="str">
        <f>IFERROR(__xludf.DUMMYFUNCTION("""COMPUTED_VALUE"""),"[""ELIGIBLE""]")</f>
        <v>["ELIGIBLE"]</v>
      </c>
    </row>
    <row r="1337">
      <c r="A1337" s="24" t="str">
        <f>IFERROR(__xludf.DUMMYFUNCTION("""COMPUTED_VALUE"""),"Effects of the MV Rena oil spill on intertidal rocky reefs in the Bay of Plenty, New Zealand")</f>
        <v>Effects of the MV Rena oil spill on intertidal rocky reefs in the Bay of Plenty, New Zealand</v>
      </c>
      <c r="B1337" s="24" t="str">
        <f>IFERROR(__xludf.DUMMYFUNCTION("""COMPUTED_VALUE"""),"In the weeks following the 2011 Rena oil spill, a series of surveys was initiated on eight rocky intertidal reefs to describe the distribution of oil and to assess the impacts of oil on ecological communities. Consistent but relatively low cover of oil oc"&amp;"curred at two sites (Mt Maunganui and Moturiki). The area covered by oil had decreased by c. 90% after 5 months due to natural weathering processes. There were immediate effects of oil fouling on the mussel Limnoperna pulex and its associated fauna, with "&amp;"reductions in the number of mussels and infaunal taxonomic richness. However, no ecological effects on any of the communities were detectable after 1 month. Overall, the ecological effects of the Rena oil spill on rocky shore intertidal communities were s"&amp;"mall and not long-lasting, but we stress that this does not consider potential sublethal effects and their consequences on organisms.")</f>
        <v>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v>
      </c>
      <c r="C1337" s="24" t="str">
        <f>IFERROR(__xludf.DUMMYFUNCTION("""COMPUTED_VALUE"""),"10.1080/00288330.2015.1031682")</f>
        <v>10.1080/00288330.2015.1031682</v>
      </c>
      <c r="D1337" s="24" t="str">
        <f>IFERROR(__xludf.DUMMYFUNCTION("""COMPUTED_VALUE"""),"Keck et al")</f>
        <v>Keck et al</v>
      </c>
      <c r="E1337" s="24" t="str">
        <f>IFERROR(__xludf.DUMMYFUNCTION("""COMPUTED_VALUE"""),"WOS:000375557200006")</f>
        <v>WOS:000375557200006</v>
      </c>
      <c r="F1337" s="24" t="str">
        <f>IFERROR(__xludf.DUMMYFUNCTION("""COMPUTED_VALUE"""),"[""ELIGIBLE""]")</f>
        <v>["ELIGIBLE"]</v>
      </c>
    </row>
    <row r="1338">
      <c r="A1338" s="24" t="str">
        <f>IFERROR(__xludf.DUMMYFUNCTION("""COMPUTED_VALUE"""),"Diverse effects of degree of urbanisation and forest size on species richness and functional diversity of plants, and ground surface-active ants and spiders")</f>
        <v>Diverse effects of degree of urbanisation and forest size on species richness and functional diversity of plants, and ground surface-active ants and spiders</v>
      </c>
      <c r="B1338" s="24" t="str">
        <f>IFERROR(__xludf.DUMMYFUNCTION("""COMPUTED_VALUE"""),"Urbanisation is increasing worldwide and is regarded a major driver of environmental change altering local species assemblages in urban green areas. Forests are one of the most frequent habitat types in urban landscapes harbouring many native species and "&amp;"providing important ecosystem services. By using a multi-taxa approach covering a range of trophic ranks, we examined the influence of degree of urbanisation and forest size on the species richness and functional diversity of plants, and ground surface-ac"&amp;"tive ants and spiders. We conducted field surveys in twenty-six forests in the urban region of Basel, Switzerland. We found that a species' response to urbanisation varied depending on trophic rank, habitat specificity and the diversity indices used. In p"&amp;"lants, species richness decreased with degree of urbanisation, whereas that of both arthropod groups was not affected. However, ants and spiders at higher trophic rank showed greater shifts in species composition with increasing degree of urbanisation, an"&amp;"d the percentage of forest specialists in both arthropod groups increased with forest size. Local abiotic site characteristics were also crucial for plant species diversity and species composition, while the structural diversity of both leaf litter and ve"&amp;"getation was important for the diversity of ants and spiders. Our results highlight that even small urban forests can harbour a considerable biodiversity including habitat specialists. Nonetheless, urbanisation directly and indirectly caused major shifts "&amp;"in species composition. Therefore, special consideration needs to be given to vulnerable species, including those with special habitat requirements. Locally adapted management practices could be a step forward to enhance habitat quality in a way to maximi"&amp;"ze diversity of forest species and thus ensure forest ecosystem functioning; albeit large-scale factors also remain important.")</f>
        <v>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v>
      </c>
      <c r="C1338" s="24" t="str">
        <f>IFERROR(__xludf.DUMMYFUNCTION("""COMPUTED_VALUE"""),"10.1371/journal.pone.e0199245")</f>
        <v>10.1371/journal.pone.e0199245</v>
      </c>
      <c r="D1338" s="24" t="str">
        <f>IFERROR(__xludf.DUMMYFUNCTION("""COMPUTED_VALUE"""),"Keck et al")</f>
        <v>Keck et al</v>
      </c>
      <c r="E1338" s="24" t="str">
        <f>IFERROR(__xludf.DUMMYFUNCTION("""COMPUTED_VALUE"""),"WOS:000435541300029")</f>
        <v>WOS:000435541300029</v>
      </c>
      <c r="F1338" s="24" t="str">
        <f>IFERROR(__xludf.DUMMYFUNCTION("""COMPUTED_VALUE"""),"[""ELIGIBLE""]")</f>
        <v>["ELIGIBLE"]</v>
      </c>
    </row>
    <row r="1339">
      <c r="A1339" s="24" t="str">
        <f>IFERROR(__xludf.DUMMYFUNCTION("""COMPUTED_VALUE"""),"Mussel-farming effects on Mediterranean benthic nematode communities")</f>
        <v>Mussel-farming effects on Mediterranean benthic nematode communities</v>
      </c>
      <c r="B1339" s="24" t="str">
        <f>IFERROR(__xludf.DUMMYFUNCTION("""COMPUTED_VALUE"""),"Mussel aquaculture activities in coastal areas are growing rapidly throughout the world, inducing an increasing interest and concern for their potential impact on coastal marine environments. We have investigated the impact of organic loads due to the bio"&amp;"deposition of a mussel farm in a lagoonar ecosystem of the Mediterranean Sea (Bizerta lagoon, northern Tunisia) on the benthic environment. The most evident changes in the benthic habitat under the farm were a strong reduction of oxygen penetration into t"&amp;"he bottom sediments and a large accumulation of chlorophyll a (concentrations up to 16 mu g g(-1)), phaeopigments (concentrations up to 48 mu g g(-1)) and total organic matter (concentrations up to 12%). Results from univariate analysis of the nematofauna"&amp;"l data show that the nematode abundance increased in all the stations located inside the mussel farm (11, 12, 13) and the site 12, located in the centre of the mussel farm, was the most affected. At this site, Shannon-Wiener index H', species richness (d)"&amp;", evenness (J') and number of species (S) decreased significantly. Results from multivariate analyses of the species abundance data demonstrated that responses of nematode species to the organic matter enrichment were varied: Mesacanthion diplechma was el"&amp;"iminated at the most affected station (12), whereas the abundances of Paracomesoma dubium, Terschellingia longicaudata and T. communis were significantly enhanced. Responses of free-living nematodes to mussel farm biodeposition (elimination of some specie"&amp;"s and increase or decrease of some others) could lead to food limitation for their predators that, ultimately, could alter entire communities and ecosystems. Consequently, we suggest that site-specific hydrodynamic and biogeochemical conditions should be "&amp;"taken into account when planning new mussel farms, and meiobenthic communities should be monitored before and after farm development to prevent excessive modifications of benthic assemblage structure.")</f>
        <v>Mussel aquaculture activities in coastal areas are growing rapidly throughout the world, inducing an increasing interest and concern for their potential impact on coastal marine environments. We have investigated the impact of organic loads due to the biodeposition of a mussel farm in a lagoonar ecosystem of the Mediterranean Sea (Bizerta lagoon, northern Tunisia) on the benthic environment. The most evident changes in the benthic habitat under the farm were a strong reduction of oxygen penetration into the bottom sediments and a large accumulation of chlorophyll a (concentrations up to 16 mu g g(-1)), phaeopigments (concentrations up to 48 mu g g(-1)) and total organic matter (concentrations up to 12%). Results from univariate analysis of the nematofaunal data show that the nematode abundance increased in all the stations located inside the mussel farm (11, 12, 13) and the site 12, located in the centre of the mussel farm, was the most affected. At this site, Shannon-Wiener index H', species richness (d), evenness (J') and number of species (S) decreased significantly. Results from multivariate analyses of the species abundance data demonstrated that responses of nematode species to the organic matter enrichment were varied: Mesacanthion diplechma was eliminated at the most affected station (12), whereas the abundances of Paracomesoma dubium, Terschellingia longicaudata and T. communis were significantly enhanced. Responses of free-living nematodes to mussel farm biodeposition (elimination of some species and increase or decrease of some others) could lead to food limitation for their predators that, ultimately, could alter entire communities and ecosystems. Consequently, we suggest that site-specific hydrodynamic and biogeochemical conditions should be taken into account when planning new mussel farms, and meiobenthic communities should be monitored before and after farm development to prevent excessive modifications of benthic assemblage structure.</v>
      </c>
      <c r="C1339" s="24" t="str">
        <f>IFERROR(__xludf.DUMMYFUNCTION("""COMPUTED_VALUE"""),"10.1163/156854108783900285")</f>
        <v>10.1163/156854108783900285</v>
      </c>
      <c r="D1339" s="24" t="str">
        <f>IFERROR(__xludf.DUMMYFUNCTION("""COMPUTED_VALUE"""),"Keck et al")</f>
        <v>Keck et al</v>
      </c>
      <c r="E1339" s="24" t="str">
        <f>IFERROR(__xludf.DUMMYFUNCTION("""COMPUTED_VALUE"""),"WOS:000255341000003")</f>
        <v>WOS:000255341000003</v>
      </c>
      <c r="F1339" s="24" t="str">
        <f>IFERROR(__xludf.DUMMYFUNCTION("""COMPUTED_VALUE"""),"[""ELIGIBLE""]")</f>
        <v>["ELIGIBLE"]</v>
      </c>
    </row>
    <row r="1340">
      <c r="A1340" s="24" t="str">
        <f>IFERROR(__xludf.DUMMYFUNCTION("""COMPUTED_VALUE"""),"Patterns of taxonomic and functional diversity of dung beetles in a human-modified variegated landscape in Brazilian Cerrado")</f>
        <v>Patterns of taxonomic and functional diversity of dung beetles in a human-modified variegated landscape in Brazilian Cerrado</v>
      </c>
      <c r="B1340" s="24" t="str">
        <f>IFERROR(__xludf.DUMMYFUNCTION("""COMPUTED_VALUE"""),"The Brazilian Cerrado harbors great floristic and structural diversity composed of a mosaic of natural vegetation types and anthropogenic environments such as introduced pastures. Here, our goal was to evaluate the patterns of taxonomic and functional div"&amp;"ersity of dung beetles in a human-modified landscape in Brazilian Cerrado. For this, we evaluated the species richness, species composition and abundance (non-weighted by abundance) and species diversity (Shannon indexweighted by abundance) and three func"&amp;"tional indexes (functional richness, functional evenness and functional dispersion). We collected the insects in fragments of Cerrado (Cerrado stricto sensu), riparian forests under pressure of timber removal and livestock and exotic pastures (Urochloa sp"&amp;"p.) in Anastacio and Aquidauana, Mato Grosso do Sul, Brazil. We used pitfall traps baited with human feces and fresh capybara dung, a large native rodent, as a representative of the mammal regional fauna. Dung beetle richness was higher in Cerrado fragmen"&amp;"ts, while the abundance was higher in exotic pastures and riparian forests. Species composition differed among vegetation types. Finally, the species diversity and functional diversity did not differ among vegetation types. Thus, we demonstrated the infor"&amp;"mation generated by conceptually similar indexes (e.g. functional richness, species richness and species diversity) may not provide similar information on dung beetles responses to disturbance due to differences in the weighting on species abundance. Fina"&amp;"lly, the use of taxonomic and functional metrics generate complementary information that can helps us to reach more efficient conclusions in terms of biodiversity conservation and ecosystem functionality in human-modified variegated landscape.")</f>
        <v>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v>
      </c>
      <c r="C1340" s="24" t="str">
        <f>IFERROR(__xludf.DUMMYFUNCTION("""COMPUTED_VALUE"""),"10.1007/s10841-018-00118-6")</f>
        <v>10.1007/s10841-018-00118-6</v>
      </c>
      <c r="D1340" s="24" t="str">
        <f>IFERROR(__xludf.DUMMYFUNCTION("""COMPUTED_VALUE"""),"Keck et al")</f>
        <v>Keck et al</v>
      </c>
      <c r="E1340" s="24" t="str">
        <f>IFERROR(__xludf.DUMMYFUNCTION("""COMPUTED_VALUE"""),"WOS:000460143000007")</f>
        <v>WOS:000460143000007</v>
      </c>
      <c r="F1340" s="24" t="str">
        <f>IFERROR(__xludf.DUMMYFUNCTION("""COMPUTED_VALUE"""),"[""ELIGIBLE""]")</f>
        <v>["ELIGIBLE"]</v>
      </c>
    </row>
    <row r="1341">
      <c r="A1341" s="24" t="str">
        <f>IFERROR(__xludf.DUMMYFUNCTION("""COMPUTED_VALUE"""),"Impact of urban land use on the bacterial phyllosphere of ivy (Hedera sp.)")</f>
        <v>Impact of urban land use on the bacterial phyllosphere of ivy (Hedera sp.)</v>
      </c>
      <c r="B1341" s="24" t="str">
        <f>IFERROR(__xludf.DUMMYFUNCTION("""COMPUTED_VALUE"""),"The surface of the aerial parts of the plant, also termed the phyllosphere, is a selective habitat for microbes. The bacterial composition of the phyllosphere depends on host plant species, leaf characteristics, season, climate, and geographic location of"&amp;" the host plant. In this study, we investigated the effect of an urban environment on the bacterial composition of phyllosphere communities. We performed a passive biomonitoring experiment in which leaves were sampled from ivy (Hedera sp.), a common everg"&amp;"reen climber species, in urban and non-urban locations. Exposure to traffic-generated particulate matter was estimated using leaf biomagnetic analyses. The bacterial community composition was determined using 16S rRNA gene sequencing on the Illumina MiSeq"&amp;". The phyllosphere microbial communities of ivy differed greatly between urban and non-urban locations, as we observed a shift in several of the dominant taxa: Beijerinckia and Methylocystaceae were most abundant in the non-urban phyllosphere, whereas Hym"&amp;"enobacter and Sphingomonadaceae were dominating the urban ivy phyllosphere. The richness, diversity and composition of the communities showed greater variability in the urban than in the non-urban locations, where traffic-generated PM was lower. Interesti"&amp;"ngly, the relative abundances of eight of the ten most dominant taxa correlated well with leaf magnetism, be it positive or negative. The results of this study indicate that an urban environment can greatly affect the local phyllosphere community composit"&amp;"ion. Although other urban-related factors cannot be ruled out, the relative abundance of most of the dominant taxa was significantly correlated with exposure to traffic-generated PM. (c) 2016 Elsevier Ltd. All rights reserved.")</f>
        <v>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v>
      </c>
      <c r="C1341" s="24" t="str">
        <f>IFERROR(__xludf.DUMMYFUNCTION("""COMPUTED_VALUE"""),"10.1016/j.atmosenv.2016.10.017")</f>
        <v>10.1016/j.atmosenv.2016.10.017</v>
      </c>
      <c r="D1341" s="24" t="str">
        <f>IFERROR(__xludf.DUMMYFUNCTION("""COMPUTED_VALUE"""),"Keck et al")</f>
        <v>Keck et al</v>
      </c>
      <c r="E1341" s="24" t="str">
        <f>IFERROR(__xludf.DUMMYFUNCTION("""COMPUTED_VALUE"""),"WOS:000388543600033")</f>
        <v>WOS:000388543600033</v>
      </c>
      <c r="F1341" s="24" t="str">
        <f>IFERROR(__xludf.DUMMYFUNCTION("""COMPUTED_VALUE"""),"[""ELIGIBLE""]")</f>
        <v>["ELIGIBLE"]</v>
      </c>
    </row>
    <row r="1342">
      <c r="A1342" s="24" t="str">
        <f>IFERROR(__xludf.DUMMYFUNCTION("""COMPUTED_VALUE"""),"Salt stress-induced changes in microbial community structures and metabolic processes result in increased soil cadmium availability")</f>
        <v>Salt stress-induced changes in microbial community structures and metabolic processes result in increased soil cadmium availability</v>
      </c>
      <c r="B1342" s="24" t="str">
        <f>IFERROR(__xludf.DUMMYFUNCTION("""COMPUTED_VALUE"""),"Salt stress can cause significant changes to soil microbial community structure, metabolic processes, and the surrounding micro-environments. However, how these processes affect the availability of cadmium (Cd) remains poorly understood. Changes in soil m"&amp;"icrobial communities within different soil micro-environments (large-, macro-, small-aggregate and silt plus clay fractions) and their metabolic responses to saline stress in Cd contaminated soils were analyzed. Salt addition negatively affected the stabi"&amp;"lity of soil aggregates and promoted Cd translocation from large soil aggregates into smaller clay/silt sized fractions. Comparatively, soil bacteria were more sensitive than fungi in their responses to salt addition, as more prominent variations in bacte"&amp;"rial community structure were observed between AS (added salt) and CK (no added salt) treatments, determined via non metric multidimensional scaling analysis. Both bacteria and fungi showed greater diversity and richness in microaggregate fractions than i"&amp;"n large aggregates, and salt addition decreased overall alpha diversity and altered microbial community composition. Among the node taxa, Sphingomonadaceae, Pyrinomonadaceae, Nitriliruptoraceae, Bacillaceae, Halomonadaceae and Pseudomonadaceae likely play"&amp;"ed critical roles in mediating Cd availability in soil micro-environments under saline stress. Furthermore, exposure to salt stress resulted in soil microbe metabolic reprogramming. The accumulation of tricarboxylic acid (TCA) cycle components and membran"&amp;"e lipid metabolites potentially contributed to observed increases in soil Cd availability and microbial Cd resistance. (c) 2021 Elsevier B.V. All rights reserved.")</f>
        <v>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v>
      </c>
      <c r="C1342" s="24" t="str">
        <f>IFERROR(__xludf.DUMMYFUNCTION("""COMPUTED_VALUE"""),"10.1016/j.scitotenv.2021.147125")</f>
        <v>10.1016/j.scitotenv.2021.147125</v>
      </c>
      <c r="D1342" s="24" t="str">
        <f>IFERROR(__xludf.DUMMYFUNCTION("""COMPUTED_VALUE"""),"Keck et al")</f>
        <v>Keck et al</v>
      </c>
      <c r="E1342" s="24" t="str">
        <f>IFERROR(__xludf.DUMMYFUNCTION("""COMPUTED_VALUE"""),"WOS:000655530100004")</f>
        <v>WOS:000655530100004</v>
      </c>
      <c r="F1342" s="24" t="str">
        <f>IFERROR(__xludf.DUMMYFUNCTION("""COMPUTED_VALUE"""),"[""ELIGIBLE""]")</f>
        <v>["ELIGIBLE"]</v>
      </c>
    </row>
    <row r="1343">
      <c r="A1343" s="24" t="str">
        <f>IFERROR(__xludf.DUMMYFUNCTION("""COMPUTED_VALUE"""),"Intensification of tropical fallow-based agriculture: Trading-off ecosystem services for economic gain in shifting cultivation landscapes?")</f>
        <v>Intensification of tropical fallow-based agriculture: Trading-off ecosystem services for economic gain in shifting cultivation landscapes?</v>
      </c>
      <c r="B1343" s="24" t="str">
        <f>IFERROR(__xludf.DUMMYFUNCTION("""COMPUTED_VALUE"""),"Farmers are under ever growing pressure to increase productivity to meet both food and fibre needs, as well as rising household economic demands. In many shifting cultivation systems, farmers are taking advantage of restorative forest fallow periods to pl"&amp;"ant commercially-oriented orchards to increase output. While there is an economic benefit to this intensification pathway, we ask: what are the trade-offs in ecosystem services with planting low diversity orchards? We compare the capacity of native forest"&amp;" fallows vs. planted umart orchards (Poraquieba sericea) to provide critical regulating services (soil fertility regeneration, woody biomass accumulation), provisioning services (commercial fruit production, timber, charcoal, wild fruits and handicraft ma"&amp;"terials production), and tree biodiversity in lowland forests of Peru. In addition, we estimate their potential contribution to farmer livelihoods to better understand the economic incentives behind orchard planting. Orchards were found to provide similar"&amp;" or higher levels of both regulating and provisioning services than forest fallows, apart from harvestable timber. Although biodiversity was lower under orchards, tree diversity and composition recovered fully in subsequent fallow rotations. Potential rev"&amp;"enues from orchard planting were greater than from fallows, however they were small compared to median incomes suggesting that the motivation to plant orchards is income diversification. Together these results highlight that orchard fallows may be an ecol"&amp;"ogically and economically viable pathway for intensification. (C) 2015 Elsevier B.V. All rights reserved.")</f>
        <v>Farmers are under ever growing pressure to increase productivity to meet both food and fibre needs, as well as rising household economic demands. In many shifting cultivation systems, farmers are taking advantage of restorative forest fallow periods to plant commercially-oriented orchards to increase output. While there is an economic benefit to this intensification pathway, we ask: what are the trade-offs in ecosystem services with planting low diversity orchards? We compare the capacity of native forest fallows vs. planted umart orchards (Poraquieba sericea) to provide critical regulating services (soil fertility regeneration, woody biomass accumulation), provisioning services (commercial fruit production, timber, charcoal, wild fruits and handicraft materials production), and tree biodiversity in lowland forests of Peru. In addition, we estimate their potential contribution to farmer livelihoods to better understand the economic incentives behind orchard planting. Orchards were found to provide similar or higher levels of both regulating and provisioning services than forest fallows, apart from harvestable timber. Although biodiversity was lower under orchards, tree diversity and composition recovered fully in subsequent fallow rotations. Potential revenues from orchard planting were greater than from fallows, however they were small compared to median incomes suggesting that the motivation to plant orchards is income diversification. Together these results highlight that orchard fallows may be an ecologically and economically viable pathway for intensification. (C) 2015 Elsevier B.V. All rights reserved.</v>
      </c>
      <c r="C1343" s="24" t="str">
        <f>IFERROR(__xludf.DUMMYFUNCTION("""COMPUTED_VALUE"""),"10.1016/j.agee.2015.09.005")</f>
        <v>10.1016/j.agee.2015.09.005</v>
      </c>
      <c r="D1343" s="24" t="str">
        <f>IFERROR(__xludf.DUMMYFUNCTION("""COMPUTED_VALUE"""),"Keck et al")</f>
        <v>Keck et al</v>
      </c>
      <c r="E1343" s="24" t="str">
        <f>IFERROR(__xludf.DUMMYFUNCTION("""COMPUTED_VALUE"""),"WOS:000364611300005")</f>
        <v>WOS:000364611300005</v>
      </c>
      <c r="F1343" s="24" t="str">
        <f>IFERROR(__xludf.DUMMYFUNCTION("""COMPUTED_VALUE"""),"[""ELIGIBLE""]")</f>
        <v>["ELIGIBLE"]</v>
      </c>
    </row>
    <row r="1344">
      <c r="A1344" s="24" t="str">
        <f>IFERROR(__xludf.DUMMYFUNCTION("""COMPUTED_VALUE"""),"Characteristics of mammal communities in Tasmanian forests: exploring the influence of forest type and disturbance history")</f>
        <v>Characteristics of mammal communities in Tasmanian forests: exploring the influence of forest type and disturbance history</v>
      </c>
      <c r="B1344" s="24" t="str">
        <f>IFERROR(__xludf.DUMMYFUNCTION("""COMPUTED_VALUE"""),"Context. With increasing pressure worldwide on forest habitat, it is crucial to understand faunal ecology to effectively manage and minimise impacts of anthropogenic habitat disturbance. Aims. This study assessed whether differences in forest type and dis"&amp;"turbance history were reflected in small to medium mammal communities found in Tasmania's production forests. Methods. Trapping was conducted in spring and summer, and autumn and winter during 2007-08 at four dry Eucalyptus forest sites (two regenerating "&amp;"after harvest and two in relatively undisturbed forest) in south-east Tasmania, and four wet Eucalyptus forest sites (two regenerating after harvest and two in relatively undisturbed forest) in north-east Tasmania. All sites were embedded within a matrix "&amp;"of mature or older aged regenerating forest. Key results. Thirteen mammal species were recorded across all sites. There was no difference in species diversity or richness between forest type or disturbance regime, but species composition differed. Total n"&amp;"umber of individual animals and captures was influenced strongly by forest type and disturbance history, with most animals captured in the dry disturbed forest sites. Abundance of some species (e. g. bettongs and potoroos) was higher in disturbed sites th"&amp;"an undisturbed sites. Brushtail possum numbers (adults and offspring), however, were lower in disturbed sites and populations displayed a male biased adult sex ratio and lower breeding frequency. Habitat structural complexity and vegetation diversity with"&amp;"in core sites, and age structure of the forest in the surrounding landscape did not vary significantly, indicating that broad resource (food and refuge) availability was equivalent across sites. Conclusions. In general, the small to medium mammals in this"&amp;" study did not appear to be significantly affected by forest harvesting in the medium term. Implications. Although past harvesting altered the abundance of some habitat features (e. g. canopy cover, basal area of trees, and tree hollow availability), we s"&amp;"uggest that the availability of such features in the surrounding landscape may mitigate the potential effects of disturbance on the species for which such habitat features are important.")</f>
        <v>Context. With increasing pressure worldwide on forest habitat, it is crucial to understand faunal ecology to effectively manage and minimise impacts of anthropogenic habitat disturbance. Aims. This study assessed whether differences in forest type and disturbance history were reflected in small to medium mammal communities found in Tasmania's production forests. Methods. Trapping was conducted in spring and summer, and autumn and winter during 2007-08 at four dry Eucalyptus forest sites (two regenerating after harvest and two in relatively undisturbed forest) in south-east Tasmania, and four wet Eucalyptus forest sites (two regenerating after harvest and two in relatively undisturbed forest) in north-east Tasmania. All sites were embedded within a matrix of mature or older aged regenerating forest. Key results. Thirteen mammal species were recorded across all sites. There was no difference in species diversity or richness between forest type or disturbance regime, but species composition differed. Total number of individual animals and captures was influenced strongly by forest type and disturbance history, with most animals captured in the dry disturbed forest sites. Abundance of some species (e. g. bettongs and potoroos) was higher in disturbed sites than undisturbed sites. Brushtail possum numbers (adults and offspring), however, were lower in disturbed sites and populations displayed a male biased adult sex ratio and lower breeding frequency. Habitat structural complexity and vegetation diversity within core sites, and age structure of the forest in the surrounding landscape did not vary significantly, indicating that broad resource (food and refuge) availability was equivalent across sites. Conclusions. In general, the small to medium mammals in this study did not appear to be significantly affected by forest harvesting in the medium term. Implications. Although past harvesting altered the abundance of some habitat features (e. g. canopy cover, basal area of trees, and tree hollow availability), we suggest that the availability of such features in the surrounding landscape may mitigate the potential effects of disturbance on the species for which such habitat features are important.</v>
      </c>
      <c r="C1344" s="24" t="str">
        <f>IFERROR(__xludf.DUMMYFUNCTION("""COMPUTED_VALUE"""),"10.1071/WR10025")</f>
        <v>10.1071/WR10025</v>
      </c>
      <c r="D1344" s="24" t="str">
        <f>IFERROR(__xludf.DUMMYFUNCTION("""COMPUTED_VALUE"""),"Keck et al")</f>
        <v>Keck et al</v>
      </c>
      <c r="E1344" s="24" t="str">
        <f>IFERROR(__xludf.DUMMYFUNCTION("""COMPUTED_VALUE"""),"WOS:000288326800002")</f>
        <v>WOS:000288326800002</v>
      </c>
      <c r="F1344" s="24" t="str">
        <f>IFERROR(__xludf.DUMMYFUNCTION("""COMPUTED_VALUE"""),"[""ELIGIBLE""]")</f>
        <v>["ELIGIBLE"]</v>
      </c>
    </row>
    <row r="1345">
      <c r="A1345" s="24" t="str">
        <f>IFERROR(__xludf.DUMMYFUNCTION("""COMPUTED_VALUE"""),"Livestock and the functional habitat of vicunas in Ecuador: a new puzzle")</f>
        <v>Livestock and the functional habitat of vicunas in Ecuador: a new puzzle</v>
      </c>
      <c r="B1345" s="24" t="str">
        <f>IFERROR(__xludf.DUMMYFUNCTION("""COMPUTED_VALUE"""),"Whether interactions between wildlife and livestock are competitive or facilitative is context dependent. Intermediary factors that explain how context (seasonal or regional characteristics of the ecological community) affects these interactions are rarel"&amp;"y reported. We compared activity time and density in vicunas (Vicugna vicugna) introduced into the Chimborazo Faunal Production Reserve (CFPR), Ecuador, to describe how they interact with livestock. We compared vicuna density in wetlands and uplands (two "&amp;"landscape structures) with and without livestock (two conditions) using an isodar approach. We measured, over two seasons, vicuna forage abundance, composition, preference and accessibility, time vicunas spent vigilant, and their flight distances on appro"&amp;"ach. We tested optimal foraging theory relating to the hypothesis that time mediates behavior, and found that vicunas were no less frequently vigilant, nor were flight distances greater, during a wet season or in habitats of greater forage abundance and a"&amp;"ccessibility. We also found no evidence that vicuna behavior was density dependent; instead, we found that more time was spent vigilant by vicunas when they foraged near livestock in rainy regions during the dry season. Although forage abundance was simil"&amp;"ar throughout CFPR during a dry season, better forage quality in areas occupied by livestock may constitute an effect of their facilitating vicunas. A puzzling finding, because it was not explained by any of the other variables we measured, was that at lo"&amp;"w densities vicunas selected habitat irrespective of livestock, and where their density was higher, it was doubly so adjacent to livestock. We conclude that in the CFPR, spatial heterogeneity in habitat quality determines the interactions between livestoc"&amp;"k and vicunas. To support recommendations that minimize competition between wildlife and livestock, and to expand on descriptions of the contexts that determine the direction of species interactions, future study may require a wider sampling of the densit"&amp;"ies of sympatric large herbivores in general, and, in the CFPR, a closer resolution of spatial heterogeneity in forage plant quality.")</f>
        <v>Whether interactions between wildlife and livestock are competitive or facilitative is context dependent. Intermediary factors that explain how context (seasonal or regional characteristics of the ecological community) affects these interactions are rarely reported. We compared activity time and density in vicunas (Vicugna vicugna) introduced into the Chimborazo Faunal Production Reserve (CFPR), Ecuador, to describe how they interact with livestock. We compared vicuna density in wetlands and uplands (two landscape structures) with and without livestock (two conditions) using an isodar approach. We measured, over two seasons, vicuna forage abundance, composition, preference and accessibility, time vicunas spent vigilant, and their flight distances on approach. We tested optimal foraging theory relating to the hypothesis that time mediates behavior, and found that vicunas were no less frequently vigilant, nor were flight distances greater, during a wet season or in habitats of greater forage abundance and accessibility. We also found no evidence that vicuna behavior was density dependent; instead, we found that more time was spent vigilant by vicunas when they foraged near livestock in rainy regions during the dry season. Although forage abundance was similar throughout CFPR during a dry season, better forage quality in areas occupied by livestock may constitute an effect of their facilitating vicunas. A puzzling finding, because it was not explained by any of the other variables we measured, was that at low densities vicunas selected habitat irrespective of livestock, and where their density was higher, it was doubly so adjacent to livestock. We conclude that in the CFPR, spatial heterogeneity in habitat quality determines the interactions between livestock and vicunas. To support recommendations that minimize competition between wildlife and livestock, and to expand on descriptions of the contexts that determine the direction of species interactions, future study may require a wider sampling of the densities of sympatric large herbivores in general, and, in the CFPR, a closer resolution of spatial heterogeneity in forage plant quality.</v>
      </c>
      <c r="C1345" s="24" t="str">
        <f>IFERROR(__xludf.DUMMYFUNCTION("""COMPUTED_VALUE"""),"10.1002/ecs2.2066")</f>
        <v>10.1002/ecs2.2066</v>
      </c>
      <c r="D1345" s="24" t="str">
        <f>IFERROR(__xludf.DUMMYFUNCTION("""COMPUTED_VALUE"""),"Keck et al")</f>
        <v>Keck et al</v>
      </c>
      <c r="E1345" s="24" t="str">
        <f>IFERROR(__xludf.DUMMYFUNCTION("""COMPUTED_VALUE"""),"WOS:000425731000015")</f>
        <v>WOS:000425731000015</v>
      </c>
      <c r="F1345" s="24" t="str">
        <f>IFERROR(__xludf.DUMMYFUNCTION("""COMPUTED_VALUE"""),"[""ELIGIBLE""]")</f>
        <v>["ELIGIBLE"]</v>
      </c>
    </row>
    <row r="1346">
      <c r="A1346" s="24" t="str">
        <f>IFERROR(__xludf.DUMMYFUNCTION("""COMPUTED_VALUE"""),"Fungal community assembly in soils and roots under plant invasion and nitrogen deposition")</f>
        <v>Fungal community assembly in soils and roots under plant invasion and nitrogen deposition</v>
      </c>
      <c r="B1346" s="24" t="str">
        <f>IFERROR(__xludf.DUMMYFUNCTION("""COMPUTED_VALUE"""),"Fungal community composition in the Anthropocene is driven by rapid changes in environmental conditions caused by human activities. This study examines the relative importance of two global change drivers - atmospheric nitrogen (N) deposition and annual g"&amp;"rass invasion - on structuring fungal communities in a California chaparral ecosystem, with emphasis on arbuscular mycorrhizal fungi. We used molecular markers, functional groupings, generalized linear statistics and joint distribution modeling, to examin"&amp;"e how environmental variables structure taxonomic and functional composition of fungal communities. Invasive grasses had a lower richness and relative abundance of symbiotic fungi (both AMF and other fungi) compared to native shrubs. We found a higher ric"&amp;"hness and abundance of rhizophilic (e.g. Glomeraceae) and edaphophilic (e.g. Gigasporaceae) AMF with increasing soil NO3. Our findings suggest that invasive persistence may decrease the presence of multiple soil symbionts that native species depend on for"&amp;" pathogen protection and increased access to soil resources. (C) 2019 The Author(s). Published by Elsevier Ltd.")</f>
        <v>Fungal community composition in the Anthropocene is driven by rapid changes in environmental conditions caused by human activities. This study examines the relative importance of two global change drivers - atmospheric nitrogen (N) deposition and annual grass invasion - on structuring fungal communities in a California chaparral ecosystem, with emphasis on arbuscular mycorrhizal fungi. We used molecular markers, functional groupings, generalized linear statistics and joint distribution modeling, to examine how environmental variables structure taxonomic and functional composition of fungal communities. Invasive grasses had a lower richness and relative abundance of symbiotic fungi (both AMF and other fungi) compared to native shrubs. We found a higher richness and abundance of rhizophilic (e.g. Glomeraceae) and edaphophilic (e.g. Gigasporaceae) AMF with increasing soil NO3. Our findings suggest that invasive persistence may decrease the presence of multiple soil symbionts that native species depend on for pathogen protection and increased access to soil resources. (C) 2019 The Author(s). Published by Elsevier Ltd.</v>
      </c>
      <c r="C1346" s="24" t="str">
        <f>IFERROR(__xludf.DUMMYFUNCTION("""COMPUTED_VALUE"""),"10.1016/j.funeco.2019.01.002")</f>
        <v>10.1016/j.funeco.2019.01.002</v>
      </c>
      <c r="D1346" s="24" t="str">
        <f>IFERROR(__xludf.DUMMYFUNCTION("""COMPUTED_VALUE"""),"Keck et al")</f>
        <v>Keck et al</v>
      </c>
      <c r="E1346" s="24" t="str">
        <f>IFERROR(__xludf.DUMMYFUNCTION("""COMPUTED_VALUE"""),"WOS:000473841600013")</f>
        <v>WOS:000473841600013</v>
      </c>
      <c r="F1346" s="24" t="str">
        <f>IFERROR(__xludf.DUMMYFUNCTION("""COMPUTED_VALUE"""),"[""ELIGIBLE""]")</f>
        <v>["ELIGIBLE"]</v>
      </c>
    </row>
    <row r="1347">
      <c r="A1347" s="24" t="str">
        <f>IFERROR(__xludf.DUMMYFUNCTION("""COMPUTED_VALUE"""),"Riparian vegetation assemblages and associated landscape factors across an urbanizing metropolitan area")</f>
        <v>Riparian vegetation assemblages and associated landscape factors across an urbanizing metropolitan area</v>
      </c>
      <c r="B1347" s="24" t="str">
        <f>IFERROR(__xludf.DUMMYFUNCTION("""COMPUTED_VALUE"""),"While diverse, native riparian vegetation provides important functions, it remains unclear to what extent these assemblages can persist in urban areas, and under what conditions. We characterized forested riparian vegetation communities across an urbanizi"&amp;"ng metropolitan area and examined their relationships with surrounding land cover. We hypothesized that native and hydrophilic species assemblages would correlate with forest cover in the landscape. For each of 30 sites in the Portland-Vancouver metro are"&amp;"a, we recorded vegetation at 1-cm intervals along 3 transects using the line-intercept method. Land cover was characterized at 2 scales: within 500 m of each site and across the entire watershed. Multivariate analyses were used to evaluate relationships b"&amp;"etween species composition and land cover patterns. A classification tree was created to determine landscape predictors of riparian community type. Results indicated a strong relationship between watershed land cover and vegetation diversity and structura"&amp;"l complexity. Our hypothesis of native species association with landscape forest cover in urban riparian areas was supported, but we found no clear relationship between land cover and wetland indicator status. Our results suggest that high watershed fores"&amp;"t cover (at least 15%) may enable the persistence of functionally diverse, native riparian vegetation communities in urban landscapes.")</f>
        <v>While diverse, native riparian vegetation provides important functions, it remains unclear to what extent these assemblages can persist in urban areas, and under what conditions. We characterized forested riparian vegetation communities across an urbanizing metropolitan area and examined their relationships with surrounding land cover. We hypothesized that native and hydrophilic species assemblages would correlate with forest cover in the landscape. For each of 30 sites in the Portland-Vancouver metro area, we recorded vegetation at 1-cm intervals along 3 transects using the line-intercept method. Land cover was characterized at 2 scales: within 500 m of each site and across the entire watershed. Multivariate analyses were used to evaluate relationships between species composition and land cover patterns. A classification tree was created to determine landscape predictors of riparian community type. Results indicated a strong relationship between watershed land cover and vegetation diversity and structural complexity. Our hypothesis of native species association with landscape forest cover in urban riparian areas was supported, but we found no clear relationship between land cover and wetland indicator status. Our results suggest that high watershed forest cover (at least 15%) may enable the persistence of functionally diverse, native riparian vegetation communities in urban landscapes.</v>
      </c>
      <c r="C1347" s="24" t="str">
        <f>IFERROR(__xludf.DUMMYFUNCTION("""COMPUTED_VALUE"""),"10.2980/20-4-3635")</f>
        <v>10.2980/20-4-3635</v>
      </c>
      <c r="D1347" s="24" t="str">
        <f>IFERROR(__xludf.DUMMYFUNCTION("""COMPUTED_VALUE"""),"Keck et al")</f>
        <v>Keck et al</v>
      </c>
      <c r="E1347" s="24" t="str">
        <f>IFERROR(__xludf.DUMMYFUNCTION("""COMPUTED_VALUE"""),"WOS:000336786100007")</f>
        <v>WOS:000336786100007</v>
      </c>
      <c r="F1347" s="24" t="str">
        <f>IFERROR(__xludf.DUMMYFUNCTION("""COMPUTED_VALUE"""),"[""ELIGIBLE""]")</f>
        <v>["ELIGIBLE"]</v>
      </c>
    </row>
    <row r="1348">
      <c r="A1348" s="24" t="str">
        <f>IFERROR(__xludf.DUMMYFUNCTION("""COMPUTED_VALUE"""),"Impact of salvage logging on stand structure and beetle diversity in boreal balsam fir forest, 20 years after a spruce budworm outbreak")</f>
        <v>Impact of salvage logging on stand structure and beetle diversity in boreal balsam fir forest, 20 years after a spruce budworm outbreak</v>
      </c>
      <c r="B1348" s="24" t="str">
        <f>IFERROR(__xludf.DUMMYFUNCTION("""COMPUTED_VALUE"""),"Spruce budworm outbreaks represent the most important natural disturbance in the boreal balsam fir (Abies balsamea (L.) Mill.) forest of Canada, killing trees over wide areas and thus generating large amounts of dead wood. This disturbance is part of the "&amp;"dynamic processes occurring within balsam fir forests, and its effects on biodiversity need to be understood in order to move closer towards sustainable forest management. We described stand structure and used beetles as biodiversity indicators to compare"&amp;" the ecological value of salvaged stands, managed afterwards with three different silvicultural treatments, with unsalvaged stands, 20 years after the last spruce budworm outbreak. Our experimental design involved five replicated stands of each of the fou"&amp;"r disturbance types for a total of 20 stands. A total of 3124 Coleoptera belonging to 47 families and 269 taxa were captured over 3 months of sampling. Results showed that habitat attributes still differed 20 years after a spruce budworm outbreak between "&amp;"unsalvaged and treated salvaged stands, such as more abundant and diverse dead wood in unsalvaged stands. Salvage logging and silvicultural treatments led to different beetle communities than in unsalvaged stands, even though abundance and richness did no"&amp;"t change significantly. Most indicator species identified were saproxylic and associated with unsalvaged stands, suggesting salvage logging generated the largest changes to the original ecosystem while additional effects of the silvicultural treatments we"&amp;"re less pronounced. This may result from the 67% reduction in downed dead wood volumes (e.g., 138 m(3)/ha in unsalvaged stands vs 46 m(3)/ha in managed stands). Even if this volume of dead wood is still relatively high, it is less diverse than in unsalvag"&amp;"ed stands and includes almost no recent dead wood. Salvage logging affected saproxylic beetle communities, suggesting that the retention of naturally disturbed stands may help in implementing ecosystem management in boreal balsam fir forest and move close"&amp;"r towards sustainable management. Crown Copyright (C) 2013 Published by Elsevier B.V. All rights reserved.")</f>
        <v>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v>
      </c>
      <c r="C1348" s="24" t="str">
        <f>IFERROR(__xludf.DUMMYFUNCTION("""COMPUTED_VALUE"""),"10.1016/j.foreco.2013.03.018")</f>
        <v>10.1016/j.foreco.2013.03.018</v>
      </c>
      <c r="D1348" s="24" t="str">
        <f>IFERROR(__xludf.DUMMYFUNCTION("""COMPUTED_VALUE"""),"Keck et al")</f>
        <v>Keck et al</v>
      </c>
      <c r="E1348" s="24" t="str">
        <f>IFERROR(__xludf.DUMMYFUNCTION("""COMPUTED_VALUE"""),"WOS:000320741300013")</f>
        <v>WOS:000320741300013</v>
      </c>
      <c r="F1348" s="24" t="str">
        <f>IFERROR(__xludf.DUMMYFUNCTION("""COMPUTED_VALUE"""),"[""ELIGIBLE""]")</f>
        <v>["ELIGIBLE"]</v>
      </c>
    </row>
    <row r="1349">
      <c r="A1349" s="24" t="str">
        <f>IFERROR(__xludf.DUMMYFUNCTION("""COMPUTED_VALUE"""),"The effects of cattle ranching on the communities of necrophagous flies (Diptera: Calliphoridae, Mesembrinellidae and Sarcophagidae) in Northeastern Brazil")</f>
        <v>The effects of cattle ranching on the communities of necrophagous flies (Diptera: Calliphoridae, Mesembrinellidae and Sarcophagidae) in Northeastern Brazil</v>
      </c>
      <c r="B1349" s="24" t="str">
        <f>IFERROR(__xludf.DUMMYFUNCTION("""COMPUTED_VALUE"""),"Most of the ongoing decline in biodiversity, worldwide, is due to human activities, in particular, the expansion of agriculture. In this context, we highlight the need for studies of the taxonomic groups that can provide insights into the dynamics of the "&amp;"ecological communities facing anthropogenic impacts. For this, we evaluated the effects of the environmental changes caused by cattle ranching on five phytophysiognomies (Cerrado Savanna, Amazon Forest, Palm Forest, Marshland, and Mangrove) in the state o"&amp;"f Maranhao, Brazil. We tested the hypothesis that the species composition, abundance, and richness of the families Calliphoridae, Mesembrinellidae, and Sarcophagidae (Diptera) are affected by ranching in each of the phytophysiognomies. Specimens were coll"&amp;"ected at 90 sites, including 45 anthropic sites (cattle ranches) and 45 preserved habitats, using traps baited with bovine lung. We collected 15,023 calliphorids (11 species), 10,772 sarcophagids (52 species), and 241 mesembrinellids (one species). The re"&amp;"sults indicated significant differences between anthropic and preserved habitats in the species composition, abundance, and richness of sarcophagids, in particular in the Amazon Forest, where the highest species richness was recorded in the anthropic envi"&amp;"ronments. In the case of the calliphorids and mesembrinellids, by contrast, significant differences were found in species composition and abundance in only in four of the five phytophysiognomies analyzed (excluding the Cerrado Savanna), while species rich"&amp;"ness only varied in the palm forest and marshland. In all cases, lower values were recorded in the anthropic environments. These results indicate that the insects of the families Sarcophagidae, Calliphoridae, and Mesembrinellidae respond differentially to"&amp;" the anthropic activity (cattle ranching) and can be used to evaluate this type of anthropogenic impact systematically. In addition, the Amazon Forest was the phytophysiognomy most impacted by this activity in the Brazilian state of Maranhao.")</f>
        <v>Most of the ongoing decline in biodiversity, worldwide, is due to human activities, in particular, the expansion of agriculture. In this context, we highlight the need for studies of the taxonomic groups that can provide insights into the dynamics of the ecological communities facing anthropogenic impacts. For this, we evaluated the effects of the environmental changes caused by cattle ranching on five phytophysiognomies (Cerrado Savanna, Amazon Forest, Palm Forest, Marshland, and Mangrove) in the state of Maranhao, Brazil. We tested the hypothesis that the species composition, abundance, and richness of the families Calliphoridae, Mesembrinellidae, and Sarcophagidae (Diptera) are affected by ranching in each of the phytophysiognomies. Specimens were collected at 90 sites, including 45 anthropic sites (cattle ranches) and 45 preserved habitats, using traps baited with bovine lung. We collected 15,023 calliphorids (11 species), 10,772 sarcophagids (52 species), and 241 mesembrinellids (one species). The results indicated significant differences between anthropic and preserved habitats in the species composition, abundance, and richness of sarcophagids, in particular in the Amazon Forest, where the highest species richness was recorded in the anthropic environments. In the case of the calliphorids and mesembrinellids, by contrast, significant differences were found in species composition and abundance in only in four of the five phytophysiognomies analyzed (excluding the Cerrado Savanna), while species richness only varied in the palm forest and marshland. In all cases, lower values were recorded in the anthropic environments. These results indicate that the insects of the families Sarcophagidae, Calliphoridae, and Mesembrinellidae respond differentially to the anthropic activity (cattle ranching) and can be used to evaluate this type of anthropogenic impact systematically. In addition, the Amazon Forest was the phytophysiognomy most impacted by this activity in the Brazilian state of Maranhao.</v>
      </c>
      <c r="C1349" s="24" t="str">
        <f>IFERROR(__xludf.DUMMYFUNCTION("""COMPUTED_VALUE"""),"10.1007/s10841-020-00246-y")</f>
        <v>10.1007/s10841-020-00246-y</v>
      </c>
      <c r="D1349" s="24" t="str">
        <f>IFERROR(__xludf.DUMMYFUNCTION("""COMPUTED_VALUE"""),"Keck et al")</f>
        <v>Keck et al</v>
      </c>
      <c r="E1349" s="24" t="str">
        <f>IFERROR(__xludf.DUMMYFUNCTION("""COMPUTED_VALUE"""),"WOS:000532908200001")</f>
        <v>WOS:000532908200001</v>
      </c>
      <c r="F1349" s="24" t="str">
        <f>IFERROR(__xludf.DUMMYFUNCTION("""COMPUTED_VALUE"""),"[""ELIGIBLE""]")</f>
        <v>["ELIGIBLE"]</v>
      </c>
    </row>
    <row r="1350">
      <c r="A1350" s="24" t="str">
        <f>IFERROR(__xludf.DUMMYFUNCTION("""COMPUTED_VALUE"""),"Ecological processes mediate the effects of the invasive bloom-forming diatom Didymosphenia geminata on stream algal and invertebrate assemblages")</f>
        <v>Ecological processes mediate the effects of the invasive bloom-forming diatom Didymosphenia geminata on stream algal and invertebrate assemblages</v>
      </c>
      <c r="B1350" s="24" t="str">
        <f>IFERROR(__xludf.DUMMYFUNCTION("""COMPUTED_VALUE"""),"Didymosphenia geminata is a bloom-forming diatom that has invaded numerous temperate rivers globally. Proliferations of D. geminata can result in negative effects on invaded communities. Ecological theory suggests impacts may vary associated with trait va"&amp;"riation in both invaded communities and the invader. Trait commonalities related to organism size are rarely considered, yet are expected to influence the outcomes of ecological (niche and neutral) processes and invader effects. We hypothesised that D. ge"&amp;"minata would impact diversity and community composition, with effects varying between size classes, influenced by niche and spatial gradients. To examine this hypothesis, we surveyed 55 rivers along a gradient of D. geminata biomass in the South Island, N"&amp;"ew Zealand, collecting data on algal and invertebrate communities, 33 spatial predictors, and 111 physical and chemical predictors. Didymosphenia geminata biomass was associated with increased species richness in both algal and invertebrate assemblages, b"&amp;"ut blooms reduced beta-diversity resulting in more homogenous communities. Both niche and neutral processes influenced community assembly and invader effects, which varied between algae and invertebrates. However, D. geminata appeared to have a dominant i"&amp;"nfluence on both communities, irrespective of organism size. These findings reinforce the substantial negative effect invasive species such as D. geminata can cause in invaded ecosystems.")</f>
        <v>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v>
      </c>
      <c r="C1350" s="24" t="str">
        <f>IFERROR(__xludf.DUMMYFUNCTION("""COMPUTED_VALUE"""),"10.1007/s10750-019-04080-5")</f>
        <v>10.1007/s10750-019-04080-5</v>
      </c>
      <c r="D1350" s="24" t="str">
        <f>IFERROR(__xludf.DUMMYFUNCTION("""COMPUTED_VALUE"""),"Keck et al")</f>
        <v>Keck et al</v>
      </c>
      <c r="E1350" s="24" t="str">
        <f>IFERROR(__xludf.DUMMYFUNCTION("""COMPUTED_VALUE"""),"WOS:000491797500001")</f>
        <v>WOS:000491797500001</v>
      </c>
      <c r="F1350" s="24" t="str">
        <f>IFERROR(__xludf.DUMMYFUNCTION("""COMPUTED_VALUE"""),"[""ELIGIBLE""]")</f>
        <v>["ELIGIBLE"]</v>
      </c>
    </row>
    <row r="1351">
      <c r="A1351" s="24" t="str">
        <f>IFERROR(__xludf.DUMMYFUNCTION("""COMPUTED_VALUE"""),"Laboratory bioassay exploring the effects of anti-aging skincare products on free-living marine nematodes: a case study of collagen")</f>
        <v>Laboratory bioassay exploring the effects of anti-aging skincare products on free-living marine nematodes: a case study of collagen</v>
      </c>
      <c r="B1351" s="24" t="str">
        <f>IFERROR(__xludf.DUMMYFUNCTION("""COMPUTED_VALUE"""),"Organic enrichment due to human impact is one of the major threats that affect benthic communities in semi-enclosed marine ecosystems, such as the Mediterranean Sea. However, many emerging sources of organic pollutants, such as those released to nature th"&amp;"rough human practices related to esthetics and cosmetics, remain underestimated, despite being an increasingly important source of organic matter input following a decade of expansion by the cosmetic industry. Therefore, an experiment was designed to expl"&amp;"ore the influence of collagen, the main component of commercialized skin anti-aging products, on a Mediterranean community of free-living marine nematodes from a beach in Rimel, northeast Tunisia. The effects of exposure for 30 days to a control treatment"&amp;" and three test treatments, corresponding to three levels of sedimentary enrichment with collagen (3, 6, and 12 ppm dry weight (DW)), were examined using a microcosm approach. Reductions in abundance and diversity were noted with an increase in collagen e"&amp;"nrichment, together with a slight increase in individual weight. The presence of three species characteristic of control microcosms, Ptycholaimellus ponticus, Theristus modicus, and Kraspedonema reflectans, was clearly affected at the lowest dose; these w"&amp;"ere therefore classified as collagen-sensitive. In contrast, the numbers of collagen-tolerant species, including Sigmophoranema rufum, Lauratonema hospitum, Enoploides spiculohamatus, and Trichotheristus mirabilis, increased significantly in the treated m"&amp;"icrocosms.")</f>
        <v>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v>
      </c>
      <c r="C1351" s="24" t="str">
        <f>IFERROR(__xludf.DUMMYFUNCTION("""COMPUTED_VALUE"""),"10.1007/s11356-020-07655-1")</f>
        <v>10.1007/s11356-020-07655-1</v>
      </c>
      <c r="D1351" s="24" t="str">
        <f>IFERROR(__xludf.DUMMYFUNCTION("""COMPUTED_VALUE"""),"Keck et al")</f>
        <v>Keck et al</v>
      </c>
      <c r="E1351" s="24" t="str">
        <f>IFERROR(__xludf.DUMMYFUNCTION("""COMPUTED_VALUE"""),"WOS:000530470700100")</f>
        <v>WOS:000530470700100</v>
      </c>
      <c r="F1351" s="24" t="str">
        <f>IFERROR(__xludf.DUMMYFUNCTION("""COMPUTED_VALUE"""),"[""ELIGIBLE""]")</f>
        <v>["ELIGIBLE"]</v>
      </c>
    </row>
    <row r="1352">
      <c r="A1352" s="24" t="str">
        <f>IFERROR(__xludf.DUMMYFUNCTION("""COMPUTED_VALUE"""),"Ferns as potential ecological indicators of edge effects in two types of Mexican forests")</f>
        <v>Ferns as potential ecological indicators of edge effects in two types of Mexican forests</v>
      </c>
      <c r="B1352" s="24" t="str">
        <f>IFERROR(__xludf.DUMMYFUNCTION("""COMPUTED_VALUE"""),"The edge effect impacts the richness, composition, and abundance of plant species, as a result of environmental changes caused by forest fragmentation. Ferns are considered important indicators of environmental quality because they are directly affected b"&amp;"y these alterations. The purpose of this study was to analyze the influence of the edge effect on ferns of two tropical lowland rainforests and two montane forests in Mexico. We sampled twelve 10 x 10 m plots at the edge and forest interior of each site, "&amp;"summing up 96 sampling units. In each plot, fern species were inventoried, and vegetative, microclimatic and edaphic parameters were collected. We registered a total of 51 terrestrial fern species, distributed in 33 genera and 17 families. The edge effect"&amp;" was considerably stronger at the montane forest sites, which had the highest fern richness and abundance in the forest interior, but experienced strong alterations of the fern species composition at the forest edge. This reduction of species richness and"&amp;" abundance was accompanied by significant changes in the environment at the montane forest sites, where canopy openness, temperatures, and wind speed increased, and soil moisture and air humidity significantly decreased. However, at the lowland rainforest"&amp;" sites the edge effect only weakly affected the abiotic environment and fern species composition. Half of the fern species were good indicators of forest interior or forest edge. We conclude that edge effects on ferns are more pronounced in montane forest"&amp;"s than in lowland rainforests. Thus, conservation efforts to protect ferns should prioritize on threatened montane forests that are the hotspots of fern diversity, yet without ignoring lowland rainforests that contain a less diverse but distinct fern flor"&amp;"a. Because many ferns were good indicators of the forest alterations caused by edge effects, we suggest using them as tools to evaluate the success of restoration efforts on habitat quality along forest edges.")</f>
        <v>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v>
      </c>
      <c r="C1352" s="24" t="str">
        <f>IFERROR(__xludf.DUMMYFUNCTION("""COMPUTED_VALUE"""),"10.1016/j.ecolind.2018.05.029")</f>
        <v>10.1016/j.ecolind.2018.05.029</v>
      </c>
      <c r="D1352" s="24" t="str">
        <f>IFERROR(__xludf.DUMMYFUNCTION("""COMPUTED_VALUE"""),"Keck et al")</f>
        <v>Keck et al</v>
      </c>
      <c r="E1352" s="24" t="str">
        <f>IFERROR(__xludf.DUMMYFUNCTION("""COMPUTED_VALUE"""),"WOS:000452692600067")</f>
        <v>WOS:000452692600067</v>
      </c>
      <c r="F1352" s="24" t="str">
        <f>IFERROR(__xludf.DUMMYFUNCTION("""COMPUTED_VALUE"""),"[""ELIGIBLE""]")</f>
        <v>["ELIGIBLE"]</v>
      </c>
    </row>
    <row r="1353">
      <c r="A1353" s="24" t="str">
        <f>IFERROR(__xludf.DUMMYFUNCTION("""COMPUTED_VALUE"""),"Spatio-temporal benthic biodiversity patterns and pollution pressure in three Mediterranean touristic ports")</f>
        <v>Spatio-temporal benthic biodiversity patterns and pollution pressure in three Mediterranean touristic ports</v>
      </c>
      <c r="B1353" s="24" t="str">
        <f>IFERROR(__xludf.DUMMYFUNCTION("""COMPUTED_VALUE"""),"The Mediterranean Sea is one of the busiest areas worldwide in terms of maritime activity, facing considerable anthropogenic disturbance, such as pollution by hydrocarbons and heavy metals. The present study has evaluated the environmental and benthic bio"&amp;"diversity characteristics of three touristic ports, Cagliari (Sardinia. Italy), Heraklion (Crete, Greece) and El Kantaoui (Tunisia), based on the combined assessment of physical parameters, chemical variables (i.e. nutrients, pigments), sediment pollution"&amp;" and macrobenthic biodiversity. Different port sectors (leisure, fishing, passenger, cargo, shipyard) and different seasons (winter, before touristic period, after touristic period) were compared. Salinity and sediment concentration of copper and antimony"&amp;" were the three environmental parameters most highly correlated with benthic species composition and diversity. Both the environmental variables and the benthic biodiversity patterns were significantly different between the three ports (i.e. different geo"&amp;"graphical locations). Heraklion port was heavily polluted by AHs in surface and anoxic sediments and had the highest percentage of opportunistic species, while Cagliari had the highest levels of PAHs and UCM and low species richness. El Kantaoui port was "&amp;"less polluted and characterised by a richer biodiversity. The shipyard sector in Heraklion port was significantly different from all other sectors in terms of abiotic and biotic parameters. Physico-chemical and pollution variables recorded during the peri"&amp;"od after tourism (late summer) were significantly different from the ones recorded in winter. Seasonal differences were not significant between benthic species diversity patterns, but were revealed when the patterns derived from the aggregation of higher "&amp;"taxonomic levels were compared. The present study indicates that a regular-basis monitoring plan including evaluation of environmental health based on benthic biodiversity, can provide a basis for perceiving changes and reveal the degree of anthropogenic "&amp;"disturbance in port environments. (C) 2017 Elsevier B.V. All rights reserved.")</f>
        <v>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v>
      </c>
      <c r="C1353" s="24" t="str">
        <f>IFERROR(__xludf.DUMMYFUNCTION("""COMPUTED_VALUE"""),"10.1016/j.scitotenv.2017.12.111")</f>
        <v>10.1016/j.scitotenv.2017.12.111</v>
      </c>
      <c r="D1353" s="24" t="str">
        <f>IFERROR(__xludf.DUMMYFUNCTION("""COMPUTED_VALUE"""),"Keck et al")</f>
        <v>Keck et al</v>
      </c>
      <c r="E1353" s="24" t="str">
        <f>IFERROR(__xludf.DUMMYFUNCTION("""COMPUTED_VALUE"""),"WOS:000426355900065")</f>
        <v>WOS:000426355900065</v>
      </c>
      <c r="F1353" s="24" t="str">
        <f>IFERROR(__xludf.DUMMYFUNCTION("""COMPUTED_VALUE"""),"[""ELIGIBLE""]")</f>
        <v>["ELIGIBLE"]</v>
      </c>
    </row>
    <row r="1354">
      <c r="A1354" s="24" t="str">
        <f>IFERROR(__xludf.DUMMYFUNCTION("""COMPUTED_VALUE"""),"Disturbance reduces the differentiation of mycorrhizal fungal communities in grasslands along a precipitation gradient")</f>
        <v>Disturbance reduces the differentiation of mycorrhizal fungal communities in grasslands along a precipitation gradient</v>
      </c>
      <c r="B1354" s="24" t="str">
        <f>IFERROR(__xludf.DUMMYFUNCTION("""COMPUTED_VALUE"""),"Given that mycorrhizal fungi play key roles in shaping plant communities, greater attention should be focused on factors that determine the composition of mycorrhizal fungal communities and their sensitivity to anthropogenic disturbance. We investigate ch"&amp;"anges in arbuscular mycorrhizal (AM) fungal community composition across a precipitation gradient in North American grasslands as well as changes occurring with varying degrees of site disturbance that have resulted in invasive plant establishment. We fin"&amp;"d strong differentiation of AM fungal communities in undisturbed remnant grasslands across the precipitation gradient, whereas communities in disturbed grasslands were more homogeneous. These changes in community differentiation with disturbance are consi"&amp;"stent with more stringent environmental filtering of AM fungal communities in undisturbed sites that may also be promoted by more rigid functional constraints imposed on AM fungi by the native plant communities in these areas. The AM fungal communities in"&amp;" eastern grasslands were particularly sensitive to anthropogenic disturbance, with disturbed sites having low numbers of AM fungal operational taxonomic units (OTUs) commonly found in undisturbed sites, and also the proliferation of AM fungal OTUs in dist"&amp;"urbed sites. This proliferation of AM fungi in eastern disturbed sites coincided with increased soil phosphorus availability and is consistent with evidence suggesting the fungi represented by these OTUs would provide reduced benefits to native plants. Th"&amp;"e differentiation of AM fungal communities along the precipitation gradient in undisturbed grasslands but not in disturbed sites is consistent with AM fungi aiding plant adaptation to climate, and suggests they may be especially important targets for cons"&amp;"ervation and restoration in order to help maintain or re-establish diverse grassland plant communities.")</f>
        <v>Given that mycorrhizal fungi play key roles in shaping plant communities, greater attention should be focused on factors that determine the composition of mycorrhizal fungal communities and their sensitivity to anthropogenic disturbance. We investigate changes in arbuscular mycorrhizal (AM) fungal community composition across a precipitation gradient in North American grasslands as well as changes occurring with varying degrees of site disturbance that have resulted in invasive plant establishment. We find strong differentiation of AM fungal communities in undisturbed remnant grasslands across the precipitation gradient, whereas communities in disturbed grasslands were more homogeneous. These changes in community differentiation with disturbance are consistent with more stringent environmental filtering of AM fungal communities in undisturbed sites that may also be promoted by more rigid functional constraints imposed on AM fungi by the native plant communities in these areas. The AM fungal communities in eastern grasslands were particularly sensitive to anthropogenic disturbance, with disturbed sites having low numbers of AM fungal operational taxonomic units (OTUs) commonly found in undisturbed sites, and also the proliferation of AM fungal OTUs in disturbed sites. This proliferation of AM fungi in eastern disturbed sites coincided with increased soil phosphorus availability and is consistent with evidence suggesting the fungi represented by these OTUs would provide reduced benefits to native plants. The differentiation of AM fungal communities along the precipitation gradient in undisturbed grasslands but not in disturbed sites is consistent with AM fungi aiding plant adaptation to climate, and suggests they may be especially important targets for conservation and restoration in order to help maintain or re-establish diverse grassland plant communities.</v>
      </c>
      <c r="C1354" s="24" t="str">
        <f>IFERROR(__xludf.DUMMYFUNCTION("""COMPUTED_VALUE"""),"10.1002/eap.1681")</f>
        <v>10.1002/eap.1681</v>
      </c>
      <c r="D1354" s="24" t="str">
        <f>IFERROR(__xludf.DUMMYFUNCTION("""COMPUTED_VALUE"""),"Keck et al")</f>
        <v>Keck et al</v>
      </c>
      <c r="E1354" s="24" t="str">
        <f>IFERROR(__xludf.DUMMYFUNCTION("""COMPUTED_VALUE"""),"WOS:000430466300011")</f>
        <v>WOS:000430466300011</v>
      </c>
      <c r="F1354" s="24" t="str">
        <f>IFERROR(__xludf.DUMMYFUNCTION("""COMPUTED_VALUE"""),"[""ELIGIBLE""]")</f>
        <v>["ELIGIBLE"]</v>
      </c>
    </row>
    <row r="1355">
      <c r="A1355" s="24" t="str">
        <f>IFERROR(__xludf.DUMMYFUNCTION("""COMPUTED_VALUE"""),"Microbial communities in marine sediments modify success of an invasive macrophyte")</f>
        <v>Microbial communities in marine sediments modify success of an invasive macrophyte</v>
      </c>
      <c r="B1355" s="24" t="str">
        <f>IFERROR(__xludf.DUMMYFUNCTION("""COMPUTED_VALUE"""),"Invasive plants have extensive impacts on ecosystem function and biodiversity globally. Our inability to manage invasive species stems in part from a lack of understanding of the processes that control their successful establishment and spread. To date, s"&amp;"tudies have largely considered how above-ground processes control native/invasive plant interactions. Emerging research from terrestrial and wetland ecosystems demonstrates that below-ground processes under microbial control can determine the outcome of i"&amp;"nteractions between native and invasive plants. Whether sediment microbes modify the success of invasive macrophytes in marine ecosystems is untested, despite marine sediment microbes controlling many ecological processes (e.g. nutrient cycling) comparabl"&amp;"e to those in terrestrial ecosystems. We first show that sediment bacterial communities differ between the native seagrass Zostera capricorni and the invasive alga Caulerpa taxifolia and that those differences relate to functional changes in sulfur cyclin"&amp;"g between the macrophytes. Second, by experimentally manipulating the microbial communities we show that intact microbial communities in Z. capricorni sediments provide biotic resistance by reducing C. taxifolia fragment growth 119% compared to when they "&amp;"are inactive, and intact microbial communities in C. taxifolia sediments have positive feedbacks by increasing fragment growth 200%. Thus, similar to terrestrial ecosystems, microorganisms appear to indirectly control the success of invasive macrophytes i"&amp;"n marine ecosystems.")</f>
        <v>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v>
      </c>
      <c r="C1355" s="24" t="str">
        <f>IFERROR(__xludf.DUMMYFUNCTION("""COMPUTED_VALUE"""),"10.1038/s41598-017-10231-2")</f>
        <v>10.1038/s41598-017-10231-2</v>
      </c>
      <c r="D1355" s="24" t="str">
        <f>IFERROR(__xludf.DUMMYFUNCTION("""COMPUTED_VALUE"""),"Keck et al")</f>
        <v>Keck et al</v>
      </c>
      <c r="E1355" s="24" t="str">
        <f>IFERROR(__xludf.DUMMYFUNCTION("""COMPUTED_VALUE"""),"WOS:000408538100087")</f>
        <v>WOS:000408538100087</v>
      </c>
      <c r="F1355" s="24" t="str">
        <f>IFERROR(__xludf.DUMMYFUNCTION("""COMPUTED_VALUE"""),"[""ELIGIBLE""]")</f>
        <v>["ELIGIBLE"]</v>
      </c>
    </row>
    <row r="1356">
      <c r="A1356" s="24" t="str">
        <f>IFERROR(__xludf.DUMMYFUNCTION("""COMPUTED_VALUE"""),"Tropical forest fires and biodiversity: dung beetle community and biomass responses in a northern Brazilian Amazon forest")</f>
        <v>Tropical forest fires and biodiversity: dung beetle community and biomass responses in a northern Brazilian Amazon forest</v>
      </c>
      <c r="B1356" s="24" t="str">
        <f>IFERROR(__xludf.DUMMYFUNCTION("""COMPUTED_VALUE"""),"The Brazilian Amazon is under threat from more frequent and intense forest fires, with a few studies showing negative consequences for forest integrity and the biodiversity. However, the impacts of this disturbance on tropical forests remain mostly unknow"&amp;"n. We investigate the impacts of forest fires on community parameters and biomass of dung beetles, a cost-effective indicator of disturbance and overall biodiversity, in the northern Brazilian Amazon. Our results indicate that burned forests harbor a modi"&amp;"fied dung beetle community, with altered abundance, community composition, and structure. Burned forest samples had lower total biomass and were dominated by small-bodied dung beetles. Large-bodied tunneler species were negatively impacted, responding to "&amp;"changes in environmental characteristics such as soil compaction. Lower biomass and higher predominance of smaller species in burned forest is likely to impact dung beetle-mediated ecological functions, such as nutrient cycling and seed dispersal. Our res"&amp;"ults support that forest fires in the Brazilian Amazon pose a serious threat to local biodiversity and habitat integrity.")</f>
        <v>The Brazilian Amazon is under threat from more frequent and intense forest fires, with a few studies showing negative consequences for forest integrity and the biodiversity. However, the impacts of this disturbance on tropical forests remain mostly unknown. We investigate the impacts of forest fires on community parameters and biomass of dung beetles, a cost-effective indicator of disturbance and overall biodiversity, in the northern Brazilian Amazon. Our results indicate that burned forests harbor a modified dung beetle community, with altered abundance, community composition, and structure. Burned forest samples had lower total biomass and were dominated by small-bodied dung beetles. Large-bodied tunneler species were negatively impacted, responding to changes in environmental characteristics such as soil compaction. Lower biomass and higher predominance of smaller species in burned forest is likely to impact dung beetle-mediated ecological functions, such as nutrient cycling and seed dispersal. Our results support that forest fires in the Brazilian Amazon pose a serious threat to local biodiversity and habitat integrity.</v>
      </c>
      <c r="C1356" s="24" t="str">
        <f>IFERROR(__xludf.DUMMYFUNCTION("""COMPUTED_VALUE"""),"10.1007/s10841-014-9719-4")</f>
        <v>10.1007/s10841-014-9719-4</v>
      </c>
      <c r="D1356" s="24" t="str">
        <f>IFERROR(__xludf.DUMMYFUNCTION("""COMPUTED_VALUE"""),"Keck et al")</f>
        <v>Keck et al</v>
      </c>
      <c r="E1356" s="24" t="str">
        <f>IFERROR(__xludf.DUMMYFUNCTION("""COMPUTED_VALUE"""),"WOS:000345769600008")</f>
        <v>WOS:000345769600008</v>
      </c>
      <c r="F1356" s="24" t="str">
        <f>IFERROR(__xludf.DUMMYFUNCTION("""COMPUTED_VALUE"""),"[""ELIGIBLE""]")</f>
        <v>["ELIGIBLE"]</v>
      </c>
    </row>
    <row r="1357">
      <c r="A1357" s="24" t="str">
        <f>IFERROR(__xludf.DUMMYFUNCTION("""COMPUTED_VALUE"""),"Plant species richness responses to grazing protection and degradation history in a low productivity landscape")</f>
        <v>Plant species richness responses to grazing protection and degradation history in a low productivity landscape</v>
      </c>
      <c r="B1357" s="24" t="str">
        <f>IFERROR(__xludf.DUMMYFUNCTION("""COMPUTED_VALUE"""),"Questions: Does species richness and abundance accumulate with grazing protection in low productivity ecosystems with a short evolutionary history of grazing, as predicted by emerging theory? How do responses to grazing protection inform degradation histo"&amp;"ry? Location: Mulga (Acacia aneura) dry forest, eastern Australia, generally considered chronically degraded by livestock grazing. Methods: Three paired exclosures (ungrazed, and macropod-grazed) were compared with open-grazed areas after 25 years using q"&amp;"uadrats located on either side of the fences. Additionally, the regional flora for mulga dry forest was assessed to identify species that may have declined and could be threatened by grazing. Results: Low herbaceous biomass accumulation (&lt; 1.3 tha(-1)) wi"&amp;"th full grazing protection confirmed a low productivity environment. For most plant life forms the highest species richness was in macropod-grazed exclosures, an intermediate grazing disturbance that best approximates the evolutionary history of the envir"&amp;"onment. This was the net outcome of species that both declined and increased in response to grazing. Regeneration and subsequent self-thinning of mulga was promoted with grazing protection, but did not confound interpretation of species richness and abund"&amp;"ance responses. At the regional scale only 11 native species out of 407 comprising the mulga dry forest flora were identified as rare and potentially threatened by grazing. Conclusions: Significant increases in richness or abundance of native plants with "&amp;"grazing protection, persistence of perennial grasses, regeneration of mulga and scant evidence of a major decline in the regional flora are not consistent with established assertions that long-grazed mulga dry forest has crossed functional thresholds that"&amp;" limit recovery. Further, a peak in species richness under intermediate (macropod) grazing is counter to the shape of the response predicted by emerging theory for recovery of species richness in a low productivity environment. The finding prompts a more "&amp;"thorough understanding of the distinction between environments with inherently low productivity and those degraded by grazing.")</f>
        <v>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v>
      </c>
      <c r="C1357" s="24" t="str">
        <f>IFERROR(__xludf.DUMMYFUNCTION("""COMPUTED_VALUE"""),"10.1111/j.1654-1103.2011.01305.x")</f>
        <v>10.1111/j.1654-1103.2011.01305.x</v>
      </c>
      <c r="D1357" s="24" t="str">
        <f>IFERROR(__xludf.DUMMYFUNCTION("""COMPUTED_VALUE"""),"Keck et al")</f>
        <v>Keck et al</v>
      </c>
      <c r="E1357" s="24" t="str">
        <f>IFERROR(__xludf.DUMMYFUNCTION("""COMPUTED_VALUE"""),"WOS:000296387700004")</f>
        <v>WOS:000296387700004</v>
      </c>
      <c r="F1357" s="24" t="str">
        <f>IFERROR(__xludf.DUMMYFUNCTION("""COMPUTED_VALUE"""),"[""ELIGIBLE""]")</f>
        <v>["ELIGIBLE"]</v>
      </c>
    </row>
    <row r="1358">
      <c r="A1358" s="24" t="str">
        <f>IFERROR(__xludf.DUMMYFUNCTION("""COMPUTED_VALUE"""),"The invader Carpobrotus edulis promotes a specific rhizosphere microbiome across globally distributed coastal ecosystems")</f>
        <v>The invader Carpobrotus edulis promotes a specific rhizosphere microbiome across globally distributed coastal ecosystems</v>
      </c>
      <c r="B1358" s="24" t="str">
        <f>IFERROR(__xludf.DUMMYFUNCTION("""COMPUTED_VALUE"""),"The importance of plant-microbe interactions to the success of invasive plants has rarely been studied at a global scale. Carpobrotus edulis (L) N. E. Br is an aggressive invader in many areas around the world, forming dense mats in coastal environments. "&amp;"In an approach at a large geographical scale, over a wide latitudinal and climatic range, we tested the ability of C edulis to alter the local bacterial and fungal community structure and microbial activity in eight invaded coastal locations. The factors "&amp;"invasiveness and geographical location had a significant effect on the soil microbiota, the microbial community composition and structure from the rhizosphere of native and C. edulis plants being distinct in every location. The effect of the invader on al"&amp;"l the chemical, physico-chemical, and microbiological properties studied depended on the invaded location. The soil bacterial and fungal community composition and structure were related to the soil available nutrients and mean annual rainfall, and those o"&amp;"f the soil bacterial community were also linked to the soil respiration and latitude. Overall, our results reveal that the ability of the invader C. edulis to alter soil microbial community structure harboring a specific microbiome was widespread across a"&amp;" large invaded range - leading to concurring changes in the rhizosphere microbial functioning, such as nutrient cycling. (C) 2020 Elsevier B.V. All rights reserved.")</f>
        <v>The importance of plant-microbe interactions to the success of invasive plants has rarely been studied at a global scale. Carpobrotus edulis (L) N. E. Br is an aggressive invader in many areas around the world, forming dense mats in coastal environments. In an approach at a large geographical scale, over a wide latitudinal and climatic range, we tested the ability of C edulis to alter the local bacterial and fungal community structure and microbial activity in eight invaded coastal locations. The factors invasiveness and geographical location had a significant effect on the soil microbiota, the microbial community composition and structure from the rhizosphere of native and C. edulis plants being distinct in every location. The effect of the invader on all the chemical, physico-chemical, and microbiological properties studied depended on the invaded location. The soil bacterial and fungal community composition and structure were related to the soil available nutrients and mean annual rainfall, and those of the soil bacterial community were also linked to the soil respiration and latitude. Overall, our results reveal that the ability of the invader C. edulis to alter soil microbial community structure harboring a specific microbiome was widespread across a large invaded range - leading to concurring changes in the rhizosphere microbial functioning, such as nutrient cycling. (C) 2020 Elsevier B.V. All rights reserved.</v>
      </c>
      <c r="C1358" s="24" t="str">
        <f>IFERROR(__xludf.DUMMYFUNCTION("""COMPUTED_VALUE"""),"10.1016/j.scitotenv.2020.137347")</f>
        <v>10.1016/j.scitotenv.2020.137347</v>
      </c>
      <c r="D1358" s="24" t="str">
        <f>IFERROR(__xludf.DUMMYFUNCTION("""COMPUTED_VALUE"""),"Keck et al")</f>
        <v>Keck et al</v>
      </c>
      <c r="E1358" s="24" t="str">
        <f>IFERROR(__xludf.DUMMYFUNCTION("""COMPUTED_VALUE"""),"WOS:000521936300120")</f>
        <v>WOS:000521936300120</v>
      </c>
      <c r="F1358" s="24" t="str">
        <f>IFERROR(__xludf.DUMMYFUNCTION("""COMPUTED_VALUE"""),"[""ELIGIBLE""]")</f>
        <v>["ELIGIBLE"]</v>
      </c>
    </row>
    <row r="1359">
      <c r="A1359" s="24" t="str">
        <f>IFERROR(__xludf.DUMMYFUNCTION("""COMPUTED_VALUE"""),"Knickpoint effects on macroinvertebrates, sediment, and discharge in urban and forested streams: urbanization outweighs microscale habitat heterogeneity")</f>
        <v>Knickpoint effects on macroinvertebrates, sediment, and discharge in urban and forested streams: urbanization outweighs microscale habitat heterogeneity</v>
      </c>
      <c r="B1359" s="24" t="str">
        <f>IFERROR(__xludf.DUMMYFUNCTION("""COMPUTED_VALUE"""),"Knickpoints are dynamic geomorphic formations in the longitudinal stream profile that have long been a subject of interest for geomorphologists, but have been largely unstudied in stream ecology. We measured discharge, bed sediment, and macroinvertebrate "&amp;"communities around knickpoints in forested and urban catchments. Knickpoints introduced microscale heterogeneity in discharge. This heterogeneity may be important in providing refugia for benthic biota during low-flow conditions, depending on the conditio"&amp;"n of the bed sediment below the knickpoint, which was highly variable. In addition, knickpoints supported a unique filterer-dominated community of macroinvertebrates not found elsewhere in the stream reach. The knickpoint itself also may maintain a higher"&amp;" overall density of macroinvertebrates in comparison to other habitats in the stream reach, but this prediction was only weakly supported. Instead, the largest differences in macroinvertebrate community metrics were consistently between urban and forested"&amp;" knickpoints. Decreases in density, species richness, and diversity from forested to urban knickpoints greatly outweighed any longitudinal differences in the macroinvertebrate community within individual knickpoint sites. Thus, we conclude that knickpoint"&amp;"s may serve as hotspots of biodiversity and provide substantial habitat heterogeneity over a small area, but the valley-scale influence of catchment land use far outweighs the effect of these microscale geomorphic features in influencing benthic communiti"&amp;"es.")</f>
        <v>Knickpoints are dynamic geomorphic formations in the longitudinal stream profile that have long been a subject of interest for geomorphologists, but have been largely unstudied in stream ecology. We measured discharge, bed sediment, and macroinvertebrate communities around knickpoints in forested and urban catchments. Knickpoints introduced microscale heterogeneity in discharge. This heterogeneity may be important in providing refugia for benthic biota during low-flow conditions, depending on the condition of the bed sediment below the knickpoint, which was highly variable. In addition, knickpoints supported a unique filterer-dominated community of macroinvertebrates not found elsewhere in the stream reach. The knickpoint itself also may maintain a higher overall density of macroinvertebrates in comparison to other habitats in the stream reach, but this prediction was only weakly supported. Instead, the largest differences in macroinvertebrate community metrics were consistently between urban and forested knickpoints. Decreases in density, species richness, and diversity from forested to urban knickpoints greatly outweighed any longitudinal differences in the macroinvertebrate community within individual knickpoint sites. Thus, we conclude that knickpoints may serve as hotspots of biodiversity and provide substantial habitat heterogeneity over a small area, but the valley-scale influence of catchment land use far outweighs the effect of these microscale geomorphic features in influencing benthic communities.</v>
      </c>
      <c r="C1359" s="24" t="str">
        <f>IFERROR(__xludf.DUMMYFUNCTION("""COMPUTED_VALUE"""),"10.1899/11-010.1")</f>
        <v>10.1899/11-010.1</v>
      </c>
      <c r="D1359" s="24" t="str">
        <f>IFERROR(__xludf.DUMMYFUNCTION("""COMPUTED_VALUE"""),"Keck et al")</f>
        <v>Keck et al</v>
      </c>
      <c r="E1359" s="24" t="str">
        <f>IFERROR(__xludf.DUMMYFUNCTION("""COMPUTED_VALUE"""),"WOS:000309904800002")</f>
        <v>WOS:000309904800002</v>
      </c>
      <c r="F1359" s="24" t="str">
        <f>IFERROR(__xludf.DUMMYFUNCTION("""COMPUTED_VALUE"""),"[""ELIGIBLE""]")</f>
        <v>["ELIGIBLE"]</v>
      </c>
    </row>
    <row r="1360">
      <c r="A1360" s="24" t="str">
        <f>IFERROR(__xludf.DUMMYFUNCTION("""COMPUTED_VALUE"""),"Converting land into golf courses - effects on ground beetles (Coleoptera, Carabidae)")</f>
        <v>Converting land into golf courses - effects on ground beetles (Coleoptera, Carabidae)</v>
      </c>
      <c r="B1360" s="24" t="str">
        <f>IFERROR(__xludf.DUMMYFUNCTION("""COMPUTED_VALUE"""),"Some golf courses start off as half-size, 9-hole courses and, if successful, expand in area to full-size courses, thus converting more land to highly managed greenspace. We investigated carabid beetle assemblages in three established and newly created sub"&amp;"urban golf courses in Helsinki, southern Finland. Beetles were collected from similar habitat types on established courses, newly created courses and nearby reference areas. Seventy-one carabid beetle species were collected and the beetle assemblages were"&amp;" dominated by open habitat and generalist species. Assemblages differed considerably between the three golf courses studied and between the habitat types sampled, but not between course development stages (established vs. newly created) or reference areas"&amp;". We argue that some carabid beetle species in the urban landscape in Helsinki are resilient and capable of rapidly colonising these modified environments. Under current management regimes, these golf courses in Helsinki, Finland, do not host carabid beet"&amp;"les of conservation concern, yet are rich in generalist and open habitat species.")</f>
        <v>Some golf courses start off as half-size, 9-hole courses and, if successful, expand in area to full-size courses, thus converting more land to highly managed greenspace. We investigated carabid beetle assemblages in three established and newly created suburban golf courses in Helsinki, southern Finland. Beetles were collected from similar habitat types on established courses, newly created courses and nearby reference areas. Seventy-one carabid beetle species were collected and the beetle assemblages were dominated by open habitat and generalist species. Assemblages differed considerably between the three golf courses studied and between the habitat types sampled, but not between course development stages (established vs. newly created) or reference areas. We argue that some carabid beetle species in the urban landscape in Helsinki are resilient and capable of rapidly colonising these modified environments. Under current management regimes, these golf courses in Helsinki, Finland, do not host carabid beetles of conservation concern, yet are rich in generalist and open habitat species.</v>
      </c>
      <c r="C1360" s="24" t="str">
        <f>IFERROR(__xludf.DUMMYFUNCTION("""COMPUTED_VALUE"""),"10.1111/icad.12103")</f>
        <v>10.1111/icad.12103</v>
      </c>
      <c r="D1360" s="24" t="str">
        <f>IFERROR(__xludf.DUMMYFUNCTION("""COMPUTED_VALUE"""),"Keck et al")</f>
        <v>Keck et al</v>
      </c>
      <c r="E1360" s="24" t="str">
        <f>IFERROR(__xludf.DUMMYFUNCTION("""COMPUTED_VALUE"""),"WOS:000354569100006")</f>
        <v>WOS:000354569100006</v>
      </c>
      <c r="F1360" s="24" t="str">
        <f>IFERROR(__xludf.DUMMYFUNCTION("""COMPUTED_VALUE"""),"[""ELIGIBLE""]")</f>
        <v>["ELIGIBLE"]</v>
      </c>
    </row>
    <row r="1361">
      <c r="A1361" s="24" t="str">
        <f>IFERROR(__xludf.DUMMYFUNCTION("""COMPUTED_VALUE"""),"Immune-mediated disease associated microbial community responded to PAH stress in phyllosphere of roadside greenspaces in Shanghai")</f>
        <v>Immune-mediated disease associated microbial community responded to PAH stress in phyllosphere of roadside greenspaces in Shanghai</v>
      </c>
      <c r="B1361" s="24" t="str">
        <f>IFERROR(__xludf.DUMMYFUNCTION("""COMPUTED_VALUE"""),"Microorganisms in urban greenspaces play key roles in ecosystem service provision and potentially influence human health. Increasing evidence suggests that anthropogenic disturbance poses constant stress on urban microbial communities, yet, as previous st"&amp;"udies have focused on non-contaminated greenspaces, it has remained largely unknown how microorganisms respond to anthropogenic stress in roadside greenspaces with contamination. Our previous effort determined phyllosphere PAHs of camphor trees in 84 site"&amp;"s of roadside greenspaces along the urban-rural gradient in Shanghai. Here, we further investigated the phyllosphere microbial communities (PMCs) of the same sites across the same urban categories, including urban, suburban, and rural areas using high-thr"&amp;"oughput DNA sequencing. We aimed to explore how PMCs, especially those associated with immune-mediated diseases (IMDs), were affected by PAHs and the surrounding land-use types. We found that several microorganisms associated with increasing IMD risk were"&amp;" stimulated by PAHs. The composition of PMCs differed between the three urban categories which can be largely explained by the variation of phyllosphere PAH concentration and the surrounding land-use types. Similar to our previous study, suburban areas we"&amp;"re linked with the most potential adverse health effects, where we observed the lowest bacterial diversity, the highest relative abundance of IMD-associated bacteria, and the highest relative abundance of Pathotroph. Urban greenblue infrastructure (GBI) w"&amp;"as positively correlated with the diversity of PMCs, whereas urban grey infrastructure tended to homogenize PMCs. Notably, GBI also reduced the relative abundance of IMD-associated and pathogenic microbes, indicating the potential health benefits of GBI i"&amp;"n land-use planning. Taken together, our study emphasizes the need to further investigate environmental communities in contaminated traffic environments, as human microbiomes are directly exposed to risky microorganisms.")</f>
        <v>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v>
      </c>
      <c r="C1361" s="24" t="str">
        <f>IFERROR(__xludf.DUMMYFUNCTION("""COMPUTED_VALUE"""),"10.1016/j.envpol.2021.118379")</f>
        <v>10.1016/j.envpol.2021.118379</v>
      </c>
      <c r="D1361" s="24" t="str">
        <f>IFERROR(__xludf.DUMMYFUNCTION("""COMPUTED_VALUE"""),"Keck et al")</f>
        <v>Keck et al</v>
      </c>
      <c r="E1361" s="24" t="str">
        <f>IFERROR(__xludf.DUMMYFUNCTION("""COMPUTED_VALUE"""),"WOS:000711833000008")</f>
        <v>WOS:000711833000008</v>
      </c>
      <c r="F1361" s="24" t="str">
        <f>IFERROR(__xludf.DUMMYFUNCTION("""COMPUTED_VALUE"""),"[""ELIGIBLE""]")</f>
        <v>["ELIGIBLE"]</v>
      </c>
    </row>
    <row r="1362">
      <c r="A1362" s="24" t="str">
        <f>IFERROR(__xludf.DUMMYFUNCTION("""COMPUTED_VALUE"""),"An invasion revisited:: the African big-headed ant (Pheidole megacephala) in northern Australia")</f>
        <v>An invasion revisited:: the African big-headed ant (Pheidole megacephala) in northern Australia</v>
      </c>
      <c r="B1362" s="24" t="str">
        <f>IFERROR(__xludf.DUMMYFUNCTION("""COMPUTED_VALUE"""),"Long-term studies provide the best information for invasion ecology as multi-temporal sampling can illuminate invasion dynamics, such as population changes and rate of spread. In 1996, Hoffmann et al. surveyed an infestation of African big-headed ant, Phe"&amp;"idole megacephala, in semi-natural rainforest of northern Australia. Here, we re-survey this infestation 9 years later to assess the dynamics of this invasion against the key finding of the initial study. Importantly, we re-sample a site sampled prior to "&amp;"invasion to demonstrate the causal link between an infestation and changes in a native invertebrate community. We found the area infested had almost doubled, and P. megacephala biomass in infested sites was up to 18 times greater than that of native ants "&amp;"in uninfested sites. In the two sites with the youngest infestations in 1996, P. megacephala abundance had increased more than 20-fold than that measured in 1996. Native ant abundance and species richness in infested sites were notably lower in 2005, with"&amp;" only one native ant specimen found in the most recently infested site. The abundance of other macro-invertebrates was the lowest in the three oldest infested sites. Coleoptera and Orthoptera were less abundant in infested sites. This study supports the f"&amp;"indings of the first 'snapshot' study, and has shown that the area infested has almost doubled, populations are increasing, and ecological impacts remain severe. It reinforces that P. megacephala represents a serious ecological threat, and we argue that t"&amp;"here is a greater need for management of this ant globally.")</f>
        <v>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v>
      </c>
      <c r="C1362" s="24" t="str">
        <f>IFERROR(__xludf.DUMMYFUNCTION("""COMPUTED_VALUE"""),"10.1007/s10530-007-9194-x")</f>
        <v>10.1007/s10530-007-9194-x</v>
      </c>
      <c r="D1362" s="24" t="str">
        <f>IFERROR(__xludf.DUMMYFUNCTION("""COMPUTED_VALUE"""),"Keck et al")</f>
        <v>Keck et al</v>
      </c>
      <c r="E1362" s="24" t="str">
        <f>IFERROR(__xludf.DUMMYFUNCTION("""COMPUTED_VALUE"""),"WOS:000258704400022")</f>
        <v>WOS:000258704400022</v>
      </c>
      <c r="F1362" s="24" t="str">
        <f>IFERROR(__xludf.DUMMYFUNCTION("""COMPUTED_VALUE"""),"[""ELIGIBLE""]")</f>
        <v>["ELIGIBLE"]</v>
      </c>
    </row>
    <row r="1363">
      <c r="A1363" s="24" t="str">
        <f>IFERROR(__xludf.DUMMYFUNCTION("""COMPUTED_VALUE"""),"The Port of Trieste (Northern Adriatic Sea) - A Case Study of the Ecosystem Approach to Management")</f>
        <v>The Port of Trieste (Northern Adriatic Sea) - A Case Study of the Ecosystem Approach to Management</v>
      </c>
      <c r="B1363" s="24" t="str">
        <f>IFERROR(__xludf.DUMMYFUNCTION("""COMPUTED_VALUE"""),"This study is a rare example of the ecosystem approach to management that has been carried out for the purpose of providing practical support to decision-makers in managing a Site of National Interest (SIN) where activities such as fishing, aquaculture an"&amp;"d swimming are restricted. Benthic ecosystem functioning was assessed to verify whether it would be possible to exclude the less contaminated part from the SIN and its legislative constraints. At five macrosites subjected to diversified industrialization "&amp;"and anthropization, we evaluated the structural characteristics of the sediments, both heterotrophic and phototrophic communities, and the main processes of production, transformation and consumption of organic matter at seven stations, plus a reference s"&amp;"ite. Along the north-eastern boundary of the bay, the port, shipbuilding and iron foundry areas, characterized by high levels of contaminants, low macrozoobenthic diversity, major organic contents (up to 51.1 mgC g(-1)) and higher numbers of hydrocarbon d"&amp;"egrading bacteria (up to 5,464 MPN g(dry)(-1)). differed significantly (R-ANOSIM = 0.463, rho = 2.9%) from the other areas (stations). Oxygen consumption (-15.22 +/- 1.59 mgC m(-2)) prevailed over primary production and the trophic state was net heterotro"&amp;"phic. In contrast, on the other side of the harbor (residential area/center bay), contamination levels were below the legal limits and both the microalgal and macrobenthic communities displayed higher biodiversity. Higher macrofaunal abundances (up to 753"&amp;" +/- 174.7 ind.m(-2)), primary production rates (up to 58.60 +/- 8.41 mgC m(-2)) and exoenzymatic activities were estimated. nMDS and SIMPROF analyses performed on benthic communities significantly separated the most contaminated stations from the other o"&amp;"nes. Overall, by applying this holistic approach, a better environmental situation was highlighted along the southern boundary of the bay and according to these results this part of the bay could be excluded from the SIN. However, further sampling is requ"&amp;"ired along a finer sampling grid in the less contaminated side of the port in order to confirm these first results. Our work is one of the first case studies where such an ecosystem approach has been applied to a port area, in order to provide practical s"&amp;"upport to decision-makers involved in the spatial planning of harbor zones.")</f>
        <v>This study is a rare example of the ecosystem approach to management that has been carried out for the purpose of providing practical support to decision-makers in managing a Site of National Interest (SIN) where activities such as fishing, aquaculture and swimming are restricted. Benthic ecosystem functioning was assessed to verify whether it would be possible to exclude the less contaminated part from the SIN and its legislative constraints. At five macrosites subjected to diversified industrialization and anthropization, we evaluated the structural characteristics of the sediments, both heterotrophic and phototrophic communities, and the main processes of production, transformation and consumption of organic matter at seven stations, plus a reference site. Along the north-eastern boundary of the bay, the port, shipbuilding and iron foundry areas, characterized by high levels of contaminants, low macrozoobenthic diversity, major organic contents (up to 51.1 mgC g(-1)) and higher numbers of hydrocarbon degrading bacteria (up to 5,464 MPN g(dry)(-1)). differed significantly (R-ANOSIM = 0.463, rho = 2.9%) from the other areas (stations). Oxygen consumption (-15.22 +/- 1.59 mgC m(-2)) prevailed over primary production and the trophic state was net heterotrophic. In contrast, on the other side of the harbor (residential area/center bay), contamination levels were below the legal limits and both the microalgal and macrobenthic communities displayed higher biodiversity. Higher macrofaunal abundances (up to 753 +/- 174.7 ind.m(-2)), primary production rates (up to 58.60 +/- 8.41 mgC m(-2)) and exoenzymatic activities were estimated. nMDS and SIMPROF analyses performed on benthic communities significantly separated the most contaminated stations from the other ones. Overall, by applying this holistic approach, a better environmental situation was highlighted along the southern boundary of the bay and according to these results this part of the bay could be excluded from the SIN. However, further sampling is required along a finer sampling grid in the less contaminated side of the port in order to confirm these first results. Our work is one of the first case studies where such an ecosystem approach has been applied to a port area, in order to provide practical support to decision-makers involved in the spatial planning of harbor zones.</v>
      </c>
      <c r="C1363" s="24" t="str">
        <f>IFERROR(__xludf.DUMMYFUNCTION("""COMPUTED_VALUE"""),"10.3389/fmars.2017.00336")</f>
        <v>10.3389/fmars.2017.00336</v>
      </c>
      <c r="D1363" s="24" t="str">
        <f>IFERROR(__xludf.DUMMYFUNCTION("""COMPUTED_VALUE"""),"Keck et al")</f>
        <v>Keck et al</v>
      </c>
      <c r="E1363" s="24" t="str">
        <f>IFERROR(__xludf.DUMMYFUNCTION("""COMPUTED_VALUE"""),"WOS:000457690600334")</f>
        <v>WOS:000457690600334</v>
      </c>
      <c r="F1363" s="24" t="str">
        <f>IFERROR(__xludf.DUMMYFUNCTION("""COMPUTED_VALUE"""),"[""ELIGIBLE""]")</f>
        <v>["ELIGIBLE"]</v>
      </c>
    </row>
    <row r="1364">
      <c r="A1364" s="24" t="str">
        <f>IFERROR(__xludf.DUMMYFUNCTION("""COMPUTED_VALUE"""),"Aspen succession and nitrogen loading: a case for epiphytic lichens as bioindicators in the Rocky Mountains, USA")</f>
        <v>Aspen succession and nitrogen loading: a case for epiphytic lichens as bioindicators in the Rocky Mountains, USA</v>
      </c>
      <c r="B1364" s="24" t="str">
        <f>IFERROR(__xludf.DUMMYFUNCTION("""COMPUTED_VALUE"""),"Can lichen communities be used to assess short- and long-term factors affecting seral quaking aspen (Populus tremuloides) communities at the landscape scale? Bear River Range, within the Rocky Mountains, in northern Utah and southern Idaho, USA. Forty-sev"&amp;"en randomly selected mid-elevation aspen stands were sampled for lichens and stand conditions. Plots were characterized according to tree species cover, basal area, stand age, bole scarring, tree damage, and presence of lichen species. We also recorded am"&amp;"monia emissions with passive sensors at 25 urban and agricultural sites throughout an adjacent populated valley upwind of the forest stands. Nonmetric multidimensional scaling (NMS) ordination was used to evaluate an array of 20 variables suspected to inf"&amp;"luence lichen communities. In NMS, forest succession explained most variance in lichen composition and abundance, although atmospheric nitrogen from local agricultural and urban sources also significantly influenced the lichen communities. Abundance of ni"&amp;"trophilous lichen species decreased with distance from peak ammonia sources and the urban center in all aspen succession classes. One lichen, Phaeophyscia nigricans, was found to be an effective bioindicator of nitrogen loading. Lichen communities in this"&amp;" landscape assessment of aspen forests showed clear responses to long-term (stand succession) and short-term (nitrogen deposition) influences. At the same time, several environmental factors (e.g. tree damage and scarring, distance to valley, topography, "&amp;"and stand age) had little influence on these same lichen communities. We recommend further use of epiphytic lichens as bioindicators of dynamic forest conditions.")</f>
        <v>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v>
      </c>
      <c r="C1364" s="24" t="str">
        <f>IFERROR(__xludf.DUMMYFUNCTION("""COMPUTED_VALUE"""),"10.1111/j.1654-1103.2009.01064.x")</f>
        <v>10.1111/j.1654-1103.2009.01064.x</v>
      </c>
      <c r="D1364" s="24" t="str">
        <f>IFERROR(__xludf.DUMMYFUNCTION("""COMPUTED_VALUE"""),"Keck et al")</f>
        <v>Keck et al</v>
      </c>
      <c r="E1364" s="24" t="str">
        <f>IFERROR(__xludf.DUMMYFUNCTION("""COMPUTED_VALUE"""),"WOS:000266244100012")</f>
        <v>WOS:000266244100012</v>
      </c>
      <c r="F1364" s="24" t="str">
        <f>IFERROR(__xludf.DUMMYFUNCTION("""COMPUTED_VALUE"""),"[""ELIGIBLE""]")</f>
        <v>["ELIGIBLE"]</v>
      </c>
    </row>
    <row r="1365">
      <c r="A1365" s="24" t="str">
        <f>IFERROR(__xludf.DUMMYFUNCTION("""COMPUTED_VALUE"""),"Effects of forest fragmentation on assemblages of pollinators and floral visitors to male- and female-phase inflorescences of Astrocaryum mexicanum (Arecaceae) in a Mexican rain forest")</f>
        <v>Effects of forest fragmentation on assemblages of pollinators and floral visitors to male- and female-phase inflorescences of Astrocaryum mexicanum (Arecaceae) in a Mexican rain forest</v>
      </c>
      <c r="B1365" s="24" t="str">
        <f>IFERROR(__xludf.DUMMYFUNCTION("""COMPUTED_VALUE"""),"We examined the consequences of habitat fragmentation on the assemblage of floral visitors and pollinators to male-and female-phase inflorescences of the understorey dominant palm Astrocaryum mexicanum at the Los Tuxtlas tropical rain forest. In six fores"&amp;"t fragments ranging from 2 to 700 ha, we collected all floral visitors, pollinators and non-pollinators, to male-and female-phase inflorescences at the time of their greatest activity. We used multivariate and mixed-effects models to explore differences i"&amp;"n guild composition between sexual phases of inflorescences and the effects of forest fragment size on several metrics of the assemblages of floral visitors. We detected 228 786 floral visitors, grouped into 57 species, across the six forest fragments. On"&amp;" average, abundance and species richness of floral visitors to female-phase inflorescences were higher than to male-phase ones. Forest fragmentation had no effect on species richness but negatively affected Shannon's diversity index. Overall, the most abu"&amp;"ndant species of floral visitors were predominantly found in inflorescences of plants from the large fragments. In contrast, most of the less common species were more abundant in the smallest fragments. The abundance of pollinators (those found on inflore"&amp;"scences of both phases and dusted with pollen that was carried to flower stigmas), and the ratio of pollinators to other floral visitors, increased with fragment size in both sexual phases of the inflorescences but these effects were significantly stronge"&amp;"r on male-phase inflorescences than on female-phase inflorescences. These results show that tropical forest fragmentation correlates with changes in the composition of flower visitors to a dominant palm, with a reduction in the abundance of pollinators, b"&amp;"ut that such changes co-vary with the sexual phase of the plants.")</f>
        <v>We examined the consequences of habitat fragmentation on the assemblage of floral visitors and pollinators to male-and female-phase inflorescences of the understorey dominant palm Astrocaryum mexicanum at the Los Tuxtlas tropical rain forest. In six forest fragments ranging from 2 to 700 ha, we collected all floral visitors, pollinators and non-pollinators, to male-and female-phase inflorescences at the time of their greatest activity. We used multivariate and mixed-effects models to explore differences in guild composition between sexual phases of inflorescences and the effects of forest fragment size on several metrics of the assemblages of floral visitors. We detected 228 786 floral visitors, grouped into 57 species, across the six forest fragments. On average, abundance and species richness of floral visitors to female-phase inflorescences were higher than to male-phase ones. Forest fragmentation had no effect on species richness but negatively affected Shannon's diversity index. Overall, the most abundant species of floral visitors were predominantly found in inflorescences of plants from the large fragments. In contrast, most of the less common species were more abundant in the smallest fragments. The abundance of pollinators (those found on inflorescences of both phases and dusted with pollen that was carried to flower stigmas), and the ratio of pollinators to other floral visitors, increased with fragment size in both sexual phases of the inflorescences but these effects were significantly stronger on male-phase inflorescences than on female-phase inflorescences. These results show that tropical forest fragmentation correlates with changes in the composition of flower visitors to a dominant palm, with a reduction in the abundance of pollinators, but that such changes co-vary with the sexual phase of the plants.</v>
      </c>
      <c r="C1365" s="24" t="str">
        <f>IFERROR(__xludf.DUMMYFUNCTION("""COMPUTED_VALUE"""),"10.1017/S0266467410000556")</f>
        <v>10.1017/S0266467410000556</v>
      </c>
      <c r="D1365" s="24" t="str">
        <f>IFERROR(__xludf.DUMMYFUNCTION("""COMPUTED_VALUE"""),"Keck et al")</f>
        <v>Keck et al</v>
      </c>
      <c r="E1365" s="24" t="str">
        <f>IFERROR(__xludf.DUMMYFUNCTION("""COMPUTED_VALUE"""),"WOS:000285722500003")</f>
        <v>WOS:000285722500003</v>
      </c>
      <c r="F1365" s="24" t="str">
        <f>IFERROR(__xludf.DUMMYFUNCTION("""COMPUTED_VALUE"""),"[""ELIGIBLE""]")</f>
        <v>["ELIGIBLE"]</v>
      </c>
    </row>
    <row r="1366">
      <c r="A1366" s="24" t="str">
        <f>IFERROR(__xludf.DUMMYFUNCTION("""COMPUTED_VALUE"""),"Temporal effects of repeated application of biogas slurry on soil antibiotic resistance genes and their potential bacterial hosts")</f>
        <v>Temporal effects of repeated application of biogas slurry on soil antibiotic resistance genes and their potential bacterial hosts</v>
      </c>
      <c r="B1366" s="24" t="str">
        <f>IFERROR(__xludf.DUMMYFUNCTION("""COMPUTED_VALUE"""),"Biogas slurry, a liquid end product of animal manure fermentation, is widely used as fertilizer in crop fields. Land application may introduce antibiotics and related resistance genes from livestock production into agricultural soil. Nevertheless, changes"&amp;" in antimicrobial resistance in soil where biogas slurry has been repeatedly applied are not fully understood. In the present study, 13 veterinary antibiotics were analyzed in soils that were repeatedly sprayed with biogas slurry, and simultaneously, temp"&amp;"oral changes in antibiotic resistance genes (ARGs) and bacterial community composition were investigated using a real-time quantitative PCR assay and MiSeq sequencing. Long-term repeated application of biogas slurry did not result in excessive accumulatio"&amp;"n of antibiotic residuals in the soil but increased the abundance of ARGs and facilitated ARG transfer among potential hosts. Although the quantitative PCR assay showed a decreasing trend for the relative abundance of ARGs over time, a relevance network a"&amp;"nalysis revealed highly complex bacteria-ARG co-occurrence after long-term application, which implied that repeated application might intensify horizontal gene transfer (HGT) of ARGs among different bacterial hosts in soil. The increased relative abundanc"&amp;"e of the intl1 gene supported the shift in ARG-bacteria co-occurrence. Furthermore, ordination analysis showed that the distributions of antibiotic resistance bacteria (ARB) and ARGs were closely related to application duration than to the influence of an"&amp;"tibiotic residuals in the biogas slurry-treated soil environment. Additionally, natural level of ARG abundance in untreated soils indirectly suggested the presence/absence of antibiotics was not a key determinant causing the spread of antimicrobial resist"&amp;"ance. This study provides improved insight into the effects of long-term repeated application of biogas slurry on the shift in ARG abundances and bacteria-ARG co-occurrence in soils, highlighting the need to focus on the influence of changed soil environm"&amp;"ent on the ARG transfer. (C) 2019 Elsevier Ltd. All rights reserved.")</f>
        <v>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v>
      </c>
      <c r="C1366" s="24" t="str">
        <f>IFERROR(__xludf.DUMMYFUNCTION("""COMPUTED_VALUE"""),"10.1016/j.envpol.2019.113652")</f>
        <v>10.1016/j.envpol.2019.113652</v>
      </c>
      <c r="D1366" s="24" t="str">
        <f>IFERROR(__xludf.DUMMYFUNCTION("""COMPUTED_VALUE"""),"Keck et al")</f>
        <v>Keck et al</v>
      </c>
      <c r="E1366" s="24" t="str">
        <f>IFERROR(__xludf.DUMMYFUNCTION("""COMPUTED_VALUE"""),"WOS:000519655100096")</f>
        <v>WOS:000519655100096</v>
      </c>
      <c r="F1366" s="24" t="str">
        <f>IFERROR(__xludf.DUMMYFUNCTION("""COMPUTED_VALUE"""),"[""ELIGIBLE""]")</f>
        <v>["ELIGIBLE"]</v>
      </c>
    </row>
    <row r="1367">
      <c r="A1367" s="24" t="str">
        <f>IFERROR(__xludf.DUMMYFUNCTION("""COMPUTED_VALUE"""),"River damming affects seedling communities of a floodplain forest in the Central Amazon")</f>
        <v>River damming affects seedling communities of a floodplain forest in the Central Amazon</v>
      </c>
      <c r="B1367" s="24" t="str">
        <f>IFERROR(__xludf.DUMMYFUNCTION("""COMPUTED_VALUE"""),"The flood pulse of black water rivers in the Amazon basin determines the composition of species along the flood gradient in igapo forests. The Balbina dam, built on the Uatuma River, has altered the flood pulse and caused changes in the floristic composit"&amp;"ion of adult trees throughout the downstream area. There is a lack of studies on how communities of seedlings in igapo forests respond to changes in the flood pulse. This study investigates the response of seedling communities in the igapo forest downstre"&amp;"am the Balbina dam and compares it with two pristine areas. The areas were sampled with transects of 1x25 m within 36 plots (25x25 m) along the flood gradient. Richness and dominance were calculated by simple regression and ordination analyses. The pristi"&amp;"ne areas had the same pattern of richness, dominance and genera distribution along the flood gradient. However, the affected Uatuma area formed different groups of genera by NMDS analysis, which divided them along the flood gradient with significantly inc"&amp;"reased dominance of three genera. The insertion of the Balbina dam resulted a loss of lateral and longitudinal connectivity for the Uatuma River, and the alteration to seedling communities may alter the future landscape of downstream igapo forests.")</f>
        <v>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v>
      </c>
      <c r="C1367" s="24" t="str">
        <f>IFERROR(__xludf.DUMMYFUNCTION("""COMPUTED_VALUE"""),"10.1590/0102-33062019abb0263")</f>
        <v>10.1590/0102-33062019abb0263</v>
      </c>
      <c r="D1367" s="24" t="str">
        <f>IFERROR(__xludf.DUMMYFUNCTION("""COMPUTED_VALUE"""),"Keck et al")</f>
        <v>Keck et al</v>
      </c>
      <c r="E1367" s="24" t="str">
        <f>IFERROR(__xludf.DUMMYFUNCTION("""COMPUTED_VALUE"""),"WOS:000521733100019")</f>
        <v>WOS:000521733100019</v>
      </c>
      <c r="F1367" s="24" t="str">
        <f>IFERROR(__xludf.DUMMYFUNCTION("""COMPUTED_VALUE"""),"[""ELIGIBLE""]")</f>
        <v>["ELIGIBLE"]</v>
      </c>
    </row>
    <row r="1368">
      <c r="A1368" s="24" t="str">
        <f>IFERROR(__xludf.DUMMYFUNCTION("""COMPUTED_VALUE"""),"Forest-farm edge effects on communities of ground beetles (Coleoptera: Carabidae) under different landscape structures")</f>
        <v>Forest-farm edge effects on communities of ground beetles (Coleoptera: Carabidae) under different landscape structures</v>
      </c>
      <c r="B1368" s="24" t="str">
        <f>IFERROR(__xludf.DUMMYFUNCTION("""COMPUTED_VALUE"""),"In fragmented landscapes, ecological processes may be significantly influenced by edge effects, but few data are available for edge effects across forest-farmland edges. We investigated patterns of species richness, abundance, and species composition in g"&amp;"round beetles across forest-farm edges in two different agro-forest landscapes in Korea. Nine and five sites were selected from Hwaseong, a fragmented landscape, in 2011 and 2012, respectively, while eight sites were selected from Hoengseong, a relatively"&amp;" well-protected landscape, in 2012. Ground beetles were collected by pitfall trapping. Species richness was higher in the surrounding habitat than in the forest interior or edge in both Hwaseong and Hoengseong. However, in Hwaseong, species richness of th"&amp;"e forest edge was similar to that of the forest interior, while in Hoengseong forest edge species richness was intermediate between that of the forest interior and surrounding areas. In addition, non-metric multidimensional scaling based on the combined d"&amp;"ata of both locations showed that the species composition of ground beetles in the forest edge was more similar to that of the forest interior than the surrounding areas, although some open-habitat species occurred at the forest edges. Three characteristi"&amp;"c groups (forest specialists, edge-associated species, and open-habitat species) of ground beetle species were detected by indicator value analysis. In our study, ground beetle assemblages differed in the forest edges of two agro-forest landscapes, sugges"&amp;"ting that the edge effect on biota can be influenced by landscape structure.")</f>
        <v>In fragmented landscapes, ecological processes may be significantly influenced by edge effects, but few data are available for edge effects across forest-farmland edges. We investigated patterns of species richness, abundance, and species composition in ground beetles across forest-farm edges in two different agro-forest landscapes in Korea. Nine and five sites were selected from Hwaseong, a fragmented landscape, in 2011 and 2012, respectively, while eight sites were selected from Hoengseong, a relatively well-protected landscape, in 2012. Ground beetles were collected by pitfall trapping. Species richness was higher in the surrounding habitat than in the forest interior or edge in both Hwaseong and Hoengseong. However, in Hwaseong, species richness of the forest edge was similar to that of the forest interior, while in Hoengseong forest edge species richness was intermediate between that of the forest interior and surrounding areas. In addition, non-metric multidimensional scaling based on the combined data of both locations showed that the species composition of ground beetles in the forest edge was more similar to that of the forest interior than the surrounding areas, although some open-habitat species occurred at the forest edges. Three characteristic groups (forest specialists, edge-associated species, and open-habitat species) of ground beetle species were detected by indicator value analysis. In our study, ground beetle assemblages differed in the forest edges of two agro-forest landscapes, suggesting that the edge effect on biota can be influenced by landscape structure.</v>
      </c>
      <c r="C1368" s="24" t="str">
        <f>IFERROR(__xludf.DUMMYFUNCTION("""COMPUTED_VALUE"""),"10.1007/s11284-016-1388-1")</f>
        <v>10.1007/s11284-016-1388-1</v>
      </c>
      <c r="D1368" s="24" t="str">
        <f>IFERROR(__xludf.DUMMYFUNCTION("""COMPUTED_VALUE"""),"Keck et al")</f>
        <v>Keck et al</v>
      </c>
      <c r="E1368" s="24" t="str">
        <f>IFERROR(__xludf.DUMMYFUNCTION("""COMPUTED_VALUE"""),"WOS:000387344900005")</f>
        <v>WOS:000387344900005</v>
      </c>
      <c r="F1368" s="24" t="str">
        <f>IFERROR(__xludf.DUMMYFUNCTION("""COMPUTED_VALUE"""),"[""ELIGIBLE""]")</f>
        <v>["ELIGIBLE"]</v>
      </c>
    </row>
    <row r="1369">
      <c r="A1369" s="24" t="str">
        <f>IFERROR(__xludf.DUMMYFUNCTION("""COMPUTED_VALUE"""),"Coffee agrosystems: an important refuge for amphibians in central Veracruz, Mexico")</f>
        <v>Coffee agrosystems: an important refuge for amphibians in central Veracruz, Mexico</v>
      </c>
      <c r="B1369" s="24" t="str">
        <f>IFERROR(__xludf.DUMMYFUNCTION("""COMPUTED_VALUE"""),"Of the most common types of land use, agroecosystems put enormous pressure on many groups of biological organisms. Amphibians are not the exception and here we show the value of these habitats to the conservation of this group. We evaluated the diversity "&amp;"of amphibians in coffee plantations (traditional and specialized shade) and also in fragments of cloud forest, the ecosystem that was dominant in pre-agricultural central Veracruz, Mexico. A sampling effort of 2,688 person hours recorded 1,078 amphibians "&amp;"belonging to 26 species, 10 families and three orders. Based on the mean complementarity of 64 %, the non-metric multidimensional scaling analysis identified three groups of communities indicating a high degree of species turnover. The Craugastoridae fami"&amp;"ly was dominant at the study sites, representing 40 % of the entire sample. Amphibian diversity was high in cloud forest fragments, followed by the traditional coffee plantation. However, amphibian richness in the specialized shaded coffee plantation was "&amp;"not significantly different from that of the other two habitats. We conclude that the different types of coffee agrosystems are reservoirs for at least 46 % of the species native to cloud forest, indicating that this habitat is very important to the conse"&amp;"rvation of the amphibian fauna in central Veracruz.")</f>
        <v>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v>
      </c>
      <c r="C1369" s="24" t="str">
        <f>IFERROR(__xludf.DUMMYFUNCTION("""COMPUTED_VALUE"""),"10.1007/s10457-013-9595-z")</f>
        <v>10.1007/s10457-013-9595-z</v>
      </c>
      <c r="D1369" s="24" t="str">
        <f>IFERROR(__xludf.DUMMYFUNCTION("""COMPUTED_VALUE"""),"Keck et al")</f>
        <v>Keck et al</v>
      </c>
      <c r="E1369" s="24" t="str">
        <f>IFERROR(__xludf.DUMMYFUNCTION("""COMPUTED_VALUE"""),"WOS:000321519300004")</f>
        <v>WOS:000321519300004</v>
      </c>
      <c r="F1369" s="24" t="str">
        <f>IFERROR(__xludf.DUMMYFUNCTION("""COMPUTED_VALUE"""),"[""ELIGIBLE""]")</f>
        <v>["ELIGIBLE"]</v>
      </c>
    </row>
    <row r="1370">
      <c r="A1370" s="24" t="str">
        <f>IFERROR(__xludf.DUMMYFUNCTION("""COMPUTED_VALUE"""),"Combined effects of drought and the fungicide tebuconazole on aquatic leaf litter decomposition")</f>
        <v>Combined effects of drought and the fungicide tebuconazole on aquatic leaf litter decomposition</v>
      </c>
      <c r="B1370" s="24" t="str">
        <f>IFERROR(__xludf.DUMMYFUNCTION("""COMPUTED_VALUE"""),"Loss of biodiversity and altered ecosystem functioning are driven by the cumulative effects of multiple natural and anthropogenic stressors affecting both quantity and quality of water resources. Here we performed a 40-day laboratory microcosm experiment "&amp;"to assess the individual and combined effects of drought and the model fungicide tebuconazole (TBZ) on leaf litter decomposition (LLD), a fundamental biogeochemical process in freshwater ecosystems. Starting out from a worst-case scenario perspective, lea"&amp;"f-associated microbial communities were exposed to severe drought conditions (four 5-day drought periods alternated with 4-day immersion periods) and/or a chronic exposure to TBZ (nominal concentration of 20 mu g L-1). We assessed the direct effects of dr"&amp;"ought and fungicide on the structure (biomass, diversity) and activity (extracellular enzymatic potential) of fungal and bacterial assemblages colonizing leaves. We also investigated indirect effects on the feeding rates of the amphipod Gammarus fossarum "&amp;"on leaves previously exposed to drought and/or TBZ contamination. Results indicate a stronger effect of drought stress than fungicide contamination under the experimental conditions applied. Indeed, the drought stress strongly impacted microbial community"&amp;" structure and activities, inhibiting the LLD process and leading to cascading effects on macroinvertebrate feeding. However, despite the lack of significant effect of TBZ applied alone, the effects of drought on microbial functions (i.e., decrease in LLD"&amp;" and in enzymatic activities) and on Gammarus feeding rates were more pronounced when drought and TBZ stresses were applied together. In a perspective of ecological risk assessment and ecosystem management for sustainability, these findings stress the nee"&amp;"d for deeper insight into how multiple stressors can affect the functioning of aquatic ecosystems and associated services. (C) 2016 Elsevier B.V. All rights reserved.")</f>
        <v>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v>
      </c>
      <c r="C1370" s="24" t="str">
        <f>IFERROR(__xludf.DUMMYFUNCTION("""COMPUTED_VALUE"""),"10.1016/j.aquatox.2016.01.012")</f>
        <v>10.1016/j.aquatox.2016.01.012</v>
      </c>
      <c r="D1370" s="24" t="str">
        <f>IFERROR(__xludf.DUMMYFUNCTION("""COMPUTED_VALUE"""),"Keck et al")</f>
        <v>Keck et al</v>
      </c>
      <c r="E1370" s="24" t="str">
        <f>IFERROR(__xludf.DUMMYFUNCTION("""COMPUTED_VALUE"""),"WOS:000372689900013")</f>
        <v>WOS:000372689900013</v>
      </c>
      <c r="F1370" s="24" t="str">
        <f>IFERROR(__xludf.DUMMYFUNCTION("""COMPUTED_VALUE"""),"[""ELIGIBLE""]")</f>
        <v>["ELIGIBLE"]</v>
      </c>
    </row>
    <row r="1371">
      <c r="A1371" s="24" t="str">
        <f>IFERROR(__xludf.DUMMYFUNCTION("""COMPUTED_VALUE"""),"Urbanization erodes ectomycorrhizal fungal diversity and may cause microbial communities to converge")</f>
        <v>Urbanization erodes ectomycorrhizal fungal diversity and may cause microbial communities to converge</v>
      </c>
      <c r="B1371" s="24" t="str">
        <f>IFERROR(__xludf.DUMMYFUNCTION("""COMPUTED_VALUE"""),"Urbanization alters the physicochemical environment, introduces non-native species and causes ecosystem characteristics to converge. It has been speculated that these alterations contribute to loss of regional and global biodiversity, but so far most urba"&amp;"n studies have assessed macro-organisms and reported mixed evidence for biodiversity loss. We studied five cities on three continents to assess the global convergence of urban soil microbial communities. We determined the extent to which communities of ba"&amp;"cteria, archaea and fungi are geographically distributed, and to what extent urbanization acts as a filter on species diversity. We discovered that microbial communities in general converge, but the response differed among microbial domains; soil archaeal"&amp;" communities showed the strongest convergence, followed by fungi, while soil bacterial communities did not converge. Our data suggest that urban soil archaeal and bacterial communities are not vulnerable to biodiversity loss, whereas urbanization may be c"&amp;"ontributing to the global diversity loss of ectomycorrhizal fungi. Ectomycorrhizae decreased in both abundance and species richness under turf and ruderal land-uses. These data add to an emerging pattern of widespread suppression of ectomycorrhizal fungi "&amp;"by human land-uses that involve physical disruption of the soil, management of the plant community, or nutrient enrichment.")</f>
        <v>Urbanization alters the physicochemical environment, introduces non-native species and causes ecosystem characteristics to converge. It has been speculated that these alterations contribute to loss of regional and global biodiversity, but so far most urban studies have assessed macro-organisms and reported mixed evidence for biodiversity loss. We studied five cities on three continents to assess the global convergence of urban soil microbial communities. We determined the extent to which communities of bacteria, archaea and fungi are geographically distributed, and to what extent urbanization acts as a filter on species diversity. We discovered that microbial communities in general converge, but the response differed among microbial domains; soil archaeal communities showed the strongest convergence, followed by fungi, while soil bacterial communities did not converge. Our data suggest that urban soil archaeal and bacterial communities are not vulnerable to biodiversity loss, whereas urbanization may be contributing to the global diversity loss of ectomycorrhizal fungi. Ectomycorrhizae decreased in both abundance and species richness under turf and ruderal land-uses. These data add to an emerging pattern of widespread suppression of ectomycorrhizal fungi by human land-uses that involve physical disruption of the soil, management of the plant community, or nutrient enrichment.</v>
      </c>
      <c r="C1371" s="24" t="str">
        <f>IFERROR(__xludf.DUMMYFUNCTION("""COMPUTED_VALUE"""),"10.1038/s41559-017-0123")</f>
        <v>10.1038/s41559-017-0123</v>
      </c>
      <c r="D1371" s="24" t="str">
        <f>IFERROR(__xludf.DUMMYFUNCTION("""COMPUTED_VALUE"""),"Keck et al")</f>
        <v>Keck et al</v>
      </c>
      <c r="E1371" s="24" t="str">
        <f>IFERROR(__xludf.DUMMYFUNCTION("""COMPUTED_VALUE"""),"WOS:000417173100013")</f>
        <v>WOS:000417173100013</v>
      </c>
      <c r="F1371" s="24" t="str">
        <f>IFERROR(__xludf.DUMMYFUNCTION("""COMPUTED_VALUE"""),"[""ELIGIBLE""]")</f>
        <v>["ELIGIBLE"]</v>
      </c>
    </row>
    <row r="1372">
      <c r="A1372" s="24" t="str">
        <f>IFERROR(__xludf.DUMMYFUNCTION("""COMPUTED_VALUE"""),"Frequent fire promotes diversity and cover of biological soil crusts in a derived temperate grassland")</f>
        <v>Frequent fire promotes diversity and cover of biological soil crusts in a derived temperate grassland</v>
      </c>
      <c r="B1372" s="24" t="str">
        <f>IFERROR(__xludf.DUMMYFUNCTION("""COMPUTED_VALUE"""),"The intermediate disturbance hypothesis (IDH) predicts that species diversity is maximized at moderate disturbance levels. This model is often applied to grassy ecosystems, where disturbance can be important for maintaining vascular plant composition and "&amp;"diversity. However, effects of disturbance type and frequency on cover and diversity of non-vascular plants comprising biological soil crusts are poorly known, despite their potentially important role in ecosystem function. We established replicated distu"&amp;"rbance regimes of different type (fire vs. mowing) and frequency (2, 4, 8 yearly and unburnt) in a high-quality, representative Themeda australis-Poa sieberiana derived grassland in south-eastern Australia. Effects on soil crust bryophytes and lichens (he"&amp;"reafter cryptogams) were measured after 12 years. Consistent with expectations under IDH, cryptogam richness and abundance declined under no disturbance, likely due to competitive exclusion by vascular plants as well as high soil turnover by soil inverteb"&amp;"rates beneath thick grass. Disturbance type was also significant, with burning enhancing richness and abundance more than mowing. Contrary to expectations, however, cryptogam richness increased most dramatically under our most frequent and recent (2 year)"&amp;" burning regime, even when changes in abundance were accounted for by rarefaction analysis. Thus, from the perspective of cryptogams, 2-year burning was not an adequately severe disturbance regime to reduce diversity, highlighting the difficulty associate"&amp;"d with expression of disturbance gradients in the application of IDH. Indeed, significant correlations with grassland structure suggest that cryptogam abundance and diversity in this relatively mesic (600 mm annual rainfall) grassland is maximised by freq"&amp;"uent fires that reduce vegetation and litter cover, providing light, open areas and stable soil surfaces for colonisation. This contrasts with detrimental effects of 2-year burning on native perennial grasses, indicating that this proliferation of cryptog"&amp;"ams has potentially high functional significance for situations where vegetation cover is depleted, particularly for reducing soil erosion.")</f>
        <v>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v>
      </c>
      <c r="C1372" s="24" t="str">
        <f>IFERROR(__xludf.DUMMYFUNCTION("""COMPUTED_VALUE"""),"10.1007/s00442-008-1260-2")</f>
        <v>10.1007/s00442-008-1260-2</v>
      </c>
      <c r="D1372" s="24" t="str">
        <f>IFERROR(__xludf.DUMMYFUNCTION("""COMPUTED_VALUE"""),"Keck et al")</f>
        <v>Keck et al</v>
      </c>
      <c r="E1372" s="24" t="str">
        <f>IFERROR(__xludf.DUMMYFUNCTION("""COMPUTED_VALUE"""),"WOS:000264103800014")</f>
        <v>WOS:000264103800014</v>
      </c>
      <c r="F1372" s="24" t="str">
        <f>IFERROR(__xludf.DUMMYFUNCTION("""COMPUTED_VALUE"""),"[""ELIGIBLE""]")</f>
        <v>["ELIGIBLE"]</v>
      </c>
    </row>
    <row r="1373">
      <c r="A1373" s="24" t="str">
        <f>IFERROR(__xludf.DUMMYFUNCTION("""COMPUTED_VALUE"""),"A comparison of biotic groups as dry-phase indicators of ecological quality in intermittent rivers and ephemeral streams")</f>
        <v>A comparison of biotic groups as dry-phase indicators of ecological quality in intermittent rivers and ephemeral streams</v>
      </c>
      <c r="B1373" s="24" t="str">
        <f>IFERROR(__xludf.DUMMYFUNCTION("""COMPUTED_VALUE"""),"Intermittent rivers and ephemeral streams (IRES) are dynamic ecosystems that shift between aquatic and terrestrial states. IRES are widespread, abundant and increasing in extent, but developing biomonitoring programmes to determine their ecological qualit"&amp;"y is challenging. To date, quality assessments have focused on the aquatic organisms present during wet phases, whereas dry-phase communities remain poorly characterized. We examined multiple biotic groups present in dry IRES channels, to compare assembla"&amp;"ges at sites impacted and unimpacted by human activity and to evaluate the potential of each group as an ecological quality indicator. We explored existing, unpublished data for three biotic groups: an aquatic microflora (diatoms), an aquatic fauna (the i"&amp;"nvertebrate `seedbank'), and a mixed flora (aquatic and terrestrial plants); notably, we did not source data for terrestrial assemblages with high potential to act as indicators. Diatom and plant assemblage composition differed between impacted and unimpa"&amp;"cted sites, and the latter assemblages were more diverse and included more indicator taxa. Invertebrate seedbank taxa richness was higher at unimpacted sites but compositional differences were not detected, probably due to the coarse taxonomic resolution "&amp;"to which abundant taxa were identified. Performance of standard indices of ecological quality was variable, but differences were identified between impacted and unimpacted conditions for all biotic groups. Our results can inform the enhancement of biomoni"&amp;"toring programmes designed to characterize IRES ecological quality in relation to legislative targets. We highlight the need to integrate wet- and dry-phase survey data in holistic quality assessments. Although we suggest diatoms, aquatic plants and the a"&amp;"quatic invertebrate seedbank as having the potential to inform assessment of dry-phase ecological quality, we highlight the need for research to further characterize these aquatic groups and, crucially, to explore terrestrial assemblages with high potenti"&amp;"al to act as dry-phase quality indicators.")</f>
        <v>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v>
      </c>
      <c r="C1373" s="24" t="str">
        <f>IFERROR(__xludf.DUMMYFUNCTION("""COMPUTED_VALUE"""),"10.1016/j.ecolind.2018.09.061")</f>
        <v>10.1016/j.ecolind.2018.09.061</v>
      </c>
      <c r="D1373" s="24" t="str">
        <f>IFERROR(__xludf.DUMMYFUNCTION("""COMPUTED_VALUE"""),"Keck et al")</f>
        <v>Keck et al</v>
      </c>
      <c r="E1373" s="24" t="str">
        <f>IFERROR(__xludf.DUMMYFUNCTION("""COMPUTED_VALUE"""),"WOS:000464891000019")</f>
        <v>WOS:000464891000019</v>
      </c>
      <c r="F1373" s="24" t="str">
        <f>IFERROR(__xludf.DUMMYFUNCTION("""COMPUTED_VALUE"""),"[""ELIGIBLE""]")</f>
        <v>["ELIGIBLE"]</v>
      </c>
    </row>
    <row r="1374">
      <c r="A1374" s="24" t="str">
        <f>IFERROR(__xludf.DUMMYFUNCTION("""COMPUTED_VALUE"""),"Native plants are the bee's knees: local and landscape predictors of bee richness and abundance in backyard gardens")</f>
        <v>Native plants are the bee's knees: local and landscape predictors of bee richness and abundance in backyard gardens</v>
      </c>
      <c r="B1374" s="24" t="str">
        <f>IFERROR(__xludf.DUMMYFUNCTION("""COMPUTED_VALUE"""),"Urban gardens may support bees by providing resources in otherwise resource-poor environments. However, it is unclear whether urban, backyard gardens with native plants will support more bees than gardens without native plants. We examined backyard garden"&amp;"s in northwestern Ohio to ask: 1) Does bee diversity, abundance, and community composition differ in backyard gardens with and without native plants? 2) What characteristics of backyard gardens and land cover in the surrounding landscape correlate with ch"&amp;"anges in the bee community? 3) Do bees in backyard gardens respond more strongly to local or landscape factors? We sampled bees with pan trapping, netting, and direct observation. We examined vegetation characteristics and land cover in 500 m, 1 km, and 2"&amp;" km buffers surrounding each garden. Abundance of all bees, native bees, and cavity-nesting bees (but not ground-nesting bees) was greater in native plant gardens but only richness of cavity-nesting bees differed in gardens with and without native plants."&amp;" Bee community composition differed in gardens with and without native plants. Overall, bee richness and abundance were positively correlated with local characteristics of backyard gardens, such as increased floral abundance, taller vegetation, more cover"&amp;" by woody plants, less cover by grass, and larger vegetable gardens. Differences in the amount of forest, open space, and wetlands surrounding gardens influenced abundance of cavity- and ground-nesting bees, but at different spatial scales. Thus, presence"&amp;" of native plants, and local and landscape characteristics might play important roles in maintaining bee diversity within urban areas.")</f>
        <v>Urban gardens may support bees by providing resources in otherwise resource-poor environments. However, it is unclear whether urban, backyard gardens with native plants will support more bees than gardens without native plants. We examined backyard gardens in northwestern Ohio to ask: 1) Does bee diversity, abundance, and community composition differ in backyard gardens with and without native plants? 2) What characteristics of backyard gardens and land cover in the surrounding landscape correlate with changes in the bee community? 3) Do bees in backyard gardens respond more strongly to local or landscape factors? We sampled bees with pan trapping, netting, and direct observation. We examined vegetation characteristics and land cover in 500 m, 1 km, and 2 km buffers surrounding each garden. Abundance of all bees, native bees, and cavity-nesting bees (but not ground-nesting bees) was greater in native plant gardens but only richness of cavity-nesting bees differed in gardens with and without native plants. Bee community composition differed in gardens with and without native plants. Overall, bee richness and abundance were positively correlated with local characteristics of backyard gardens, such as increased floral abundance, taller vegetation, more cover by woody plants, less cover by grass, and larger vegetable gardens. Differences in the amount of forest, open space, and wetlands surrounding gardens influenced abundance of cavity- and ground-nesting bees, but at different spatial scales. Thus, presence of native plants, and local and landscape characteristics might play important roles in maintaining bee diversity within urban areas.</v>
      </c>
      <c r="C1374" s="24" t="str">
        <f>IFERROR(__xludf.DUMMYFUNCTION("""COMPUTED_VALUE"""),"10.1007/s11252-014-0349-0")</f>
        <v>10.1007/s11252-014-0349-0</v>
      </c>
      <c r="D1374" s="24" t="str">
        <f>IFERROR(__xludf.DUMMYFUNCTION("""COMPUTED_VALUE"""),"Keck et al")</f>
        <v>Keck et al</v>
      </c>
      <c r="E1374" s="24" t="str">
        <f>IFERROR(__xludf.DUMMYFUNCTION("""COMPUTED_VALUE"""),"WOS:000341090700001")</f>
        <v>WOS:000341090700001</v>
      </c>
      <c r="F1374" s="24" t="str">
        <f>IFERROR(__xludf.DUMMYFUNCTION("""COMPUTED_VALUE"""),"[""ELIGIBLE""]")</f>
        <v>["ELIGIBLE"]</v>
      </c>
    </row>
    <row r="1375">
      <c r="A1375" s="24" t="str">
        <f>IFERROR(__xludf.DUMMYFUNCTION("""COMPUTED_VALUE"""),"Vegetation alleviate the negative effects of graphene oxide on benzo [a]pyrene dissipation and the associated soil bacterial community")</f>
        <v>Vegetation alleviate the negative effects of graphene oxide on benzo [a]pyrene dissipation and the associated soil bacterial community</v>
      </c>
      <c r="B1375" s="24" t="str">
        <f>IFERROR(__xludf.DUMMYFUNCTION("""COMPUTED_VALUE"""),"Graphene oxide (GO) will enter the soil environment in increasing amounts. The effects of GO on the dissipation of benzo[a]pyrene (B[a]P) from contaminated soil and their phytoremediation system have been explored in this study. B[a]P is a ubiquitous soil"&amp;" pollutant used as a representative indicator of polycyclic aromatic hydrocarbons. A pot experiment was performed to investigate the effects of GO or/and vegetation (Tagetes patula) on B[a]P dissipation and the associated bacterial communities in soil. Th"&amp;"e bacterial communities in soil were investigated by Illumina sequencing analysis. The presence of vegetation significantly enhanced the dissipation of B[a]P from soil. The addition of GO (100 mg/kg) significantly decreased the B[a]P dissipation. When veg"&amp;"etation and GO coexisted, the inhibition effects of GO on B[a]P dissipation were alleviated by vegetation. Compared with the control treatment, the presence of GO or vegetation had no significant effects on the richness and diversity of bacterial communit"&amp;"ies in B[a]P-contaminated soil. Compared with the presence of only vegetation, the richness and diversity all significantly decreased when vegetation and GO coexisted. And, vegetation had a greater influence on the bacterial community composition than GO."&amp;" Vegetation alleviated the inhibition effects of GO on B[a]P dissipation and had a greater influence on the associated bacterial communities than GO. This work helps to understand the interactive effects of GO and vegetation on B[a]P dissipation and the a"&amp;"ssociated bacterial communities in contaminated soil. (C) 2020 Elsevier Ltd. All rights reserved.")</f>
        <v>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v>
      </c>
      <c r="C1375" s="24" t="str">
        <f>IFERROR(__xludf.DUMMYFUNCTION("""COMPUTED_VALUE"""),"10.1016/j.chemosphere.2020.126725")</f>
        <v>10.1016/j.chemosphere.2020.126725</v>
      </c>
      <c r="D1375" s="24" t="str">
        <f>IFERROR(__xludf.DUMMYFUNCTION("""COMPUTED_VALUE"""),"Keck et al")</f>
        <v>Keck et al</v>
      </c>
      <c r="E1375" s="24" t="str">
        <f>IFERROR(__xludf.DUMMYFUNCTION("""COMPUTED_VALUE"""),"WOS:000536175700091")</f>
        <v>WOS:000536175700091</v>
      </c>
      <c r="F1375" s="24" t="str">
        <f>IFERROR(__xludf.DUMMYFUNCTION("""COMPUTED_VALUE"""),"[""ELIGIBLE""]")</f>
        <v>["ELIGIBLE"]</v>
      </c>
    </row>
    <row r="1376">
      <c r="A1376" s="24" t="str">
        <f>IFERROR(__xludf.DUMMYFUNCTION("""COMPUTED_VALUE"""),"Responses of earthworm Metaphire vulgaris gut microbiota to arsenic and nanoplastics contamination")</f>
        <v>Responses of earthworm Metaphire vulgaris gut microbiota to arsenic and nanoplastics contamination</v>
      </c>
      <c r="B1376" s="24" t="str">
        <f>IFERROR(__xludf.DUMMYFUNCTION("""COMPUTED_VALUE"""),"The growing contamination of arsenic and plastics has severely effects on the soil fauna health, including shifts of gut microbiota community. A few studies have focused on effects of microplastics and metal(loid) in soil and fauna gut microbiome. However"&amp;", the environmental effect of nanoplastics and arsenic on the earthworm gut microbiota, especially on arsenic biotransformation in the gut, remain largely unknown. Here, a microcosm study was performed to explore the effects of nanoplastics and arsenic on"&amp;" the microbiota characteristics in earthworm Metaphire vulgaris gut using Illumina high throughput sequencing, and to investigate changes in the gut microbiota-mediated arsenic biotransformation genes (ABGs) by using high-throughput quantitative PCR. Our "&amp;"results demonstrated that the concentration of arsenic in the earthworm body tissues after exposure to arsenic and nanoplastics was significantly lower from that with arsenic alone exposure. Moreover, the clearly different bacterial community was observed"&amp;" in the soil compared with the earthworm gut, which was dominated by Proteobacteria, Actinobacteria, and Firmicutes at phylum level. Arsenic exposure significantly disturbed bacterial community structure in the earthworm gut, but exposure to nanoplastics "&amp;"did not induce gut microbiota changes. More interestingly, nanoplastics can relieve adverse effect of arsenic on the gut microbiota possibly by adsorbing arsenic. In addition, a total of 16 ABGs were detected, and predominant genes involved in arsenic red"&amp;"uction and transport process were observed in the earthworm guts. In short, this study provides a new picture of the effects of nanoplastics and arsenic on the gut microbiota and arsenic biotransformation in soil fauna gut. (c) 2018 Published by Elsevier "&amp;"B.V.")</f>
        <v>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v>
      </c>
      <c r="C1376" s="24" t="str">
        <f>IFERROR(__xludf.DUMMYFUNCTION("""COMPUTED_VALUE"""),"10.1016/j.scitotenv.2021.150279")</f>
        <v>10.1016/j.scitotenv.2021.150279</v>
      </c>
      <c r="D1376" s="24" t="str">
        <f>IFERROR(__xludf.DUMMYFUNCTION("""COMPUTED_VALUE"""),"Keck et al")</f>
        <v>Keck et al</v>
      </c>
      <c r="E1376" s="24" t="str">
        <f>IFERROR(__xludf.DUMMYFUNCTION("""COMPUTED_VALUE"""),"WOS:000707640400003")</f>
        <v>WOS:000707640400003</v>
      </c>
      <c r="F1376" s="24" t="str">
        <f>IFERROR(__xludf.DUMMYFUNCTION("""COMPUTED_VALUE"""),"[""ELIGIBLE""]")</f>
        <v>["ELIGIBLE"]</v>
      </c>
    </row>
    <row r="1377">
      <c r="A1377" s="24" t="str">
        <f>IFERROR(__xludf.DUMMYFUNCTION("""COMPUTED_VALUE"""),"Roadside habitats: effects on diversity and composition of plant, arthropod, and small mammal communities")</f>
        <v>Roadside habitats: effects on diversity and composition of plant, arthropod, and small mammal communities</v>
      </c>
      <c r="B1377" s="24" t="str">
        <f>IFERROR(__xludf.DUMMYFUNCTION("""COMPUTED_VALUE"""),"Road edge effects cover extensive areas and exert a wide range of ecological influences on nearby plants and animals. Most studies have focused on individual and population level effects of the road edge; less is known about how communities and their func"&amp;"tionality are altered in proximity to roads. Here, we studied the effect of road edges on species richness, rarity, endemism, composition, and functional (trophic) classification of communities of plants, ground-dwelling arthropods (beetles, spiders, scor"&amp;"pions, diplopods), and small mammals. The study, conducted in a Mediterranean ecosystem in central Israel, included sampling of these taxa in 10 plots adjacent to a regional road, and in 12 nearby control plots located in a typical shrubland habitat. We f"&amp;"ound a variety of community level road edge effects on the structure, composition, and function of the studied communities. The extent of effects varied among taxa, but they were generally positive or neutral. For the species-rich taxa (plants, beetles, a"&amp;"nd spiders), distinct road edge communities characterized by higher richness and altered species composition were found. Rarity and endemism were lower, and the proportion of disturbance-associated plant species was higher at the road edge. Among the spec"&amp;"ies-poor taxa, scorpions and small mammals were more abundant along road edges than in control plots, while diplopods, the only negatively affected taxon, showed decreased abundance along the road. No ecologically meaningful changes in richness or composi"&amp;"tion were detected for the species-poor taxa along the road edge. Road edges profoundly affect floral and faunal communities, with possible implications for biodiversity conservation.")</f>
        <v>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v>
      </c>
      <c r="C1377" s="24" t="str">
        <f>IFERROR(__xludf.DUMMYFUNCTION("""COMPUTED_VALUE"""),"10.1007/s10531-013-0465-9")</f>
        <v>10.1007/s10531-013-0465-9</v>
      </c>
      <c r="D1377" s="24" t="str">
        <f>IFERROR(__xludf.DUMMYFUNCTION("""COMPUTED_VALUE"""),"Keck et al")</f>
        <v>Keck et al</v>
      </c>
      <c r="E1377" s="24" t="str">
        <f>IFERROR(__xludf.DUMMYFUNCTION("""COMPUTED_VALUE"""),"WOS:000317011700011")</f>
        <v>WOS:000317011700011</v>
      </c>
      <c r="F1377" s="24" t="str">
        <f>IFERROR(__xludf.DUMMYFUNCTION("""COMPUTED_VALUE"""),"[""ELIGIBLE""]")</f>
        <v>["ELIGIBLE"]</v>
      </c>
    </row>
    <row r="1378">
      <c r="A1378" s="24" t="str">
        <f>IFERROR(__xludf.DUMMYFUNCTION("""COMPUTED_VALUE"""),"Conservation value of tropical forests: Distance to human settlements matters more than management in Central Africa")</f>
        <v>Conservation value of tropical forests: Distance to human settlements matters more than management in Central Africa</v>
      </c>
      <c r="B1378" s="24" t="str">
        <f>IFERROR(__xludf.DUMMYFUNCTION("""COMPUTED_VALUE"""),"Tropical forests in Central Africa host unique biodiversity threatened by human degradation of habitats and defaunation. Forests allocated to conservation, production and community management are expected to have different conservation values. Here, we ai"&amp;"med to identify the determinants of the conservation value of tropical forests in southeastern Cameroon, by disentangling the effects of forest allocations, proximity to human settlements, and local habitat. We inventoried two taxonomical groups: mammal s"&amp;"pecies with camera traps (3464 independent detection events) and dung beetle species with pitfall traps (4475 individuals). We used an integrated analytical approach, examining both species richness and composition. For both mammals and dung beetles, spec"&amp;"ies richness decreased from the protected area to the community forests, and the logging concession showed intermediate richness. Species richness of both groups was negatively correlated to the proximity to human settlements and disturbance, with a decre"&amp;"asing gradient of body mass and the loss of the most threatened species. The replacement (i.e., spatial turnover) of both mammal and dung beetle species among forest allocations suggest an integration of conservation initiatives to a large number of diffe"&amp;"rent sites, with a priority on protected and remote areas of high biodiversity. These results confirm the high conservation value of protected areas and their essential role in conservation strategies, ecologically connected with well-managed production f"&amp;"orests with variable conservation value mainly depending on accessibility. Community forests located close to villages are much more degraded but not totally defaunated and still provide bushmeat to local populations.")</f>
        <v>Tropical forests in Central Africa host unique biodiversity threatened by human degradation of habitats and defaunation. Forests allocated to conservation, production and community management are expected to have different conservation values. Here, we aimed to identify the determinants of the conservation value of tropical forests in southeastern Cameroon, by disentangling the effects of forest allocations, proximity to human settlements, and local habitat. We inventoried two taxonomical groups: mammal species with camera traps (3464 independent detection events) and dung beetle species with pitfall traps (4475 individuals). We used an integrated analytical approach, examining both species richness and composition. For both mammals and dung beetles, species richness decreased from the protected area to the community forests, and the logging concession showed intermediate richness. Species richness of both groups was negatively correlated to the proximity to human settlements and disturbance, with a decreasing gradient of body mass and the loss of the most threatened species. The replacement (i.e., spatial turnover) of both mammal and dung beetle species among forest allocations suggest an integration of conservation initiatives to a large number of different sites, with a priority on protected and remote areas of high biodiversity. These results confirm the high conservation value of protected areas and their essential role in conservation strategies, ecologically connected with well-managed production forests with variable conservation value mainly depending on accessibility. Community forests located close to villages are much more degraded but not totally defaunated and still provide bushmeat to local populations.</v>
      </c>
      <c r="C1378" s="24" t="str">
        <f>IFERROR(__xludf.DUMMYFUNCTION("""COMPUTED_VALUE"""),"10.1016/j.biocon.2019.108351")</f>
        <v>10.1016/j.biocon.2019.108351</v>
      </c>
      <c r="D1378" s="24" t="str">
        <f>IFERROR(__xludf.DUMMYFUNCTION("""COMPUTED_VALUE"""),"Keck et al")</f>
        <v>Keck et al</v>
      </c>
      <c r="E1378" s="24" t="str">
        <f>IFERROR(__xludf.DUMMYFUNCTION("""COMPUTED_VALUE"""),"WOS:000518695100076")</f>
        <v>WOS:000518695100076</v>
      </c>
      <c r="F1378" s="24" t="str">
        <f>IFERROR(__xludf.DUMMYFUNCTION("""COMPUTED_VALUE"""),"[""ELIGIBLE""]")</f>
        <v>["ELIGIBLE"]</v>
      </c>
    </row>
    <row r="1379">
      <c r="A1379" s="24" t="str">
        <f>IFERROR(__xludf.DUMMYFUNCTION("""COMPUTED_VALUE"""),"Grassland management for meadow birds in the Netherlands is unfavourable to pollinators")</f>
        <v>Grassland management for meadow birds in the Netherlands is unfavourable to pollinators</v>
      </c>
      <c r="B1379" s="24" t="str">
        <f>IFERROR(__xludf.DUMMYFUNCTION("""COMPUTED_VALUE"""),"Agricultural intensification and loss of semi-natural grassland have contributed to biodiversity decline, including pollinator species, in pastures around the world. To reverse the decline, agri-environmental schemes have been implemented, varying widely "&amp;"in effectiveness. In addition, many countries, including the Netherlands, have established nature reserves in which semi-natural grasslands are restored and are often managed for specific groups of species, e.g. meadow birds or plants. The effects of such"&amp;" measures on insect biodiversity are not well known but recent reports on the dramatic decline of insect biomass in nature reserves have put even more attention to the impact of land use and management on biodiversity. This study compares pollinator abund"&amp;"ance and species richness in three common semi-natural grassland management types in the Netherlands: (1) hay meadows, (2) herb-rich grasslands and (3) meadow bird grasslands. Pollinator abundance and species richness were assessed in eleven study areas, "&amp;"each with all three management types present. Standardized transects, insect sampling within a standard 20 min time frame and plot-based flower surveys were used in spring and summer to assess the relationships between management regime, floral abundance "&amp;"and diversity and pollinator communities. The results show that meadow bird grasslands have lower pollinator abundance and diversity and a less unique pollinator assemblage than both other types. Moreover, flower abundance has a positive effect on pollina"&amp;"tor abundance and flower diversity has a positive effect on pollinator species richness. These results indicate that meadow-bird grasslands are a comparatively unfavourable habitat for bees, hoverflies and butterflies, which may be explained by a lack of "&amp;"flowers as well as unsuitable mowing practices. Measures benefitting both insectivorous birds and flower-visiting insects, such as rotational mowing, could remediate this imbalance. (C) 2019 The Authors. Published by Elsevier GmbH on behalf of Gesellschaf"&amp;"t fur Okologie.")</f>
        <v>Agricultural intensification and loss of semi-natural grassland have contributed to biodiversity decline, including pollinator species, in pastures around the world. To reverse the decline, agri-environmental schemes have been implemented, varying widely in effectiveness. In addition, many countries, including the Netherlands, have established nature reserves in which semi-natural grasslands are restored and are often managed for specific groups of species, e.g. meadow birds or plants. The effects of such measures on insect biodiversity are not well known but recent reports on the dramatic decline of insect biomass in nature reserves have put even more attention to the impact of land use and management on biodiversity. This study compares pollinator abundance and species richness in three common semi-natural grassland management types in the Netherlands: (1) hay meadows, (2) herb-rich grasslands and (3) meadow bird grasslands. Pollinator abundance and species richness were assessed in eleven study areas, each with all three management types present. Standardized transects, insect sampling within a standard 20 min time frame and plot-based flower surveys were used in spring and summer to assess the relationships between management regime, floral abundance and diversity and pollinator communities. The results show that meadow bird grasslands have lower pollinator abundance and diversity and a less unique pollinator assemblage than both other types. Moreover, flower abundance has a positive effect on pollinator abundance and flower diversity has a positive effect on pollinator species richness. These results indicate that meadow-bird grasslands are a comparatively unfavourable habitat for bees, hoverflies and butterflies, which may be explained by a lack of flowers as well as unsuitable mowing practices. Measures benefitting both insectivorous birds and flower-visiting insects, such as rotational mowing, could remediate this imbalance. (C) 2019 The Authors. Published by Elsevier GmbH on behalf of Gesellschaft fur Okologie.</v>
      </c>
      <c r="C1379" s="24" t="str">
        <f>IFERROR(__xludf.DUMMYFUNCTION("""COMPUTED_VALUE"""),"10.1016/j.baae.2019.12.002")</f>
        <v>10.1016/j.baae.2019.12.002</v>
      </c>
      <c r="D1379" s="24" t="str">
        <f>IFERROR(__xludf.DUMMYFUNCTION("""COMPUTED_VALUE"""),"Keck et al")</f>
        <v>Keck et al</v>
      </c>
      <c r="E1379" s="24" t="str">
        <f>IFERROR(__xludf.DUMMYFUNCTION("""COMPUTED_VALUE"""),"WOS:000519552700007")</f>
        <v>WOS:000519552700007</v>
      </c>
      <c r="F1379" s="24" t="str">
        <f>IFERROR(__xludf.DUMMYFUNCTION("""COMPUTED_VALUE"""),"[""ELIGIBLE""]")</f>
        <v>["ELIGIBLE"]</v>
      </c>
    </row>
    <row r="1380">
      <c r="A1380" s="24" t="str">
        <f>IFERROR(__xludf.DUMMYFUNCTION("""COMPUTED_VALUE"""),"Native forest management in subtropical South America: long-term effects of logging and multiple-use on forest structure and diversity")</f>
        <v>Native forest management in subtropical South America: long-term effects of logging and multiple-use on forest structure and diversity</v>
      </c>
      <c r="B1380" s="24" t="str">
        <f>IFERROR(__xludf.DUMMYFUNCTION("""COMPUTED_VALUE"""),"If logging and forest multiple-use are to be compatible with biodiversity conservation, then forest structure, composition and diversity must be expected to recover from the disturbance and eventually return to their former levels. Here we evaluate the lo"&amp;"ng-term effects of selective logging and forest multiple-use on Southern Brazilian subtropical Araucaria mixed conifer-hardwood forest resilience at the landscape-scale. Long-term effects of different management regimes were compared between control undis"&amp;"turbed forests and forest stands subjected to early (55 years before this study) and recent (13 years) selective logging followed by undisturbed postharvest periods, and forest fragments subjected to selective logging followed by unregulated multiple-use "&amp;"by private landowners. Forest structure (tree density, basal area and height, and regeneration density) in early-logged areas was indistinguishable from control areas. Fragmentation and chronic disturbance, however, degraded forest fragments and kept them"&amp;" at early successional stages, with higher tree density, reduced basal area and scarce or absent regeneration. Mixed forests showed compositional resilience in the angiosperm component but not in the conifer component. Chronic disturbance kept forest frag"&amp;"ments floristically away from mature and undisturbed secondary forests. Species richness in control and recently-logged plots did not differ significantly and was higher than richness in early-logged plots. Species richness was much reduced in degraded fo"&amp;"rest fragments. Density of the conifer Araucaria angustifolia, characteristic of the mature forest, was reduced in the fragments and in logged stands. We discuss how native forest management practices can be implemented to contribute positively to the con"&amp;"servation of the Araucaria mixed forest biodiversity.")</f>
        <v>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v>
      </c>
      <c r="C1380" s="24" t="str">
        <f>IFERROR(__xludf.DUMMYFUNCTION("""COMPUTED_VALUE"""),"10.1007/s10531-012-0287-1")</f>
        <v>10.1007/s10531-012-0287-1</v>
      </c>
      <c r="D1380" s="24" t="str">
        <f>IFERROR(__xludf.DUMMYFUNCTION("""COMPUTED_VALUE"""),"Keck et al")</f>
        <v>Keck et al</v>
      </c>
      <c r="E1380" s="24" t="str">
        <f>IFERROR(__xludf.DUMMYFUNCTION("""COMPUTED_VALUE"""),"WOS:000305228400004")</f>
        <v>WOS:000305228400004</v>
      </c>
      <c r="F1380" s="24" t="str">
        <f>IFERROR(__xludf.DUMMYFUNCTION("""COMPUTED_VALUE"""),"[""ELIGIBLE""]")</f>
        <v>["ELIGIBLE"]</v>
      </c>
    </row>
    <row r="1381">
      <c r="A1381" s="24" t="str">
        <f>IFERROR(__xludf.DUMMYFUNCTION("""COMPUTED_VALUE"""),"Effect of Metal Oxide Nanoparticles on Microbial Community Structure and Function in Two Different Soil Types")</f>
        <v>Effect of Metal Oxide Nanoparticles on Microbial Community Structure and Function in Two Different Soil Types</v>
      </c>
      <c r="B1381" s="24" t="str">
        <f>IFERROR(__xludf.DUMMYFUNCTION("""COMPUTED_VALUE"""),"Increased availability of nanoparticle-based products will, inevitably, expose the environment to these materials. Engineered nanoparticles (ENPs) may thus find their way into the soil environment via wastewater, dumpsters and other anthropogenic sources;"&amp;" metallic oxide nanoparticles comprise one group of ENPs that could potentially be hazardous for the environment. Because the soil bacterial community is a major service provider for the ecosystem and humankind, it is critical to study the effects of ENP "&amp;"exposure on soil bacteria. These effects were evaluated by measuring bacterial community activity, composition and size following exposure to copper oxide (CuO) and magnetite (Fe3O4) nanosized (&lt;50 nm) particles. Two different soil types were examined: a "&amp;"sandy loam (Bet-Dagan) and a sandy clay loam (Yatir), under two ENP concentrations (1%, 0.1%). Results indicate that the bacterial community in Bet-Dagan soil was more susceptible to change due to exposure to these ENPs, relative to Yatir soil. More speci"&amp;"fically, CuO had a strong effect on bacterial hydrolytic activity, oxidative potential, community composition and size in Bet-Dagan soil. Few effects were noted in the Yatir soil, although 1% CuO exposure did cause a significant decreased oxidative potent"&amp;"ial and changes to community composition. Fe3O4 changed the hydrolytic activity and bacterial community composition in Bet-Dagan soil but did not affect the Yatir soil bacterial community. Furthermore, in Bet-Dagan soil, abundance of bacteria annotated to"&amp;" OTUs from the Bacilli class decreased after addition of 0.1% CuO but increased with 1% CuO, while in Yatir soil their abundance was reduced with 1% CuO. Other important soil bacterial groups, including Rhizobiales and Sphingobacteriaceae, were negatively"&amp;" affected by CuO addition to soil. These results indicate that both ENPs are potentially harmful to soil environments. Furthermore, it is suggested that the clay fraction and organic matter in different soils interact with the ENPs and reduce their toxici"&amp;"ty.")</f>
        <v>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v>
      </c>
      <c r="C1381" s="24" t="str">
        <f>IFERROR(__xludf.DUMMYFUNCTION("""COMPUTED_VALUE"""),"10.1371/journal.pone.0084441")</f>
        <v>10.1371/journal.pone.0084441</v>
      </c>
      <c r="D1381" s="24" t="str">
        <f>IFERROR(__xludf.DUMMYFUNCTION("""COMPUTED_VALUE"""),"Keck et al")</f>
        <v>Keck et al</v>
      </c>
      <c r="E1381" s="24" t="str">
        <f>IFERROR(__xludf.DUMMYFUNCTION("""COMPUTED_VALUE"""),"WOS:000328734200116")</f>
        <v>WOS:000328734200116</v>
      </c>
      <c r="F1381" s="24" t="str">
        <f>IFERROR(__xludf.DUMMYFUNCTION("""COMPUTED_VALUE"""),"[""ELIGIBLE""]")</f>
        <v>["ELIGIBLE"]</v>
      </c>
    </row>
    <row r="1382">
      <c r="A1382" s="24" t="str">
        <f>IFERROR(__xludf.DUMMYFUNCTION("""COMPUTED_VALUE"""),"Changes in epiphyte diversity in declining forests: implications for conservation and restoration")</f>
        <v>Changes in epiphyte diversity in declining forests: implications for conservation and restoration</v>
      </c>
      <c r="B1382" s="24" t="str">
        <f>IFERROR(__xludf.DUMMYFUNCTION("""COMPUTED_VALUE"""),"Biodiversity degradation is a serious global problem, and conservation or restoration has been conducted in various ecosystems. The objective of this study was to examine effective conservation measures and restoration goals for epiphytes on the basis of "&amp;"changes in epiphyte flora during the past 30 years on Mt. Odaigahara, Japan. Comparison of epiphyte diversity between 1983 and 2008 indicated that species richness and cover in plots surveyed in 1983 had declined significantly by 2008. The results of nonm"&amp;"etric multidimensional scaling showed that the dominance of hygrophilous species decreased on trees surveyed in 2008 accompanied with forest decline. In addition, total species richness decreased with increasing coverage of wire mesh installed for protect"&amp;"ion against debarking by deer. We conclude that severe drought stress caused by forest decline after the 1980s and the toxic effects of wire mesh on epiphytes have led to a dramatic decrease in epiphyte diversity during the past 30 years. To conserve epip"&amp;"hyte diversity, first, tree protection without wire mesh should be adopted. In addition, intensive conservation of undamaged forest patches may be necessary to prevent loss of remaining hygrophilous species from this region. The results also indicate that"&amp;" epiphyte diversity can be strongly affected by slight changes in forest structure, and by site-specific environmental factors. Considering that these changes or environmental factors are often not easy to evaluate, comparison of epiphyte diversity before"&amp;" and after disturbance can be an important means of determining appropriate restoration objectives.")</f>
        <v>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v>
      </c>
      <c r="C1382" s="24" t="str">
        <f>IFERROR(__xludf.DUMMYFUNCTION("""COMPUTED_VALUE"""),"10.1007/s11355-015-0273-3")</f>
        <v>10.1007/s11355-015-0273-3</v>
      </c>
      <c r="D1382" s="24" t="str">
        <f>IFERROR(__xludf.DUMMYFUNCTION("""COMPUTED_VALUE"""),"Keck et al")</f>
        <v>Keck et al</v>
      </c>
      <c r="E1382" s="24" t="str">
        <f>IFERROR(__xludf.DUMMYFUNCTION("""COMPUTED_VALUE"""),"WOS:000358062500005")</f>
        <v>WOS:000358062500005</v>
      </c>
      <c r="F1382" s="24" t="str">
        <f>IFERROR(__xludf.DUMMYFUNCTION("""COMPUTED_VALUE"""),"[""ELIGIBLE""]")</f>
        <v>["ELIGIBLE"]</v>
      </c>
    </row>
    <row r="1383">
      <c r="A1383" s="24" t="str">
        <f>IFERROR(__xludf.DUMMYFUNCTION("""COMPUTED_VALUE"""),"Patterns in ground beetle (Coleoptera: Carabidae) assemblages along an urbanisation gradient in Denmark")</f>
        <v>Patterns in ground beetle (Coleoptera: Carabidae) assemblages along an urbanisation gradient in Denmark</v>
      </c>
      <c r="B1383" s="24" t="str">
        <f>IFERROR(__xludf.DUMMYFUNCTION("""COMPUTED_VALUE"""),"The responses of ground beetles to an urbanisation gradient (forest-suburban area-urban park) were studied in and near Soro, South Zealand, Denmark, during April-October 2004. The average number of species per trap did not differ significantly among the t"&amp;"hree urbanisation stages. The average number of forest species was significantly higher in the forest area (6.2 species/trap) than in either the suburban (4.12 spp/trap) or the urban (3.7 spp/trap) areas. Both the number of open-habitat species (1.8 spp/t"&amp;"rap), and the generalist species (2.3 spp/trap) were highest in the urban area. The number of predaceous species was highest in the forest area (8.1 spp/trap), while the number of omnivorous species was highest in the urban area (0.9 spp/trap). Multivaria"&amp;"te statistical procedures (NMDS, Sorensen similarity index) also confirmed that species composition changed remarkably along the forest-suburban-urban gradient. The highest number of species (S = 37) was found at the urban area, deviating from trends at o"&amp;"ther northern hemisphere sites (Canada, Finland) where the overall species richness was highest at the forest habitats. Urban green areas, including forest patches contribute to the quality of urban life and thus should be conserved. Apart from their recr"&amp;"eational value, which is widely appreciated and enjoyed by human inhabitants, such green urban spaces provide seemingly adequate habitat for numerous species of ground beetles found in less developed forest areas some distance from the city core. (c) 2007"&amp;" Elsevier Masson SAS. All rights reserved.")</f>
        <v>The responses of ground beetles to an urbanisation gradient (forest-suburban area-urban park) were studied in and near Soro, South Zealand, Denmark, during April-October 2004. The average number of species per trap did not differ significantly among the three urbanisation stages. The average number of forest species was significantly higher in the forest area (6.2 species/trap) than in either the suburban (4.12 spp/trap) or the urban (3.7 spp/trap) areas. Both the number of open-habitat species (1.8 spp/trap), and the generalist species (2.3 spp/trap) were highest in the urban area. The number of predaceous species was highest in the forest area (8.1 spp/trap), while the number of omnivorous species was highest in the urban area (0.9 spp/trap). Multivariate statistical procedures (NMDS, Sorensen similarity index) also confirmed that species composition changed remarkably along the forest-suburban-urban gradient. The highest number of species (S = 37) was found at the urban area, deviating from trends at other northern hemisphere sites (Canada, Finland) where the overall species richness was highest at the forest habitats. Urban green areas, including forest patches contribute to the quality of urban life and thus should be conserved. Apart from their recreational value, which is widely appreciated and enjoyed by human inhabitants, such green urban spaces provide seemingly adequate habitat for numerous species of ground beetles found in less developed forest areas some distance from the city core. (c) 2007 Elsevier Masson SAS. All rights reserved.</v>
      </c>
      <c r="C1383" s="24" t="str">
        <f>IFERROR(__xludf.DUMMYFUNCTION("""COMPUTED_VALUE"""),"10.1016/j.actao.2007.03.008")</f>
        <v>10.1016/j.actao.2007.03.008</v>
      </c>
      <c r="D1383" s="24" t="str">
        <f>IFERROR(__xludf.DUMMYFUNCTION("""COMPUTED_VALUE"""),"Keck et al")</f>
        <v>Keck et al</v>
      </c>
      <c r="E1383" s="24" t="str">
        <f>IFERROR(__xludf.DUMMYFUNCTION("""COMPUTED_VALUE"""),"WOS:000247911000011")</f>
        <v>WOS:000247911000011</v>
      </c>
      <c r="F1383" s="24" t="str">
        <f>IFERROR(__xludf.DUMMYFUNCTION("""COMPUTED_VALUE"""),"[""ELIGIBLE""]")</f>
        <v>["ELIGIBLE"]</v>
      </c>
    </row>
    <row r="1384">
      <c r="A1384" s="24" t="str">
        <f>IFERROR(__xludf.DUMMYFUNCTION("""COMPUTED_VALUE"""),"ARTIFICIAL STEPS TO STABILIZE MOUNTAIN RIVERS: A POST-PROJECT ECOLOGICAL ASSESSMENT")</f>
        <v>ARTIFICIAL STEPS TO STABILIZE MOUNTAIN RIVERS: A POST-PROJECT ECOLOGICAL ASSESSMENT</v>
      </c>
      <c r="B1384" s="24" t="str">
        <f>IFERROR(__xludf.DUMMYFUNCTION("""COMPUTED_VALUE"""),"This paper compares the ecological response of reaches treated with traditional (check darns, CDs) and morphologically based (artificial steps, ASs) grade-control works installed in a mountain river, where an unmodified reach provided reference conditions"&amp;". Coarse particulate organic matter (CPOM) retentiveness was measured at the reach scale using artificial leaf release experiments. Macroinvertebrate sampling wits carried Out by it Surber net at pool- and run-type morphological units within the three rea"&amp;"ch types, and hydraulic and sediment characteristics were measured at each Surber sampling site. In addition to calculating a variety of parameters to describe hydrodynamic and macroinvertebrate characteristics within reaches and morphological units, biot"&amp;"ic (Extended Biotic Index, IBE) and ecological (Fluvial Functionality Index, IFF) index scores were also calculated. Results averaged at the reach scale show that CPOM retention, macrobenthos taxa richness and diversity were higher in the presence of a na"&amp;"tural bed morphology, whereas both types of grade-control works alter CPOM dynamics and macroinvertebrate communities. However, ASs showed CPOM retention dynamics and macroinvertebrate richness and diversity that were closer to the unmodified reach than C"&amp;"Ds. Analysis at the unit scale demonstrated strong links between hydraulic variables and macroinvertebrate parameters Such as abundance, diversity and proportion of shredders (SHR). Overall, ASs seem to provide a good trade-off between the need to limit c"&amp;"hannel incision whilst maintaining aquatic ecosystems. Copyright (C) 2009 John Wiley &amp; Sons, Ltd.")</f>
        <v>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v>
      </c>
      <c r="C1384" s="24" t="str">
        <f>IFERROR(__xludf.DUMMYFUNCTION("""COMPUTED_VALUE"""),"10.1002/rra.1234")</f>
        <v>10.1002/rra.1234</v>
      </c>
      <c r="D1384" s="24" t="str">
        <f>IFERROR(__xludf.DUMMYFUNCTION("""COMPUTED_VALUE"""),"Keck et al")</f>
        <v>Keck et al</v>
      </c>
      <c r="E1384" s="24" t="str">
        <f>IFERROR(__xludf.DUMMYFUNCTION("""COMPUTED_VALUE"""),"WOS:000266939400011")</f>
        <v>WOS:000266939400011</v>
      </c>
      <c r="F1384" s="24" t="str">
        <f>IFERROR(__xludf.DUMMYFUNCTION("""COMPUTED_VALUE"""),"[""ELIGIBLE""]")</f>
        <v>["ELIGIBLE"]</v>
      </c>
    </row>
    <row r="1385">
      <c r="A1385" s="24" t="str">
        <f>IFERROR(__xludf.DUMMYFUNCTION("""COMPUTED_VALUE"""),"DNA-Based Arthropod Diversity Assessment in Amazonian Iron Mine Lands Show Ecological Succession Towards Undisturbed Reference Sites")</f>
        <v>DNA-Based Arthropod Diversity Assessment in Amazonian Iron Mine Lands Show Ecological Succession Towards Undisturbed Reference Sites</v>
      </c>
      <c r="B1385" s="24" t="str">
        <f>IFERROR(__xludf.DUMMYFUNCTION("""COMPUTED_VALUE"""),"Human activities change natural landscapes, and in doing so endanger biodiversity and associated ecosystem services. To reduce the net impacts of these activities, such as mining, disturbed areas are rehabilitated and restored. During this process, monito"&amp;"ring is important to ensure that desired trajectories are maintained. In the Carajas region of the Brazilian Amazon, exploration for iron ores has transformed the original ecosystem; natural forest and a savanna formation with lateritic iron duricrust out"&amp;"crops named canga. Here, native vegetation is logged and topsoil removed and deposited in waste piles along with mine waste. During rehabilitation, these waste piles are hydroseeded with non-native plant species to achieve rapid revegetation. Further, see"&amp;"ds of native canga and forest plant species are planted to point ecological succession towards natural ecosystems. In this study, we investigate diversity and composition of the arthropod community along a post-mining rehabilitation and restoration gradie"&amp;"nt, taking seasonality and primer bias into account. We use DNA metabarcoding of bulk arthropod samples collected in both the dry and rainy seasons from waste-pile benches at various stages of revegetation: non-revegetated exposed soils, initial stage wit"&amp;"h one-to-three-year-old stands, intermediate stage with four-to-five-year-old stands, and advanced stage with six-to-seven-year-old stands. We use samples from undisturbed cangas and forests as reference sites. In addition, we vegetation diversity and str"&amp;"ucture were measured to investigate relations between arthropod community and vegetation structure. Our results show that, over time, the arthropod community composition of the waste piles becomes more similar to the reference forests, but not to the refe"&amp;"rence cangas. Nevertheless, even the communities in the advanced-stage waste piles are different from the reference forests, and full restoration in these highly diverse ecosystems is not achieved, even after 6 to 7 years. Finally, our results show season"&amp;"al variation in arthropod communities and primer bias.")</f>
        <v>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v>
      </c>
      <c r="C1385" s="24" t="str">
        <f>IFERROR(__xludf.DUMMYFUNCTION("""COMPUTED_VALUE"""),"10.3389/fevo.2020.590976")</f>
        <v>10.3389/fevo.2020.590976</v>
      </c>
      <c r="D1385" s="24" t="str">
        <f>IFERROR(__xludf.DUMMYFUNCTION("""COMPUTED_VALUE"""),"Keck et al")</f>
        <v>Keck et al</v>
      </c>
      <c r="E1385" s="24" t="str">
        <f>IFERROR(__xludf.DUMMYFUNCTION("""COMPUTED_VALUE"""),"WOS:000598483400001")</f>
        <v>WOS:000598483400001</v>
      </c>
      <c r="F1385" s="24" t="str">
        <f>IFERROR(__xludf.DUMMYFUNCTION("""COMPUTED_VALUE"""),"[""ELIGIBLE""]")</f>
        <v>["ELIGIBLE"]</v>
      </c>
    </row>
    <row r="1386">
      <c r="A1386" s="24" t="str">
        <f>IFERROR(__xludf.DUMMYFUNCTION("""COMPUTED_VALUE"""),"Edge and land use effects on dung beetles (Coleoptera: Scarabaeidae: Scarabaeinae) in Brazilian cerrado vegetation")</f>
        <v>Edge and land use effects on dung beetles (Coleoptera: Scarabaeidae: Scarabaeinae) in Brazilian cerrado vegetation</v>
      </c>
      <c r="B1386" s="24" t="str">
        <f>IFERROR(__xludf.DUMMYFUNCTION("""COMPUTED_VALUE"""),"The Edge Influence is one of the most pervasive effects of habitat fragmentation, as many forest remnants in anthropogenic landscapes are within 100 m of edges. Forest remnants may also affect the surrounding anthropogenic matrix, possibly resulting in a "&amp;"matrix-edge-remnant diversity gradient for some species groups. We sampled dung beetles in 15 agricultural landscapes using pitfall traps placed along transects in matrix-edge-remnant gradients. The remnants were a native savanna-like vegetation, the cerr"&amp;"ado, and the matrix was composed of three human-dominated environments (sugarcane, eucalyptus, pasture). More species were observed in cerrado remnants than in adjacent land uses. Dung beetles were also more abundant in the cerrado than in the landscape m"&amp;"atrix of sugarcane and eucalypt, but not of pasture. Dung beetles were severely affected by anthropogenic land uses, and notwithstanding their high abundance in some land uses such as pasture, the species richness in these areas tended to be smaller than "&amp;"in the cerrado remnants. We also found that the influence of the edge was evident only for abundance, particularly in landscapes with a pasture matrix. However, this land use disrupts the species composition of communities, indicating that communities loc"&amp;"ated in cerrado and pasture have a distinct species composition, and that both communities are affected by edge distance. Thus, anthropogenic land uses may severely affect dung beetles, and this impact can extend to communities located in cerrado remnants"&amp;" as well as to those in matrices, with possible consequences for ecological processes such as decomposition and nutrient cycling.")</f>
        <v>The Edge Influence is one of the most pervasive effects of habitat fragmentation, as many forest remnants in anthropogenic landscapes are within 100 m of edges. Forest remnants may also affect the surrounding anthropogenic matrix, possibly resulting in a matrix-edge-remnant diversity gradient for some species groups. We sampled dung beetles in 15 agricultural landscapes using pitfall traps placed along transects in matrix-edge-remnant gradients. The remnants were a native savanna-like vegetation, the cerrado, and the matrix was composed of three human-dominated environments (sugarcane, eucalyptus, pasture). More species were observed in cerrado remnants than in adjacent land uses. Dung beetles were also more abundant in the cerrado than in the landscape matrix of sugarcane and eucalypt, but not of pasture. Dung beetles were severely affected by anthropogenic land uses, and notwithstanding their high abundance in some land uses such as pasture, the species richness in these areas tended to be smaller than in the cerrado remnants. We also found that the influence of the edge was evident only for abundance, particularly in landscapes with a pasture matrix. However, this land use disrupts the species composition of communities, indicating that communities located in cerrado and pasture have a distinct species composition, and that both communities are affected by edge distance. Thus, anthropogenic land uses may severely affect dung beetles, and this impact can extend to communities located in cerrado remnants as well as to those in matrices, with possible consequences for ecological processes such as decomposition and nutrient cycling.</v>
      </c>
      <c r="C1386" s="24" t="str">
        <f>IFERROR(__xludf.DUMMYFUNCTION("""COMPUTED_VALUE"""),"10.1007/s10841-016-9928-0")</f>
        <v>10.1007/s10841-016-9928-0</v>
      </c>
      <c r="D1386" s="24" t="str">
        <f>IFERROR(__xludf.DUMMYFUNCTION("""COMPUTED_VALUE"""),"Keck et al")</f>
        <v>Keck et al</v>
      </c>
      <c r="E1386" s="24" t="str">
        <f>IFERROR(__xludf.DUMMYFUNCTION("""COMPUTED_VALUE"""),"WOS:000392077800003")</f>
        <v>WOS:000392077800003</v>
      </c>
      <c r="F1386" s="24" t="str">
        <f>IFERROR(__xludf.DUMMYFUNCTION("""COMPUTED_VALUE"""),"[""ELIGIBLE""]")</f>
        <v>["ELIGIBLE"]</v>
      </c>
    </row>
    <row r="1387">
      <c r="A1387" s="24" t="str">
        <f>IFERROR(__xludf.DUMMYFUNCTION("""COMPUTED_VALUE"""),"The effect of reduced-impact logging on fruit-feeding butterflies in Central Amazon, Brazil")</f>
        <v>The effect of reduced-impact logging on fruit-feeding butterflies in Central Amazon, Brazil</v>
      </c>
      <c r="B1387" s="24" t="str">
        <f>IFERROR(__xludf.DUMMYFUNCTION("""COMPUTED_VALUE"""),"The Amazon region represents more than a half of all tropical forests in the world, and has been threatened by many anthropogenic activities, including several kinds of timber harvesting. The reduced-impact logging (RIL) is considered a less destructive m"&amp;"ethod of timber harvesting, but there is a general lack of information about the effects on Amazonian invertebrates, including butterflies. We investigated the effect of RIL on fruit-feeding butterflies by comparing canopy and understory between an area u"&amp;"nder RIL and a control area without RIL. The canopy fauna is different and significantly richer than the understory fauna, showing that sampling only the lower strata underestimates the diversity of fruit-feeding butterflies. The effects of RIL were mainl"&amp;"y detected in the understory butterfly assemblage, as significant differences were observed in species composition within this stratum. Effects of the RIL regime, which include tree cutting, skid trails and roads openings, are stronger in the understory t"&amp;"han in the canopy, explaining the reported differences. Despite the detectable effects of RIL on the composition of fruit-feeding butterfly assemblages, the overall diversity was not affected. A similar pattern has been detected in many other groups, indi"&amp;"cating that a noticeable part of the diversity of many taxa could be preserved in areas under RIL management. Therefore, in view of the problems of creating protected areas in the Amazon, RIL is a good alternative to preserve fruit-feeding butterflies and"&amp;" surely many other taxa, and it might be a desirable economic alternative for the region.")</f>
        <v>The Amazon region represents more than a half of all tropical forests in the world, and has been threatened by many anthropogenic activities, including several kinds of timber harvesting. The reduced-impact logging (RIL) is considered a less destructive method of timber harvesting, but there is a general lack of information about the effects on Amazonian invertebrates, including butterflies. We investigated the effect of RIL on fruit-feeding butterflies by comparing canopy and understory between an area under RIL and a control area without RIL. The canopy fauna is different and significantly richer than the understory fauna, showing that sampling only the lower strata underestimates the diversity of fruit-feeding butterflies. The effects of RIL were mainly detected in the understory butterfly assemblage, as significant differences were observed in species composition within this stratum. Effects of the RIL regime, which include tree cutting, skid trails and roads openings, are stronger in the understory than in the canopy, explaining the reported differences. Despite the detectable effects of RIL on the composition of fruit-feeding butterfly assemblages, the overall diversity was not affected. A similar pattern has been detected in many other groups, indicating that a noticeable part of the diversity of many taxa could be preserved in areas under RIL management. Therefore, in view of the problems of creating protected areas in the Amazon, RIL is a good alternative to preserve fruit-feeding butterflies and surely many other taxa, and it might be a desirable economic alternative for the region.</v>
      </c>
      <c r="C1387" s="24" t="str">
        <f>IFERROR(__xludf.DUMMYFUNCTION("""COMPUTED_VALUE"""),"10.1007/s10841-012-9458-3")</f>
        <v>10.1007/s10841-012-9458-3</v>
      </c>
      <c r="D1387" s="24" t="str">
        <f>IFERROR(__xludf.DUMMYFUNCTION("""COMPUTED_VALUE"""),"Keck et al")</f>
        <v>Keck et al</v>
      </c>
      <c r="E1387" s="24" t="str">
        <f>IFERROR(__xludf.DUMMYFUNCTION("""COMPUTED_VALUE"""),"WOS:000308725900007")</f>
        <v>WOS:000308725900007</v>
      </c>
      <c r="F1387" s="24" t="str">
        <f>IFERROR(__xludf.DUMMYFUNCTION("""COMPUTED_VALUE"""),"[""ELIGIBLE""]")</f>
        <v>["ELIGIBLE"]</v>
      </c>
    </row>
    <row r="1388">
      <c r="A1388" s="24" t="str">
        <f>IFERROR(__xludf.DUMMYFUNCTION("""COMPUTED_VALUE"""),"Alkaline mine drainage drives stream sediment microbial community structure and function")</f>
        <v>Alkaline mine drainage drives stream sediment microbial community structure and function</v>
      </c>
      <c r="B1388" s="24" t="str">
        <f>IFERROR(__xludf.DUMMYFUNCTION("""COMPUTED_VALUE"""),"With advances in eDNA metabarcoding, environmental microbiomes are increasingly used as cost-effective tools for monitoring ecosystem health. Stream ecosystems in Central Appalachia, heavily impacted by alkaline drainage from mountaintop coal mining, pres"&amp;"ent ideal opportunities for biomonitoring using stream microbiomes, but the structural and functional responses of microbial communities in different environmental compartments are not well understood. We investigated sediment microbiomes in mining impact"&amp;"ed streams to determine how community composition and function respond to mining and to look for potential microbial bioindicators. Using 16s rRNA gene amplicon sequencing, we found that mining leads to shifts in microbial community structure, with the ph"&amp;"ylum Planctomycetes enriched by 1-6% at mined sites. We observed similar to 51% increase in species richness in bulk sediments. In contrast, of the 31 predicted metabolic pathways that changed significantly with mining, 23 responded negatively. Mining exp"&amp;"lained 15-18% of the variance in community structure and S, Se, % C and %N were the main drivers of community and functional pathway composition. We identified 12 microbial indicators prevalent in the ecosystem and sensitive to mining. Overall, alkaline m"&amp;"ountaintop mining drainage causes a restructuration of the sediment microbiome, and our study identified promising microbial indicators for the long-term monitoring of these impacted streams. (C) 2021 Elsevier B.V. All rights reserved.")</f>
        <v>With advances in eDNA metabarcoding, environmental microbiomes are increasingly used as cost-effective tools for monitoring ecosystem health. Stream ecosystems in Central Appalachia, heavily impacted by alkaline drainage from mountaintop coal mining, present ideal opportunities for biomonitoring using stream microbiomes, but the structural and functional responses of microbial communities in different environmental compartments are not well understood. We investigated sediment microbiomes in mining impacted streams to determine how community composition and function respond to mining and to look for potential microbial bioindicators. Using 16s rRNA gene amplicon sequencing, we found that mining leads to shifts in microbial community structure, with the phylum Planctomycetes enriched by 1-6% at mined sites. We observed similar to 51% increase in species richness in bulk sediments. In contrast, of the 31 predicted metabolic pathways that changed significantly with mining, 23 responded negatively. Mining explained 15-18% of the variance in community structure and S, Se, % C and %N were the main drivers of community and functional pathway composition. We identified 12 microbial indicators prevalent in the ecosystem and sensitive to mining. Overall, alkaline mountaintop mining drainage causes a restructuration of the sediment microbiome, and our study identified promising microbial indicators for the long-term monitoring of these impacted streams. (C) 2021 Elsevier B.V. All rights reserved.</v>
      </c>
      <c r="C1388" s="24" t="str">
        <f>IFERROR(__xludf.DUMMYFUNCTION("""COMPUTED_VALUE"""),"10.1016/j.scitotenv.2021.150189")</f>
        <v>10.1016/j.scitotenv.2021.150189</v>
      </c>
      <c r="D1388" s="24" t="str">
        <f>IFERROR(__xludf.DUMMYFUNCTION("""COMPUTED_VALUE"""),"Keck et al")</f>
        <v>Keck et al</v>
      </c>
      <c r="E1388" s="24" t="str">
        <f>IFERROR(__xludf.DUMMYFUNCTION("""COMPUTED_VALUE"""),"WOS:000701984800008")</f>
        <v>WOS:000701984800008</v>
      </c>
      <c r="F1388" s="24" t="str">
        <f>IFERROR(__xludf.DUMMYFUNCTION("""COMPUTED_VALUE"""),"[""ELIGIBLE""]")</f>
        <v>["ELIGIBLE"]</v>
      </c>
    </row>
    <row r="1389">
      <c r="A1389" s="24" t="str">
        <f>IFERROR(__xludf.DUMMYFUNCTION("""COMPUTED_VALUE"""),"Habitat- and rainfall-dependent biodiversity responses to cattle removal in an arid woodland-grassland environment")</f>
        <v>Habitat- and rainfall-dependent biodiversity responses to cattle removal in an arid woodland-grassland environment</v>
      </c>
      <c r="B1389" s="24" t="str">
        <f>IFERROR(__xludf.DUMMYFUNCTION("""COMPUTED_VALUE"""),"Biodiversity conservation in rangeland environments is often addressed by removing livestock, but inconsistent responses by biota mean that the efficacy of this form of management is hotly debated. Reasons for this inconsistency include the usually short "&amp;"duration and small spatial scale of manipulations compared to the area of grazing properties, as well as divergent responses amongst biota. In low-productivity arid environments, the pulse-reserve dynamic also complicates the outcome of manipulations. Her"&amp;"e, we tested and extended these ideas in a heterogeneous desert environment in central Australia that consists of small patches of open woodland (gidgee) in a grassland (spinifex) matrix. Taking advantage of a controlled property-scale removal of cattle, "&amp;"and a rain event that stimulated productivity, we first quantified differences in the vegetation and small vertebrates of these two habitats, and then tracked the diversity, composition, and abundance of these biota for 6-19 months post-rain. We predicted"&amp;" that the two habitats would differ in the structure, composition, and reproductive output of their constituent plant species. We predicted also that the effects of cattle removal would interact with these habitat differences, with the abundance, richness"&amp;", and diversity of small mammals and reptiles differing across habitats and grazing treatments. As anticipated, plant species composition in woodland was distinct from that in grassland and varied over time. The effects of cattle removal were habitat spec"&amp;"ific: Plant composition responded to de-stocking in woodland, but not in grassland; flowers were more abundant, and palatable plant cover also was greater following cessation of grazing pressure. The responses of small mammals but not reptiles showed some"&amp;" accord with our predictions, varying over time but inconsistently with treatment, and perhaps reflected high variability in capture success. We conclude that the timing and length of sampling are important when evaluating the responses of biota to livest"&amp;"ock removal, as is the inclusion of all key habitats in the sampling regime.")</f>
        <v>Biodiversity conservation in rangeland environments is often addressed by removing livestock, but inconsistent responses by biota mean that the efficacy of this form of management is hotly debated. Reasons for this inconsistency include the usually short duration and small spatial scale of manipulations compared to the area of grazing properties, as well as divergent responses amongst biota. In low-productivity arid environments, the pulse-reserve dynamic also complicates the outcome of manipulations. Here, we tested and extended these ideas in a heterogeneous desert environment in central Australia that consists of small patches of open woodland (gidgee) in a grassland (spinifex) matrix. Taking advantage of a controlled property-scale removal of cattle, and a rain event that stimulated productivity, we first quantified differences in the vegetation and small vertebrates of these two habitats, and then tracked the diversity, composition, and abundance of these biota for 6-19 months post-rain. We predicted that the two habitats would differ in the structure, composition, and reproductive output of their constituent plant species. We predicted also that the effects of cattle removal would interact with these habitat differences, with the abundance, richness, and diversity of small mammals and reptiles differing across habitats and grazing treatments. As anticipated, plant species composition in woodland was distinct from that in grassland and varied over time. The effects of cattle removal were habitat specific: Plant composition responded to de-stocking in woodland, but not in grassland; flowers were more abundant, and palatable plant cover also was greater following cessation of grazing pressure. The responses of small mammals but not reptiles showed some accord with our predictions, varying over time but inconsistently with treatment, and perhaps reflected high variability in capture success. We conclude that the timing and length of sampling are important when evaluating the responses of biota to livestock removal, as is the inclusion of all key habitats in the sampling regime.</v>
      </c>
      <c r="C1389" s="24" t="str">
        <f>IFERROR(__xludf.DUMMYFUNCTION("""COMPUTED_VALUE"""),"10.1890/13-2244.1")</f>
        <v>10.1890/13-2244.1</v>
      </c>
      <c r="D1389" s="24" t="str">
        <f>IFERROR(__xludf.DUMMYFUNCTION("""COMPUTED_VALUE"""),"Keck et al")</f>
        <v>Keck et al</v>
      </c>
      <c r="E1389" s="24" t="str">
        <f>IFERROR(__xludf.DUMMYFUNCTION("""COMPUTED_VALUE"""),"WOS:000346005400011")</f>
        <v>WOS:000346005400011</v>
      </c>
      <c r="F1389" s="24" t="str">
        <f>IFERROR(__xludf.DUMMYFUNCTION("""COMPUTED_VALUE"""),"[""ELIGIBLE""]")</f>
        <v>["ELIGIBLE"]</v>
      </c>
    </row>
    <row r="1390">
      <c r="A1390" s="24" t="str">
        <f>IFERROR(__xludf.DUMMYFUNCTION("""COMPUTED_VALUE"""),"Metabarcoding monitoring analysis: the pros and cons of using co-extracted environmental DNA and RNA data to assess offshore oil production impacts on benthic communities")</f>
        <v>Metabarcoding monitoring analysis: the pros and cons of using co-extracted environmental DNA and RNA data to assess offshore oil production impacts on benthic communities</v>
      </c>
      <c r="B1390" s="24" t="str">
        <f>IFERROR(__xludf.DUMMYFUNCTION("""COMPUTED_VALUE"""),"Sequencing environmental DNA (eDNA) is increasingly being used as an alternative to traditional morphological-based identification to characterize biological assemblages and monitor anthropogenic impacts in marine environments. Most studies only assess eD"&amp;"NA which, compared to eRNA, can persist longer in the environment after cell death. Therefore, eRNA may provide a more immediate census of the environment due to its relatively weaker stability, leading some researchers to advocate for the use of eRNA as "&amp;"an additional, or perhaps superior proxy for portraying ecological changes. A variety of pre-treatment techniques for screening eDNA and eRNA derived operational taxonomic units (OTUs) have been employed prior to statistical analyses, including removing s"&amp;"ingleton taxa (i.e., OTUs found only once) and discarding those not present in both eDNA and eRNA datasets. In this study, we used bacterial (16S ribosomal RNA gene) and eukaryotic (18S ribosomal RNA gene) eDNA- and eRNA-derived data from benthic communit"&amp;"ies collected at increasing distances along a transect from an oil production platform (Taranaki, New Zealand). Macro-infauna (visual classification of benthic invertebrates) and physico-chemical data were analyzed in parallel. We tested the effect of rem"&amp;"oving singleton taxa, and removing taxa not present in the eDNA and eRNA libraries from the same environmental sample (trimmed by shared OTUs), by comparing the impact of the oil production platform on alpha- and beta-diversity of the eDNA/eRNA-based biol"&amp;"ogical assemblages, and by correlating these to the morphologically identified macro-faunal communities and the physico-chemical data. When trimmed by singletons, presence/absence information from eRNA data represented the best proxy to detect changes on "&amp;"species diversity for both bacteria and eukaryotes. However, assessment of quantitative beta-diversity from read abundance information of bacteria eRNA did not, contrary to eDNA, reveal any impact from the oil production activity. Overall, the data appear"&amp;"ed more robust when trimmed by shared OTUs, showing a greater effect of the platform on alpha-and beta-diversity. Trimming by shared OTUs likely removes taxa derived from legacy DNA and technical artefacts introduced through reverse transcriptase, polymer"&amp;"ase-chain-reaction and sequencing. Findings from our scoping study suggest that metabarcoding-based biomonitoring surveys should, if funds, time and expertise allow, be assessed using both eDNA and eRNA products.")</f>
        <v>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v>
      </c>
      <c r="C1390" s="24" t="str">
        <f>IFERROR(__xludf.DUMMYFUNCTION("""COMPUTED_VALUE"""),"10.7717/peerj.3347")</f>
        <v>10.7717/peerj.3347</v>
      </c>
      <c r="D1390" s="24" t="str">
        <f>IFERROR(__xludf.DUMMYFUNCTION("""COMPUTED_VALUE"""),"Keck et al")</f>
        <v>Keck et al</v>
      </c>
      <c r="E1390" s="24" t="str">
        <f>IFERROR(__xludf.DUMMYFUNCTION("""COMPUTED_VALUE"""),"WOS:000401845500009")</f>
        <v>WOS:000401845500009</v>
      </c>
      <c r="F1390" s="24" t="str">
        <f>IFERROR(__xludf.DUMMYFUNCTION("""COMPUTED_VALUE"""),"[""ELIGIBLE""]")</f>
        <v>["ELIGIBLE"]</v>
      </c>
    </row>
    <row r="1391">
      <c r="A1391" s="24" t="str">
        <f>IFERROR(__xludf.DUMMYFUNCTION("""COMPUTED_VALUE"""),"Diverse Effects of a Seven-Year Experimental Grassland Fragmentation on Major Invertebrate Groups")</f>
        <v>Diverse Effects of a Seven-Year Experimental Grassland Fragmentation on Major Invertebrate Groups</v>
      </c>
      <c r="B1391" s="24" t="str">
        <f>IFERROR(__xludf.DUMMYFUNCTION("""COMPUTED_VALUE"""),"Habitat fragmentation is a major driver of biodiversity loss, but observed effects vary and may depend on the group examined. Time since fragmentation may explain some differences between taxonomical groups, as some species and thus species composition re"&amp;"spond with a delay to changes in their environment. Impacts of drivers of global change may thus be underestimated in short-term studies. In our study we experimentally fragmented nutrient-poor dry calcareous grasslands and studied the response of species"&amp;" richness, individual density and species composition of various groups of invertebrates (gastropods, ants, ground beetles, rove beetles, orthoptera, spiders, woodlice) in 12 small (1.5 m * 1.5 m) and 12 large (4.5 m * 4.5 m) fragments and their correspon"&amp;"ding control plots after 7 years. We further examined responses to fragmentation in relation to body size and habitat preferences. Responses to fragmentation varied between taxonomical groups. While spider species richness and individual density were lowe"&amp;"r in fragments, the opposite was true for an orthopteran species and woodlice. Species composition and beta-diversity differed between fragments and control plots for some groups. However, the interaction treatment*plot size was rarely significant. Specie"&amp;"s with high occupancy rates in undisturbed control plots responded more negatively to the fragmentation, while species with large body size were relatively more abundant in fragments in some groups. No effect of the fragmentation was found for ants, which"&amp;" may have the longest lag times because of long-lived colonies. However, relationships between abundance and the species' preferences for environmental factors affected by edge effects indicate that ant diversity too may be affected in the longer-term. Ou"&amp;"r results show the importance of considering different groups in conservation management in times of widespread fragmentation of landscapes. While species richness may respond slowly, changes in abundance related to habitat preferences or morphology may a"&amp;"llow insights into likely long-term changes.")</f>
        <v>Habitat fragmentation is a major driver of biodiversity loss, but observed effects vary and may depend on the group examined. Time since fragmentation may explain some differences between taxonomical groups, as some species and thus species composition respond with a delay to changes in their environment. Impacts of drivers of global change may thus be underestimated in short-term studies. In our study we experimentally fragmented nutrient-poor dry calcareous grasslands and studied the response of species richness, individual density and species composition of various groups of invertebrates (gastropods, ants, ground beetles, rove beetles, orthoptera, spiders, woodlice) in 12 small (1.5 m * 1.5 m) and 12 large (4.5 m * 4.5 m) fragments and their corresponding control plots after 7 years. We further examined responses to fragmentation in relation to body size and habitat preferences. Responses to fragmentation varied between taxonomical groups. While spider species richness and individual density were lower in fragments, the opposite was true for an orthopteran species and woodlice. Species composition and beta-diversity differed between fragments and control plots for some groups. However, the interaction treatment*plot size was rarely significant. Species with high occupancy rates in undisturbed control plots responded more negatively to the fragmentation, while species with large body size were relatively more abundant in fragments in some groups. No effect of the fragmentation was found for ants, which may have the longest lag times because of long-lived colonies. However, relationships between abundance and the species' preferences for environmental factors affected by edge effects indicate that ant diversity too may be affected in the longer-term. Our results show the importance of considering different groups in conservation management in times of widespread fragmentation of landscapes. While species richness may respond slowly, changes in abundance related to habitat preferences or morphology may allow insights into likely long-term changes.</v>
      </c>
      <c r="C1391" s="24" t="str">
        <f>IFERROR(__xludf.DUMMYFUNCTION("""COMPUTED_VALUE"""),"10.1371/journal.pone.0149567")</f>
        <v>10.1371/journal.pone.0149567</v>
      </c>
      <c r="D1391" s="24" t="str">
        <f>IFERROR(__xludf.DUMMYFUNCTION("""COMPUTED_VALUE"""),"Keck et al")</f>
        <v>Keck et al</v>
      </c>
      <c r="E1391" s="24" t="str">
        <f>IFERROR(__xludf.DUMMYFUNCTION("""COMPUTED_VALUE"""),"WOS:000371221500060")</f>
        <v>WOS:000371221500060</v>
      </c>
      <c r="F1391" s="24" t="str">
        <f>IFERROR(__xludf.DUMMYFUNCTION("""COMPUTED_VALUE"""),"[""ELIGIBLE""]")</f>
        <v>["ELIGIBLE"]</v>
      </c>
    </row>
    <row r="1392">
      <c r="A1392" s="24" t="str">
        <f>IFERROR(__xludf.DUMMYFUNCTION("""COMPUTED_VALUE"""),"Municipal wastewater as an ecological trap: Effects on fish communities across seasons")</f>
        <v>Municipal wastewater as an ecological trap: Effects on fish communities across seasons</v>
      </c>
      <c r="B1392" s="24" t="str">
        <f>IFERROR(__xludf.DUMMYFUNCTION("""COMPUTED_VALUE"""),"Municipal wastewater treatment plant (WWTP) effluents are a ubiquitous source of contamination whose impacts on fish and other aquatic organisms span across multiple levels of biological organization. Despite this, few studies have addressed the impacts o"&amp;"f WWTP effluents on fish communities, especially during the winter-a season seldom studied. Here, we assessed the impacts of wastewater on fish community compositions and various water quality parameters during the summer and winter along two effluent gra"&amp;"dients in Hamilton Harbour, an International Joint Commission Area of Concern in Hamilton, Canada. We found that fish abundance, species richness, and species diversity were generally highest in sites closest to the WWTP outfalls, but only significantly s"&amp;"o in the winter. Fish community compositions differed greatly along the effluent gradients, with sites closest and farthest from the outfalls being the most dissimilar. Furthermore, the concentrations of numerous contaminants of emerging concern (CECs) in"&amp;" the final treated effluent were highest during the winter. Water quality of sites closer to the outfalls was poorer than at sites farther away, especially during the winter. We also demonstrated that WWTPs can significantly alter the thermal profile of e"&amp;"ffluent-receiving environments, increasing temperature by as much as similar to 9 degrees C during the winter. Our results suggest that wastewater plumes may act as ecological traps in winter, whereby fish are attracted to the favourable temperatures near"&amp;" WWTPs and are thus exposed to higher concentrations of CECs. This study highlights the importance of winter research as a key predictor in further understanding the impacts of wastewater contamination in aquatic ecosystems. (C) 2020 Elsevier B.V. All rig"&amp;"hts reserved.")</f>
        <v>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v>
      </c>
      <c r="C1392" s="24" t="str">
        <f>IFERROR(__xludf.DUMMYFUNCTION("""COMPUTED_VALUE"""),"10.1016/j.scitotenv.2020.143430")</f>
        <v>10.1016/j.scitotenv.2020.143430</v>
      </c>
      <c r="D1392" s="24" t="str">
        <f>IFERROR(__xludf.DUMMYFUNCTION("""COMPUTED_VALUE"""),"Keck et al")</f>
        <v>Keck et al</v>
      </c>
      <c r="E1392" s="24" t="str">
        <f>IFERROR(__xludf.DUMMYFUNCTION("""COMPUTED_VALUE"""),"WOS:000605764100008")</f>
        <v>WOS:000605764100008</v>
      </c>
      <c r="F1392" s="24" t="str">
        <f>IFERROR(__xludf.DUMMYFUNCTION("""COMPUTED_VALUE"""),"[""ELIGIBLE""]")</f>
        <v>["ELIGIBLE"]</v>
      </c>
    </row>
    <row r="1393">
      <c r="A1393" s="24" t="str">
        <f>IFERROR(__xludf.DUMMYFUNCTION("""COMPUTED_VALUE"""),"Epifaunal and infaunal responses to submarine mine tailings in a Norwegian fjord")</f>
        <v>Epifaunal and infaunal responses to submarine mine tailings in a Norwegian fjord</v>
      </c>
      <c r="B1393" s="24" t="str">
        <f>IFERROR(__xludf.DUMMYFUNCTION("""COMPUTED_VALUE"""),"Disposal of mine tailings in marine shallow water ecosystems represents an environmental challenge, and the present paper reports results from a field study in Fraenfjorden, Norway, which is subject to such disposal. Structural and functional responses of"&amp;" benthic infauna and epifauna were investigated along a gradient from heavy tailings deposition to reference conditions. The tailings clearly impacted the faunal composition, with lowered species number close to the outfall. Total abundance of infauna inc"&amp;"reased in the most impacted area due to dominance of opportunistic species, whereas the epifauna was reduced and represented by a few scattered specimens only. In the most impacted area functional responses included an increase in mobile carnivores/ omniv"&amp;"ores and species utilizing symbionts. Sessile and tube-living taxa, and deposit and suspension feeders decreased, probably due to smothering in combination with tailings-associated changes of the substrate. Functional diversity decreased for both infauna "&amp;"and epifauna, but less than the structural diversity.")</f>
        <v>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v>
      </c>
      <c r="C1393" s="24" t="str">
        <f>IFERROR(__xludf.DUMMYFUNCTION("""COMPUTED_VALUE"""),"10.1016/j.marpolbul.2019.110560")</f>
        <v>10.1016/j.marpolbul.2019.110560</v>
      </c>
      <c r="D1393" s="24" t="str">
        <f>IFERROR(__xludf.DUMMYFUNCTION("""COMPUTED_VALUE"""),"Keck et al")</f>
        <v>Keck et al</v>
      </c>
      <c r="E1393" s="24" t="str">
        <f>IFERROR(__xludf.DUMMYFUNCTION("""COMPUTED_VALUE"""),"WOS:000501387300057")</f>
        <v>WOS:000501387300057</v>
      </c>
      <c r="F1393" s="24" t="str">
        <f>IFERROR(__xludf.DUMMYFUNCTION("""COMPUTED_VALUE"""),"[""ELIGIBLE""]")</f>
        <v>["ELIGIBLE"]</v>
      </c>
    </row>
    <row r="1394">
      <c r="A1394" s="24" t="str">
        <f>IFERROR(__xludf.DUMMYFUNCTION("""COMPUTED_VALUE"""),"Landscape mosaic attributes for maintaining ground-living spider diversity in a biodiversity hotspot")</f>
        <v>Landscape mosaic attributes for maintaining ground-living spider diversity in a biodiversity hotspot</v>
      </c>
      <c r="B1394" s="24" t="str">
        <f>IFERROR(__xludf.DUMMYFUNCTION("""COMPUTED_VALUE"""),"Spiders often dominate predator assemblages in vineyard agroecosystems. Land-use practices that enhance their diversity may be important for regional biodiversity conservation as well as biological control of vineyard pests. We surveyed ground-dwelling sp"&amp;"iders in habitats at different management intensities (natural habitat remnants, organic vineyards, and conventional vineyards) in the vineyard landscape of the Cape Floristic Region (CFR) biodiversity hotspot, South Africa, to examine the effects of loca"&amp;"l land use on spider diversity. Natural habitat remnants contributed significantly to the overall diversity, and supported rare families and unique species that were not found in the agricultural matrix. Nevertheless, vineyards still supported fairly high"&amp;" spider diversity, with a tendency for higher species richness in organic vineyards. Environmental variables relating to plant diversity, management intensity and distance to nearest natural habitat influenced spider abundance and species richness, and ch"&amp;"anges to these factors may improve the habitability of the vineyard landscape for spiders. All habitats supported various spider families that are known to prey on South African crop pests. In addition, spiders were abundant in both sampling seasons (autu"&amp;"mn and spring), but showed a significant increase in vineyards early in the growing season, suggesting that they may provide early-season background regulation of pests. There is considerable opportunity for spider conservation in the CFR vineyard landsca"&amp;"pe, as well as the possibility of associated benefits to biological control within vineyards.")</f>
        <v>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v>
      </c>
      <c r="C1394" s="24" t="str">
        <f>IFERROR(__xludf.DUMMYFUNCTION("""COMPUTED_VALUE"""),"10.1111/icad.12070")</f>
        <v>10.1111/icad.12070</v>
      </c>
      <c r="D1394" s="24" t="str">
        <f>IFERROR(__xludf.DUMMYFUNCTION("""COMPUTED_VALUE"""),"Keck et al")</f>
        <v>Keck et al</v>
      </c>
      <c r="E1394" s="24" t="str">
        <f>IFERROR(__xludf.DUMMYFUNCTION("""COMPUTED_VALUE"""),"WOS:000342990300008")</f>
        <v>WOS:000342990300008</v>
      </c>
      <c r="F1394" s="24" t="str">
        <f>IFERROR(__xludf.DUMMYFUNCTION("""COMPUTED_VALUE"""),"[""ELIGIBLE""]")</f>
        <v>["ELIGIBLE"]</v>
      </c>
    </row>
    <row r="1395">
      <c r="A1395" s="24" t="str">
        <f>IFERROR(__xludf.DUMMYFUNCTION("""COMPUTED_VALUE"""),"Trichoderma biofertilizer facilitating Leymus chinensis production in different growth stages is strongly linked to dynamically altered soil microbiomes")</f>
        <v>Trichoderma biofertilizer facilitating Leymus chinensis production in different growth stages is strongly linked to dynamically altered soil microbiomes</v>
      </c>
      <c r="B1395" s="24" t="str">
        <f>IFERROR(__xludf.DUMMYFUNCTION("""COMPUTED_VALUE"""),"The most suitable growth stage for harvesting L. chinensis while balancing yield and nutritional value has been poorly studied. Moreover, few studies have examined the response of L. chinensis to different organic fertilization strategies and the potentia"&amp;"l dynamic soil microbial ecological mechanisms. We conducted a two-year field experiment to investigate the impacts of different fertilizers on L. chinensis biomass and quality and the responses of soil microbiomes at three sampling stages. L. chinensis b"&amp;"iomass in organic fertilizer (OF) and biofertilizer (BIOF) treatments was significantly (P &lt; 0.05) elevated compared with that in the control (CK: nonamended) at all sampling stages. Significant difference of crude protein among different fertilization re"&amp;"gimes was found in flowering and fruiting stages, respectively. Bacterial and fungal HShannon and SChao1 were positively (P &lt; 0.05) associated with L. chinensis biomass. Three sampling stages were primarily and significantly separated in terms of the soil"&amp;" microbial communities. Besides, CK, OF, and BIOF were also significantly separated within each growth stage. Sampling stages, fertilization regimes and soil properties explained 15.0% and 20.8% of the observed bacterial and fungal community variations, r"&amp;"espectively. Mantel test results showed that the soil microbial community compositions had a significant correlation (bacteria, P = 0.019; fungi, P = 0.001) with L. chinensis biomass. Our research provides evidence for the relationships between dynamic re"&amp;"sponses of soil microbial community and L. chinensis production, which enriches the soil microbial ecology promotion theory and contributes to an important theoretical and scientific basis for extensive guidance of L. chinensis planting process.")</f>
        <v>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v>
      </c>
      <c r="C1395" s="24" t="str">
        <f>IFERROR(__xludf.DUMMYFUNCTION("""COMPUTED_VALUE"""),"10.1016/j.agee.2021.107706")</f>
        <v>10.1016/j.agee.2021.107706</v>
      </c>
      <c r="D1395" s="24" t="str">
        <f>IFERROR(__xludf.DUMMYFUNCTION("""COMPUTED_VALUE"""),"Keck et al")</f>
        <v>Keck et al</v>
      </c>
      <c r="E1395" s="24" t="str">
        <f>IFERROR(__xludf.DUMMYFUNCTION("""COMPUTED_VALUE"""),"WOS:000711633200010")</f>
        <v>WOS:000711633200010</v>
      </c>
      <c r="F1395" s="24" t="str">
        <f>IFERROR(__xludf.DUMMYFUNCTION("""COMPUTED_VALUE"""),"[""ELIGIBLE""]")</f>
        <v>["ELIGIBLE"]</v>
      </c>
    </row>
    <row r="1396">
      <c r="A1396" s="24" t="str">
        <f>IFERROR(__xludf.DUMMYFUNCTION("""COMPUTED_VALUE"""),"Effects of logging on the ecological strategy spectrum of a tropical montane rain forest")</f>
        <v>Effects of logging on the ecological strategy spectrum of a tropical montane rain forest</v>
      </c>
      <c r="B1396" s="24" t="str">
        <f>IFERROR(__xludf.DUMMYFUNCTION("""COMPUTED_VALUE"""),"Ecological strategy is the various adaptation tactics of species to different living conditions, which can reflect their contrasting approaches to survival in varying habitats. The number and relative abundance of species in different types of ecological "&amp;"strategies actually forms an ecological strategy spectrum in a community. Logging is a widespread driver of forest degradation, severely influencing the composition of communities and the ecological strategy spectra in forest ecosystems. Understanding eff"&amp;"ects of logging on the ecological strategy composition of communities is vital to biodiversity conservation and efficient restoration of degraded forest ecosystems. Yet, the knowledge of how ecological strategies of different communities respond to varyin"&amp;"g types and intensities of disturbances in tropical forests are largely unknown. Here, by establishing forest dynamics plots (FDPs) in communities experienced increasing logging intensities (no logging (old-growth (OG)), selective logging (SL), and clear-"&amp;"cutting (CL) and measuring plant functional traits in a tropical montane rain forest, we compared the changes in ecological strategies of these stands by using Grime's competitor, stress-tolerator, ruderal (CSR) scheme and by StrateFy ordination method ba"&amp;"sed on measurements of three plant functional traits (Leaf area (LA), leaf dry matter content (LDMC), and specific leaf area (SLA)). Results showed that strategy number increased and ecological strategy spectra of communities changed significantly with in"&amp;"creasing logging intensity: the proportion of S-selected strategies decreased while those of C- and R-selected strategies increased with increasing logging intensity. Community-weighted mean CSR (CWM-CSR) strategies of stands shifted from S to the C &amp; R d"&amp;"irection, i.e. CWM-C and CWM-R values increased and CWM-S values decreased with increasing logging intensity. Our findings suggest that logging intensity should be carefully controlled in harvesting planning, so that the recovery of species assemblages wi"&amp;"th multiple ecological strategies can be assured and the ecosystem services from these biodiverse forests can be provided sustainably.")</f>
        <v>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v>
      </c>
      <c r="C1396" s="24" t="str">
        <f>IFERROR(__xludf.DUMMYFUNCTION("""COMPUTED_VALUE"""),"10.1016/j.ecolind.2021.107812")</f>
        <v>10.1016/j.ecolind.2021.107812</v>
      </c>
      <c r="D1396" s="24" t="str">
        <f>IFERROR(__xludf.DUMMYFUNCTION("""COMPUTED_VALUE"""),"Keck et al")</f>
        <v>Keck et al</v>
      </c>
      <c r="E1396" s="24" t="str">
        <f>IFERROR(__xludf.DUMMYFUNCTION("""COMPUTED_VALUE"""),"WOS:000663327400005")</f>
        <v>WOS:000663327400005</v>
      </c>
      <c r="F1396" s="24" t="str">
        <f>IFERROR(__xludf.DUMMYFUNCTION("""COMPUTED_VALUE"""),"[""ELIGIBLE""]")</f>
        <v>["ELIGIBLE"]</v>
      </c>
    </row>
    <row r="1397">
      <c r="A1397" s="24" t="str">
        <f>IFERROR(__xludf.DUMMYFUNCTION("""COMPUTED_VALUE"""),"Spatial variability of inhalable fungal communities in airborne PM2.5 across Nanchang, China")</f>
        <v>Spatial variability of inhalable fungal communities in airborne PM2.5 across Nanchang, China</v>
      </c>
      <c r="B1397" s="24" t="str">
        <f>IFERROR(__xludf.DUMMYFUNCTION("""COMPUTED_VALUE"""),"Although fungi are ubiquitous in the atmosphere and have important effect on human health, their spatial variability about diversity and taxonomic composition, remain poorly understood. Considering the differences of environmental conditions, distinct air"&amp;"borne fungal communities were expected in the urban, suburban and forest areas. To test this hypothesis, PM2.5 samples were consecutively collected for 14 days across Nanchang, China. The results showed that fungal diversities of samples from forest were "&amp;"higher than that from the other two areas. Even though the airborne fungal communities at one sampling site fluctuated during the short-term period, the compositions in the forest significantly diverged from the other two areas (Anosim and Adonis: p &lt; 0.0"&amp;"1). Canonical correspondence analysis (CCA) and mantel test (p &lt; 0.01) indicated that these disparities among sampling sites were partly drove by air pollutants. High concentrations of air particles (PM2.5 and PM10) and gaseous pollutants (NO2 and CO) ass"&amp;"ociated with human activities were accompanied by high relative abundances of several genera such as Alternaria, Penicillium and Coprinellus. Likewise, Pearson correlation analysis showed that rainfall and relative humidity enhanced the relative abundance"&amp;"s of 13 genera like Malassezia and Schizophyllum. Notably, part of these genera was potential allergens and pathogens to human, and it seemed that there were higher health risks in urban and suburban. This study furthers our understanding of the variation"&amp;" of airborne fungal community in different land-use types and different treatments may be applied to deal with the potential threat of airborne fungi. (C) 2020 Elsevier B.V. All rights reserved.")</f>
        <v>Although fungi are ubiquitous in the atmosphere and have important effect on human health, their spatial variability about diversity and taxonomic composition, remain poorly understood. Considering the differences of environmental conditions, distinct airborne fungal communities were expected in the urban, suburban and forest areas. To test this hypothesis, PM2.5 samples were consecutively collected for 14 days across Nanchang, China. The results showed that fungal diversities of samples from forest were higher than that from the other two areas. Even though the airborne fungal communities at one sampling site fluctuated during the short-term period, the compositions in the forest significantly diverged from the other two areas (Anosim and Adonis: p &lt; 0.01). Canonical correspondence analysis (CCA) and mantel test (p &lt; 0.01) indicated that these disparities among sampling sites were partly drove by air pollutants. High concentrations of air particles (PM2.5 and PM10) and gaseous pollutants (NO2 and CO) associated with human activities were accompanied by high relative abundances of several genera such as Alternaria, Penicillium and Coprinellus. Likewise, Pearson correlation analysis showed that rainfall and relative humidity enhanced the relative abundances of 13 genera like Malassezia and Schizophyllum. Notably, part of these genera was potential allergens and pathogens to human, and it seemed that there were higher health risks in urban and suburban. This study furthers our understanding of the variation of airborne fungal community in different land-use types and different treatments may be applied to deal with the potential threat of airborne fungi. (C) 2020 Elsevier B.V. All rights reserved.</v>
      </c>
      <c r="C1397" s="24" t="str">
        <f>IFERROR(__xludf.DUMMYFUNCTION("""COMPUTED_VALUE"""),"10.1016/j.scitotenv.2020.141171")</f>
        <v>10.1016/j.scitotenv.2020.141171</v>
      </c>
      <c r="D1397" s="24" t="str">
        <f>IFERROR(__xludf.DUMMYFUNCTION("""COMPUTED_VALUE"""),"Keck et al")</f>
        <v>Keck et al</v>
      </c>
      <c r="E1397" s="24" t="str">
        <f>IFERROR(__xludf.DUMMYFUNCTION("""COMPUTED_VALUE"""),"WOS:000579371300064")</f>
        <v>WOS:000579371300064</v>
      </c>
      <c r="F1397" s="24" t="str">
        <f>IFERROR(__xludf.DUMMYFUNCTION("""COMPUTED_VALUE"""),"[""ELIGIBLE""]")</f>
        <v>["ELIGIBLE"]</v>
      </c>
    </row>
    <row r="1398">
      <c r="A1398" s="24" t="str">
        <f>IFERROR(__xludf.DUMMYFUNCTION("""COMPUTED_VALUE"""),"Response of nematode community structure to hypoxia in an enclosed coastal sea, Omura Bay, for three consecutive years")</f>
        <v>Response of nematode community structure to hypoxia in an enclosed coastal sea, Omura Bay, for three consecutive years</v>
      </c>
      <c r="B1398" s="24" t="str">
        <f>IFERROR(__xludf.DUMMYFUNCTION("""COMPUTED_VALUE"""),"Hypoxia in bottom environments of coastal marine ecosystems is a serious problem adversely affecting both benthic life and local fisheries. In this study, we monitored abundance, composition, and feeding types of nematode communities under pre-, mid-, and"&amp;" post-hypoxic conditions in Omura Bay, Nagasaki, Japan, for three consecutive years (2013-2015). The bay is almost completely enclosed, and experiences hypoxia at the bottom every summer. A positive correlation was found between dissolved oxygen (DO) conc"&amp;"entration and nematode abundance over the entire sampling period (p&lt;0.05, r=0.61). The nematode community compositions among the pre-, mid-, and post-hypoxic conditions were significantly different (one-way analysis of similarities (ANOSIM), p&lt;0.05), whic"&amp;"h suggests that DO in the bottom water acts as a major driver for the community shift. The increases in abundance of nematodes with toothless feeding apparatus in hypoxic periods, relative to normoxic periods, further suggested that the transfer of organi"&amp;"c matter from bacteria through nematodes became more important in the bay under hypoxia than normoxia. It was also demonstrated that full recovery of nematode populations from hypoxic to normoxic conditions would require more than two weeks of continuous "&amp;"normoxic DO levels (&gt;3 mg L-1). These findings will help us to understand how global trends of ocean deoxygenation could shape the meiobenthic community and alter benthic ecosystem functioning in coastal areas.")</f>
        <v>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v>
      </c>
      <c r="C1398" s="24" t="str">
        <f>IFERROR(__xludf.DUMMYFUNCTION("""COMPUTED_VALUE"""),"10.3800/pbr.13.59")</f>
        <v>10.3800/pbr.13.59</v>
      </c>
      <c r="D1398" s="24" t="str">
        <f>IFERROR(__xludf.DUMMYFUNCTION("""COMPUTED_VALUE"""),"Keck et al")</f>
        <v>Keck et al</v>
      </c>
      <c r="E1398" s="24" t="str">
        <f>IFERROR(__xludf.DUMMYFUNCTION("""COMPUTED_VALUE"""),"WOS:000435228200003")</f>
        <v>WOS:000435228200003</v>
      </c>
      <c r="F1398" s="24" t="str">
        <f>IFERROR(__xludf.DUMMYFUNCTION("""COMPUTED_VALUE"""),"[""ELIGIBLE""]")</f>
        <v>["ELIGIBLE"]</v>
      </c>
    </row>
    <row r="1399">
      <c r="A1399" s="24" t="str">
        <f>IFERROR(__xludf.DUMMYFUNCTION("""COMPUTED_VALUE"""),"Attributes of stand-age-dependent forest determine technosol fertility of Atlantic forest re-growing on mining tailings in Mariana, Brazil")</f>
        <v>Attributes of stand-age-dependent forest determine technosol fertility of Atlantic forest re-growing on mining tailings in Mariana, Brazil</v>
      </c>
      <c r="B1399" s="24" t="str">
        <f>IFERROR(__xludf.DUMMYFUNCTION("""COMPUTED_VALUE"""),"Understanding how soil fertility changes due to environmental conditions and stand-age-dependent forest attributes is important for local-scale forest restoration. We evaluated the effects of stand-age-dependent forest attributes (plant community composit"&amp;"ion and litter stock) on soil and technosol fertility across two second-growth Atlantic forests (SGF) after the deposition of mining tailings in Mariana, southeastern Brazil. We hypothesized that technosol fertility in the SGF tailings is positively affec"&amp;"ted by plant community composition variability, stand age, and litter stock. We used total exchangeable bases and organic matter as fertility indicators for technosol and soil, and species composition and litter stock as stand-age-dependent forest attribu"&amp;"tes. Our results showed significant differences in the stand-age-dependent forest attributes and soil chemical properties between the two forest patches (SGF tailing and SGF non-tailing) evaluated. Thus, there was a marked gradient of litter storage and f"&amp;"ertility between soil and technosol that can be important forest recovery indicators for the affected plant communities. Furthermore, according to the tested models, we corroborated the hypothesis that technosol fertility is positively affected by stand a"&amp;"ge, plant community composition variability, and litter stock, which may contribute considerably to forest recovery on tailings. Our results demonstrate that the fertility predictors analyzed to explain the forest recovery on tailings can also be consider"&amp;"ed as ecological indicators for assessing forest restoration in areas impacted by mining tailings in Mariana.")</f>
        <v>Understanding how soil fertility changes due to environmental conditions and stand-age-dependent forest attributes is important for local-scale forest restoration. We evaluated the effects of stand-age-dependent forest attributes (plant community composition and litter stock) on soil and technosol fertility across two second-growth Atlantic forests (SGF) after the deposition of mining tailings in Mariana, southeastern Brazil. We hypothesized that technosol fertility in the SGF tailings is positively affected by plant community composition variability, stand age, and litter stock. We used total exchangeable bases and organic matter as fertility indicators for technosol and soil, and species composition and litter stock as stand-age-dependent forest attributes. Our results showed significant differences in the stand-age-dependent forest attributes and soil chemical properties between the two forest patches (SGF tailing and SGF non-tailing) evaluated. Thus, there was a marked gradient of litter storage and fertility between soil and technosol that can be important forest recovery indicators for the affected plant communities. Furthermore, according to the tested models, we corroborated the hypothesis that technosol fertility is positively affected by stand age, plant community composition variability, and litter stock, which may contribute considerably to forest recovery on tailings. Our results demonstrate that the fertility predictors analyzed to explain the forest recovery on tailings can also be considered as ecological indicators for assessing forest restoration in areas impacted by mining tailings in Mariana.</v>
      </c>
      <c r="C1399" s="24" t="str">
        <f>IFERROR(__xludf.DUMMYFUNCTION("""COMPUTED_VALUE"""),"10.1007/s11676-021-01359-z")</f>
        <v>10.1007/s11676-021-01359-z</v>
      </c>
      <c r="D1399" s="24" t="str">
        <f>IFERROR(__xludf.DUMMYFUNCTION("""COMPUTED_VALUE"""),"Keck et al")</f>
        <v>Keck et al</v>
      </c>
      <c r="E1399" s="24" t="str">
        <f>IFERROR(__xludf.DUMMYFUNCTION("""COMPUTED_VALUE"""),"WOS:000659413200002")</f>
        <v>WOS:000659413200002</v>
      </c>
      <c r="F1399" s="24" t="str">
        <f>IFERROR(__xludf.DUMMYFUNCTION("""COMPUTED_VALUE"""),"[""ELIGIBLE""]")</f>
        <v>["ELIGIBLE"]</v>
      </c>
    </row>
    <row r="1400">
      <c r="A1400" s="24" t="str">
        <f>IFERROR(__xludf.DUMMYFUNCTION("""COMPUTED_VALUE"""),"Prokaryotic Diversity in the Rhizosphere of Organic, Intensive, and Transitional Coffee Farms in Brazil")</f>
        <v>Prokaryotic Diversity in the Rhizosphere of Organic, Intensive, and Transitional Coffee Farms in Brazil</v>
      </c>
      <c r="B1400" s="24" t="str">
        <f>IFERROR(__xludf.DUMMYFUNCTION("""COMPUTED_VALUE"""),"Despite a continuous rise in consumption of coffee over the past 60 years and recent studies showing positive benefits linked to human health, intensive coffee farming practices have been associated with environmental damage, risks to human health, and re"&amp;"ductions in biodiversity. In contrast, organic farming has become an increasingly popular alternative, with both environmental and health benefits. This study aimed to characterize and determine the differences in the prokaryotic soil microbiology of thre"&amp;"e Brazilian coffee farms: one practicing intensive farming, one practicing organic farming, and one undergoing a transition from intensive to organic practices. Soil samples were collected from 20 coffee plant rhizospheres (soil directly influenced by the"&amp;" plant root exudates) and 10 control sites (soil 5 m away from the coffee plantation) at each of the three farms for a total of 90 samples. Profiling of 16S rRNA gene V4 regions revealed high levels of prokaryotic diversity in all three farms, with thousa"&amp;"nds of species level operational taxonomic units identified in each farm. Additionally, a statistically significant difference was found between each farm's coffee rhizosphere microbiome, as well as between coffee rhizosphere soils and control soils. Two "&amp;"groups of prokaryotes associated with the nitrogen cycle, the archaeal genus Candidatus Nitrososphaera and the bacterial order Rhizobiales were found to be abundant and statistically different in composition between the three farms and in inverse relation"&amp;"ship to each other. Many of the nitrogen-fixing genera known to enhance plant growth were found in low numbers (e.g. Rhizobium, Agrobacter, Acetobacter, Rhodospirillum, Azospirillum), but the families in which they belong had some of the highest relative "&amp;"abundance in the dataset, suggesting many new groups may exist in these samples that can be further studied as potential plant growth-promoting bacteria to improve coffee production while diminishing negative environmental impacts.")</f>
        <v>Despite a continuous rise in consumption of coffee over the past 60 years and recent studies showing positive benefits linked to human health, intensive coffee farming practices have been associated with environmental damage, risks to human health, and reductions in biodiversity. In contrast, organic farming has become an increasingly popular alternative, with both environmental and health benefits. This study aimed to characterize and determine the differences in the prokaryotic soil microbiology of three Brazilian coffee farms: one practicing intensive farming, one practicing organic farming, and one undergoing a transition from intensive to organic practices. Soil samples were collected from 20 coffee plant rhizospheres (soil directly influenced by the plant root exudates) and 10 control sites (soil 5 m away from the coffee plantation) at each of the three farms for a total of 90 samples. Profiling of 16S rRNA gene V4 regions revealed high levels of prokaryotic diversity in all three farms, with thousands of species level operational taxonomic units identified in each farm. Additionally, a statistically significant difference was found between each farm's coffee rhizosphere microbiome, as well as between coffee rhizosphere soils and control soils. Two groups of prokaryotes associated with the nitrogen cycle, the archaeal genus Candidatus Nitrososphaera and the bacterial order Rhizobiales were found to be abundant and statistically different in composition between the three farms and in inverse relationship to each other. Many of the nitrogen-fixing genera known to enhance plant growth were found in low numbers (e.g. Rhizobium, Agrobacter, Acetobacter, Rhodospirillum, Azospirillum), but the families in which they belong had some of the highest relative abundance in the dataset, suggesting many new groups may exist in these samples that can be further studied as potential plant growth-promoting bacteria to improve coffee production while diminishing negative environmental impacts.</v>
      </c>
      <c r="C1400" s="24" t="str">
        <f>IFERROR(__xludf.DUMMYFUNCTION("""COMPUTED_VALUE"""),"10.1371/journal.pone.0106355")</f>
        <v>10.1371/journal.pone.0106355</v>
      </c>
      <c r="D1400" s="24" t="str">
        <f>IFERROR(__xludf.DUMMYFUNCTION("""COMPUTED_VALUE"""),"Keck et al")</f>
        <v>Keck et al</v>
      </c>
      <c r="E1400" s="24" t="str">
        <f>IFERROR(__xludf.DUMMYFUNCTION("""COMPUTED_VALUE"""),"WOS:000356567400001")</f>
        <v>WOS:000356567400001</v>
      </c>
      <c r="F1400" s="24" t="str">
        <f>IFERROR(__xludf.DUMMYFUNCTION("""COMPUTED_VALUE"""),"[""ELIGIBLE""]")</f>
        <v>["ELIGIBLE"]</v>
      </c>
    </row>
    <row r="1401">
      <c r="A1401" s="24" t="str">
        <f>IFERROR(__xludf.DUMMYFUNCTION("""COMPUTED_VALUE"""),"Testosterone amendment alters metabolite profiles of the soil microbial community")</f>
        <v>Testosterone amendment alters metabolite profiles of the soil microbial community</v>
      </c>
      <c r="B1401" s="24" t="str">
        <f>IFERROR(__xludf.DUMMYFUNCTION("""COMPUTED_VALUE"""),"Steroid hormones are prevalent in the environment and have become emerging pollutants, but little is known about their effects on soil microbial community composition and function. In the present study, three representative soils in China were amended wit"&amp;"h environmentally relevant concentrations of testosterone and responses of soil bacterial community composition and soil function were assessed using high-throughput sequencing and nontargeted metabolomics. Our results showed that testosterone exposure si"&amp;"gnificantly shifted bacterial community structure and metabolic profiles in soils at Ningbo (NB) and Kunming (KM), which may reflect high bioavailability of the hormone. Abundances of several bacterial taxa associated with nutrient cycling were reduced by"&amp;" testosterone and metabolites related to amino acid metabolism were downregulated. A close connection between bacterial taxa and specific metabolites was observed and confirmed by Procrustes tests and a co-occurrence network. These results provide an insi"&amp;"ght into the effects of steroid hormones on soil microbial community and highlight that nontargeted metabolomics is an effective tool for investigating the impacts of pollutants. (C) 2020 Elsevier Ltd. All rights reserved.")</f>
        <v>Steroid hormones are prevalent in the environment and have become emerging pollutants, but little is known about their effects on soil microbial community composition and function. In the present study, three representative soils in China were amended with environmentally relevant concentrations of testosterone and responses of soil bacterial community composition and soil function were assessed using high-throughput sequencing and nontargeted metabolomics. Our results showed that testosterone exposure significantly shifted bacterial community structure and metabolic profiles in soils at Ningbo (NB) and Kunming (KM), which may reflect high bioavailability of the hormone. Abundances of several bacterial taxa associated with nutrient cycling were reduced by testosterone and metabolites related to amino acid metabolism were downregulated. A close connection between bacterial taxa and specific metabolites was observed and confirmed by Procrustes tests and a co-occurrence network. These results provide an insight into the effects of steroid hormones on soil microbial community and highlight that nontargeted metabolomics is an effective tool for investigating the impacts of pollutants. (C) 2020 Elsevier Ltd. All rights reserved.</v>
      </c>
      <c r="C1401" s="24" t="str">
        <f>IFERROR(__xludf.DUMMYFUNCTION("""COMPUTED_VALUE"""),"10.1016/j.envpol.2020.115928")</f>
        <v>10.1016/j.envpol.2020.115928</v>
      </c>
      <c r="D1401" s="24" t="str">
        <f>IFERROR(__xludf.DUMMYFUNCTION("""COMPUTED_VALUE"""),"Keck et al")</f>
        <v>Keck et al</v>
      </c>
      <c r="E1401" s="24" t="str">
        <f>IFERROR(__xludf.DUMMYFUNCTION("""COMPUTED_VALUE"""),"WOS:000615555000017")</f>
        <v>WOS:000615555000017</v>
      </c>
      <c r="F1401" s="24" t="str">
        <f>IFERROR(__xludf.DUMMYFUNCTION("""COMPUTED_VALUE"""),"[""ELIGIBLE""]")</f>
        <v>["ELIGIBLE"]</v>
      </c>
    </row>
    <row r="1402">
      <c r="A1402" s="24" t="str">
        <f>IFERROR(__xludf.DUMMYFUNCTION("""COMPUTED_VALUE"""),"How the structure of a phytophilous chironomid assemblage responds to a lake level drawdown for submerged macrophyte control in a tropical reservoir")</f>
        <v>How the structure of a phytophilous chironomid assemblage responds to a lake level drawdown for submerged macrophyte control in a tropical reservoir</v>
      </c>
      <c r="B1402" s="24" t="str">
        <f>IFERROR(__xludf.DUMMYFUNCTION("""COMPUTED_VALUE"""),"In hydropower reservoirs, lakes permanently connected to the river present high temporal and spatial stability, what favors the occurrence of macrophytes and a diverse Chironomidae fauna. However, the rapid proliferation of macrophytes causes problems for"&amp;" the diverse uses of the reservoir, being common the application of induced drought to expose the plants to desiccation. In a lake connected to Paranapanema River and under the influence of Salto Grande reservoir, the structure of the Chironomidae fauna a"&amp;"ssociated with the submerged macrophyte Egeria densa was analyzed during an induced drought management to verify its consequences on the fauna structure. One sample was taken before starting the management (Control-C), three during the drought disturbance"&amp;" (1st, 7th and 11th days-DD) and one on the 49th day after the reservoir refilling (flood disturbance-FD). A Principal Coordinates analysis applied to density data of 28 Chironomidae taxa (nine replicates per date) indicated a temporal variation. Eight ta"&amp;"xa had high correlation with the ordination, but only three with significant temporal difference in density (higher for Caladomyia in C, Dicrotendipes in FD and Thienemanniella in DD11). A temporal difference was also found for richness and diversity (low"&amp;"er at DD1). The higher values of diversity in the peak of the induced drought and after the refilling emphasize the strong effect on this fauna, with reduction of Caladomyia and increase of Dicrotendipes and Thienemanniella densities. Forty-nine days afte"&amp;"r refilling (FD), the richness and density did not return to pre-management values, with a distribution of abundance among diferent genera and none expressing dominance.")</f>
        <v>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v>
      </c>
      <c r="C1402" s="24" t="str">
        <f>IFERROR(__xludf.DUMMYFUNCTION("""COMPUTED_VALUE"""),"10.23818/limn.39.36")</f>
        <v>10.23818/limn.39.36</v>
      </c>
      <c r="D1402" s="24" t="str">
        <f>IFERROR(__xludf.DUMMYFUNCTION("""COMPUTED_VALUE"""),"Keck et al")</f>
        <v>Keck et al</v>
      </c>
      <c r="E1402" s="24" t="str">
        <f>IFERROR(__xludf.DUMMYFUNCTION("""COMPUTED_VALUE"""),"WOS:000607495400004")</f>
        <v>WOS:000607495400004</v>
      </c>
      <c r="F1402" s="24" t="str">
        <f>IFERROR(__xludf.DUMMYFUNCTION("""COMPUTED_VALUE"""),"[""ELIGIBLE""]")</f>
        <v>["ELIGIBLE"]</v>
      </c>
    </row>
    <row r="1403">
      <c r="A1403" s="24" t="str">
        <f>IFERROR(__xludf.DUMMYFUNCTION("""COMPUTED_VALUE"""),"Respiration induced by substrate and bacteria diversity after application of diuron, hexazinone, and sulfometuron-methyl alone and in mixture")</f>
        <v>Respiration induced by substrate and bacteria diversity after application of diuron, hexazinone, and sulfometuron-methyl alone and in mixture</v>
      </c>
      <c r="B1403" s="24" t="str">
        <f>IFERROR(__xludf.DUMMYFUNCTION("""COMPUTED_VALUE"""),"After application, herbicides often reach the soil and affect non-target soil microorganisms, decreasing their population, diversity or affecting metabolic activity. Therefore, laboratory studies were performed to evaluate the effects of diuron, hexazinon"&amp;"e and sulfometuron-methyl alone and mixed upon carbon transformation by soil microorganisms in clayey and sandy soils and the effect on bacterial diversity and structure. Control treatment without herbicide application was also performed. Sub-samples from"&amp;" the control and herbicide treatments (10g - in triplicate) were collected before herbicide application and 7, 14, 28 and 42days after treatment (DAT), then 1mL of C-14-glucose solution was applied. The released (CO2)-C-14 was trapped in 2M NaOH solution "&amp;"and the radioactivity was analyzed by liquid scintillation counting (LSC), 12h after glucose application. The effect of herbicides on bacterial diversity was evaluated by T-RFLP. The experiment was conducted in a complete randomized design. Hexazinone did"&amp;" not affect (CO2)-C-14 evolution. Diuron showed a greater (CO2)-C-14 evolution in sandy and clayey soil, while sulfometuron-methyl led to an increase in sandy soil, at 42 DAT. A greater evolution of carbon was observed in the treatment with herbicide mixt"&amp;"ure in sandy soil, compared with the same treatment in clayey soil or control. However, the herbicide mixture application did not affect the soil biological activity measured by the respiration rate induced by substrate. On the other hand, the herbicide m"&amp;"ixtures affected the bacterial diversity in both soils, being the strongest effect to diuron and sulfometuron-methyl in clayey soil and hexazinone in sandy soil.")</f>
        <v>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v>
      </c>
      <c r="C1403" s="24" t="str">
        <f>IFERROR(__xludf.DUMMYFUNCTION("""COMPUTED_VALUE"""),"10.1080/03601234.2019.1620043")</f>
        <v>10.1080/03601234.2019.1620043</v>
      </c>
      <c r="D1403" s="24" t="str">
        <f>IFERROR(__xludf.DUMMYFUNCTION("""COMPUTED_VALUE"""),"Keck et al")</f>
        <v>Keck et al</v>
      </c>
      <c r="E1403" s="24" t="str">
        <f>IFERROR(__xludf.DUMMYFUNCTION("""COMPUTED_VALUE"""),"WOS:000482338000003")</f>
        <v>WOS:000482338000003</v>
      </c>
      <c r="F1403" s="24" t="str">
        <f>IFERROR(__xludf.DUMMYFUNCTION("""COMPUTED_VALUE"""),"[""ELIGIBLE""]")</f>
        <v>["ELIGIBLE"]</v>
      </c>
    </row>
    <row r="1404">
      <c r="A1404" s="24" t="str">
        <f>IFERROR(__xludf.DUMMYFUNCTION("""COMPUTED_VALUE"""),"Rainbow darter (Etheostoma caeruleum) from a river impacted by municipal wastewater effluents have altered gut content microbiomes")</f>
        <v>Rainbow darter (Etheostoma caeruleum) from a river impacted by municipal wastewater effluents have altered gut content microbiomes</v>
      </c>
      <c r="B1404" s="24" t="str">
        <f>IFERROR(__xludf.DUMMYFUNCTION("""COMPUTED_VALUE"""),"Municipal wastewater treatment plant (WWTP) effluent contains pharmaceuticals and personal care products known to affect fish health and reproduction. The microbiome is a community of bacteria integral in maintaining host health and is influenced by speci"&amp;"es, diet, and environment. This study investigated changes in the diversity and composition of the gut content microbiome of rainbow darter (Etheostoma caeruleum) at ten sites on the Grand River, Ontario, Canada. Gut contents were collected in fall 2018 f"&amp;"rom these fish at sites upstream and downstream of two municipal wastewater treatment plants (WWTPs; Waterloo and Kitchener). 16S rRNA genes were sequenced to determine the composition and diversity (alpha and beta) of microbial taxa present. Gut content "&amp;"bacterial alpha diversity increased downstream of both WWTP outfalls; dominance of bacterial amplicon sequence variants decreased compared to upstream fish. Fish collected at different sites had distinct bacterial communities, with upstream samples domina"&amp;"nt in Proteobacteria and Firmicutes, and downstream samples increasingly abundant in Proteobacteria and Cyanobacteria. In mammals, increased abundance of Proteobacteria is indicative of microbial dysbiosis and has been linked to altered health outcomes, b"&amp;"ut this is not yet known for fish. This research indicates that the fish gut content microbiome was altered downstream of WWTP effluent outfalls and could lead to negative health outcomes. Crown Copyright (C) 2020 Published by Elsevier B.V. All rights res"&amp;"erved.")</f>
        <v>Municipal wastewater treatment plant (WWTP) effluent contains pharmaceuticals and personal care products known to affect fish health and reproduction. The microbiome is a community of bacteria integral in maintaining host health and is influenced by species, diet, and environment. This study investigated changes in the diversity and composition of the gut content microbiome of rainbow darter (Etheostoma caeruleum) at ten sites on the Grand River, Ontario, Canada. Gut contents were collected in fall 2018 from these fish at sites upstream and downstream of two municipal wastewater treatment plants (WWTPs; Waterloo and Kitchener). 16S rRNA genes were sequenced to determine the composition and diversity (alpha and beta) of microbial taxa present. Gut content bacterial alpha diversity increased downstream of both WWTP outfalls; dominance of bacterial amplicon sequence variants decreased compared to upstream fish. Fish collected at different sites had distinct bacterial communities, with upstream samples dominant in Proteobacteria and Firmicutes, and downstream samples increasingly abundant in Proteobacteria and Cyanobacteria. In mammals, increased abundance of Proteobacteria is indicative of microbial dysbiosis and has been linked to altered health outcomes, but this is not yet known for fish. This research indicates that the fish gut content microbiome was altered downstream of WWTP effluent outfalls and could lead to negative health outcomes. Crown Copyright (C) 2020 Published by Elsevier B.V. All rights reserved.</v>
      </c>
      <c r="C1404" s="24" t="str">
        <f>IFERROR(__xludf.DUMMYFUNCTION("""COMPUTED_VALUE"""),"10.1016/j.scitotenv.2020.141724")</f>
        <v>10.1016/j.scitotenv.2020.141724</v>
      </c>
      <c r="D1404" s="24" t="str">
        <f>IFERROR(__xludf.DUMMYFUNCTION("""COMPUTED_VALUE"""),"Keck et al")</f>
        <v>Keck et al</v>
      </c>
      <c r="E1404" s="24" t="str">
        <f>IFERROR(__xludf.DUMMYFUNCTION("""COMPUTED_VALUE"""),"WOS:000587300800059")</f>
        <v>WOS:000587300800059</v>
      </c>
      <c r="F1404" s="24" t="str">
        <f>IFERROR(__xludf.DUMMYFUNCTION("""COMPUTED_VALUE"""),"[""ELIGIBLE""]")</f>
        <v>["ELIGIBLE"]</v>
      </c>
    </row>
    <row r="1405">
      <c r="A1405" s="24" t="str">
        <f>IFERROR(__xludf.DUMMYFUNCTION("""COMPUTED_VALUE"""),"Differences in the insect fauna associated to a monocultural pasture and a silvopasture in Southeastern Brazil")</f>
        <v>Differences in the insect fauna associated to a monocultural pasture and a silvopasture in Southeastern Brazil</v>
      </c>
      <c r="B1405" s="24" t="str">
        <f>IFERROR(__xludf.DUMMYFUNCTION("""COMPUTED_VALUE"""),"A major challenge for global agriculture is the reduction of the environmental impacts caused by meat and dairy production, and the conversion of monocultural pastures to silvopastoral systems has emerged as an important ally in this process. In order to "&amp;"understand the effects of this conversion we analysed 4 years of sampling of the insect fauna from a conventional monocultural pasture and a silvopastoral system in Minas Gerais, Brazil. We aimed to determine whether the changes caused by the conversion a"&amp;"ffected the abundance, richness and diversity of the insect orders found in the two systems. Total abundance, richness and diversity did not differ between the two systems, but we detected a significant difference in community composition. Several insect "&amp;"orders showed differences in either abundance, richness or diversity between the two systems, and several families of Hymenoptera, which contains pollinators and natural enemies, showed important increases in the silvopasture. Conversion of monocultural p"&amp;"astures to silvopastures can have important consequences on insect fauna involved in essential ecosystem functions, and the implementation of silvopastures at larger scales has the potential to benefit biodiversity conservation and ecosystem service provi"&amp;"sion at the landscape scale.")</f>
        <v>A major challenge for global agriculture is the reduction of the environmental impacts caused by meat and dairy production, and the conversion of monocultural pastures to silvopastoral systems has emerged as an important ally in this process. In order to understand the effects of this conversion we analysed 4 years of sampling of the insect fauna from a conventional monocultural pasture and a silvopastoral system in Minas Gerais, Brazil. We aimed to determine whether the changes caused by the conversion affected the abundance, richness and diversity of the insect orders found in the two systems. Total abundance, richness and diversity did not differ between the two systems, but we detected a significant difference in community composition. Several insect orders showed differences in either abundance, richness or diversity between the two systems, and several families of Hymenoptera, which contains pollinators and natural enemies, showed important increases in the silvopasture. Conversion of monocultural pastures to silvopastures can have important consequences on insect fauna involved in essential ecosystem functions, and the implementation of silvopastures at larger scales has the potential to benefit biodiversity conservation and ecosystem service provision at the landscape scale.</v>
      </c>
      <c r="C1405" s="24" t="str">
        <f>IFERROR(__xludf.DUMMYFUNCTION("""COMPUTED_VALUE"""),"10.1038/s41598-020-68973-5")</f>
        <v>10.1038/s41598-020-68973-5</v>
      </c>
      <c r="D1405" s="24" t="str">
        <f>IFERROR(__xludf.DUMMYFUNCTION("""COMPUTED_VALUE"""),"Keck et al")</f>
        <v>Keck et al</v>
      </c>
      <c r="E1405" s="24" t="str">
        <f>IFERROR(__xludf.DUMMYFUNCTION("""COMPUTED_VALUE"""),"WOS:000555519800027")</f>
        <v>WOS:000555519800027</v>
      </c>
      <c r="F1405" s="24" t="str">
        <f>IFERROR(__xludf.DUMMYFUNCTION("""COMPUTED_VALUE"""),"[""ELIGIBLE""]")</f>
        <v>["ELIGIBLE"]</v>
      </c>
    </row>
    <row r="1406">
      <c r="A1406" s="24" t="str">
        <f>IFERROR(__xludf.DUMMYFUNCTION("""COMPUTED_VALUE"""),"Agricultural ewetland restorations on the USA Atlantic Coastal Plain achieve diverse native wetland plant communities but differ from natural wetlands")</f>
        <v>Agricultural ewetland restorations on the USA Atlantic Coastal Plain achieve diverse native wetland plant communities but differ from natural wetlands</v>
      </c>
      <c r="B1406" s="24" t="str">
        <f>IFERROR(__xludf.DUMMYFUNCTION("""COMPUTED_VALUE"""),"Wetland restoration is globally important for offsetting effects of wetland loss and degradation but is not consistently successful. Vegetation studies provide insight into the effectiveness of restoring wetland ecosystem functions. We compared plant comm"&amp;"unity composition in 47 non-tidal wetlands under different management (natural, restored, and former wetlands that had been converted to cropland) in the Atlantic Coastal Plain of the USA. As expected, drained cropland sites were dominated by conventional"&amp;" upland row crops, had low species richness and evenness, and were highly disturbed. Plant communities in restored sites were more like natural sites based on the percentage of species that were native and hydrophytic, plant community evenness, and floris"&amp;"tic quality. However, natural sites were forested, while restored and drained cropland sites were primarily herbaceous. Restored sites continued to be impacted by anthropogenic disturbance compared to natural sites. Our findings demonstrate that restored "&amp;"wetlands in agricultural settings can develop diverse native wetland plant communities within a decade but they remain very different from natural wetlands, raising questions about restoration goals, ecosystem service tradeoffs, and our ability to restore"&amp;" wetlands to ecological conditions found in reference sites. (C) 2014 Elsevier B.V. All rights reserved.")</f>
        <v>Wetland restoration is globally important for offsetting effects of wetland loss and degradation but is not consistently successful. Vegetation studies provide insight into the effectiveness of restoring wetland ecosystem functions. We compared plant community composition in 47 non-tidal wetlands under different management (natural, restored, and former wetlands that had been converted to cropland) in the Atlantic Coastal Plain of the USA. As expected, drained cropland sites were dominated by conventional upland row crops, had low species richness and evenness, and were highly disturbed. Plant communities in restored sites were more like natural sites based on the percentage of species that were native and hydrophytic, plant community evenness, and floristic quality. However, natural sites were forested, while restored and drained cropland sites were primarily herbaceous. Restored sites continued to be impacted by anthropogenic disturbance compared to natural sites. Our findings demonstrate that restored wetlands in agricultural settings can develop diverse native wetland plant communities within a decade but they remain very different from natural wetlands, raising questions about restoration goals, ecosystem service tradeoffs, and our ability to restore wetlands to ecological conditions found in reference sites. (C) 2014 Elsevier B.V. All rights reserved.</v>
      </c>
      <c r="C1406" s="24" t="str">
        <f>IFERROR(__xludf.DUMMYFUNCTION("""COMPUTED_VALUE"""),"10.1016/j.agee.2014.07.007")</f>
        <v>10.1016/j.agee.2014.07.007</v>
      </c>
      <c r="D1406" s="24" t="str">
        <f>IFERROR(__xludf.DUMMYFUNCTION("""COMPUTED_VALUE"""),"Keck et al")</f>
        <v>Keck et al</v>
      </c>
      <c r="E1406" s="24" t="str">
        <f>IFERROR(__xludf.DUMMYFUNCTION("""COMPUTED_VALUE"""),"WOS:000344423000002")</f>
        <v>WOS:000344423000002</v>
      </c>
      <c r="F1406" s="24" t="str">
        <f>IFERROR(__xludf.DUMMYFUNCTION("""COMPUTED_VALUE"""),"[""ELIGIBLE""]")</f>
        <v>["ELIGIBLE"]</v>
      </c>
    </row>
    <row r="1407">
      <c r="A1407" s="24" t="str">
        <f>IFERROR(__xludf.DUMMYFUNCTION("""COMPUTED_VALUE"""),"Post-agriculture rain forest succession on a tropical Pacific island")</f>
        <v>Post-agriculture rain forest succession on a tropical Pacific island</v>
      </c>
      <c r="B1407" s="24" t="str">
        <f>IFERROR(__xludf.DUMMYFUNCTION("""COMPUTED_VALUE"""),"Questions The effects of agriculture on forest biodiversity and ecosystem properties can persist decades or centuries after abandonment. Many Pacific island nations are experiencing declines in traditional agriculture. Seed dispersal and seedling recruitm"&amp;"ent are critical to forest regeneration, and this is particularly relevant for Polynesia where native seed disperser diversity is low and species have been extirpated to crisis levels. In this study we asked: are secondary lowland tropical forests converg"&amp;"ing to mature forest, and are there seedling recruitment and survival differences between forest types? Location The Polynesian island of Tutuila, American Samoa, where traditional agriculture has been on the decline since the 1940s and secondary forests "&amp;"comprise 70% of all forest area. Methods We surveyed 34 vegetation plots (containing 2,232 adult trees and 6,579 tree seedlings) across mature forest and &gt;50 years old secondary lowland rain forest. We quantitatively compared forest diversity, structure a"&amp;"nd the 3-year seedling regeneration dynamics of the tree community. Results Although species richness and stem densities were similar between mature and secondary forest, most diversity and structure parameters remained distinguishable between the two for"&amp;"est types. Basal area remained significantly higher in mature forest; the diagnostic tree species of mature and secondary forest differed; and community composition (as indicated by NMDS) remained significantly different. However, seedling survivorship di"&amp;"d not differ between forest types and seedling recruitment patterns indicated that there remained a suite of effective seed dispersers on Tutuila. Conclusions We conclude that (a) community differences between mature and secondary lowland rainforest were "&amp;"driven by the abundance of diagnostic species rather than exclusion of species from a forest type, and (b) there was no evidence of biophysical or ecological barriers to forest recovery of lowland secondary rain forest, or its convergence towards mature l"&amp;"owland rain forest. Nevertheless, more than 50 years after agricultural abandonment, secondary forest remains distinct from mature forest, highlighting that land use legacies are long-term drivers of forest composition and successional trajectory in post-"&amp;"agricultural landscapes of Polynesia.")</f>
        <v>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v>
      </c>
      <c r="C1407" s="24" t="str">
        <f>IFERROR(__xludf.DUMMYFUNCTION("""COMPUTED_VALUE"""),"10.1111/jvs.13064")</f>
        <v>10.1111/jvs.13064</v>
      </c>
      <c r="D1407" s="24" t="str">
        <f>IFERROR(__xludf.DUMMYFUNCTION("""COMPUTED_VALUE"""),"Keck et al")</f>
        <v>Keck et al</v>
      </c>
      <c r="E1407" s="24" t="str">
        <f>IFERROR(__xludf.DUMMYFUNCTION("""COMPUTED_VALUE"""),"WOS:000690877500010")</f>
        <v>WOS:000690877500010</v>
      </c>
      <c r="F1407" s="24" t="str">
        <f>IFERROR(__xludf.DUMMYFUNCTION("""COMPUTED_VALUE"""),"[""ELIGIBLE""]")</f>
        <v>["ELIGIBLE"]</v>
      </c>
    </row>
    <row r="1408">
      <c r="A1408" s="24" t="str">
        <f>IFERROR(__xludf.DUMMYFUNCTION("""COMPUTED_VALUE"""),"Ecology of Native vs. Introduced Phragmites australis (Common Reed) in Chicago-Area Wetlands")</f>
        <v>Ecology of Native vs. Introduced Phragmites australis (Common Reed) in Chicago-Area Wetlands</v>
      </c>
      <c r="B1408" s="24" t="str">
        <f>IFERROR(__xludf.DUMMYFUNCTION("""COMPUTED_VALUE"""),"Rapid spread of Phragmites australis(common reed) in North American wetlands is widely attributed to cryptic invasion by an introduced lineage. However, in the Midwestern U.S., the native subspecies (subsp. americanus) may also exhibit rapid expansion. Wh"&amp;"ere both lineages occur, wetland managers are sometimes unsure whether they should limit management activities to the introduced lineage or control both. We conducted field studies to contrast the ecology of native and introduced Phragmites by pairing pat"&amp;"ches of each with native reference vegetation. We measured each lineage's association with environmental conditions, their growth metrics (stem heights, stem densities, and plant cover), and their invasiveness as indicated by the diversity and composition"&amp;" of associated plant communities. Introduced Phragmites exhibited more robust growth than the native, and its growth was more positively correlated with increases in soil nutrient availability and salinity. Areas with introduced Phragmites had lower plant"&amp;" diversity and altered species composition relative to reference vegetation. We did not observe similar evidence of invasiveness in native Phragmites. We encourage wetland managers to differentiate populations by lineage and, unless there is compelling ev"&amp;"idence to do otherwise, restrict control efforts to the introduced lineage.")</f>
        <v>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v>
      </c>
      <c r="C1408" s="24" t="str">
        <f>IFERROR(__xludf.DUMMYFUNCTION("""COMPUTED_VALUE"""),"10.1007/s13157-013-0504-z")</f>
        <v>10.1007/s13157-013-0504-z</v>
      </c>
      <c r="D1408" s="24" t="str">
        <f>IFERROR(__xludf.DUMMYFUNCTION("""COMPUTED_VALUE"""),"Keck et al")</f>
        <v>Keck et al</v>
      </c>
      <c r="E1408" s="24" t="str">
        <f>IFERROR(__xludf.DUMMYFUNCTION("""COMPUTED_VALUE"""),"WOS:000332825400016")</f>
        <v>WOS:000332825400016</v>
      </c>
      <c r="F1408" s="24" t="str">
        <f>IFERROR(__xludf.DUMMYFUNCTION("""COMPUTED_VALUE"""),"[""ELIGIBLE""]")</f>
        <v>["ELIGIBLE"]</v>
      </c>
    </row>
    <row r="1409">
      <c r="A1409" s="24" t="str">
        <f>IFERROR(__xludf.DUMMYFUNCTION("""COMPUTED_VALUE"""),"Assessing the long-term ecological effects of riparian management practices on headwater streams in a coastal temperate rainforest")</f>
        <v>Assessing the long-term ecological effects of riparian management practices on headwater streams in a coastal temperate rainforest</v>
      </c>
      <c r="B1409" s="24" t="str">
        <f>IFERROR(__xludf.DUMMYFUNCTION("""COMPUTED_VALUE"""),"Our understanding of how effective forestry Best Management Practices (BMPs) can mitigate logging impacts on the structure and functioning of temperate headwater streams tends to be based upon studies conducted within the first few years post-harvest. Lit"&amp;"tle is known about how the affected biological parameters of streams change during riparian and upland forest regeneration, particularly the time taken to return to pre-harvest levels, or to within the range of reference conditions. By following up on an "&amp;"earlier study in southwestern British Columbia, Canada, we examined the post-logging recovery trajectories of stream attributes under multiple forest treatments. These treatments provided a gradient of riparian protection, including streamside clear-cutti"&amp;"ng with no reserves, and with fixed-width reserves (10 m and 30 m), and thinning with 50% basal area removal of riparian trees, which were compared with unharvested control sites. About 15 years after clear-cutting and 9 years after thinning, slower decom"&amp;"position of red alder leaves (Alnus rubra) was reported in streams affected by forest harvesting, which was attributed to lower density of shredder invertebrates. Thinned reaches had lower litter decomposition rate than, but similar shredder density and r"&amp;"ichness to, unharvested reference sites. After a further 7 years of forest regrowth (time elapsed between the previous and present study), we found that litter decomposition rate and shredder density in logging-affected reaches converged with values in re"&amp;"ference reaches. Stream functional integrity, as reflected by litter decomposition, increased across all forest treatments. Some differences in rarefied shredder richness among forest treatments emerged in this study. The legacy effects of thinning on som"&amp;"e biotic variables likely diminished more quickly (2-9 years post-harvest) than those of clear-cutting with and without riparian reserves (8-15 years). Stream recovery from thinning to reference conditions should continue to warrant attention, as wider, l"&amp;"arger-scale partial harvesting practices are recommended within emerging paradigms of forest management. Overall, our findings indicate time scales towards recovery of an important ecological process of streams under common forestry practices, which could"&amp;" be longer than other stream properties, such as water quality. Such differences in recovery time frames should be considered for the planning of forestry operations and monitoring of harvesting legacies. (C) 2016 Elsevier B.V. All rights reserved.")</f>
        <v>Our understanding of how effective forestry Best Management Practices (BMPs) can mitigate logging impacts on the structure and functioning of temperate headwater streams tends to be based upon studies conducted within the first few years post-harvest. Little is known about how the affected biological parameters of streams change during riparian and upland forest regeneration, particularly the time taken to return to pre-harvest levels, or to within the range of reference conditions. By following up on an earlier study in southwestern British Columbia, Canada, we examined the post-logging recovery trajectories of stream attributes under multiple forest treatments. These treatments provided a gradient of riparian protection, including streamside clear-cutting with no reserves, and with fixed-width reserves (10 m and 30 m), and thinning with 50% basal area removal of riparian trees, which were compared with unharvested control sites. About 15 years after clear-cutting and 9 years after thinning, slower decomposition of red alder leaves (Alnus rubra) was reported in streams affected by forest harvesting, which was attributed to lower density of shredder invertebrates. Thinned reaches had lower litter decomposition rate than, but similar shredder density and richness to, unharvested reference sites. After a further 7 years of forest regrowth (time elapsed between the previous and present study), we found that litter decomposition rate and shredder density in logging-affected reaches converged with values in reference reaches. Stream functional integrity, as reflected by litter decomposition, increased across all forest treatments. Some differences in rarefied shredder richness among forest treatments emerged in this study. The legacy effects of thinning on some biotic variables likely diminished more quickly (2-9 years post-harvest) than those of clear-cutting with and without riparian reserves (8-15 years). Stream recovery from thinning to reference conditions should continue to warrant attention, as wider, larger-scale partial harvesting practices are recommended within emerging paradigms of forest management. Overall, our findings indicate time scales towards recovery of an important ecological process of streams under common forestry practices, which could be longer than other stream properties, such as water quality. Such differences in recovery time frames should be considered for the planning of forestry operations and monitoring of harvesting legacies. (C) 2016 Elsevier B.V. All rights reserved.</v>
      </c>
      <c r="C1409" s="24" t="str">
        <f>IFERROR(__xludf.DUMMYFUNCTION("""COMPUTED_VALUE"""),"10.1016/j.foreco.2016.10.044")</f>
        <v>10.1016/j.foreco.2016.10.044</v>
      </c>
      <c r="D1409" s="24" t="str">
        <f>IFERROR(__xludf.DUMMYFUNCTION("""COMPUTED_VALUE"""),"Keck et al")</f>
        <v>Keck et al</v>
      </c>
      <c r="E1409" s="24" t="str">
        <f>IFERROR(__xludf.DUMMYFUNCTION("""COMPUTED_VALUE"""),"WOS:000390727600012")</f>
        <v>WOS:000390727600012</v>
      </c>
      <c r="F1409" s="24" t="str">
        <f>IFERROR(__xludf.DUMMYFUNCTION("""COMPUTED_VALUE"""),"[""ELIGIBLE""]")</f>
        <v>["ELIGIBLE"]</v>
      </c>
    </row>
    <row r="1410">
      <c r="A1410" s="24" t="str">
        <f>IFERROR(__xludf.DUMMYFUNCTION("""COMPUTED_VALUE"""),"Assessing mesophotic coral ecosystems inside and outside a Caribbean marine protected area")</f>
        <v>Assessing mesophotic coral ecosystems inside and outside a Caribbean marine protected area</v>
      </c>
      <c r="B1410" s="24" t="str">
        <f>IFERROR(__xludf.DUMMYFUNCTION("""COMPUTED_VALUE"""),"Widespread shallow coral reef loss has led to calls for more holistic approaches to coral reef management, requiring inclusion of ecosystems interacting with shallow coral reefs in management plans. Yet, almost all current reef management is biased toward"&amp;"s shallow reefs, and overlooks that coral reefs extend beyond shallow waters to mesophotic coral ecosystems (MCEs; 30-150 m). We present the first detailed quantitative characterization of MCEs off Cozumel, Mexico, on the northern Mesoamerican Reef in the"&amp;" Mexican Caribbean, and provide insights into their general state. We documented MCE biodiversity, and assessed whether MCEs adjacent to a major town and port, where coastal development has caused shallow reef damage, have similar benthic and fish communi"&amp;"ties to MCEs within a National Park. Our results show that overall MCE communities are similar regardless of protection, though some taxa-specific differences exist in benthic communities between sites within the MPA and areas outside. Regardless of prote"&amp;"ction and location, and in contrast to shallow reefs, all observed Cozumel MCEs were continuous reefs with the main structural habitat complexity provided by calcareous macroalgae, sponges, gorgonians and black corals. Hard corals were present on MCEs, al"&amp;"though at low abundance. We found that 42.5% of fish species recorded on Cozumel could be found on both shallow reefs and MCEs, including 39.6% of commercially valuable fish species. These results suggest that MCEs could play an important role in supporti"&amp;"ng fish populations. However, regardless of protection and depth, we found few large-body. fishes (greater than 500 mm), which were nearly absent at all studied sites. Cozumel MCEs contain diverse benthic and fish assemblages, including commercially valua"&amp;"ble fisheries species and ecosystem engineers, such as black corals. Because of their inherent biodiversity and identified threats, MCEs should be incorporated into shallow-reef-focused Cozumel National Park management plan.")</f>
        <v>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v>
      </c>
      <c r="C1410" s="24" t="str">
        <f>IFERROR(__xludf.DUMMYFUNCTION("""COMPUTED_VALUE"""),"10.1098/rsos.180835")</f>
        <v>10.1098/rsos.180835</v>
      </c>
      <c r="D1410" s="24" t="str">
        <f>IFERROR(__xludf.DUMMYFUNCTION("""COMPUTED_VALUE"""),"Keck et al")</f>
        <v>Keck et al</v>
      </c>
      <c r="E1410" s="24" t="str">
        <f>IFERROR(__xludf.DUMMYFUNCTION("""COMPUTED_VALUE"""),"WOS:000451073300038")</f>
        <v>WOS:000451073300038</v>
      </c>
      <c r="F1410" s="24" t="str">
        <f>IFERROR(__xludf.DUMMYFUNCTION("""COMPUTED_VALUE"""),"[""ELIGIBLE""]")</f>
        <v>["ELIGIBLE"]</v>
      </c>
    </row>
    <row r="1411">
      <c r="A1411" s="24" t="str">
        <f>IFERROR(__xludf.DUMMYFUNCTION("""COMPUTED_VALUE"""),"Biotic consequences of a shift in invertebrate ecosystem engineers: Invasion of New Zealand rocky shores by a zone-forming ascidian")</f>
        <v>Biotic consequences of a shift in invertebrate ecosystem engineers: Invasion of New Zealand rocky shores by a zone-forming ascidian</v>
      </c>
      <c r="B1411" s="24" t="str">
        <f>IFERROR(__xludf.DUMMYFUNCTION("""COMPUTED_VALUE"""),"The pervasive effects of invasive ecosystem engineers, that is those species that modify their environment, are well documented, but rarely have the broader impacts of one foundation invertebrate species being replaced by another been examined. In New Zea"&amp;"land, green-lipped mussels, Perna canaliculus, commonly dominate wave-exposed rocky shores. The recent appearance of an invasive ecosystem engineer, the ascidian Pyura doppelgangera, at the very northern tip of New Zealand now threatens to exclude these b"&amp;"ivalves from this habitat. Here, we report major shifts in assemblages associated with the invader and chronicle its continued spread. We examined epibiota associated with clumps of mussels and clumps of Pyura from two rocky shore habitatspools and emerge"&amp;"nt substrata at two locations. We detected some differences in species richness in biota associated with the two foundation species, but faunal abundance only differed between the locations. These minor changes were dwarfed by the shift in species composi"&amp;"tion within clumps of each foundation species. Molluscs, particularly gastropods, and crustaceans dominated the assemblage within mussels. In contrast, tubicolous polychaetes dominated the fauna associated with the ascidian. Sessile epifauna, notably barn"&amp;"acles and calcareous tube-dwelling polychaetes, were common on mussels, but never encountered on the ascidian. Multivariate analysis revealed marked dissimilarity (&gt;80%) between the characteristic mussel and ascidian faunas with virtually no overlap. This"&amp;" biotic shift overshadowed any differences between habitats and locations. The broader implications of these faunal shifts for local and regional patterns of biodiversity, as well as ecosystem function, remain unclear, but deserve further attention.")</f>
        <v>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v>
      </c>
      <c r="C1411" s="24" t="str">
        <f>IFERROR(__xludf.DUMMYFUNCTION("""COMPUTED_VALUE"""),"10.1111/maec.12502")</f>
        <v>10.1111/maec.12502</v>
      </c>
      <c r="D1411" s="24" t="str">
        <f>IFERROR(__xludf.DUMMYFUNCTION("""COMPUTED_VALUE"""),"Keck et al")</f>
        <v>Keck et al</v>
      </c>
      <c r="E1411" s="24" t="str">
        <f>IFERROR(__xludf.DUMMYFUNCTION("""COMPUTED_VALUE"""),"WOS:000443232500006")</f>
        <v>WOS:000443232500006</v>
      </c>
      <c r="F1411" s="24" t="str">
        <f>IFERROR(__xludf.DUMMYFUNCTION("""COMPUTED_VALUE"""),"[""ELIGIBLE""]")</f>
        <v>["ELIGIBLE"]</v>
      </c>
    </row>
    <row r="1412">
      <c r="A1412" s="24" t="str">
        <f>IFERROR(__xludf.DUMMYFUNCTION("""COMPUTED_VALUE"""),"Active rehabilitation of Amazonian sand mines converges soils, plant communities and environmental status to their predisturbance levels")</f>
        <v>Active rehabilitation of Amazonian sand mines converges soils, plant communities and environmental status to their predisturbance levels</v>
      </c>
      <c r="B1412" s="24" t="str">
        <f>IFERROR(__xludf.DUMMYFUNCTION("""COMPUTED_VALUE"""),"The continuous monitoring of mineland rehabilitation is paramount for identifying deviations from desired trajectories and providing assessments for environmental agencies. In this study, we analyzed soil texture and chemical properties, vegetation develo"&amp;"pment and soil respiration along rehabilitation chronosequences including nonrehabilitated areas, areas at different rehabilitation stages and reference sites covered by native forests in three sand mines in the Carajas National Forest, eastern Amazonia, "&amp;"Brazil, to estimate their rehabilitation status. For nine environmental variables related to ecological processes, vegetation structure, and community diversity, we computed response ratios in relation to predisturbance levels found in native reference si"&amp;"tes and integrated them into an index of rehabilitation status using a multivariate approach. Our analyses showed that the soil chemical properties and tree community composition of the rehabilitated minelands converged over time to those of native ecosys"&amp;"tems. All environmental indicators and the overall rehabilitation status increased with rehabilitation time, indicating that rehabilitation interventions set the rehabilitation trajectory on a desired path. Although most indicators did not achieve predist"&amp;"urbance levels, we conclude that rehabilitation activities can effectively reduce the environmental impacts of sand extraction in Amazonia over short time periods, thereby contributing to the recovery of ecosystem services and the protection of biodiversi"&amp;"ty.")</f>
        <v>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v>
      </c>
      <c r="C1412" s="24" t="str">
        <f>IFERROR(__xludf.DUMMYFUNCTION("""COMPUTED_VALUE"""),"10.1002/ldr.3475")</f>
        <v>10.1002/ldr.3475</v>
      </c>
      <c r="D1412" s="24" t="str">
        <f>IFERROR(__xludf.DUMMYFUNCTION("""COMPUTED_VALUE"""),"Keck et al")</f>
        <v>Keck et al</v>
      </c>
      <c r="E1412" s="24" t="str">
        <f>IFERROR(__xludf.DUMMYFUNCTION("""COMPUTED_VALUE"""),"WOS:000517653400006")</f>
        <v>WOS:000517653400006</v>
      </c>
      <c r="F1412" s="24" t="str">
        <f>IFERROR(__xludf.DUMMYFUNCTION("""COMPUTED_VALUE"""),"[""ELIGIBLE""]")</f>
        <v>["ELIGIBLE"]</v>
      </c>
    </row>
    <row r="1413">
      <c r="A1413" s="24" t="str">
        <f>IFERROR(__xludf.DUMMYFUNCTION("""COMPUTED_VALUE"""),"Long-term nutrient inputs shift soil microbial functional profiles of phosphorus cycling in diverse agroecosystems")</f>
        <v>Long-term nutrient inputs shift soil microbial functional profiles of phosphorus cycling in diverse agroecosystems</v>
      </c>
      <c r="B1413" s="24" t="str">
        <f>IFERROR(__xludf.DUMMYFUNCTION("""COMPUTED_VALUE"""),"Microorganisms play an important role in soil phosphorus (P) cycling and regulation of P availability in agroecosystems. However, the responses of the functional and ecological traits of P-transformation microorganisms to long-term nutrient inputs are lar"&amp;"gely unknown. This study used metagenomics to investigate changes in the relative abundance of microbial P-transformation genes at four long-term experimental sites that received various inputs of N and P nutrients (up to 39 years). Long-term P input incr"&amp;"eased microbial P immobilization by decreasing the relative abundance of the P-starvation response gene (phoR) and increasing that of the low-affinity inorganic phosphate transporter gene (pit). This contrasts with previous findings that low-P conditions "&amp;"facilitate P immobilization in culturable microorganisms in short-term studies. In comparison, long-term nitrogen (N) input significantly decreased soil pH, and consequently decreased the relative abundances of total microbial P-solubilizing genes and the"&amp;" abundances of Actinobacteria, Gammaproteobacteria, and Alphaproteobacteria containing genes coding for alkaline phosphatase, and weakened the connection of relevant key genes. This challenges the concept that microbial P-solubilization capacity is mainly"&amp;" regulated by N:P stoichiometry. It is concluded that long-term N inputs decreased microbial P-solubilizing and mineralizing capacity while P inputs favored microbial immobilization via altering the microbial functional profiles, providing a novel insight"&amp;" into the regulation of P cycling in sustainable agroecosystems from a microbial perspective.")</f>
        <v>Microorganisms play an important role in soil phosphorus (P) cycling and regulation of P availability in agroecosystems. However, the responses of the functional and ecological traits of P-transformation microorganisms to long-term nutrient inputs are largely unknown. This study used metagenomics to investigate changes in the relative abundance of microbial P-transformation genes at four long-term experimental sites that received various inputs of N and P nutrients (up to 39 years). Long-term P input increased microbial P immobilization by decreasing the relative abundance of the P-starvation response gene (phoR) and increasing that of the low-affinity inorganic phosphate transporter gene (pit). This contrasts with previous findings that low-P conditions facilitate P immobilization in culturable microorganisms in short-term studies. In comparison, long-term nitrogen (N) input significantly decreased soil pH, and consequently decreased the relative abundances of total microbial P-solubilizing genes and the abundances of Actinobacteria, Gammaproteobacteria, and Alphaproteobacteria containing genes coding for alkaline phosphatase, and weakened the connection of relevant key genes. This challenges the concept that microbial P-solubilization capacity is mainly regulated by N:P stoichiometry. It is concluded that long-term N inputs decreased microbial P-solubilizing and mineralizing capacity while P inputs favored microbial immobilization via altering the microbial functional profiles, providing a novel insight into the regulation of P cycling in sustainable agroecosystems from a microbial perspective.</v>
      </c>
      <c r="C1413" s="24" t="str">
        <f>IFERROR(__xludf.DUMMYFUNCTION("""COMPUTED_VALUE"""),"10.1038/s41396-019-0567-9")</f>
        <v>10.1038/s41396-019-0567-9</v>
      </c>
      <c r="D1413" s="24" t="str">
        <f>IFERROR(__xludf.DUMMYFUNCTION("""COMPUTED_VALUE"""),"Keck et al")</f>
        <v>Keck et al</v>
      </c>
      <c r="E1413" s="24" t="str">
        <f>IFERROR(__xludf.DUMMYFUNCTION("""COMPUTED_VALUE"""),"WOS:000514576800008")</f>
        <v>WOS:000514576800008</v>
      </c>
      <c r="F1413" s="24" t="str">
        <f>IFERROR(__xludf.DUMMYFUNCTION("""COMPUTED_VALUE"""),"[""ELIGIBLE""]")</f>
        <v>["ELIGIBLE"]</v>
      </c>
    </row>
    <row r="1414">
      <c r="A1414" s="24" t="str">
        <f>IFERROR(__xludf.DUMMYFUNCTION("""COMPUTED_VALUE"""),"Long-term effects of Cu(OH)2 nanopesticide exposure on soil microbial communities")</f>
        <v>Long-term effects of Cu(OH)2 nanopesticide exposure on soil microbial communities</v>
      </c>
      <c r="B1414" s="24" t="str">
        <f>IFERROR(__xludf.DUMMYFUNCTION("""COMPUTED_VALUE"""),"Copper-based (nano)pesticides in agroecosystems may result in unintended consequences on non-target soil microbial communities, due to their antimicrobial broad spectrum. We studied the impact of a commercial Cu(OH)(2)-nanopesticide, over 90 days, at sing"&amp;"le and season agricultural application doses, in the presence and absence of an edaphic organism (the isopod Porcellionides pruinosus), on microbial communities' function, structure and abundance. Results were compared to the effects of Cu(OH)(2)-ionic. T"&amp;"he nanopesticide application resulted in significant changes on both bacterial and fungal communities' structure, particularly at the season application. The exposed bacterial community presented a significantly lower richness, and higher diversity and ev"&amp;"enness while the exposed fungal community presented lower diversity and richness. At the functional level, a significant increase on microbial ability of carbon utilization and a significant decrease on the beta-glucosidase activity was observed for commu"&amp;"nities exposed to the nanopesticide. Regarding Cu forms, less pronounced effects were observed in soils spiked with Cu(OH)(2)-ionic, which might result from lower Cu concentration in porewater. The presence of P. pruinosus did not induce significant chang"&amp;"es in diversity indexes (fungal community) and community-level physiological profiling, suggesting an attenuation of the nanopesticide effect. This study revealed that Cu(OH)(2)-nanopesticide, at doses applied in agriculture, impact the soil microbial com"&amp;"munity, possibly affecting its ecological role. On the other hand, invertebrates may attenuate this effect, highlighting the importance of jointly including different interacting communities in the risk assessment of nanopesticides in soils. (C) 2020 Else"&amp;"vier Ltd. All rights reserved.")</f>
        <v>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v>
      </c>
      <c r="C1414" s="24" t="str">
        <f>IFERROR(__xludf.DUMMYFUNCTION("""COMPUTED_VALUE"""),"10.1016/j.envpol.2020.116113")</f>
        <v>10.1016/j.envpol.2020.116113</v>
      </c>
      <c r="D1414" s="24" t="str">
        <f>IFERROR(__xludf.DUMMYFUNCTION("""COMPUTED_VALUE"""),"Keck et al")</f>
        <v>Keck et al</v>
      </c>
      <c r="E1414" s="24" t="str">
        <f>IFERROR(__xludf.DUMMYFUNCTION("""COMPUTED_VALUE"""),"WOS:000604429000042")</f>
        <v>WOS:000604429000042</v>
      </c>
      <c r="F1414" s="24" t="str">
        <f>IFERROR(__xludf.DUMMYFUNCTION("""COMPUTED_VALUE"""),"[""ELIGIBLE""]")</f>
        <v>["ELIGIBLE"]</v>
      </c>
    </row>
    <row r="1415">
      <c r="A1415" s="24" t="str">
        <f>IFERROR(__xludf.DUMMYFUNCTION("""COMPUTED_VALUE"""),"Ecological selection of siderophore-producing microbial taxa in response to heavy metal contamination")</f>
        <v>Ecological selection of siderophore-producing microbial taxa in response to heavy metal contamination</v>
      </c>
      <c r="B1415" s="24" t="str">
        <f>IFERROR(__xludf.DUMMYFUNCTION("""COMPUTED_VALUE"""),"Some microbial public goods can provide both individual and community-wide benefits, and are open to exploitation by non-producing species. One such example is the production of metal-detoxifying siderophores. Here, we investigate whether conflicting sele"&amp;"ction pressures on siderophore production by heavy metals - a detoxifying effect of siderophores, and exploitation of this detoxifying effect - result in a net increase or decrease. We show that the proportion of siderophore-producing taxa increases along"&amp;" a natural heavy metal gradient. A causal link between metal contamination and siderophore production was subsequently demonstrated in a microcosm experiment in compost, in which we observed changes in community composition towards taxa that produce relat"&amp;"ively more siderophores following copper contamination. We confirmed the selective benefit of siderophores by showing that taxa producing large amounts of siderophore suffered less growth inhibition in toxic copper. Our results suggest that ecological sel"&amp;"ection will favour siderophore-mediated decontamination, with important consequences for potential remediation strategies.")</f>
        <v>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v>
      </c>
      <c r="C1415" s="24" t="str">
        <f>IFERROR(__xludf.DUMMYFUNCTION("""COMPUTED_VALUE"""),"10.1111/ele.12878")</f>
        <v>10.1111/ele.12878</v>
      </c>
      <c r="D1415" s="24" t="str">
        <f>IFERROR(__xludf.DUMMYFUNCTION("""COMPUTED_VALUE"""),"Keck et al")</f>
        <v>Keck et al</v>
      </c>
      <c r="E1415" s="24" t="str">
        <f>IFERROR(__xludf.DUMMYFUNCTION("""COMPUTED_VALUE"""),"WOS:000418133700012")</f>
        <v>WOS:000418133700012</v>
      </c>
      <c r="F1415" s="24" t="str">
        <f>IFERROR(__xludf.DUMMYFUNCTION("""COMPUTED_VALUE"""),"[""ELIGIBLE""]")</f>
        <v>["ELIGIBLE"]</v>
      </c>
    </row>
    <row r="1416">
      <c r="A1416" s="24" t="str">
        <f>IFERROR(__xludf.DUMMYFUNCTION("""COMPUTED_VALUE"""),"All that glitters is litter? Ecological impacts of conventional versus biodegradable glitter in a freshwater habitat")</f>
        <v>All that glitters is litter? Ecological impacts of conventional versus biodegradable glitter in a freshwater habitat</v>
      </c>
      <c r="B1416" s="24" t="str">
        <f>IFERROR(__xludf.DUMMYFUNCTION("""COMPUTED_VALUE"""),"Biodegradable plastics are becoming increasingly popular due to global concerns about plastic pollution. In this study, the impacts of glitter manufactured of conventional, non-biodegradable polyethylene terephthalate (PET) versus glitter of alternative m"&amp;"aterials (modified regenerated cellulose (MRC), mica or synthetic mica) on the biodiversity and ecosystem functioning of freshwater, lotic habitats were compared using a semi-natural mes-ocosm experiment. After 36 days, there was no effect of glitter on o"&amp;"verall assemblage structure or diversity indices, however there was a two-fold increase in the abundance of New Zealand mud snails (Potamopyrgus antipodarum) in response to MRC glitter. In addition, the root length of common duckweed (Lemna minor) and phy"&amp;"toplankton biomass (based on chlorophyll content) were significantly reduced by exposure to any type of glitter. On the contrary, the chlorophyll content in the sediment (indicating microphytobenthos biomass) was significantly greater in those exposed to "&amp;"synthetic mica glitter. Organic matter content of sediment did not differ amongst any of the treatments. However initially, on days 8 and 15, NO32- concentration in the control treatment were significantly greater than in all glitter treatments, but this "&amp;"observation disappeared over time. Overall, results indicate that both conventional and alternative glitters can cause ecological impacts in aquatic ecosystems.")</f>
        <v>Biodegradable plastics are becoming increasingly popular due to global concerns about plastic pollution. In this study, the impacts of glitter manufactured of conventional, non-biodegradable polyethylene terephthalate (PET) versus glitter of alternative materials (modified regenerated cellulose (MRC), mica or synthetic mica) on the biodiversity and ecosystem functioning of freshwater, lotic habitats were compared using a semi-natural mes-ocosm experiment. After 36 days, there was no effect of glitter on overall assemblage structure or diversity indices, however there was a two-fold increase in the abundance of New Zealand mud snails (Potamopyrgus antipodarum) in response to MRC glitter. In addition, the root length of common duckweed (Lemna minor) and phytoplankton biomass (based on chlorophyll content) were significantly reduced by exposure to any type of glitter. On the contrary, the chlorophyll content in the sediment (indicating microphytobenthos biomass) was significantly greater in those exposed to synthetic mica glitter. Organic matter content of sediment did not differ amongst any of the treatments. However initially, on days 8 and 15, NO32- concentration in the control treatment were significantly greater than in all glitter treatments, but this observation disappeared over time. Overall, results indicate that both conventional and alternative glitters can cause ecological impacts in aquatic ecosystems.</v>
      </c>
      <c r="C1416" s="24" t="str">
        <f>IFERROR(__xludf.DUMMYFUNCTION("""COMPUTED_VALUE"""),"10.1016/j.jhazmat.2020.124070")</f>
        <v>10.1016/j.jhazmat.2020.124070</v>
      </c>
      <c r="D1416" s="24" t="str">
        <f>IFERROR(__xludf.DUMMYFUNCTION("""COMPUTED_VALUE"""),"Keck et al")</f>
        <v>Keck et al</v>
      </c>
      <c r="E1416" s="24" t="str">
        <f>IFERROR(__xludf.DUMMYFUNCTION("""COMPUTED_VALUE"""),"WOS:000593842200002")</f>
        <v>WOS:000593842200002</v>
      </c>
      <c r="F1416" s="24" t="str">
        <f>IFERROR(__xludf.DUMMYFUNCTION("""COMPUTED_VALUE"""),"[""ELIGIBLE""]")</f>
        <v>["ELIGIBLE"]</v>
      </c>
    </row>
    <row r="1417">
      <c r="A1417" s="24" t="str">
        <f>IFERROR(__xludf.DUMMYFUNCTION("""COMPUTED_VALUE"""),"Bottom trawling and oxygen minimum zone influences on continental slope benthic community structure off Vancouver Island (NE Pacific)")</f>
        <v>Bottom trawling and oxygen minimum zone influences on continental slope benthic community structure off Vancouver Island (NE Pacific)</v>
      </c>
      <c r="B1417" s="24" t="str">
        <f>IFERROR(__xludf.DUMMYFUNCTION("""COMPUTED_VALUE"""),"Understanding responses of benthic ecosystems to cumulative impacts of natural stressors, long-term ocean change and increasing resource exploitation is an emerging area of interest for marine ecologists and environmental managers. Few, if any, studies ha"&amp;"ve quantitatively addressed cumulative effects in the deep sea. We report here on a study from the continental slope off Vancouver Island (Canada) in the northeast Pacific Ocean, where the Oxygen Minimum Zone impinges on seabed habitats that are subjected"&amp;" to widespread bottom trawling, primarily by the fishery for thornyhead (Sebastolobus ssp.). We examined how the benthic megafauna in this area was influenced by varying levels of dissolved oxygen and trawling activity, along a depth gradient that was als"&amp;"o likely to shape community composition. Continuous video and sonar records from two ROV surveys (50 linear km total; depth range 300-1400 m) respectively provided data on faunal attributes (composition, abundance and diversity) and the frequency of trawl"&amp;" door marks on the seabed. Faunal and trawl data were compiled in a geo-referenced database along with corresponding dissolved oxygen data, and pooled into 500 m segments for statistical analysis. Trawl mark occurrence peaked between 500 and 1100 m, corre"&amp;"sponding to areas of slope subjected to hypoxia ( &lt; 1.4 ml l(-1)) and severe hypoxia ( &lt; 0.5 ml l(-1)). A combined total of 266,251 megafauna organisms from 87 taxa were enumerated in the two transects. Significant megafaunal assemblages according to dept"&amp;"h, trawling intensity and bottom water dissolved oxygen concentration were identified by PERMANOVA analyses, with characterizing taxa identified for all three factors. Depth, dissolved oxygen and trawl mark density accounted for 21% to 52% of the variabil"&amp;"ity in benthic community structure according to multiple regression (DISTLM) models. Species richness was highest at intermediate depths and in areas subject to intermediate levels of trawling, and higher under hypoxia than under severe hypoxia. These sta"&amp;"tistically significant trends demonstrate that the structuring influences of bottom trawling on deep-sea benthic communities can be observed even where communities are being shaped by strong environmental gradients.")</f>
        <v>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v>
      </c>
      <c r="C1417" s="24" t="str">
        <f>IFERROR(__xludf.DUMMYFUNCTION("""COMPUTED_VALUE"""),"10.1016/j.dsr2.2016.11.014")</f>
        <v>10.1016/j.dsr2.2016.11.014</v>
      </c>
      <c r="D1417" s="24" t="str">
        <f>IFERROR(__xludf.DUMMYFUNCTION("""COMPUTED_VALUE"""),"Keck et al")</f>
        <v>Keck et al</v>
      </c>
      <c r="E1417" s="24" t="str">
        <f>IFERROR(__xludf.DUMMYFUNCTION("""COMPUTED_VALUE"""),"WOS:000398749900033")</f>
        <v>WOS:000398749900033</v>
      </c>
      <c r="F1417" s="24" t="str">
        <f>IFERROR(__xludf.DUMMYFUNCTION("""COMPUTED_VALUE"""),"[""ELIGIBLE""]")</f>
        <v>["ELIGIBLE"]</v>
      </c>
    </row>
    <row r="1418">
      <c r="A1418" s="24" t="str">
        <f>IFERROR(__xludf.DUMMYFUNCTION("""COMPUTED_VALUE"""),"Are Odonata communities impacted by conventional or reduced impact logging?")</f>
        <v>Are Odonata communities impacted by conventional or reduced impact logging?</v>
      </c>
      <c r="B1418" s="24" t="str">
        <f>IFERROR(__xludf.DUMMYFUNCTION("""COMPUTED_VALUE"""),"Timber harvest is a prevailing economic activity in Amazonia, which contributes to forest degradation and biodiversity loss. However, Reduced-impact logging has been used to mitigate the loss of environmental integrity and biodiversity, since it has been "&amp;"assumed to be less detrimental than conventional logging practices. The objective of this study was to evaluate if environmental conditions, streams and Odonata communities in reduced-impact logging areas (RIL) are similar to those of unlogged areas (CONT"&amp;"ROL), whilst all are modified in conventional logging areas (CL), as a consequence of vegetation removal from the margins of water bodies. Forty-nine streams in areas that differ in timber harvest practices were sampled in eastern Amazonia. As expected, a"&amp;"quatic systems in RIL areas showed environmental conditions and Odonata species composition similar to CONTROL areas while CL streams differed both from CONTROL and RIL. Odonata richness and abundance were not different between CONTROL, RIL and CL treatme"&amp;"nts, however. Despite the fact that species richness and abundance changes may be masked by the presence of remaining riparian vegetation in CL areas, the use of reduced-impact logging minimizes changes in Odonata species composition and environmental con"&amp;"ditions, that remain similar to that of unlogged areas. This is possible due to the planning to reduce environmental impacts in RIL. Unlike RIL, most canopy cover in the proximity of the water bodies (&lt;10 m distance) is lost in CL areas due to logging act"&amp;"ivities. (C) 2016 Elsevier S.V. All rights reserved.")</f>
        <v>Timber harvest is a prevailing economic activity in Amazonia, which contributes to forest degradation and biodiversity loss. However, Reduced-impact logging has been used to mitigate the loss of environmental integrity and biodiversity, since it has been assumed to be less detrimental than conventional logging practices. The objective of this study was to evaluate if environmental conditions, streams and Odonata communities in reduced-impact logging areas (RIL) are similar to those of unlogged areas (CONTROL), whilst all are modified in conventional logging areas (CL), as a consequence of vegetation removal from the margins of water bodies. Forty-nine streams in areas that differ in timber harvest practices were sampled in eastern Amazonia. As expected, aquatic systems in RIL areas showed environmental conditions and Odonata species composition similar to CONTROL areas while CL streams differed both from CONTROL and RIL. Odonata richness and abundance were not different between CONTROL, RIL and CL treatments, however. Despite the fact that species richness and abundance changes may be masked by the presence of remaining riparian vegetation in CL areas, the use of reduced-impact logging minimizes changes in Odonata species composition and environmental conditions, that remain similar to that of unlogged areas. This is possible due to the planning to reduce environmental impacts in RIL. Unlike RIL, most canopy cover in the proximity of the water bodies (&lt;10 m distance) is lost in CL areas due to logging activities. (C) 2016 Elsevier S.V. All rights reserved.</v>
      </c>
      <c r="C1418" s="24" t="str">
        <f>IFERROR(__xludf.DUMMYFUNCTION("""COMPUTED_VALUE"""),"10.1016/j.foreco.2016.10.013")</f>
        <v>10.1016/j.foreco.2016.10.013</v>
      </c>
      <c r="D1418" s="24" t="str">
        <f>IFERROR(__xludf.DUMMYFUNCTION("""COMPUTED_VALUE"""),"Keck et al")</f>
        <v>Keck et al</v>
      </c>
      <c r="E1418" s="24" t="str">
        <f>IFERROR(__xludf.DUMMYFUNCTION("""COMPUTED_VALUE"""),"WOS:000387519700014")</f>
        <v>WOS:000387519700014</v>
      </c>
      <c r="F1418" s="24" t="str">
        <f>IFERROR(__xludf.DUMMYFUNCTION("""COMPUTED_VALUE"""),"[""ELIGIBLE""]")</f>
        <v>["ELIGIBLE"]</v>
      </c>
    </row>
    <row r="1419">
      <c r="A1419" s="24" t="str">
        <f>IFERROR(__xludf.DUMMYFUNCTION("""COMPUTED_VALUE"""),"Subsidized or stressed? Shifts in freshwater benthic microbial metagenomics along a gradient of alkaline coal mine drainage")</f>
        <v>Subsidized or stressed? Shifts in freshwater benthic microbial metagenomics along a gradient of alkaline coal mine drainage</v>
      </c>
      <c r="B1419" s="24" t="str">
        <f>IFERROR(__xludf.DUMMYFUNCTION("""COMPUTED_VALUE"""),"Chemical pollution mixtures enter aquatic environments and interact with microorganisms in eclectic ways with disparate consequences for microbial ecosystem services. Can using a thermodynamic framework help to determine the net influence of a chemical mi"&amp;"xture on the functional capacity of benthic microbial communities? We examined this question by comparing benthic stream microbial communities exposed to a gradient of neutral-alkaline coalmine effluent. Using a combination of approaches (metagenomics, qu"&amp;"antitative polymerase chain reaction [qPCR], and functional assays), we show that functional genes and pathways of microbial communities growing in mine effluent differed in composition, but not diversity. The majority of functional genes and pathways tha"&amp;"t changed decreased at sites exposed to mine effluent, resulting in lower abundances of nitrogenase and methanogen genes and fermentation pathways. However, selenate reductase gene abundance increased with water and sediment concentration of an ecological"&amp;"ly important contaminant at mined sites: selenium. Denitrification genes nosZ and nirK differed between sites: metagenome-based nosZ increased with dissolved nitrate concentration and qPCR-based nirK had a hump-shaped pattern across the mining gradient. O"&amp;"smoprotectant gene abundance did not change. Extracellular enzyme assays and alkaline phosphatase gene relative abundance suggested that mined stream microbial communities may be constrained by phosphorus bioavailability. Subsidies and stressors related t"&amp;"o changes in a set of functional genes and pathways, but differences were not consistently predictable using thermodynamic expectations. This suggests that pairing hypotheses for expected subsidies and stressors with post hoc explorations can yield valuab"&amp;"le directions for future study of how microbial functional capacity responds to pollutant mixtures.")</f>
        <v>Chemical pollution mixtures enter aquatic environments and interact with microorganisms in eclectic ways with disparate consequences for microbial ecosystem services. Can using a thermodynamic framework help to determine the net influence of a chemical mixture on the functional capacity of benthic microbial communities? We examined this question by comparing benthic stream microbial communities exposed to a gradient of neutral-alkaline coalmine effluent. Using a combination of approaches (metagenomics, quantitative polymerase chain reaction [qPCR], and functional assays), we show that functional genes and pathways of microbial communities growing in mine effluent differed in composition, but not diversity. The majority of functional genes and pathways that changed decreased at sites exposed to mine effluent, resulting in lower abundances of nitrogenase and methanogen genes and fermentation pathways. However, selenate reductase gene abundance increased with water and sediment concentration of an ecologically important contaminant at mined sites: selenium. Denitrification genes nosZ and nirK differed between sites: metagenome-based nosZ increased with dissolved nitrate concentration and qPCR-based nirK had a hump-shaped pattern across the mining gradient. Osmoprotectant gene abundance did not change. Extracellular enzyme assays and alkaline phosphatase gene relative abundance suggested that mined stream microbial communities may be constrained by phosphorus bioavailability. Subsidies and stressors related to changes in a set of functional genes and pathways, but differences were not consistently predictable using thermodynamic expectations. This suggests that pairing hypotheses for expected subsidies and stressors with post hoc explorations can yield valuable directions for future study of how microbial functional capacity responds to pollutant mixtures.</v>
      </c>
      <c r="C1419" s="24" t="str">
        <f>IFERROR(__xludf.DUMMYFUNCTION("""COMPUTED_VALUE"""),"10.1002/lno.11301")</f>
        <v>10.1002/lno.11301</v>
      </c>
      <c r="D1419" s="24" t="str">
        <f>IFERROR(__xludf.DUMMYFUNCTION("""COMPUTED_VALUE"""),"Keck et al")</f>
        <v>Keck et al</v>
      </c>
      <c r="E1419" s="24" t="str">
        <f>IFERROR(__xludf.DUMMYFUNCTION("""COMPUTED_VALUE"""),"WOS:000508766900020")</f>
        <v>WOS:000508766900020</v>
      </c>
      <c r="F1419" s="24" t="str">
        <f>IFERROR(__xludf.DUMMYFUNCTION("""COMPUTED_VALUE"""),"[""ELIGIBLE""]")</f>
        <v>["ELIGIBLE"]</v>
      </c>
    </row>
    <row r="1420">
      <c r="A1420" s="24" t="str">
        <f>IFERROR(__xludf.DUMMYFUNCTION("""COMPUTED_VALUE"""),"Effects of urbanization on plant species diversity in central Arizona")</f>
        <v>Effects of urbanization on plant species diversity in central Arizona</v>
      </c>
      <c r="B1420" s="24" t="str">
        <f>IFERROR(__xludf.DUMMYFUNCTION("""COMPUTED_VALUE"""),"Modern urban development provides an excellent laboratory for examining the interplay among socioecological relationships. We analyzed how the rapidly urbanizing Phoenix, Arizona metropolis has affected plant species diversity and community composition at"&amp;" a regional scale. Species diversity and plant density probably result from abiotic sorting in undeveloped desert sites, but not in urban sites. We found that species richness at the plot scale was higher for desert as opposed to urban sites; however, the"&amp;" estimated total species pool in the urban ecosystem is higher than that in the desert, as a result of the increased importation of introduced species through the nursery trade. Ordination of plant communities suggests three unique groupings of species ba"&amp;"sed on land-use type of the site (desert, urban, and agriculture) and two unique groupings of urban sites based on landscaping aesthetics (mesic or xeric). We therefore recognize both bottom-up and top-down controls of plant biodiversity within the urban "&amp;"ecosystem.")</f>
        <v>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v>
      </c>
      <c r="C1420" s="24" t="str">
        <f>IFERROR(__xludf.DUMMYFUNCTION("""COMPUTED_VALUE"""),"10.1890/080084")</f>
        <v>10.1890/080084</v>
      </c>
      <c r="D1420" s="24" t="str">
        <f>IFERROR(__xludf.DUMMYFUNCTION("""COMPUTED_VALUE"""),"Keck et al")</f>
        <v>Keck et al</v>
      </c>
      <c r="E1420" s="24" t="str">
        <f>IFERROR(__xludf.DUMMYFUNCTION("""COMPUTED_VALUE"""),"WOS:000271559000014")</f>
        <v>WOS:000271559000014</v>
      </c>
      <c r="F1420" s="24" t="str">
        <f>IFERROR(__xludf.DUMMYFUNCTION("""COMPUTED_VALUE"""),"[""ELIGIBLE""]")</f>
        <v>["ELIGIBLE"]</v>
      </c>
    </row>
    <row r="1421">
      <c r="A1421" s="24" t="str">
        <f>IFERROR(__xludf.DUMMYFUNCTION("""COMPUTED_VALUE"""),"Homegarden agroforestry systems: an intermediary for biodiversity conservation in Bangladesh")</f>
        <v>Homegarden agroforestry systems: an intermediary for biodiversity conservation in Bangladesh</v>
      </c>
      <c r="B1421" s="24" t="str">
        <f>IFERROR(__xludf.DUMMYFUNCTION("""COMPUTED_VALUE"""),"Biodiversity conservation is one of the important ecosystem services that has been negatively impacted by anthropogenic activities. Natural forests (NF) harbor some of the highest species diversity around the world. However, deforestation and degradation "&amp;"have resulted in reduced forest land cover and loss of diversity. Homegarden agroforestry (AF) systems have been proven to be an intermediary for biodiversity conservation. In this study, we evaluate the effectiveness of home garden AF practices to conser"&amp;"ve tree species diversity in Bangladesh and compare them with tree species diversity in NF. A total of nine locations were selected for this synthesis from published literature which comprised of five AF sites and four NFs. Shannon-Weiner Diversity Index "&amp;"(H) was similar for home-garden AF (3.50) and NF (2.99), with no statistical difference between them. Based on non-metric multi-dimensional scaling (NMDS) ordination analysis, the AF and NF plots showed distinct separation. However, Bray-Curtis dissimilar"&amp;"ity index ranged from 0.95 to 0.70 indicating nearly no overlap in species composition to significant overlap between AF and NF. Based on our results, we conclude that AF can serve as an important ecological tool in conserving tree species diversity, part"&amp;"icularly on landscapes where NF fragments represent only a small fraction of the total land area. Creating and maintaining AF habitats in such human dominated landscapes should be part of the biodiversity conservation strategy.")</f>
        <v>Biodiversity conservation is one of the important ecosystem services that has been negatively impacted by anthropogenic activities. Natural forests (NF) harbor some of the highest species diversity around the world. However, deforestation and degradation have resulted in reduced forest land cover and loss of diversity. Homegarden agroforestry (AF) systems have been proven to be an intermediary for biodiversity conservation. In this study, we evaluate the effectiveness of home garden AF practices to conserve tree species diversity in Bangladesh and compare them with tree species diversity in NF. A total of nine locations were selected for this synthesis from published literature which comprised of five AF sites and four NFs. Shannon-Weiner Diversity Index (H) was similar for home-garden AF (3.50) and NF (2.99), with no statistical difference between them. Based on non-metric multi-dimensional scaling (NMDS) ordination analysis, the AF and NF plots showed distinct separation. However, Bray-Curtis dissimilarity index ranged from 0.95 to 0.70 indicating nearly no overlap in species composition to significant overlap between AF and NF. Based on our results, we conclude that AF can serve as an important ecological tool in conserving tree species diversity, particularly on landscapes where NF fragments represent only a small fraction of the total land area. Creating and maintaining AF habitats in such human dominated landscapes should be part of the biodiversity conservation strategy.</v>
      </c>
      <c r="C1421" s="24" t="str">
        <f>IFERROR(__xludf.DUMMYFUNCTION("""COMPUTED_VALUE"""),"10.1007/s10457-012-9515-7")</f>
        <v>10.1007/s10457-012-9515-7</v>
      </c>
      <c r="D1421" s="24" t="str">
        <f>IFERROR(__xludf.DUMMYFUNCTION("""COMPUTED_VALUE"""),"Keck et al")</f>
        <v>Keck et al</v>
      </c>
      <c r="E1421" s="24" t="str">
        <f>IFERROR(__xludf.DUMMYFUNCTION("""COMPUTED_VALUE"""),"WOS:000304153100003")</f>
        <v>WOS:000304153100003</v>
      </c>
      <c r="F1421" s="24" t="str">
        <f>IFERROR(__xludf.DUMMYFUNCTION("""COMPUTED_VALUE"""),"[""ELIGIBLE""]")</f>
        <v>["ELIGIBLE"]</v>
      </c>
    </row>
    <row r="1422">
      <c r="A1422" s="24" t="str">
        <f>IFERROR(__xludf.DUMMYFUNCTION("""COMPUTED_VALUE"""),"Amphibian Host and Skin Microbiota Response to a Common Agricultural Antimicrobial and Internal Parasite")</f>
        <v>Amphibian Host and Skin Microbiota Response to a Common Agricultural Antimicrobial and Internal Parasite</v>
      </c>
      <c r="B1422" s="24" t="str">
        <f>IFERROR(__xludf.DUMMYFUNCTION("""COMPUTED_VALUE"""),"Holistic approaches that simultaneously characterize responses of both microbial symbionts and their hosts to environmental shifts are imperative to understanding the role of microbiotas on host health. Using the northern leopard frog (Lithobates pipiens)"&amp;" as our model, we investigated the effects of a common trematode (family Echinostomatidae), a common agricultural antimicrobial (Sulfadimethoxine; SDM), and their interaction on amphibian skin microbiota and amphibian health (growth metrics and susceptibi"&amp;"lity to parasites). In the trematode-exposed individuals, we noted an increase in alpha diversity and a shift in microbial communities. In the SDM-treated individuals, we found a change in the composition of the skin microbiota similar to those induced by"&amp;" the trematode treatment. Groups treated with SDM, echinostomes, or a combination of SDM and echinostomes, had higher relative abundances of OTUs assigned to Flavobacterium and Acinetobacter. Both of these genera have been associated with infectious disea"&amp;"se in amphibians and the production of anti-pathogen metabolites. Similar changes in microbial community composition between SDM and trematode exposed individuals may have resulted from stress-related disruption of host immunity. Despite changes in the mi"&amp;"crobiota, we found no effect of echinostomes and SDM on host health. Given the current disease- and pollution-related threats facing amphibians, our study highlights the need to continue to evaluate the influence of natural and anthropogenic stressors on "&amp;"host-associated microbial communities.")</f>
        <v>Holistic approaches that simultaneously characterize responses of both microbial symbionts and their hosts to environmental shifts are imperative to understanding the role of microbiotas on host health. Using the northern leopard frog (Lithobates pipiens) as our model, we investigated the effects of a common trematode (family Echinostomatidae), a common agricultural antimicrobial (Sulfadimethoxine; SDM), and their interaction on amphibian skin microbiota and amphibian health (growth metrics and susceptibility to parasites). In the trematode-exposed individuals, we noted an increase in alpha diversity and a shift in microbial communities. In the SDM-treated individuals, we found a change in the composition of the skin microbiota similar to those induced by the trematode treatment. Groups treated with SDM, echinostomes, or a combination of SDM and echinostomes, had higher relative abundances of OTUs assigned to Flavobacterium and Acinetobacter. Both of these genera have been associated with infectious disease in amphibians and the production of anti-pathogen metabolites. Similar changes in microbial community composition between SDM and trematode exposed individuals may have resulted from stress-related disruption of host immunity. Despite changes in the microbiota, we found no effect of echinostomes and SDM on host health. Given the current disease- and pollution-related threats facing amphibians, our study highlights the need to continue to evaluate the influence of natural and anthropogenic stressors on host-associated microbial communities.</v>
      </c>
      <c r="C1422" s="24" t="str">
        <f>IFERROR(__xludf.DUMMYFUNCTION("""COMPUTED_VALUE"""),"10.1007/s00248-019-01351-5")</f>
        <v>10.1007/s00248-019-01351-5</v>
      </c>
      <c r="D1422" s="24" t="str">
        <f>IFERROR(__xludf.DUMMYFUNCTION("""COMPUTED_VALUE"""),"Keck et al")</f>
        <v>Keck et al</v>
      </c>
      <c r="E1422" s="24" t="str">
        <f>IFERROR(__xludf.DUMMYFUNCTION("""COMPUTED_VALUE"""),"WOS:000513239900016")</f>
        <v>WOS:000513239900016</v>
      </c>
      <c r="F1422" s="24" t="str">
        <f>IFERROR(__xludf.DUMMYFUNCTION("""COMPUTED_VALUE"""),"[""ELIGIBLE""]")</f>
        <v>["ELIGIBLE"]</v>
      </c>
    </row>
    <row r="1423">
      <c r="A1423" s="24" t="str">
        <f>IFERROR(__xludf.DUMMYFUNCTION("""COMPUTED_VALUE"""),"Bioturbation by the razor clam (Sinonovacula constricta) on the microbial community and enzymatic activities in the sediment of an ecological aquaculture wastewater treatment system")</f>
        <v>Bioturbation by the razor clam (Sinonovacula constricta) on the microbial community and enzymatic activities in the sediment of an ecological aquaculture wastewater treatment system</v>
      </c>
      <c r="B1423" s="24" t="str">
        <f>IFERROR(__xludf.DUMMYFUNCTION("""COMPUTED_VALUE"""),"Bioturbation by the razor clam, Sinonovacula constricta, influenced the redox conditions and changed the sedimentary environment, providing a suitable micro-environment for microbial growth. However, the mechanism of the integrated razor clam-microbial co"&amp;"mmunity in organic matter mineralization remains elusive. To study this mechanism, an in situ experiment was conducted to investigate the bioturbation effects of S. constricta on the microbial community and enzymeactivities in the sediment of an ecologica"&amp;"l aquaculture wastewater treatment system. According to principal coordinate analysis (PCoA) and PERMANOVA, we found that the microbial community was significantly (P &lt; 0.05) influenced by the bioturbation effect of S. constricta. Linear discriminant anal"&amp;"ysis effect size (LEfSe) showed that species involved in reduced effluent concentrations of TN and TP, such as Prolixibacteraceae, Nitrospira and Actinobacteria, were increased significantly (P &lt; 0.05) by S. constricta. Molecular ecological network (MENs)"&amp;" analysis indicated that the bioturbation effect of S. constricta increased the complexity of interspecies interaction and changed the topological properties of individual OTUs. The results elucidated that S. constricta increased the microbial community n"&amp;"etwork, as substantiated by a higher total number of nodes and a shorter geodesic distance. Zi &lt; 2.5 and Pi &lt; 0.62 inMENs showed that the S. constricta treatment significantly increased (P &lt; 0.05) the potential microbial community, with the keystone (OTU7"&amp;"47049) Proteobacteria and (OTU74388) Bacteroidetes family Prolixibacteraceae, which connected different co-expressed OTUs. Furthermore, S. constricta significantly increased (P &lt; 0.05) the enzymatic activities (alkaline phosphatase (APA),dehydrogenase and"&amp;" urease) of the substrate at different sampling depths. Overall, this study provides evidence that the bioturbation effect of S. constricta changes the microbial community structure, increases enzymatic activities and accelerates the degradation of organi"&amp;"c matter in an aquaculture wastewater environment. (C) 2018 Published by Elsevier B.V.")</f>
        <v>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v>
      </c>
      <c r="C1423" s="24" t="str">
        <f>IFERROR(__xludf.DUMMYFUNCTION("""COMPUTED_VALUE"""),"10.1016/j.scitotenv.2018.06.251")</f>
        <v>10.1016/j.scitotenv.2018.06.251</v>
      </c>
      <c r="D1423" s="24" t="str">
        <f>IFERROR(__xludf.DUMMYFUNCTION("""COMPUTED_VALUE"""),"Keck et al")</f>
        <v>Keck et al</v>
      </c>
      <c r="E1423" s="24" t="str">
        <f>IFERROR(__xludf.DUMMYFUNCTION("""COMPUTED_VALUE"""),"WOS:000444625900101")</f>
        <v>WOS:000444625900101</v>
      </c>
      <c r="F1423" s="24" t="str">
        <f>IFERROR(__xludf.DUMMYFUNCTION("""COMPUTED_VALUE"""),"[""ELIGIBLE""]")</f>
        <v>["ELIGIBLE"]</v>
      </c>
    </row>
    <row r="1424">
      <c r="A1424" s="24" t="str">
        <f>IFERROR(__xludf.DUMMYFUNCTION("""COMPUTED_VALUE"""),"Stand-alone or co-occurring invasive plant species do not modify the diversity of the soil N2-fixing bacterial community")</f>
        <v>Stand-alone or co-occurring invasive plant species do not modify the diversity of the soil N2-fixing bacterial community</v>
      </c>
      <c r="B1424" s="24" t="str">
        <f>IFERROR(__xludf.DUMMYFUNCTION("""COMPUTED_VALUE"""),"Background: Soil N-2-fixing bacterial (SNB) communities may play a vital role in plant invasion. Two or more invasive plant species (invaders) may coexist in the same ecosystem. Thus, it is important to assess the effects of co-invasion on SNB communities"&amp;" to elucidate the ecological mechanisms of plant invasion. Aims: The effects of two co-occurring invaders (Erigeron annuus and Solidago canadensis) with different coverage classes on SNB communities were evaluated via a comparative study. Methods: SNB com"&amp;"munities were assessed using a high-throughput sequencing approach. Results: The invasion of E. annuus and/or S. canadensis, regardless of coverage, did not pose pronounced effects on soil physicochemical properties and the diversity of SNB. Soil electric"&amp;"al conductivity was the most important environmental factors explaining the variation in SNB composition. This phenomenon may be chiefly attributed to the fact that the shifts in soil electrical conductivity can recruit obvious variations in the resource "&amp;"utilisation and acquisition patterns of carbon for the metabolism of soil microorganisms. Plant Shannon's diversity was also one key factor influencing the community structure of SNB, but its direct effects are less powerful than soil electrical conductiv"&amp;"ity. However, the negatively indirect effects of plant Shannon's diversity on the Shannon index, ACE index, and Chao1 index of SNB were noticeably greater than soil electrical conductivity. Therefore, the effects of plant Shannon's diversity on the commun"&amp;"ity structure of SNB may largely be attributed to the variation in soil electrical conductivity via the released root exudates and then modify the resource availability pattern of SNB. Conclusions: SNB diversity is more influenced by changes in soil varia"&amp;"bles like soil electrical conductivity than by the presence/coverage of invasive plant species.")</f>
        <v>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v>
      </c>
      <c r="C1424" s="24" t="str">
        <f>IFERROR(__xludf.DUMMYFUNCTION("""COMPUTED_VALUE"""),"10.1080/17550874.2020.1729887")</f>
        <v>10.1080/17550874.2020.1729887</v>
      </c>
      <c r="D1424" s="24" t="str">
        <f>IFERROR(__xludf.DUMMYFUNCTION("""COMPUTED_VALUE"""),"Keck et al")</f>
        <v>Keck et al</v>
      </c>
      <c r="E1424" s="24" t="str">
        <f>IFERROR(__xludf.DUMMYFUNCTION("""COMPUTED_VALUE"""),"WOS:000523145900001")</f>
        <v>WOS:000523145900001</v>
      </c>
      <c r="F1424" s="24" t="str">
        <f>IFERROR(__xludf.DUMMYFUNCTION("""COMPUTED_VALUE"""),"[""ELIGIBLE""]")</f>
        <v>["ELIGIBLE"]</v>
      </c>
    </row>
    <row r="1425">
      <c r="A1425" s="24" t="str">
        <f>IFERROR(__xludf.DUMMYFUNCTION("""COMPUTED_VALUE"""),"Comparative Assessment of Mangrove Biomass and Fish Assemblages in an Urban and Rural Mangrove Wetlands in Ghana")</f>
        <v>Comparative Assessment of Mangrove Biomass and Fish Assemblages in an Urban and Rural Mangrove Wetlands in Ghana</v>
      </c>
      <c r="B1425" s="24" t="str">
        <f>IFERROR(__xludf.DUMMYFUNCTION("""COMPUTED_VALUE"""),"Mangrove wetlands are one of the most important ecosystems on earth, providing habitats for both marine and terrestrial organisms as well as supporting essential human services. However, high dependence of humans on these systems is leading to significant"&amp;" transformation of mangrove wetlands and reduction in their ecosystem services including fisheries. The objectives of this study were to estimate the biomass of two mangrove wetlands in Ghana within urban and rural contexts and determine the fish fauna as"&amp;"semblages as part of baseline setting. The study used the structural parameters of mangrove species and allometry to estimate the biomass of both forest systems. Fish community structure were determined based on ecological surveys. The findings show that "&amp;"the standing biomass of the mangrove forests were significantly higher (p &lt; 0.01) in the rural wetland (394.49 t/ha) compared to the urban wetland (126.29 t/ha). Fish fauna assemblages, referring to species richness and diversity were higher in the urban "&amp;"wetland at 4.21 and 2.64 respectively compared to the rural wetland at 3.46 and 2.09 respectively. This paper concludes that a well-developed mangrove system with high mangrove biomass may not necessarily imply high fish species richness and diversity.")</f>
        <v>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v>
      </c>
      <c r="C1425" s="24" t="str">
        <f>IFERROR(__xludf.DUMMYFUNCTION("""COMPUTED_VALUE"""),"10.1007/s13157-016-0783-2")</f>
        <v>10.1007/s13157-016-0783-2</v>
      </c>
      <c r="D1425" s="24" t="str">
        <f>IFERROR(__xludf.DUMMYFUNCTION("""COMPUTED_VALUE"""),"Keck et al")</f>
        <v>Keck et al</v>
      </c>
      <c r="E1425" s="24" t="str">
        <f>IFERROR(__xludf.DUMMYFUNCTION("""COMPUTED_VALUE"""),"WOS:000380067000012")</f>
        <v>WOS:000380067000012</v>
      </c>
      <c r="F1425" s="24" t="str">
        <f>IFERROR(__xludf.DUMMYFUNCTION("""COMPUTED_VALUE"""),"[""ELIGIBLE""]")</f>
        <v>["ELIGIBLE"]</v>
      </c>
    </row>
    <row r="1426">
      <c r="A1426" s="24" t="str">
        <f>IFERROR(__xludf.DUMMYFUNCTION("""COMPUTED_VALUE"""),"Impact of oil palm agriculture on understory amphibians and reptiles: A Mesoamerican perspective")</f>
        <v>Impact of oil palm agriculture on understory amphibians and reptiles: A Mesoamerican perspective</v>
      </c>
      <c r="B1426" s="24" t="str">
        <f>IFERROR(__xludf.DUMMYFUNCTION("""COMPUTED_VALUE"""),"Oil palm plantations expand rapidly in tropical regions, including the Neotropics. This study, quantifies the impact on the herpetofauna of the Pacific lowlands of Costa Rica. Amphibians and reptiles were sampled along transects in forest interior (FI), a"&amp;"t forest margins (FM) and in oil palm plantations (OP). While no significant difference in species richness was found between FI and FM, OP were characterized by a strongly impoverished fauna. Total species richness of amphibians and reptiles was reduced "&amp;"to 45.3% and 49.8% compared to FI, respectively. Species assemblages in OP differed from forest habitats and were characterized by disturbance-tolerant species and a severe loss of endemic species. In amphibians, functional diversity declined dramatically"&amp;" towards OP indicating a decrease of their ecological function. The almost complete absence of leaf litter, understory vegetation and woody debris and the more open canopy may be responsible for the depauperate herpetofauna in OP. Enhancing understory veg"&amp;"etation could help making plantations a less hostile environment for some species. Still, those management measures might not be enough to promote forest specialists. Therefore, to maintain a diverse herpetofauna in tropical human-modified landscapes, the"&amp;" protection of any forested habitats such as secondary forests and strips of gallery forests is essential. (C) 2015 The Authors. Published by Elsevier B.V.")</f>
        <v>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v>
      </c>
      <c r="C1426" s="24" t="str">
        <f>IFERROR(__xludf.DUMMYFUNCTION("""COMPUTED_VALUE"""),"10.1016/j.gecco.2015.05.008")</f>
        <v>10.1016/j.gecco.2015.05.008</v>
      </c>
      <c r="D1426" s="24" t="str">
        <f>IFERROR(__xludf.DUMMYFUNCTION("""COMPUTED_VALUE"""),"Keck et al")</f>
        <v>Keck et al</v>
      </c>
      <c r="E1426" s="24" t="str">
        <f>IFERROR(__xludf.DUMMYFUNCTION("""COMPUTED_VALUE"""),"WOS:000416220800010")</f>
        <v>WOS:000416220800010</v>
      </c>
      <c r="F1426" s="24" t="str">
        <f>IFERROR(__xludf.DUMMYFUNCTION("""COMPUTED_VALUE"""),"[""ELIGIBLE""]")</f>
        <v>["ELIGIBLE"]</v>
      </c>
    </row>
    <row r="1427">
      <c r="A1427" s="24" t="str">
        <f>IFERROR(__xludf.DUMMYFUNCTION("""COMPUTED_VALUE"""),"Responses of stream microbes to multiple anthropogenic stressors in a mesocosm study")</f>
        <v>Responses of stream microbes to multiple anthropogenic stressors in a mesocosm study</v>
      </c>
      <c r="B1427" s="24" t="str">
        <f>IFERROR(__xludf.DUMMYFUNCTION("""COMPUTED_VALUE"""),"Stream ecosystems are affected by multiple anthropogenic stressors worldwide. Even though effects of many single stressors are comparatively well studied, the effects of multiple stressors are difficult to predict. In particular bacteria and protists, whi"&amp;"ch are responsible for the majority of ecosystem respiration and element flows, are infrequently studied with respect to multiple stressors responses. We conducted a stream mesocosm experiment to characterize the responses of single and multiple stressors"&amp;" on microbiota. Two functionally important stream habitats, leaf litter and benthic phototrophic rock biofilms, were exposed to three stressors in a full factorial design: fine sediment deposition, increased chloride concentration (salinization) and reduc"&amp;"ed flow velocity. We analyzed the microbial composition in the two habitat types of the mesocosms using an amplicon sequencing approach. Community analysis on different taxonomic levels as well as principle component analyses (PCoAs) based on realtive abu"&amp;"ndances of operational taxonomic units (OTUs) showed treatment specific shifts in the eukaryotic biofilm community. Analysis of variance (ANOVA) revealed that Bacillariophyta responded positively salinity and sediment increase, while the relative read abu"&amp;"ndance of chlorophyte taxa decreased. The combined effects of multiple stressors were mainly antagonistic. Therefore, the community composition in multiply stressed environments resembled the composition of the unstressed control community in terms of OTU"&amp;" occurrence and relative abundances. (C) 2018 The Authors. Published by Elsevier B.V.")</f>
        <v>Stream ecosystems are affected by multiple anthropogenic stressors worldwide. Even though effects of many single stressors are comparatively well studied, the effects of multiple stressors are difficult to predict. In particular bacteria and protists, which are responsible for the majority of ecosystem respiration and element flows, are infrequently studied with respect to multiple stressors responses. We conducted a stream mesocosm experiment to characterize the responses of single and multiple stressors on microbiota. Two functionally important stream habitats, leaf litter and benthic phototrophic rock biofilms, were exposed to three stressors in a full factorial design: fine sediment deposition, increased chloride concentration (salinization) and reduced flow velocity. We analyzed the microbial composition in the two habitat types of the mesocosms using an amplicon sequencing approach. Community analysis on different taxonomic levels as well as principle component analyses (PCoAs) based on realtive abundances of operational taxonomic units (OTUs) showed treatment specific shifts in the eukaryotic biofilm community. Analysis of variance (ANOVA) revealed that Bacillariophyta responded positively salinity and sediment increase, while the relative read abundance of chlorophyte taxa decreased. The combined effects of multiple stressors were mainly antagonistic. Therefore, the community composition in multiply stressed environments resembled the composition of the unstressed control community in terms of OTU occurrence and relative abundances. (C) 2018 The Authors. Published by Elsevier B.V.</v>
      </c>
      <c r="C1427" s="24" t="str">
        <f>IFERROR(__xludf.DUMMYFUNCTION("""COMPUTED_VALUE"""),"10.1016/j.scitotenv.2018.03.077")</f>
        <v>10.1016/j.scitotenv.2018.03.077</v>
      </c>
      <c r="D1427" s="24" t="str">
        <f>IFERROR(__xludf.DUMMYFUNCTION("""COMPUTED_VALUE"""),"Keck et al")</f>
        <v>Keck et al</v>
      </c>
      <c r="E1427" s="24" t="str">
        <f>IFERROR(__xludf.DUMMYFUNCTION("""COMPUTED_VALUE"""),"WOS:000432475300126")</f>
        <v>WOS:000432475300126</v>
      </c>
      <c r="F1427" s="24" t="str">
        <f>IFERROR(__xludf.DUMMYFUNCTION("""COMPUTED_VALUE"""),"[""ELIGIBLE""]")</f>
        <v>["ELIGIBLE"]</v>
      </c>
    </row>
    <row r="1428">
      <c r="A1428" s="24" t="str">
        <f>IFERROR(__xludf.DUMMYFUNCTION("""COMPUTED_VALUE"""),"Influence of nitrogen and phosphorus additions on N2-fixation activity, abundance, and composition of diazotrophic communities in a Chinese fir plantation")</f>
        <v>Influence of nitrogen and phosphorus additions on N2-fixation activity, abundance, and composition of diazotrophic communities in a Chinese fir plantation</v>
      </c>
      <c r="B1428" s="24" t="str">
        <f>IFERROR(__xludf.DUMMYFUNCTION("""COMPUTED_VALUE"""),"Although biological nitrogen (N) fixation (BNF) is an important N input process in subtropical forest ecosystems, how the diazotrophic communities related to this process respond to N and phosphorus (P) inputs is largely unknown. We investigated the effec"&amp;"ts of exogenous N and/or P inputs on N-2-fixation activity, diazotrophic abundance and community composition using a continuous application of fertilizers over 5 years experiment in a Chinese fir plantation. The fertilization regimes included control (CK)"&amp;", P treatment (P), low N addition treatment (N1), high N addition treatment (N2), low N and P addition treatment (N1P) and high N with P addition treatment (N2P). N-2-fixation activity was determined using the acetylene reduction assay (ARA). Quantitative"&amp;" PCR and Illumina Miseq sequencing of nifH gene were performed to analyze diazotrophic abundance and community composition, respectively. Our results showed that P addition increased N-2-fixation activity and nifH gene abundance by 189.07 n mol C2H4 and 1"&amp;".02 x 10(7) copies g(-1) dry soil, respectively, while were reduced by 1.19 n mol C2H4 and 2.04 x 10(6) copies g(-1) dry soil when N was added. The application of P with low N (N1P) effectively alleviated the inhibitory effect of N input on N-2-fixation a"&amp;"ctivity. N-related treatments resulted in significant decreases in operational taxonomic unit (OTU) richness and shifts in diazotrophic community structure. N-2-fixation activity and nifH gene abundance were strongly and positively correlated with soil pH"&amp;" and negatively correlated with mineral N (NH4+-N and NO3--N) contents, while mineral N concentrations rather than soil pH appeared to be the main factor altering diazotrophic community structure. These results revealed that P addition played a positive r"&amp;"ole in regulating biological nitrogen fixation in subtropical forest ecosystems. (C) 2017 Elsevier B.V. All rights reserved.")</f>
        <v>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v>
      </c>
      <c r="C1428" s="24" t="str">
        <f>IFERROR(__xludf.DUMMYFUNCTION("""COMPUTED_VALUE"""),"10.1016/j.scitotenv.2017.10.064")</f>
        <v>10.1016/j.scitotenv.2017.10.064</v>
      </c>
      <c r="D1428" s="24" t="str">
        <f>IFERROR(__xludf.DUMMYFUNCTION("""COMPUTED_VALUE"""),"Keck et al")</f>
        <v>Keck et al</v>
      </c>
      <c r="E1428" s="24" t="str">
        <f>IFERROR(__xludf.DUMMYFUNCTION("""COMPUTED_VALUE"""),"WOS:000424144200151")</f>
        <v>WOS:000424144200151</v>
      </c>
      <c r="F1428" s="24" t="str">
        <f>IFERROR(__xludf.DUMMYFUNCTION("""COMPUTED_VALUE"""),"[""ELIGIBLE""]")</f>
        <v>["ELIGIBLE"]</v>
      </c>
    </row>
    <row r="1429">
      <c r="A1429" s="24" t="str">
        <f>IFERROR(__xludf.DUMMYFUNCTION("""COMPUTED_VALUE"""),"The impact of antibiotic exposure in water and zebrafish gut microbiomes: A 16S rRNA gene-based metagenomic analysis")</f>
        <v>The impact of antibiotic exposure in water and zebrafish gut microbiomes: A 16S rRNA gene-based metagenomic analysis</v>
      </c>
      <c r="B1429" s="24" t="str">
        <f>IFERROR(__xludf.DUMMYFUNCTION("""COMPUTED_VALUE"""),"In order to supply human demand for food, the aquaculture industry has been growing fast in the last years, being fish usually cultivated in overcrowded conditions. Hence, to prevent the rapidly disease spreading, antibiotics may be applied to both sick a"&amp;"nd healthy animals. Due to its broad spectrum, oxytetracycline (OTC) is one of the most used antibiotics in food-production. Yet, although useful to prevent infections, antibiotics may reshape aquatic animals' microbiome, disturbing hosts' welfare. Howeve"&amp;"r, the impact of this exposure to the organism microbiome and its surrounding environment is poorly understood. Then, the objective of this study was to analyze in detail the long-term effect of OTC in both zebrafish gut and water microbiomes. Zebrafish a"&amp;"dults were exposed, via water, for two months to three concentrations of OTC (0, 10 and 10000 mu g/L). Total DNA was extracted from gut and water samples and the V3-V4 region of the bacterial 16 S rRNA gene was sequenced using Illumina technology. Results"&amp;" of alpha and beta-diversity analyses revealed that long-term exposure to OTC impacted both zebrafish gut and water microbiomes. In water samples, effects were observed even at the lowest (10 mu g/L) OTC concentration tested resulting in an increase in De"&amp;"ltaproteobacteria, namely the Myxococcales and Bdellovibrionales orders. On the other hand, effects on zebrafish gut were only observed at the highest concentration with the selection of Alphaproteobacteria and Actinobacteria classes. Although these class"&amp;"es are common in fish gut, the increase of Actinobacteria may represent a health problem since some genera like Gordonia are linked to some human infection disease. Nevertheless, in both gut and water, it was observed a decrease in Gamaproteobacteria, pro"&amp;"bably due to OTC mode of action. In silico functional metagenomic analysis revealed that OTC exposure selected general detoxification mechanisms. In addition, the abundance of functional genes involved in Quorum Sensing (QS) increased under OTC exposure s"&amp;"uggesting that QS may help bacteria to survive OTC stress. Thus, future studies should consider post-exposure scenarios for a deeper analysis of the water and zebrafish gut resistome, since bacteria may react differently after exposure ceased.")</f>
        <v>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v>
      </c>
      <c r="C1429" s="24" t="str">
        <f>IFERROR(__xludf.DUMMYFUNCTION("""COMPUTED_VALUE"""),"10.1016/j.ecoenv.2019.109771")</f>
        <v>10.1016/j.ecoenv.2019.109771</v>
      </c>
      <c r="D1429" s="24" t="str">
        <f>IFERROR(__xludf.DUMMYFUNCTION("""COMPUTED_VALUE"""),"Keck et al")</f>
        <v>Keck et al</v>
      </c>
      <c r="E1429" s="24" t="str">
        <f>IFERROR(__xludf.DUMMYFUNCTION("""COMPUTED_VALUE"""),"WOS:000496901100019")</f>
        <v>WOS:000496901100019</v>
      </c>
      <c r="F1429" s="24" t="str">
        <f>IFERROR(__xludf.DUMMYFUNCTION("""COMPUTED_VALUE"""),"[""ELIGIBLE""]")</f>
        <v>["ELIGIBLE"]</v>
      </c>
    </row>
    <row r="1430">
      <c r="A1430" s="24" t="str">
        <f>IFERROR(__xludf.DUMMYFUNCTION("""COMPUTED_VALUE"""),"Riparian vegetation recovery in a 23 year chronosequence of clear-cuts along boreal headwater streams")</f>
        <v>Riparian vegetation recovery in a 23 year chronosequence of clear-cuts along boreal headwater streams</v>
      </c>
      <c r="B1430" s="24" t="str">
        <f>IFERROR(__xludf.DUMMYFUNCTION("""COMPUTED_VALUE"""),"Recovery of understory vegetation after clearcut harvesting has received much attention but little is known about the recovery of riparian vegetation after forest harvesting along headwater streams, despite the critical role vegetation plays in the protec"&amp;"tion of biodiversity and water quality. We investigated the impacts of clearcut harvesting on riparian plant communities and their recovery along headwater streams in boreal mixedwood forests of northwestern Ontario, Canada. We studied 30 headwater stream"&amp;"s (width 1-3 m), 24 in clearcut sites harvested 3-23 years previously and 6 streams in reference 90-100 year-old mature (unharvested) forests. Each stream was studied at two locations: (i) within clearcut areas and (ii) within the downstream unharvested l"&amp;"ocations (at the buffer zones) of the larger stream into which the headwater streams flow. We quantified species richness, abundance, diversity and evenness of riparian understory vegetation at each site. We used a nested model and Nonmetric Multidimensio"&amp;"nal Scaling (NMS) to examine the effect of years since clearcut (age) on understory plant community change. We assessed the number of original, newly recruited and locally eliminated species based on species presence/absence data from the sampled quadrats"&amp;" in clearcuts, downstream unharvested forests and reference forests. We found that clearcut harvesting had no immediate impact on overall species richness or diversity, but it was associated with changes in species composition. The post-harvest habitats w"&amp;"ere often dominated by ruderal invasive species. Some late-seral species were locally eliminated and showed no sign of recovery 23 years after harvesting. We conclude that although clearcutting along headwater streams does not affect the overall species d"&amp;"iversity, it changes species composition by locally eliminating some understory plants, which in turn may cause significant change in the ecological services they provide. Hence, it is important to recognize the sensitivity of headwater systems during for"&amp;"est harvesting and subsequent vegetation recovery. Avoiding ground disturbance in head water systems during forest management, careful selective/partial harvesting in riparian areas and seeding of fast growing native plants immediately after clearcutting "&amp;"may help mitigate potential adverse effects of forest management in headwater systems.")</f>
        <v>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v>
      </c>
      <c r="C1430" s="24" t="str">
        <f>IFERROR(__xludf.DUMMYFUNCTION("""COMPUTED_VALUE"""),"10.1016/j.foreco.2019.04.010")</f>
        <v>10.1016/j.foreco.2019.04.010</v>
      </c>
      <c r="D1430" s="24" t="str">
        <f>IFERROR(__xludf.DUMMYFUNCTION("""COMPUTED_VALUE"""),"Keck et al")</f>
        <v>Keck et al</v>
      </c>
      <c r="E1430" s="24" t="str">
        <f>IFERROR(__xludf.DUMMYFUNCTION("""COMPUTED_VALUE"""),"WOS:000468256600008")</f>
        <v>WOS:000468256600008</v>
      </c>
      <c r="F1430" s="24" t="str">
        <f>IFERROR(__xludf.DUMMYFUNCTION("""COMPUTED_VALUE"""),"[""ELIGIBLE""]")</f>
        <v>["ELIGIBLE"]</v>
      </c>
    </row>
    <row r="1431">
      <c r="A1431" s="24" t="str">
        <f>IFERROR(__xludf.DUMMYFUNCTION("""COMPUTED_VALUE"""),"Benzo(a)pyrene inhibits the role of the bioturbator Tubifex tubifex in river sediment biogeochemistry")</f>
        <v>Benzo(a)pyrene inhibits the role of the bioturbator Tubifex tubifex in river sediment biogeochemistry</v>
      </c>
      <c r="B1431" s="24" t="str">
        <f>IFERROR(__xludf.DUMMYFUNCTION("""COMPUTED_VALUE"""),"The interactions between invertebrates and micro-organisms living in streambed sediments often play key roles in the regulation of nutrient and organic matter fluxes in aquatic ecosystems. However, benthic sediments also constitute a privileged compartmen"&amp;"t for the accumulation of persistent organic pollutants such as PAHs or PCBs that may affect the diversity, abundance and activity of benthic organisms. The objective of this study was to quantify the impact of sediment contamination with the PAH benzo(a)"&amp;"pyrene on the interaction between micro-organisms and the tubificid worm, Tubifex tubifex, which has been recognized as a major bioturbator in freshwater sediments. Sedimentary microcosms (slow filtration columns) contaminated or not with benzo(a)pyrene ("&amp;"3 tested concentrations: 0, 1 and 5 mg kg(-1)) at the sediment surface were incubated under laboratory conditions in the presence (100 individuals) or absence of T. tubifex. Although the surface sediment contaminations with 1 mg kg(-1) and 5 mg kg(-1) of "&amp;"benzo(a)pyrene did not affect tubificid worm survival, these contaminations significantly influenced the role played by T. tubifex in biogeochemical processes. Indeed, tubificid worms stimulated aerobic respiration, denitrification, dehydrogenase and hydr"&amp;"olytic activities of micro-organisms in uncontaminated sediments whereas such effects were inhibited in sediments polluted with benzo(a)pyrene. This inhibition was due to contaminant-induced changes in bioturbation (and especially bio-irrigation) activiti"&amp;"es of worms and their resulting effects on microbial processes. This study reveals the importance of sublethal concentrations of a contaminant on ecological processes in river sediments through affecting bioturbator-microbe interactions. Since they affect"&amp;" microbial processes involved in water purification processes, such impacts of sublethal concentrations of pollutants should be more often considered in ecosystem health assessment. (c) 2013 Elsevier B.V. All rights reserved.")</f>
        <v>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v>
      </c>
      <c r="C1431" s="24" t="str">
        <f>IFERROR(__xludf.DUMMYFUNCTION("""COMPUTED_VALUE"""),"10.1016/j.scitotenv.2013.02.013")</f>
        <v>10.1016/j.scitotenv.2013.02.013</v>
      </c>
      <c r="D1431" s="24" t="str">
        <f>IFERROR(__xludf.DUMMYFUNCTION("""COMPUTED_VALUE"""),"Keck et al")</f>
        <v>Keck et al</v>
      </c>
      <c r="E1431" s="24" t="str">
        <f>IFERROR(__xludf.DUMMYFUNCTION("""COMPUTED_VALUE"""),"WOS:000317879100026")</f>
        <v>WOS:000317879100026</v>
      </c>
      <c r="F1431" s="24" t="str">
        <f>IFERROR(__xludf.DUMMYFUNCTION("""COMPUTED_VALUE"""),"[""ELIGIBLE""]")</f>
        <v>["ELIGIBLE"]</v>
      </c>
    </row>
    <row r="1432">
      <c r="A1432" s="24" t="str">
        <f>IFERROR(__xludf.DUMMYFUNCTION("""COMPUTED_VALUE"""),"Species-diverse coral communities on an artificial substrate at a tuna farm in Amami, Japan")</f>
        <v>Species-diverse coral communities on an artificial substrate at a tuna farm in Amami, Japan</v>
      </c>
      <c r="B1432" s="24" t="str">
        <f>IFERROR(__xludf.DUMMYFUNCTION("""COMPUTED_VALUE"""),"Tuna-farming is expanding worldwide, necessitating the monitoring/managing of its effects on the natural environment. In Japan, tuna-farming is conducted on coral reefs that have been damaged by mass-bleaching events and crown-of-thorns starfish (COTS) ou"&amp;"tbreaks. This study focused on the coral community on an artificial substrate of tuna-farm to reveal the possible effects of tuna-farming on the natural environment. Corals flourished on ropes suspended in the farm in the Amami Islands, southern Japan. Th"&amp;"ese were moored 3 m below the sea-surface in 50-m-deep water. The coral community on the rope was analyzed and compared with those on natural substrata on two adjacent COTS-damaged reefs and with that in a protected reef. Corals were monitored throughout "&amp;"a year. Sixty coral species grew on the ropes, that corresponds to 27.3% of the 220 species known from Amami. The coral community was unique, dominated by massive faviid corals. On the ropes, the water temperature rarely exceeded 30.0 degrees C and no cor"&amp;"als on the rope were severely bleached or covered by sedimentation during the observations. The tuna-farm infrastructure provided corals with a suitable habitat, and species-rich coral communities were established. These coral communities are an important"&amp;" node connecting tuna-farms and the natural environment. (C) 2012 Elsevier Ltd. All rights reserved.")</f>
        <v>Tuna-farming is expanding worldwide, necessitating the monitoring/managing of its effects on the natural environment. In Japan, tuna-farming is conducted on coral reefs that have been damaged by mass-bleaching events and crown-of-thorns starfish (COTS) outbreaks. This study focused on the coral community on an artificial substrate of tuna-farm to reveal the possible effects of tuna-farming on the natural environment. Corals flourished on ropes suspended in the farm in the Amami Islands, southern Japan. These were moored 3 m below the sea-surface in 50-m-deep water. The coral community on the rope was analyzed and compared with those on natural substrata on two adjacent COTS-damaged reefs and with that in a protected reef. Corals were monitored throughout a year. Sixty coral species grew on the ropes, that corresponds to 27.3% of the 220 species known from Amami. The coral community was unique, dominated by massive faviid corals. On the ropes, the water temperature rarely exceeded 30.0 degrees C and no corals on the rope were severely bleached or covered by sedimentation during the observations. The tuna-farm infrastructure provided corals with a suitable habitat, and species-rich coral communities were established. These coral communities are an important node connecting tuna-farms and the natural environment. (C) 2012 Elsevier Ltd. All rights reserved.</v>
      </c>
      <c r="C1432" s="24" t="str">
        <f>IFERROR(__xludf.DUMMYFUNCTION("""COMPUTED_VALUE"""),"10.1016/j.marenvres.2012.12.009")</f>
        <v>10.1016/j.marenvres.2012.12.009</v>
      </c>
      <c r="D1432" s="24" t="str">
        <f>IFERROR(__xludf.DUMMYFUNCTION("""COMPUTED_VALUE"""),"Keck et al")</f>
        <v>Keck et al</v>
      </c>
      <c r="E1432" s="24" t="str">
        <f>IFERROR(__xludf.DUMMYFUNCTION("""COMPUTED_VALUE"""),"WOS:000316504300006")</f>
        <v>WOS:000316504300006</v>
      </c>
      <c r="F1432" s="24" t="str">
        <f>IFERROR(__xludf.DUMMYFUNCTION("""COMPUTED_VALUE"""),"[""ELIGIBLE""]")</f>
        <v>["ELIGIBLE"]</v>
      </c>
    </row>
    <row r="1433">
      <c r="A1433" s="24" t="str">
        <f>IFERROR(__xludf.DUMMYFUNCTION("""COMPUTED_VALUE"""),"Bacterial community responses to tourism development in the Xixi National Wetland Park, China")</f>
        <v>Bacterial community responses to tourism development in the Xixi National Wetland Park, China</v>
      </c>
      <c r="B1433" s="24" t="str">
        <f>IFERROR(__xludf.DUMMYFUNCTION("""COMPUTED_VALUE"""),"A large number of urban wetland parks have been established, but knowledge about the effects of tourism development on the microbial diversity and ecosystem functioning remains limited. This study aimed to clarify the responses of bacterial communities to"&amp;" tourism development targeted the Xixi National Wetland Park, China. By analyzing the diversity, composition, assembly pattern, and environmental drivers of bacterial communities, we found that tourism development considerably affected the water quality, "&amp;"which further decreased the alpha-diversity but increased the beta-diversity in open areas for landscaping and recreation. Specifically, there was higher Simpson dissimilarity across functional wetland areas, indicating that species replacement mainly exp"&amp;"lained beta-diversity patterns of bacterial communities. RDA analysis and ecological processes quantification further suggested that TOC and TC were the major factors in the open areas driving bacterial communities in water and sediment, respectively. Als"&amp;"o, typical anti-disturbance taxa (Gammaproteobacteria) and potential pathogens (Bacillus) were enriched in the wetlands under more anthropogenic disturbances. Findings of the present study highlighted the effects of tourism development on bacterial commun"&amp;"ities resulted in obvious spatial variation in the Xixi National Wetland Park. This study gives us useful information for ecological assessments of urban wetlands, and further can provide references in making appropriate strategies to manage wetland ecosy"&amp;"stems. (C) 2020 Elsevier B.V. All rights reserved.")</f>
        <v>A large number of urban wetland parks have been established, but knowledge about the effects of tourism development on the microbial diversity and ecosystem functioning remains limited. This study aimed to clarify the responses of bacterial communities to tourism development targeted the Xixi National Wetland Park, China. By analyzing the diversity, composition, assembly pattern, and environmental drivers of bacterial communities, we found that tourism development considerably affected the water quality, which further decreased the alpha-diversity but increased the beta-diversity in open areas for landscaping and recreation. Specifically, there was higher Simpson dissimilarity across functional wetland areas, indicating that species replacement mainly explained beta-diversity patterns of bacterial communities. RDA analysis and ecological processes quantification further suggested that TOC and TC were the major factors in the open areas driving bacterial communities in water and sediment, respectively. Also, typical anti-disturbance taxa (Gammaproteobacteria) and potential pathogens (Bacillus) were enriched in the wetlands under more anthropogenic disturbances. Findings of the present study highlighted the effects of tourism development on bacterial communities resulted in obvious spatial variation in the Xixi National Wetland Park. This study gives us useful information for ecological assessments of urban wetlands, and further can provide references in making appropriate strategies to manage wetland ecosystems. (C) 2020 Elsevier B.V. All rights reserved.</v>
      </c>
      <c r="C1433" s="24" t="str">
        <f>IFERROR(__xludf.DUMMYFUNCTION("""COMPUTED_VALUE"""),"10.1016/j.scitotenv.2020.137570")</f>
        <v>10.1016/j.scitotenv.2020.137570</v>
      </c>
      <c r="D1433" s="24" t="str">
        <f>IFERROR(__xludf.DUMMYFUNCTION("""COMPUTED_VALUE"""),"Keck et al")</f>
        <v>Keck et al</v>
      </c>
      <c r="E1433" s="24" t="str">
        <f>IFERROR(__xludf.DUMMYFUNCTION("""COMPUTED_VALUE"""),"WOS:000525736600020")</f>
        <v>WOS:000525736600020</v>
      </c>
      <c r="F1433" s="24" t="str">
        <f>IFERROR(__xludf.DUMMYFUNCTION("""COMPUTED_VALUE"""),"[""ELIGIBLE""]")</f>
        <v>["ELIGIBLE"]</v>
      </c>
    </row>
    <row r="1434">
      <c r="A1434" s="24" t="str">
        <f>IFERROR(__xludf.DUMMYFUNCTION("""COMPUTED_VALUE"""),"Influence of 'bouchot' mussel culture on the benthic environment in a dynamic intertidal system")</f>
        <v>Influence of 'bouchot' mussel culture on the benthic environment in a dynamic intertidal system</v>
      </c>
      <c r="B1434" s="24" t="str">
        <f>IFERROR(__xludf.DUMMYFUNCTION("""COMPUTED_VALUE"""),"The present study examines the influence of mussel aquaculture structures (bouchots) in the intertidal zone of the Chausey Archipelago (Normandy, France) where strong tidal currents are predicted to disperse biodeposits. Six sites were sampled to determin"&amp;"e the spatial variability of organic matter content, sediment grain size, and benthic infaunal community characteristics. The influence of bouchots on the benthic environment was evident at both the mesoscale (i.e. km-scale, between farm and reference sit"&amp;"es) and small-scale (i.e. m-scale, spatial structure within farms but not reference sites). This influence was also apparent for sediment grain size distribution and most metrics of macrobenthic community structure, but not for sediment organic matter. Mu"&amp;"ssel culture structures likely modify natural flow patterns within farm sites, which increases shear stress around individual bouchots, thereby increasing the heterogeneity of benthic communities, altering the dominance of particular species within farms "&amp;"and differentiating them from reference sites.")</f>
        <v>The present study examines the influence of mussel aquaculture structures (bouchots) in the intertidal zone of the Chausey Archipelago (Normandy, France) where strong tidal currents are predicted to disperse biodeposits. Six sites were sampled to determine the spatial variability of organic matter content, sediment grain size, and benthic infaunal community characteristics. The influence of bouchots on the benthic environment was evident at both the mesoscale (i.e. km-scale, between farm and reference sites) and small-scale (i.e. m-scale, spatial structure within farms but not reference sites). This influence was also apparent for sediment grain size distribution and most metrics of macrobenthic community structure, but not for sediment organic matter. Mussel culture structures likely modify natural flow patterns within farm sites, which increases shear stress around individual bouchots, thereby increasing the heterogeneity of benthic communities, altering the dominance of particular species within farms and differentiating them from reference sites.</v>
      </c>
      <c r="C1434" s="24" t="str">
        <f>IFERROR(__xludf.DUMMYFUNCTION("""COMPUTED_VALUE"""),"10.3354/aei00035")</f>
        <v>10.3354/aei00035</v>
      </c>
      <c r="D1434" s="24" t="str">
        <f>IFERROR(__xludf.DUMMYFUNCTION("""COMPUTED_VALUE"""),"Keck et al")</f>
        <v>Keck et al</v>
      </c>
      <c r="E1434" s="24" t="str">
        <f>IFERROR(__xludf.DUMMYFUNCTION("""COMPUTED_VALUE"""),"WOS:000302066300002")</f>
        <v>WOS:000302066300002</v>
      </c>
      <c r="F1434" s="24" t="str">
        <f>IFERROR(__xludf.DUMMYFUNCTION("""COMPUTED_VALUE"""),"[""ELIGIBLE""]")</f>
        <v>["ELIGIBLE"]</v>
      </c>
    </row>
    <row r="1435">
      <c r="A1435" s="24" t="str">
        <f>IFERROR(__xludf.DUMMYFUNCTION("""COMPUTED_VALUE"""),"Differences in the microbiota of native and non -indigenous gelatinous zooplankton organisms in a low saline environment")</f>
        <v>Differences in the microbiota of native and non -indigenous gelatinous zooplankton organisms in a low saline environment</v>
      </c>
      <c r="B1435" s="24" t="str">
        <f>IFERROR(__xludf.DUMMYFUNCTION("""COMPUTED_VALUE"""),"The translocation of non-indigenous species (NIS) around the world, especially in marine systems, is increasingly being recognized as a matter of concern. Species translocations have been shown to lead to wide ranging changes in food web structure and fun"&amp;"ctioning. In addition to the direct effects of NIS, they could facilitate the accumulation or translocation of bacteria as part of their microbiomes. The Baltic Sea harbours many non-indigenous species, with most recent detection of the jellyfish Blackfor"&amp;"dia virginica and the comb jelly Mnemiopsis leidyi in the low saline southwestern Baltic Sea. In this study, we used a multidisciplinary approach and investigated three gelatinous zooplankton species that co-occur in the same environment and feed on simil"&amp;"ar zooplankton food sources but show different histories of origin. The aim was to conduct a comparative microbiome analysis of indigenous and non-indigenous gelatinous zooplankton species in the low-saline southwestern Baltic Sea. Next-generation 16S rRN"&amp;"A marker gene sequencing of the V1/V2 region was employed to study the bacterial microbiome compositions. All tested species showed significant differences in their microbiome compositions (one way ANOSIM, R = 1, P &lt; 0.008) with dissimilarities ranging fr"&amp;"om 85 to 92%. The indigenous jellyfish Aurelia aurita showed the highest bacterial operational taxonomic unit (OTU) richness. The overall differentiation between microbiomes was driven by eight indicator OTUs, which included Mycoplasma and Vibrio species."&amp;" These bacteria can be problematic, as they include known pathogenic strains that are relevant to human health and aquaculture activities. Our results suggest that the impact assessment of NIS should consider potential pathogenic bacteria, enriched in the"&amp;" environment due to invasion, as potential risks to aquaculture activities.")</f>
        <v>The translocation of non-indigenous species (NIS) around the world, especially in marine systems, is increasingly being recognized as a matter of concern. Species translocations have been shown to lead to wide ranging changes in food web structure and functioning. In addition to the direct effects of NIS, they could facilitate the accumulation or translocation of bacteria as part of their microbiomes. The Baltic Sea harbours many non-indigenous species, with most recent detection of the jellyfish Blackfordia virginica and the comb jelly Mnemiopsis leidyi in the low saline southwestern Baltic Sea. In this study, we used a multidisciplinary approach and investigated three gelatinous zooplankton species that co-occur in the same environment and feed on similar zooplankton food sources but show different histories of origin. The aim was to conduct a comparative microbiome analysis of indigenous and non-indigenous gelatinous zooplankton species in the low-saline southwestern Baltic Sea. Next-generation 16S rRNA marker gene sequencing of the V1/V2 region was employed to study the bacterial microbiome compositions. All tested species showed significant differences in their microbiome compositions (one way ANOSIM, R = 1, P &lt; 0.008) with dissimilarities ranging from 85 to 92%. The indigenous jellyfish Aurelia aurita showed the highest bacterial operational taxonomic unit (OTU) richness. The overall differentiation between microbiomes was driven by eight indicator OTUs, which included Mycoplasma and Vibrio species. These bacteria can be problematic, as they include known pathogenic strains that are relevant to human health and aquaculture activities. Our results suggest that the impact assessment of NIS should consider potential pathogenic bacteria, enriched in the environment due to invasion, as potential risks to aquaculture activities.</v>
      </c>
      <c r="C1435" s="24" t="str">
        <f>IFERROR(__xludf.DUMMYFUNCTION("""COMPUTED_VALUE"""),"10.1016/j.scitotenv.2020.139471")</f>
        <v>10.1016/j.scitotenv.2020.139471</v>
      </c>
      <c r="D1435" s="24" t="str">
        <f>IFERROR(__xludf.DUMMYFUNCTION("""COMPUTED_VALUE"""),"Keck et al")</f>
        <v>Keck et al</v>
      </c>
      <c r="E1435" s="24" t="str">
        <f>IFERROR(__xludf.DUMMYFUNCTION("""COMPUTED_VALUE"""),"WOS:000540272000004")</f>
        <v>WOS:000540272000004</v>
      </c>
      <c r="F1435" s="24" t="str">
        <f>IFERROR(__xludf.DUMMYFUNCTION("""COMPUTED_VALUE"""),"[""ELIGIBLE""]")</f>
        <v>["ELIGIBLE"]</v>
      </c>
    </row>
    <row r="1436">
      <c r="A1436" s="24" t="str">
        <f>IFERROR(__xludf.DUMMYFUNCTION("""COMPUTED_VALUE"""),"The Substantial First Impact of Bottom Fishing on Rare Biodiversity Hotspots: A Dilemma for Evidence-Based Conservation")</f>
        <v>The Substantial First Impact of Bottom Fishing on Rare Biodiversity Hotspots: A Dilemma for Evidence-Based Conservation</v>
      </c>
      <c r="B1436" s="24" t="str">
        <f>IFERROR(__xludf.DUMMYFUNCTION("""COMPUTED_VALUE"""),"This study describes the impact of the first passage of two types of bottom-towed fishing gear on rare protected shellfish-reefs formed by the horse mussel Modiolus modiolus (L.). One of the study sites was trawled and the other was scallop-dredged. Diver"&amp;"s collected HD video imagery of epifauna from quadrats at the two study sites and directed infaunal samples from one site. The total number of epifaunal organisms was significantly reduced following a single pass of a trawl (90%) or scallop dredge (59%), "&amp;"as was the diversity of the associated community and the total number of M. modiolus at the trawled site. At both sites declines in anthozoans, hydrozoans, bivalves, echinoderms and ascidians accounted for most of the change. A year later, no recovery was"&amp;" evident at the trawled site and significantly fewer infaunal taxa (polychaetes, malacostracans, bivalves and ophuroids) were recorded in the trawl track. The severity of the two types of impact reflected the undisturbed status of the habitats compared to"&amp;" previous studies. As a 'priority habitat' the nature of the impacts described on M. modiolus communities are important to the development of conservation management policy and indicators of condition in Marine Protected Areas (EU Habitats Directive) as w"&amp;"ell as indicators of 'Good Environmental Status' under the European Union Marine Strategy Framework Directive. Conservation managers are under pressure to support decisions with good quality evidence. Elsewhere, indirect studies have shown declines of M. "&amp;"modiolus biogenic communities in fishing grounds. However, given the protected status of the rare habitat, premeditated demonstration of direct impact is unethical or illegal in Marine Protected Areas. This study therefore provides a unique opportunity to"&amp;" investigate the impact from fishing gear whilst at the same time reflecting on the dilemma of evidence-based conservation management.")</f>
        <v>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v>
      </c>
      <c r="C1436" s="24" t="str">
        <f>IFERROR(__xludf.DUMMYFUNCTION("""COMPUTED_VALUE"""),"10.1371/journal.pone.0069904")</f>
        <v>10.1371/journal.pone.0069904</v>
      </c>
      <c r="D1436" s="24" t="str">
        <f>IFERROR(__xludf.DUMMYFUNCTION("""COMPUTED_VALUE"""),"Keck et al")</f>
        <v>Keck et al</v>
      </c>
      <c r="E1436" s="24" t="str">
        <f>IFERROR(__xludf.DUMMYFUNCTION("""COMPUTED_VALUE"""),"WOS:000323221500009")</f>
        <v>WOS:000323221500009</v>
      </c>
      <c r="F1436" s="24" t="str">
        <f>IFERROR(__xludf.DUMMYFUNCTION("""COMPUTED_VALUE"""),"[""ELIGIBLE""]")</f>
        <v>["ELIGIBLE"]</v>
      </c>
    </row>
    <row r="1437">
      <c r="A1437" s="24" t="str">
        <f>IFERROR(__xludf.DUMMYFUNCTION("""COMPUTED_VALUE"""),"Benthic community responses to invasion by the golden mussel, Limnoperna fortunei Dunker: biotic homogenization vs environmental driving forces")</f>
        <v>Benthic community responses to invasion by the golden mussel, Limnoperna fortunei Dunker: biotic homogenization vs environmental driving forces</v>
      </c>
      <c r="B1437" s="24" t="str">
        <f>IFERROR(__xludf.DUMMYFUNCTION("""COMPUTED_VALUE"""),"The goal of our study was to investigate the interaction between the invasive mussel Linmoperna fortunei and benthic invertebrate communities at different spatial scales and under different environmental conditions. We analyzed the effects of L. fortunei "&amp;"on benthic invertebrate communities at different downstream distances. (meters) from mussel beds and compared these trends in 2 rivers characterized by dissimilar chemical disturbance levels. In areas distant from L. fortunei beds, invertebrate compositio"&amp;"n at the 2 rivers differed strongly, probably in response to different levels of environmental pollution. In areas near L. fortunei beds, invertebrate composition at the 2 rivers was similar, suggesting that golden mussels have strong homogenizing effects"&amp;" on faunal makeup. We also found that facilitation was species specific and, in contrast to the general paradigm, weaker (rather than stronger) under more stressful conditions. Our results show that understanding the effects of L. fortunei requires accoun"&amp;"ting for scale- and species-specific effects.")</f>
        <v>The goal of our study was to investigate the interaction between the invasive mussel Linmoperna fortunei and benthic invertebrate communities at different spatial scales and under different environmental conditions. We analyzed the effects of L. fortunei on benthic invertebrate communities at different downstream distances. (meters) from mussel beds and compared these trends in 2 rivers characterized by dissimilar chemical disturbance levels. In areas distant from L. fortunei beds, invertebrate composition at the 2 rivers differed strongly, probably in response to different levels of environmental pollution. In areas near L. fortunei beds, invertebrate composition at the 2 rivers was similar, suggesting that golden mussels have strong homogenizing effects on faunal makeup. We also found that facilitation was species specific and, in contrast to the general paradigm, weaker (rather than stronger) under more stressful conditions. Our results show that understanding the effects of L. fortunei requires accounting for scale- and species-specific effects.</v>
      </c>
      <c r="C1437" s="24" t="str">
        <f>IFERROR(__xludf.DUMMYFUNCTION("""COMPUTED_VALUE"""),"10.1899/10-170.1")</f>
        <v>10.1899/10-170.1</v>
      </c>
      <c r="D1437" s="24" t="str">
        <f>IFERROR(__xludf.DUMMYFUNCTION("""COMPUTED_VALUE"""),"Keck et al")</f>
        <v>Keck et al</v>
      </c>
      <c r="E1437" s="24" t="str">
        <f>IFERROR(__xludf.DUMMYFUNCTION("""COMPUTED_VALUE"""),"WOS:000298218600011")</f>
        <v>WOS:000298218600011</v>
      </c>
      <c r="F1437" s="24" t="str">
        <f>IFERROR(__xludf.DUMMYFUNCTION("""COMPUTED_VALUE"""),"[""ELIGIBLE""]")</f>
        <v>["ELIGIBLE"]</v>
      </c>
    </row>
    <row r="1438">
      <c r="A1438" s="24" t="str">
        <f>IFERROR(__xludf.DUMMYFUNCTION("""COMPUTED_VALUE"""),"A citizen science approach to evaluating US cities for biotic homogenization")</f>
        <v>A citizen science approach to evaluating US cities for biotic homogenization</v>
      </c>
      <c r="B1438" s="24" t="str">
        <f>IFERROR(__xludf.DUMMYFUNCTION("""COMPUTED_VALUE"""),"Cities around the world have converged on structural and environmental characteristics that exert similar eco-evolutionary pressures on local communities. However, evaluating how urban biodiversity responds to urban intensification remains poorly understo"&amp;"od because of the challenges in capturing the diversity of a range of taxa within and across multiple cities from different types of urbanization. Here we utilize a growing resource-citizen science data. We analyzed 66,209 observations representing 5,209 "&amp;"species generated by the City Nature Challenge project on the iNaturalist platform, in conjunction with remote sensing (NLCD2011) environmental data, to test for urban biotic homogenization at increasing levels of urban intensity across 14 metropolitan ci"&amp;"ties in the United States. Based on community composition analyses, we found that while similarities occur to an extent, urban biodiversity is often much more a reflection of the taxa living locally in a region. At the same time, the communities found in "&amp;"high-intensity development were less explained by regional context than communities from other land cover types were. We also found that the most commonly observed species are often shared between cities and are non-endemic and/or have a distribution faci"&amp;"litated by humans. This study highlights the value of citizen science data in answering questions in urban ecology.")</f>
        <v>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v>
      </c>
      <c r="C1438" s="24" t="str">
        <f>IFERROR(__xludf.DUMMYFUNCTION("""COMPUTED_VALUE"""),"10.7717/peerj.6879")</f>
        <v>10.7717/peerj.6879</v>
      </c>
      <c r="D1438" s="24" t="str">
        <f>IFERROR(__xludf.DUMMYFUNCTION("""COMPUTED_VALUE"""),"Keck et al")</f>
        <v>Keck et al</v>
      </c>
      <c r="E1438" s="24" t="str">
        <f>IFERROR(__xludf.DUMMYFUNCTION("""COMPUTED_VALUE"""),"WOS:000466325000010")</f>
        <v>WOS:000466325000010</v>
      </c>
      <c r="F1438" s="24" t="str">
        <f>IFERROR(__xludf.DUMMYFUNCTION("""COMPUTED_VALUE"""),"[""ELIGIBLE""]")</f>
        <v>["ELIGIBLE"]</v>
      </c>
    </row>
    <row r="1439">
      <c r="A1439" s="24" t="str">
        <f>IFERROR(__xludf.DUMMYFUNCTION("""COMPUTED_VALUE"""),"The impact of cattle grazing on cursorial spiders (Aranei) and true bugs (Heteroptera) in steppe gullies of northeastern Ukraine")</f>
        <v>The impact of cattle grazing on cursorial spiders (Aranei) and true bugs (Heteroptera) in steppe gullies of northeastern Ukraine</v>
      </c>
      <c r="B1439" s="24" t="str">
        <f>IFERROR(__xludf.DUMMYFUNCTION("""COMPUTED_VALUE"""),"Cattle grazing is a traditional agricultural activity and one of the obligatory factors for maintaining steppe ecosystems. The impact of grazing depends on its intensity, site area, soil, topography, and microclimatic conditions. Both intensive grazing an"&amp;"d long-term cessation differently affect various components of the steppe biota. During the research, cursorial spiders and true bugs were collected in grazed and ungrazed gullies in northeastern Ukraine. Seventy true bug and 73 spider species were recove"&amp;"red from the ungrazed gully and 65 true bug and 50 spider species from the grazed one. More than a 20-year grazing cessation resulted in the partial overgrowth of the gully bottom by arboreal and shrub vegetation and the predominance of meadow herb specie"&amp;"s. Consequently, spider assemblages being the richest in species number and individuals lost their steppe traits. Ungrazed south-facing slope covered with typical steppe vegetation harbored the most steppe-like spider assemblage and maintained abundance o"&amp;"f steppe specialists. Spider assemblages of the grazed gully were the poorest. Species richness, number of individuals and ecological groups of true bugs depended on orographic conditions, being more divers on the gully slopes (58-60 species vs. 42-44 spe"&amp;"cies in the bottoms). The true bug individual numbers were the highest on the grazed slope while in the bottoms it did not change with grazing. In general, cursorial spiders were better indicators of the grazing pressure than true bugs. At the study site,"&amp;" no specific pastoral assemblages of both arthropod groups were indentified. Nevertheless, patched grazing was necessary for maintaining steppe-like vegetation and arthropod assemblages in the gully bottoms. (C) 2016 Elsevier B.V. All rights reserved.")</f>
        <v>Cattle grazing is a traditional agricultural activity and one of the obligatory factors for maintaining steppe ecosystems. The impact of grazing depends on its intensity, site area, soil, topography, and microclimatic conditions. Both intensive grazing and long-term cessation differently affect various components of the steppe biota. During the research, cursorial spiders and true bugs were collected in grazed and ungrazed gullies in northeastern Ukraine. Seventy true bug and 73 spider species were recovered from the ungrazed gully and 65 true bug and 50 spider species from the grazed one. More than a 20-year grazing cessation resulted in the partial overgrowth of the gully bottom by arboreal and shrub vegetation and the predominance of meadow herb species. Consequently, spider assemblages being the richest in species number and individuals lost their steppe traits. Ungrazed south-facing slope covered with typical steppe vegetation harbored the most steppe-like spider assemblage and maintained abundance of steppe specialists. Spider assemblages of the grazed gully were the poorest. Species richness, number of individuals and ecological groups of true bugs depended on orographic conditions, being more divers on the gully slopes (58-60 species vs. 42-44 species in the bottoms). The true bug individual numbers were the highest on the grazed slope while in the bottoms it did not change with grazing. In general, cursorial spiders were better indicators of the grazing pressure than true bugs. At the study site, no specific pastoral assemblages of both arthropod groups were indentified. Nevertheless, patched grazing was necessary for maintaining steppe-like vegetation and arthropod assemblages in the gully bottoms. (C) 2016 Elsevier B.V. All rights reserved.</v>
      </c>
      <c r="C1439" s="24" t="str">
        <f>IFERROR(__xludf.DUMMYFUNCTION("""COMPUTED_VALUE"""),"10.1016/j.agee.2016.04.031")</f>
        <v>10.1016/j.agee.2016.04.031</v>
      </c>
      <c r="D1439" s="24" t="str">
        <f>IFERROR(__xludf.DUMMYFUNCTION("""COMPUTED_VALUE"""),"Keck et al")</f>
        <v>Keck et al</v>
      </c>
      <c r="E1439" s="24" t="str">
        <f>IFERROR(__xludf.DUMMYFUNCTION("""COMPUTED_VALUE"""),"WOS:000389115600009")</f>
        <v>WOS:000389115600009</v>
      </c>
      <c r="F1439" s="24" t="str">
        <f>IFERROR(__xludf.DUMMYFUNCTION("""COMPUTED_VALUE"""),"[""ELIGIBLE""]")</f>
        <v>["ELIGIBLE"]</v>
      </c>
    </row>
    <row r="1440">
      <c r="A1440" s="24" t="str">
        <f>IFERROR(__xludf.DUMMYFUNCTION("""COMPUTED_VALUE"""),"Alteration of benthic communities associated with copper contamination linked to boat moorings")</f>
        <v>Alteration of benthic communities associated with copper contamination linked to boat moorings</v>
      </c>
      <c r="B1440" s="24" t="str">
        <f>IFERROR(__xludf.DUMMYFUNCTION("""COMPUTED_VALUE"""),"Although copper (Cu) is an essential element for life, leaching from boat paint can cause excess environmental loading in enclosed marinas. The effects of copper contamination on benthic macrofaunal communities were examined in three San Diego Bay marinas"&amp;" (America's Cup, Harbor Island West and East) in Southern California, USA. The distribution of Cu concentration in sediments exhibited a clear spatial gradient, with hotspots created by the presence of boats, which in two marinas exceeded the effect range"&amp;" medium (ERM). Elevated sediment Cu was associated with differences in benthic assemblages, reduced species richness and enhanced dominance in America's Cup and Harbor Island West, whereas Harbor Island East did not appear to be affected. At sites without"&amp;" boats there were greater abundances of some amphipods such as the species Desdimelita sp., Harpinia sp., Aoroides sp., Corophium sp., Podocerus sp., bivalves such as Lyonsia californica, Musculista senhousia, Macoma sp., and polychaetes such as Diplocirr"&amp;"us sp. In contrast, at sites with boats, densities of Pseudopolydora paucibranchiata, Polydora nuchalis, Euchone limnicola, Exogone lourei, Tubificoides spp. were enhanced. The limited impact on Harbor Island East suggests not only lower Cu input rates an"&amp;"d increased water flushing and mixing, but also the presence of adequate defense mechanisms that regulate availability and mitigate toxic impacts. At all three marinas, Cu in tissues of several macrobenthic species exhibited Cu bioaccumulation above level"&amp;"s found in the surrounding environment. The annelids Lumbrineris sp. and Tubificoides spp., and the amphipod Desdimelita sp. contained high levels of Cu, suggesting they function as Cu bioaccumulators. The spionid polychaetes Polydora nuchalis and Pseudop"&amp;"olydora paucibranchiata had much lower Cu concentrations than surrounding sediments, suggesting they function as Cu bioregulators. The macrobenthic invertebrates in San Diego Bay marinas that tolerate Cu pollution (e.g. P.nuchalis, P.paucibranchiata, Euch"&amp;"one limnicola, Typosyllis sp., Tubificoides sp.) may function as indicators of high-Cu conditions, whereas the presence of Cu-sensitive species (e.g. Podocerus sp., Aoroides sp., Harpinia sp., Macoma sp., Lyonsia californica) may indicate healthier condit"&amp;"ions (less Cu-stressed). Parallel responses by faunas of Shelter Island Yacht Basin, also in San Diego Bay, suggest potential for development of regional Cu contamination assessment criteria, and call for functional comparisons with other marinas and coas"&amp;"tal water bodies.")</f>
        <v>Although copper (Cu) is an essential element for life, leaching from boat paint can cause excess environmental loading in enclosed marinas. The effects of copper contamination on benthic macrofaunal communities were examined in three San Diego Bay marinas (America's Cup, Harbor Island West and East) in Southern California, USA. The distribution of Cu concentration in sediments exhibited a clear spatial gradient, with hotspots created by the presence of boats, which in two marinas exceeded the effect range medium (ERM). Elevated sediment Cu was associated with differences in benthic assemblages, reduced species richness and enhanced dominance in America's Cup and Harbor Island West, whereas Harbor Island East did not appear to be affected. At sites without boats there were greater abundances of some amphipods such as the species Desdimelita sp., Harpinia sp., Aoroides sp., Corophium sp., Podocerus sp., bivalves such as Lyonsia californica, Musculista senhousia, Macoma sp., and polychaetes such as Diplocirrus sp. In contrast, at sites with boats, densities of Pseudopolydora paucibranchiata, Polydora nuchalis, Euchone limnicola, Exogone lourei, Tubificoides spp. were enhanced. The limited impact on Harbor Island East suggests not only lower Cu input rates and increased water flushing and mixing, but also the presence of adequate defense mechanisms that regulate availability and mitigate toxic impacts. At all three marinas, Cu in tissues of several macrobenthic species exhibited Cu bioaccumulation above levels found in the surrounding environment. The annelids Lumbrineris sp. and Tubificoides spp., and the amphipod Desdimelita sp. contained high levels of Cu, suggesting they function as Cu bioaccumulators. The spionid polychaetes Polydora nuchalis and Pseudopolydora paucibranchiata had much lower Cu concentrations than surrounding sediments, suggesting they function as Cu bioregulators. The macrobenthic invertebrates in San Diego Bay marinas that tolerate Cu pollution (e.g. P.nuchalis, P.paucibranchiata, Euchone limnicola, Typosyllis sp., Tubificoides sp.) may function as indicators of high-Cu conditions, whereas the presence of Cu-sensitive species (e.g. Podocerus sp., Aoroides sp., Harpinia sp., Macoma sp., Lyonsia californica) may indicate healthier conditions (less Cu-stressed). Parallel responses by faunas of Shelter Island Yacht Basin, also in San Diego Bay, suggest potential for development of regional Cu contamination assessment criteria, and call for functional comparisons with other marinas and coastal water bodies.</v>
      </c>
      <c r="C1440" s="24" t="str">
        <f>IFERROR(__xludf.DUMMYFUNCTION("""COMPUTED_VALUE"""),"10.1111/maec.12054")</f>
        <v>10.1111/maec.12054</v>
      </c>
      <c r="D1440" s="24" t="str">
        <f>IFERROR(__xludf.DUMMYFUNCTION("""COMPUTED_VALUE"""),"Keck et al")</f>
        <v>Keck et al</v>
      </c>
      <c r="E1440" s="24" t="str">
        <f>IFERROR(__xludf.DUMMYFUNCTION("""COMPUTED_VALUE"""),"WOS:000331127400004")</f>
        <v>WOS:000331127400004</v>
      </c>
      <c r="F1440" s="24" t="str">
        <f>IFERROR(__xludf.DUMMYFUNCTION("""COMPUTED_VALUE"""),"[""ELIGIBLE""]")</f>
        <v>["ELIGIBLE"]</v>
      </c>
    </row>
    <row r="1441">
      <c r="A1441" s="24" t="str">
        <f>IFERROR(__xludf.DUMMYFUNCTION("""COMPUTED_VALUE"""),"Assembly of root-associated microbiomes of typical rice cultivars in response to lindane pollution")</f>
        <v>Assembly of root-associated microbiomes of typical rice cultivars in response to lindane pollution</v>
      </c>
      <c r="B1441" s="24" t="str">
        <f>IFERROR(__xludf.DUMMYFUNCTION("""COMPUTED_VALUE"""),"Organochlorine pesticides have been extensively used for many years to prevent insect diseases of rice (Oryza sativa L.), but little is known about their residual impacts on the underground micro-ecology in anaerobic environment. In this glasshouse study,"&amp;" we characterized the lindane effects on the assembly of root-associated microbiomes of commonly used indica, japonica and hybrid rice cultivars, and their feedback in turn, in modifying lindane anaerobic dissipation during 60 days' rice production. The r"&amp;"esults showed that rice growth inhibited the anaerobic dissipation of lindane, but was not affected apparently by lindane at initial spiked concentration of 4.62 and 18.54 mg kg(-1) soil. Suppressed removal of lindane in rice planted treatments as compare"&amp;"d with that in unplanted control was likely due to inhibited reductive dechlorination induced by a comprehensive effect of radial O-2 secretion of rice root and co-occurring Fe(III) reduction that consumed electron competitively in rice rhizosphere. Howev"&amp;"er, the hybrid cultivar exhibited a less suppression than the conventional cultivars in high polluted soils. Bacteria was more sensitively responded to lindane pollution than fungal taxa, and Actinobacteria, Chloroflexi, Verrucomicrobia and Proteobacteria"&amp;" were the main different phyla between hybrid and conventional cultivars, with a more stable community structure exhibited in the hybrid rice under lindane stress. Our study highlights the assembly and variation of root-associated microbiomes in responses"&amp;" of lindane pollution, and suggests that hybrid rice cultivar might be most competent for cultivation in paddy fields polluted by lindane and other organochlorine pesticides, especially in the area with high residual levels.")</f>
        <v>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v>
      </c>
      <c r="C1441" s="24" t="str">
        <f>IFERROR(__xludf.DUMMYFUNCTION("""COMPUTED_VALUE"""),"10.1016/j.envint.2019.104975")</f>
        <v>10.1016/j.envint.2019.104975</v>
      </c>
      <c r="D1441" s="24" t="str">
        <f>IFERROR(__xludf.DUMMYFUNCTION("""COMPUTED_VALUE"""),"Keck et al")</f>
        <v>Keck et al</v>
      </c>
      <c r="E1441" s="24" t="str">
        <f>IFERROR(__xludf.DUMMYFUNCTION("""COMPUTED_VALUE"""),"WOS:000493550200032")</f>
        <v>WOS:000493550200032</v>
      </c>
      <c r="F1441" s="24" t="str">
        <f>IFERROR(__xludf.DUMMYFUNCTION("""COMPUTED_VALUE"""),"[""ELIGIBLE""]")</f>
        <v>["ELIGIBLE"]</v>
      </c>
    </row>
    <row r="1442">
      <c r="A1442" s="24" t="str">
        <f>IFERROR(__xludf.DUMMYFUNCTION("""COMPUTED_VALUE"""),"Influence of a tributary stream on benthic communities in a Didymosphenia geminata impacted stream in the Sierra Nevada, USA")</f>
        <v>Influence of a tributary stream on benthic communities in a Didymosphenia geminata impacted stream in the Sierra Nevada, USA</v>
      </c>
      <c r="B1442" s="24" t="str">
        <f>IFERROR(__xludf.DUMMYFUNCTION("""COMPUTED_VALUE"""),"The freshwater stalked diatom Didymosphenia geminata can alter benthic community structure. However, the numbers of D. geminata that must be present to do this is not clear. Is it possible that benthic communities in streams with D. geminata are not alter"&amp;"ed? A comparison of benthic communities in two similar, adjacent streams (one with and one without D. geminata) was conducted to identify the effects of D. geminata presence on benthic community structure. An additional comparison was made below the confl"&amp;"uence of the two streams to determine the influence of an unregulated tributary stream on the temporal and spatial patterns of potential impacts of D. geminata on benthic communities. Benthic algal biomass (chlorophyll a and ash-free dry weight) in the D."&amp;" geminata stream (dominated by D. geminata and Achnanthidium spp. throughout study period) was an order of magnitude higher. High D. geminata growth altered the physical environment of the stream benthos resulting in fewer grazing invertebrates and greate"&amp;"r densities of burrowing invertebrates such as Chironomidae and Oligochaeta. Below the confluence, benthic community structure became more similar to the non-D. geminata stream. Results show that extensive growth of D. geminata can alter benthic communiti"&amp;"es, however, an unregulated non-D. geminata tributary stream can assuage impacts and establish benthic community structure resembling the non-D. geminata tributary stream over a relatively short distance. This study provides insight into the extent and me"&amp;"chanisms by which growth of D. geminata affects benthic communities and helps determine the influence of tributary stream on D. geminata growth and patterns in benthic communities.")</f>
        <v>The freshwater stalked diatom Didymosphenia geminata can alter benthic community structure. However, the numbers of D. geminata that must be present to do this is not clear. Is it possible that benthic communities in streams with D. geminata are not altered? A comparison of benthic communities in two similar, adjacent streams (one with and one without D. geminata) was conducted to identify the effects of D. geminata presence on benthic community structure. An additional comparison was made below the confluence of the two streams to determine the influence of an unregulated tributary stream on the temporal and spatial patterns of potential impacts of D. geminata on benthic communities. Benthic algal biomass (chlorophyll a and ash-free dry weight) in the D. geminata stream (dominated by D. geminata and Achnanthidium spp. throughout study period) was an order of magnitude higher. High D. geminata growth altered the physical environment of the stream benthos resulting in fewer grazing invertebrates and greater densities of burrowing invertebrates such as Chironomidae and Oligochaeta. Below the confluence, benthic community structure became more similar to the non-D. geminata stream. Results show that extensive growth of D. geminata can alter benthic communities, however, an unregulated non-D. geminata tributary stream can assuage impacts and establish benthic community structure resembling the non-D. geminata tributary stream over a relatively short distance. This study provides insight into the extent and mechanisms by which growth of D. geminata affects benthic communities and helps determine the influence of tributary stream on D. geminata growth and patterns in benthic communities.</v>
      </c>
      <c r="C1442" s="24" t="str">
        <f>IFERROR(__xludf.DUMMYFUNCTION("""COMPUTED_VALUE"""),"10.1080/0269249X.2014.929029")</f>
        <v>10.1080/0269249X.2014.929029</v>
      </c>
      <c r="D1442" s="24" t="str">
        <f>IFERROR(__xludf.DUMMYFUNCTION("""COMPUTED_VALUE"""),"Keck et al")</f>
        <v>Keck et al</v>
      </c>
      <c r="E1442" s="24" t="str">
        <f>IFERROR(__xludf.DUMMYFUNCTION("""COMPUTED_VALUE"""),"WOS:000339399400004")</f>
        <v>WOS:000339399400004</v>
      </c>
      <c r="F1442" s="24" t="str">
        <f>IFERROR(__xludf.DUMMYFUNCTION("""COMPUTED_VALUE"""),"[""ELIGIBLE""]")</f>
        <v>["ELIGIBLE"]</v>
      </c>
    </row>
    <row r="1443">
      <c r="A1443" s="24" t="str">
        <f>IFERROR(__xludf.DUMMYFUNCTION("""COMPUTED_VALUE"""),"An artificial neural network and Random Forest identify glyphosate-impacted brackish communities based on 16S rRNA amplicon MiSeq read counts")</f>
        <v>An artificial neural network and Random Forest identify glyphosate-impacted brackish communities based on 16S rRNA amplicon MiSeq read counts</v>
      </c>
      <c r="B1443" s="24" t="str">
        <f>IFERROR(__xludf.DUMMYFUNCTION("""COMPUTED_VALUE"""),"Machine learning algorithms can be trained on complex data sets to detect, predict, or model specific aspects. Aim of this study was to train an artificial neural network in comparison to a Random Forest model to detect induced changes in microbial commun"&amp;"ities, in order to support environmental monitoring efforts of contamination events. Models were trained on taxon count tables obtained via next-generation amplicon sequencing of water column samples originating from a lab microcosm incubation experiment "&amp;"conducted over 140 days to determine the effects of glyphosate on succession within brackish-water microbial communities. Glyphosate-treated assemblages were classified correctly; a subsetting approach identified the taxa primarily responsible for this, p"&amp;"ermitting the reduction of input features. This study demonstrates the potential of artificial neural networks to predict indicator species for glyphosate contamination. The results could empower the development of environmental monitoring strategies with"&amp;" applications limited to neither glyphosate nor amplicon sequence data.")</f>
        <v>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v>
      </c>
      <c r="C1443" s="24" t="str">
        <f>IFERROR(__xludf.DUMMYFUNCTION("""COMPUTED_VALUE"""),"10.1016/j.marpolbul.2019.110530")</f>
        <v>10.1016/j.marpolbul.2019.110530</v>
      </c>
      <c r="D1443" s="24" t="str">
        <f>IFERROR(__xludf.DUMMYFUNCTION("""COMPUTED_VALUE"""),"Keck et al")</f>
        <v>Keck et al</v>
      </c>
      <c r="E1443" s="24" t="str">
        <f>IFERROR(__xludf.DUMMYFUNCTION("""COMPUTED_VALUE"""),"WOS:000501387300029")</f>
        <v>WOS:000501387300029</v>
      </c>
      <c r="F1443" s="24" t="str">
        <f>IFERROR(__xludf.DUMMYFUNCTION("""COMPUTED_VALUE"""),"[""ELIGIBLE""]")</f>
        <v>["ELIGIBLE"]</v>
      </c>
    </row>
    <row r="1444">
      <c r="A1444" s="24" t="str">
        <f>IFERROR(__xludf.DUMMYFUNCTION("""COMPUTED_VALUE"""),"Impacts of the 'Pacific Adventurer' Oil Spill on the Macrobenthos of Subtropical Sandy Beaches")</f>
        <v>Impacts of the 'Pacific Adventurer' Oil Spill on the Macrobenthos of Subtropical Sandy Beaches</v>
      </c>
      <c r="B1444" s="24" t="str">
        <f>IFERROR(__xludf.DUMMYFUNCTION("""COMPUTED_VALUE"""),"Biological impacts of oil on sandy shore ecosystems remain incompletely understood, especially following smaller spills on subtropical beaches. Here we quantified changes to benthic assemblages on a sandy beach following the 270-t spill of heavy fuel oil "&amp;"from the Pacific Adventurer that occurred in March 2009 off Moreton Island in Eastern Australia. Assessments of ecological impacts are based on spatial contrasts between multiple reference and impact sites sampled 1 week and 3 months after the spill. Bent"&amp;"hic invertebrate assemblages exposed to oil had significantly fewer individuals of fewer species 1 week after the spill, markedly changing their ecological structure. Biological differences consistent with oil-related mortality were significant on the low"&amp;"er shore and in the swash and remained so 3 months after the spill. This signals a lack of recovery of these communities in the short term, despite the fairly rapid removal of oil. Results show that, despite the relatively small size of the spill, heavy f"&amp;"uel oil contamination can cause substantial impacts on sandy beach ecosystems, and that recovery may be prolonged.")</f>
        <v>Biological impacts of oil on sandy shore ecosystems remain incompletely understood, especially following smaller spills on subtropical beaches. Here we quantified changes to benthic assemblages on a sandy beach following the 270-t spill of heavy fuel oil from the Pacific Adventurer that occurred in March 2009 off Moreton Island in Eastern Australia. Assessments of ecological impacts are based on spatial contrasts between multiple reference and impact sites sampled 1 week and 3 months after the spill. Benthic invertebrate assemblages exposed to oil had significantly fewer individuals of fewer species 1 week after the spill, markedly changing their ecological structure. Biological differences consistent with oil-related mortality were significant on the lower shore and in the swash and remained so 3 months after the spill. This signals a lack of recovery of these communities in the short term, despite the fairly rapid removal of oil. Results show that, despite the relatively small size of the spill, heavy fuel oil contamination can cause substantial impacts on sandy beach ecosystems, and that recovery may be prolonged.</v>
      </c>
      <c r="C1444" s="24" t="str">
        <f>IFERROR(__xludf.DUMMYFUNCTION("""COMPUTED_VALUE"""),"10.1007/s12237-010-9354-6")</f>
        <v>10.1007/s12237-010-9354-6</v>
      </c>
      <c r="D1444" s="24" t="str">
        <f>IFERROR(__xludf.DUMMYFUNCTION("""COMPUTED_VALUE"""),"Keck et al")</f>
        <v>Keck et al</v>
      </c>
      <c r="E1444" s="24" t="str">
        <f>IFERROR(__xludf.DUMMYFUNCTION("""COMPUTED_VALUE"""),"WOS:000293185800005")</f>
        <v>WOS:000293185800005</v>
      </c>
      <c r="F1444" s="24" t="str">
        <f>IFERROR(__xludf.DUMMYFUNCTION("""COMPUTED_VALUE"""),"[""ELIGIBLE""]")</f>
        <v>["ELIGIBLE"]</v>
      </c>
    </row>
    <row r="1445">
      <c r="A1445" s="24" t="str">
        <f>IFERROR(__xludf.DUMMYFUNCTION("""COMPUTED_VALUE"""),"Spatial variability and response to anthropogenic pressures of assemblages dominated by a habitat forming seaweed sensitive to pollution (northern coast of Alboran Sea)")</f>
        <v>Spatial variability and response to anthropogenic pressures of assemblages dominated by a habitat forming seaweed sensitive to pollution (northern coast of Alboran Sea)</v>
      </c>
      <c r="B1445" s="24" t="str">
        <f>IFERROR(__xludf.DUMMYFUNCTION("""COMPUTED_VALUE"""),"The Cystoseira ericaefolia group is conformed by three species: C. tamariscifolia, C. mediterranea and C. amentacea. These species are among the most important habitat forming species of the upper sublittoral rocky shores of the Mediterranean Sea and adja"&amp;"cent Atlantic coast. This species group is sensitive to human pressures and therefore is currently suffering important losses. This study aimed to assess the influence of anthropogenic pressures, oceanographic conditions and local spatial variability in a"&amp;"ssemblages dominated by C. ericaefolia in the Alboran Sea. The results showed the absence of significant effects of anthropogenic pressures or its interactions with environmental conditions in the Cystoseira assemblages. This fact was attributed to the hi"&amp;"gh spatial variability, which is most probably masking the impact of anthropogenic pressures. The results also showed that most of the variability occurred on at local levels. A relevant spatial variability was observed at regional level, suggesting a key"&amp;" role of oceanographic features in these assemblages, (C) 2016 Elsevier Ltd. All rights reserved.")</f>
        <v>The Cystoseira ericaefolia group is conformed by three species: C. tamariscifolia, C. mediterranea and C. amentacea. These species are among the most important habitat forming species of the upper sublittoral rocky shores of the Mediterranean Sea and adjacent Atlantic coast. This species group is sensitive to human pressures and therefore is currently suffering important losses. This study aimed to assess the influence of anthropogenic pressures, oceanographic conditions and local spatial variability in assemblages dominated by C. ericaefolia in the Alboran Sea. The results showed the absence of significant effects of anthropogenic pressures or its interactions with environmental conditions in the Cystoseira assemblages. This fact was attributed to the high spatial variability, which is most probably masking the impact of anthropogenic pressures. The results also showed that most of the variability occurred on at local levels. A relevant spatial variability was observed at regional level, suggesting a key role of oceanographic features in these assemblages, (C) 2016 Elsevier Ltd. All rights reserved.</v>
      </c>
      <c r="C1445" s="24" t="str">
        <f>IFERROR(__xludf.DUMMYFUNCTION("""COMPUTED_VALUE"""),"10.1016/j.marpolbul.2016.02.017")</f>
        <v>10.1016/j.marpolbul.2016.02.017</v>
      </c>
      <c r="D1445" s="24" t="str">
        <f>IFERROR(__xludf.DUMMYFUNCTION("""COMPUTED_VALUE"""),"Keck et al")</f>
        <v>Keck et al</v>
      </c>
      <c r="E1445" s="24" t="str">
        <f>IFERROR(__xludf.DUMMYFUNCTION("""COMPUTED_VALUE"""),"WOS:000375816000043")</f>
        <v>WOS:000375816000043</v>
      </c>
      <c r="F1445" s="24" t="str">
        <f>IFERROR(__xludf.DUMMYFUNCTION("""COMPUTED_VALUE"""),"[""ELIGIBLE""]")</f>
        <v>["ELIGIBLE"]</v>
      </c>
    </row>
    <row r="1446">
      <c r="A1446" s="24" t="str">
        <f>IFERROR(__xludf.DUMMYFUNCTION("""COMPUTED_VALUE"""),"Triphenyltin exposure causes changes in health-associated gut microbiome and metabolites in marine medaka")</f>
        <v>Triphenyltin exposure causes changes in health-associated gut microbiome and metabolites in marine medaka</v>
      </c>
      <c r="B1446" s="24" t="str">
        <f>IFERROR(__xludf.DUMMYFUNCTION("""COMPUTED_VALUE"""),"Triphenyltin (TPT), an organic compound with a wide range of applications, is often detected in water bodies and aquatic animals. However, the mechanism underlying the biological metabolic health problems caused by longterm exposure to environment concent"&amp;"rations of TPT remains unclear. The morphology and gene expression in the gut and liver were investigated; and 16SrRNA gene amplification sequencing and non-targeted LC-MS/MS metabonomics were investigated after marine medaka (Oryzias melastigma) was trea"&amp;"ted with 1, 10, and 100 ng/L TPT for 21 days. During prolonged exposure to TPT, the adaptation mechanism maximized the energy of absorption, increased the length of intestinal microvilli, reduced the number of rough endoplasmic reticulum in the liver, and"&amp;" caused loss of weight. TPT exposure significantly changed the intestinal microbiome of marine medaka, thereby resulting in a significant decrease in microbial diversity. Following exposure to 100 ng/L TPT, the metabolic profiles were significantly change"&amp;"d and the altered metabolites were mainly concentrated in the lipid metabolic pathway. Finally, based on comprehensive network analysis, the association between the significantly changed bacteria and metabolites contributed further to the prediction of th"&amp;"e impact of TPT on the host. This study provides a novel insight into the underlying mechanisms of host metabolic diseases caused by TPT and emphasizes the importance of monitoring pollutants in the environment.")</f>
        <v>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v>
      </c>
      <c r="C1446" s="24" t="str">
        <f>IFERROR(__xludf.DUMMYFUNCTION("""COMPUTED_VALUE"""),"10.1016/j.envpol.2021.117751")</f>
        <v>10.1016/j.envpol.2021.117751</v>
      </c>
      <c r="D1446" s="24" t="str">
        <f>IFERROR(__xludf.DUMMYFUNCTION("""COMPUTED_VALUE"""),"Keck et al")</f>
        <v>Keck et al</v>
      </c>
      <c r="E1446" s="24" t="str">
        <f>IFERROR(__xludf.DUMMYFUNCTION("""COMPUTED_VALUE"""),"WOS:000696782200008")</f>
        <v>WOS:000696782200008</v>
      </c>
      <c r="F1446" s="24" t="str">
        <f>IFERROR(__xludf.DUMMYFUNCTION("""COMPUTED_VALUE"""),"[""ELIGIBLE""]")</f>
        <v>["ELIGIBLE"]</v>
      </c>
    </row>
    <row r="1447">
      <c r="A1447" s="24" t="str">
        <f>IFERROR(__xludf.DUMMYFUNCTION("""COMPUTED_VALUE"""),"Responses of soil ammonia-oxidizing bacteria and archaea to short-term warming and nitrogen input in a semi-arid grassland on the Loess Plateau")</f>
        <v>Responses of soil ammonia-oxidizing bacteria and archaea to short-term warming and nitrogen input in a semi-arid grassland on the Loess Plateau</v>
      </c>
      <c r="B1447" s="24" t="str">
        <f>IFERROR(__xludf.DUMMYFUNCTION("""COMPUTED_VALUE"""),"Ammonia-oxidizing archaea (AOA) and bacteria (AOB) predominantly control ammonia oxidation, the first and rate-limiting step of nitrification, and critically affect plant utilization and the fate of reactive nitrogen (N) input to soil. Both AOA and AOB ar"&amp;"e often sensitive to environmental changes, but their responses to the concurrent climate warming and N input remain poorly understood, particularly in semi-arid grassland ecosystems where nitrification dominates soil N transformations. We examined the in"&amp;"teractive effects of short-term (2-yr) warming and N input (12 g N m(-2) y(-1)) on the abundance and community structure of AOA and AOB in a semi-arid grassland on China's Loess Plateau. Results showed that AOA abundance was significantly higher than AOB "&amp;"in all treatments. N input significantly increased the abundance of AOA and AOB by 32% and 521%, respectively, and induced a significant shift in the AOB community composition. Warming significantly increased the abundance of AOB by 94%, but had no impact"&amp;" on the AOA abundance. Warming (alone or combined with N input) did not significantly affect the community structure of AOA or AOB. These results indicated that AOB was more sensitive to N input and climate warming than AOA in semi-arid Loess grasslands. "&amp;"Our findings suggest that understanding the responses of AOB abundance and composition may be key to predict the N dynamics under future global change scenarios.")</f>
        <v>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v>
      </c>
      <c r="C1447" s="24" t="str">
        <f>IFERROR(__xludf.DUMMYFUNCTION("""COMPUTED_VALUE"""),"10.1016/j.ejsobi.2020.103267")</f>
        <v>10.1016/j.ejsobi.2020.103267</v>
      </c>
      <c r="D1447" s="24" t="str">
        <f>IFERROR(__xludf.DUMMYFUNCTION("""COMPUTED_VALUE"""),"Keck et al")</f>
        <v>Keck et al</v>
      </c>
      <c r="E1447" s="24" t="str">
        <f>IFERROR(__xludf.DUMMYFUNCTION("""COMPUTED_VALUE"""),"WOS:000612696400001")</f>
        <v>WOS:000612696400001</v>
      </c>
      <c r="F1447" s="24" t="str">
        <f>IFERROR(__xludf.DUMMYFUNCTION("""COMPUTED_VALUE"""),"[""ELIGIBLE""]")</f>
        <v>["ELIGIBLE"]</v>
      </c>
    </row>
    <row r="1448">
      <c r="A1448" s="24" t="str">
        <f>IFERROR(__xludf.DUMMYFUNCTION("""COMPUTED_VALUE"""),"Taxonomic and functional trait variation along a gradient of ammonium contamination in the hyporheic zone of a Mediterranean stream")</f>
        <v>Taxonomic and functional trait variation along a gradient of ammonium contamination in the hyporheic zone of a Mediterranean stream</v>
      </c>
      <c r="B1448" s="24" t="str">
        <f>IFERROR(__xludf.DUMMYFUNCTION("""COMPUTED_VALUE"""),"Ammonium has detrimental effects on the survival and physiology of freshwater invertebrates, however, the effects of ammonium on the functionality of hyporheic invertebrate assemblages have never been investigated. In this study, we applied a mixed (taxon"&amp;"omy- and trait-based) approach to explore the taxonomic and functional trait variation along a gradient of ammonium contamination in the hyporheic zone of a Mediterranean stream. We analysed fifty-one trait modalities of thirty-eight invertebrate taxa. We"&amp;" tested a priori hypotheses on the functional traits that should be affected. We observed a severe erosion of taxonomic and functional diversity with the loss of 12 taxa and 11 trait modalities related to size and body form, fecundity and reproduction, re"&amp;"sistance forms and respiration, diet, locomotion and feeding habits. The effect on taxonomic and trait modality abundances was also relevant; in particular, the decrease in detritivores seemed to have led to a low content in dissolved organic matter. Syne"&amp;"rgic detrimental effects of ammonium and the summer season were also observed. Despite some uncertainties, we found out that the mixed approach responded consistently along a gradient of ammonium contamination. Since functional traits link community organ"&amp;"ization to ecosystem goods and services, the results of our study could be prodromal to the inclusion of ammonium as indicator of functional stress in a health index of hyporheic zones in Mediterranean rivers.")</f>
        <v>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v>
      </c>
      <c r="C1448" s="24" t="str">
        <f>IFERROR(__xludf.DUMMYFUNCTION("""COMPUTED_VALUE"""),"10.1016/j.ecolind.2021.108268")</f>
        <v>10.1016/j.ecolind.2021.108268</v>
      </c>
      <c r="D1448" s="24" t="str">
        <f>IFERROR(__xludf.DUMMYFUNCTION("""COMPUTED_VALUE"""),"Keck et al")</f>
        <v>Keck et al</v>
      </c>
      <c r="E1448" s="24" t="str">
        <f>IFERROR(__xludf.DUMMYFUNCTION("""COMPUTED_VALUE"""),"WOS:000710702000001")</f>
        <v>WOS:000710702000001</v>
      </c>
      <c r="F1448" s="24" t="str">
        <f>IFERROR(__xludf.DUMMYFUNCTION("""COMPUTED_VALUE"""),"[""ELIGIBLE""]")</f>
        <v>["ELIGIBLE"]</v>
      </c>
    </row>
    <row r="1449">
      <c r="A1449" s="24" t="str">
        <f>IFERROR(__xludf.DUMMYFUNCTION("""COMPUTED_VALUE"""),"FORESTCHECK: the response of epigeous macrofungi to silviculture in jarrah (Eucalyptus marginata) forest")</f>
        <v>FORESTCHECK: the response of epigeous macrofungi to silviculture in jarrah (Eucalyptus marginata) forest</v>
      </c>
      <c r="B1449" s="24" t="str">
        <f>IFERROR(__xludf.DUMMYFUNCTION("""COMPUTED_VALUE"""),"Species richness, abundance and composition of epigeous macrofungi were monitored at 48 grids across four jarrah (Eucalyptus marginata) forest ecosystems in south-west Western Australia as part of an integrated monitoring project to examine responses to d"&amp;"ifferent timber harvesting and regeneration treatments. Forest that had never been harvested or had not been harvested for over 40 years was used as a reference, and compared to forest that had undergone shelterwood/selective cutting and gap release treat"&amp;"ment after 1988. Silvicultural treatment also included post-harvest burning. All epigeous species of macrofungi and their abundance were recorded from autumn surveys at each grid. A total of 450 species were recorded. Overall mean species richness and abu"&amp;"ndance was similar but the composition of species assemblages contributing to macrofungal communities differed significantly between silvicultural treatments and reference forest. Sixty-nine species were restricted to reference forest while 35 were restri"&amp;"cted to shelterwood/selective cut and 62 to gap release treatment. In all treatments, the overall mean number of species per grid recorded fruiting on soil was 2-4 times higher than that recorded on litter or wood. Species richness of sporophores recorded"&amp;" on both soil and litter was similar for all treatments, but was significantly lower on wood in reference forest compared to the gap release treatment. Mean sporophore abundance was significantly higher on litter and lower on wood in reference forest comp"&amp;"ared with silviculturally treated forest. Because fire is an integral part of jarrah forest silviculture, it was not possible to separate the singular effect that either tree removal or fire had on macrofungal communities. However, in different time-since"&amp;"-treatment classes the overall composition of species assemblages was different, but species richness and abundance for each silvicultural treatment were similar. Each forest ecosystem supported its own unique fungal community, which supports the concept "&amp;"of ecosystems in jarrah forest based on forest structure and understory vegetation resulting from variation in climate, soils and landforms. Current conservation policy and silviculture practice in jarrah forest produces a landscape mosaic containing earl"&amp;"y succession stands through to mature forest across the landscape, which is important for the maintenance of fungal biodiversity. Much of the fungal population in jarrah forest, however, remains unknown and only a long-term commitment to survey and monito"&amp;"ring will improve knowledge on the diversity and ecology of these important organisms and ensure their consideration in future management decisions.")</f>
        <v>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v>
      </c>
      <c r="C1449" s="24" t="str">
        <f>IFERROR(__xludf.DUMMYFUNCTION("""COMPUTED_VALUE"""),"10.1080/00049158.2011.10676373")</f>
        <v>10.1080/00049158.2011.10676373</v>
      </c>
      <c r="D1449" s="24" t="str">
        <f>IFERROR(__xludf.DUMMYFUNCTION("""COMPUTED_VALUE"""),"Keck et al")</f>
        <v>Keck et al</v>
      </c>
      <c r="E1449" s="24" t="str">
        <f>IFERROR(__xludf.DUMMYFUNCTION("""COMPUTED_VALUE"""),"WOS:000297980400006")</f>
        <v>WOS:000297980400006</v>
      </c>
      <c r="F1449" s="24" t="str">
        <f>IFERROR(__xludf.DUMMYFUNCTION("""COMPUTED_VALUE"""),"[""ELIGIBLE""]")</f>
        <v>["ELIGIBLE"]</v>
      </c>
    </row>
    <row r="1450">
      <c r="A1450" s="24" t="str">
        <f>IFERROR(__xludf.DUMMYFUNCTION("""COMPUTED_VALUE"""),"Long-term effect of sheep and goat grazing on plant diversity in a semi-natural dry grassland habitat")</f>
        <v>Long-term effect of sheep and goat grazing on plant diversity in a semi-natural dry grassland habitat</v>
      </c>
      <c r="B1450" s="24" t="str">
        <f>IFERROR(__xludf.DUMMYFUNCTION("""COMPUTED_VALUE"""),"Semi-natural dry grassland sites are of great importance for nature conservation because they support high species diversity and the abundance of Red-List species. Grazing has proved to be a successful management tool in terms of maintenance and restorati"&amp;"on of biodiversity. For a deeper understanding of the effects of different grazers on species biodiversity in dry grasslands, it is necessary to study the long-term effects of major changes in grazing management. In a semi-natural dry grassland habitat, w"&amp;"hich was formerly grazed by cattle, we investigated the changes in plant species composition due to long term grazing by sheep and goats. Specifically we asked: a) How does long-term grazing by sheep and goats change the composition of all plant species a"&amp;"nd particularly those that are on the Red-List? Are changes caused mainly by species turnover? b) How does long-term grazing by sheep and goats influence the fertility and acidity of the soil? To address these questions, we compared the composition and di"&amp;"versity of plants as well deriving Ellenberg indicator values of the species. Long-term grazing by sheep and goats subsequent to a year-round cattle grazing changed the plant species composition of the dry grasslands resulting in a high species turnover r"&amp;"ate. It did not, however, lead to an increase in plant species diversity even though Red-List species were considerably more abundant in 2013. Overall, the grazing regime studied positively influenced vegetation composition. The effects on local species c"&amp;"omposition due to species turnover might further be influenced by local factors like soil nitrogen availability.")</f>
        <v>Semi-natural dry grassland sites are of great importance for nature conservation because they support high species diversity and the abundance of Red-List species. Grazing has proved to be a successful management tool in terms of maintenance and restoration of biodiversity. For a deeper understanding of the effects of different grazers on species biodiversity in dry grasslands, it is necessary to study the long-term effects of major changes in grazing management. In a semi-natural dry grassland habitat, which was formerly grazed by cattle, we investigated the changes in plant species composition due to long term grazing by sheep and goats. Specifically we asked: a) How does long-term grazing by sheep and goats change the composition of all plant species and particularly those that are on the Red-List? Are changes caused mainly by species turnover? b) How does long-term grazing by sheep and goats influence the fertility and acidity of the soil? To address these questions, we compared the composition and diversity of plants as well deriving Ellenberg indicator values of the species. Long-term grazing by sheep and goats subsequent to a year-round cattle grazing changed the plant species composition of the dry grasslands resulting in a high species turnover rate. It did not, however, lead to an increase in plant species diversity even though Red-List species were considerably more abundant in 2013. Overall, the grazing regime studied positively influenced vegetation composition. The effects on local species composition due to species turnover might further be influenced by local factors like soil nitrogen availability.</v>
      </c>
      <c r="C1450" s="24" t="str">
        <f>IFERROR(__xludf.DUMMYFUNCTION("""COMPUTED_VALUE"""),"10.1016/j.heliyon.2018.e00556")</f>
        <v>10.1016/j.heliyon.2018.e00556</v>
      </c>
      <c r="D1450" s="24" t="str">
        <f>IFERROR(__xludf.DUMMYFUNCTION("""COMPUTED_VALUE"""),"Keck et al")</f>
        <v>Keck et al</v>
      </c>
      <c r="E1450" s="24" t="str">
        <f>IFERROR(__xludf.DUMMYFUNCTION("""COMPUTED_VALUE"""),"WOS:000432033900031")</f>
        <v>WOS:000432033900031</v>
      </c>
      <c r="F1450" s="24" t="str">
        <f>IFERROR(__xludf.DUMMYFUNCTION("""COMPUTED_VALUE"""),"[""ELIGIBLE""]")</f>
        <v>["ELIGIBLE"]</v>
      </c>
    </row>
    <row r="1451">
      <c r="A1451" s="24" t="str">
        <f>IFERROR(__xludf.DUMMYFUNCTION("""COMPUTED_VALUE"""),"High-throughput absolute quantification sequencing reveals the effect of different fertilizer applications on bacterial community in a tomato cultivated coastal saline soil")</f>
        <v>High-throughput absolute quantification sequencing reveals the effect of different fertilizer applications on bacterial community in a tomato cultivated coastal saline soil</v>
      </c>
      <c r="B1451" s="24" t="str">
        <f>IFERROR(__xludf.DUMMYFUNCTION("""COMPUTED_VALUE"""),"Coastal saline soil is an important reserve land resource that has high potential for agricultural utilization. The present study adopted a high-throughput absolute quantification 16S rRNA sequencing method to investigate the effect of four different fert"&amp;"ilization regimes (namely 100% of bio-organic fertilizer, 70% of bio-organic fertilizer +30% of chemical fertilizer, 30% of bio-organic fertilizer +70% of chemical fertilizer, and 100% of chemical fertilizer) on bacterial community assembly in a tomato cu"&amp;"ltivated saline soil. The results from the field experiment showed that a combination of 70% bio-organic fertilizer plus 30% of chemical fertilizer was the optimal dose to develop tomato cultivation (for improving yield and fruit quality) in this coastal "&amp;"tidal zone. The pot experiment gave the similar results on tomato growth and indicated the application of 70% bio-organic fertilizer plus 30% of chemical fertilizer as the best treatment to active the soil microbiome. The input of nutrients by fertilizers"&amp;" increased the total abundance of bacteria (to &gt;3 fold compared to the initial soil) and simultaneously led to a significant loss of bacterial diversity in soil. The predominant phyla including Proteobacteria, Bacteroidetes and Firmicutes were the main co"&amp;"ntributors in the microbiome shift especially shown by their remarkable enrichment in the soil that treated by 70% of bio-organic fertilizer and those by the 100% chemical fertilizer. The RDA and Pearson correlation analyses indicated that the soil nutrie"&amp;"nt availability, especially available P and K, and soil salinity were the key environmental factors that shaped the bacterial community in this ecosystem, though the organic matter content and soil pH also played important roles in microbiome assembly. (C"&amp;") 2019 Elsevier B.V. All rights reserved.")</f>
        <v>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v>
      </c>
      <c r="C1451" s="24" t="str">
        <f>IFERROR(__xludf.DUMMYFUNCTION("""COMPUTED_VALUE"""),"10.1016/j.scitotenv.2019.06.105")</f>
        <v>10.1016/j.scitotenv.2019.06.105</v>
      </c>
      <c r="D1451" s="24" t="str">
        <f>IFERROR(__xludf.DUMMYFUNCTION("""COMPUTED_VALUE"""),"Keck et al")</f>
        <v>Keck et al</v>
      </c>
      <c r="E1451" s="24" t="str">
        <f>IFERROR(__xludf.DUMMYFUNCTION("""COMPUTED_VALUE"""),"WOS:000480316300062")</f>
        <v>WOS:000480316300062</v>
      </c>
      <c r="F1451" s="24" t="str">
        <f>IFERROR(__xludf.DUMMYFUNCTION("""COMPUTED_VALUE"""),"[""ELIGIBLE""]")</f>
        <v>["ELIGIBLE"]</v>
      </c>
    </row>
    <row r="1452">
      <c r="A1452" s="24" t="str">
        <f>IFERROR(__xludf.DUMMYFUNCTION("""COMPUTED_VALUE"""),"Dense regeneration of floodplain Eucalyptus coolabah: invasive scrub or passive restoration of an endangered woodland community?")</f>
        <v>Dense regeneration of floodplain Eucalyptus coolabah: invasive scrub or passive restoration of an endangered woodland community?</v>
      </c>
      <c r="B1452" s="24" t="str">
        <f>IFERROR(__xludf.DUMMYFUNCTION("""COMPUTED_VALUE"""),"Clearing of native vegetation and changes to disturbance regimes have resulted in dense regeneration of native trees and shrubs in parts of Australia. The conversion of open vegetation to dense woodlands may result in changes to the composition of plant c"&amp;"ommunities and ecosystem function if structure, composition and function are tightly linked. Widespread clearing of the floodplain tree Eucalyptus coolabah subsp. coolabah (coolibah), in New South Wales, Australia, has led to state and federal listings of"&amp;" coolibah woodland as an endangered ecological community. Dense regeneration of coolibah in the mid 1970s, however, also resulted in its listing as an 'invasive native species' in NSW, meaning it can be legally cleared under certain conditions. Dense rege"&amp;"neration could be a novel state dissimilar to the threatened community or it could represent the next generation of coolibah woodlands and may contribute to passive restoration of heavily cleared landscapes. This study investigated if dense stands are dis"&amp;"tinct from remnant woodland by comparing floristic composition of the ground-storey community and top-soil properties of four coolibah vegetation states: derived grassland, derived degraded grassland, dense regeneration and remnant woodland. Ground-storey"&amp;" composition was found to overlap broadly among states regardless of tree density. Most species were common to all states, although dense regeneration contained characteristic woodland species that were absent from grasslands. The carbon : nitrogen ratio "&amp;"of the soil was significantly higher in dense regeneration and remnant woodland than in either of the grassland states, indicating that the woody states are broadly similar in terms of nutrient cycling. The study demonstrates that structurally different v"&amp;"egetation states (grasslands, woodlands and dense regeneration) are not associated with distinct plant communities. The results also suggest that grazing management has a more pronounced effect on ground-storey composition of plant communities than tree d"&amp;"ensity and that well managed derived grasslands and dense regeneration are floristically similar to remnant woodlands. Since dense regeneration and remnant woodlands are not floristically distinct from one another, dense regeneration could contribute to t"&amp;"he conservation of endangered coolibah woodlands in cleared agricultural landscapes.")</f>
        <v>Clearing of native vegetation and changes to disturbance regimes have resulted in dense regeneration of native trees and shrubs in parts of Australia. The conversion of open vegetation to dense woodlands may result in changes to the composition of plant communities and ecosystem function if structure, composition and function are tightly linked. Widespread clearing of the floodplain tree Eucalyptus coolabah subsp. coolabah (coolibah), in New South Wales, Australia, has led to state and federal listings of coolibah woodland as an endangered ecological community. Dense regeneration of coolibah in the mid 1970s, however, also resulted in its listing as an 'invasive native species' in NSW, meaning it can be legally cleared under certain conditions. Dense regeneration could be a novel state dissimilar to the threatened community or it could represent the next generation of coolibah woodlands and may contribute to passive restoration of heavily cleared landscapes. This study investigated if dense stands are distinct from remnant woodland by comparing floristic composition of the ground-storey community and top-soil properties of four coolibah vegetation states: derived grassland, derived degraded grassland, dense regeneration and remnant woodland. Ground-storey composition was found to overlap broadly among states regardless of tree density. Most species were common to all states, although dense regeneration contained characteristic woodland species that were absent from grasslands. The carbon : nitrogen ratio of the soil was significantly higher in dense regeneration and remnant woodland than in either of the grassland states, indicating that the woody states are broadly similar in terms of nutrient cycling. The study demonstrates that structurally different vegetation states (grasslands, woodlands and dense regeneration) are not associated with distinct plant communities. The results also suggest that grazing management has a more pronounced effect on ground-storey composition of plant communities than tree density and that well managed derived grasslands and dense regeneration are floristically similar to remnant woodlands. Since dense regeneration and remnant woodlands are not floristically distinct from one another, dense regeneration could contribute to the conservation of endangered coolibah woodlands in cleared agricultural landscapes.</v>
      </c>
      <c r="C1452" s="24" t="str">
        <f>IFERROR(__xludf.DUMMYFUNCTION("""COMPUTED_VALUE"""),"10.1071/RJ12008")</f>
        <v>10.1071/RJ12008</v>
      </c>
      <c r="D1452" s="24" t="str">
        <f>IFERROR(__xludf.DUMMYFUNCTION("""COMPUTED_VALUE"""),"Keck et al")</f>
        <v>Keck et al</v>
      </c>
      <c r="E1452" s="24" t="str">
        <f>IFERROR(__xludf.DUMMYFUNCTION("""COMPUTED_VALUE"""),"WOS:000304769700010")</f>
        <v>WOS:000304769700010</v>
      </c>
      <c r="F1452" s="24" t="str">
        <f>IFERROR(__xludf.DUMMYFUNCTION("""COMPUTED_VALUE"""),"[""ELIGIBLE""]")</f>
        <v>["ELIGIBLE"]</v>
      </c>
    </row>
    <row r="1453">
      <c r="A1453" s="24" t="str">
        <f>IFERROR(__xludf.DUMMYFUNCTION("""COMPUTED_VALUE"""),"Biotic heterogeneity among scarab beetle communities in an anthropized landscape in the Central Valleys of Oaxaca, Mexico")</f>
        <v>Biotic heterogeneity among scarab beetle communities in an anthropized landscape in the Central Valleys of Oaxaca, Mexico</v>
      </c>
      <c r="B1453" s="24" t="str">
        <f>IFERROR(__xludf.DUMMYFUNCTION("""COMPUTED_VALUE"""),"In the tropics, changes in land use are a major concern given that the transformation of natural ecosystems to degraded environments for human use occurs rapidly and is associated with deforestation, fragmentation, isolation, among other impacts. Scarab b"&amp;"eetles are well represented in tropical and warm temperate ecosystems due to their high diversity, numerous ecological functions, sensitivity to habitat disturbances, and responses to anthropized areas, so they are considered as a model group to study the"&amp;" consequences of environmental disturbance in tropical regions. We present an analysis of the scarab beetle diversity in an anthropized landscape with five different land uses in the Central Valleys of the state of Oaxaca, Mexico, with an emphasis on the "&amp;"dissimilarity in species composition. The organisms were collected with dung-, carrion- and fruit-baited traps during five sampling periods. We identified 2766 individuals belonging to 40 species, the majority being coprophagous or copro-necrophagous. The"&amp;" most abundant species was Phanaeus nimrod, with 624 individuals, although the most abundant species changed according to land uses. Beta diversity was high (80% on average), and between four sites dissimilarity was 100%. Species replacement was more impo"&amp;"rtant than differences in richness for the total beta diversity calculated with incidence data; and balanced variation in abundance was more important than the abundance gradient in the case of analyses with abundances. The landscape presented high scarab"&amp;" beetle diversity, mainly due to a high species replacement and the balanced variation in abundance, indicating that a high biotic heterogeneity has been maintained, or even enhanced following landscape modification.")</f>
        <v>In the tropics, changes in land use are a major concern given that the transformation of natural ecosystems to degraded environments for human use occurs rapidly and is associated with deforestation, fragmentation, isolation, among other impacts. Scarab beetles are well represented in tropical and warm temperate ecosystems due to their high diversity, numerous ecological functions, sensitivity to habitat disturbances, and responses to anthropized areas, so they are considered as a model group to study the consequences of environmental disturbance in tropical regions. We present an analysis of the scarab beetle diversity in an anthropized landscape with five different land uses in the Central Valleys of the state of Oaxaca, Mexico, with an emphasis on the dissimilarity in species composition. The organisms were collected with dung-, carrion- and fruit-baited traps during five sampling periods. We identified 2766 individuals belonging to 40 species, the majority being coprophagous or copro-necrophagous. The most abundant species was Phanaeus nimrod, with 624 individuals, although the most abundant species changed according to land uses. Beta diversity was high (80% on average), and between four sites dissimilarity was 100%. Species replacement was more important than differences in richness for the total beta diversity calculated with incidence data; and balanced variation in abundance was more important than the abundance gradient in the case of analyses with abundances. The landscape presented high scarab beetle diversity, mainly due to a high species replacement and the balanced variation in abundance, indicating that a high biotic heterogeneity has been maintained, or even enhanced following landscape modification.</v>
      </c>
      <c r="C1453" s="24" t="str">
        <f>IFERROR(__xludf.DUMMYFUNCTION("""COMPUTED_VALUE"""),"10.1007/s10841-019-00169-3")</f>
        <v>10.1007/s10841-019-00169-3</v>
      </c>
      <c r="D1453" s="24" t="str">
        <f>IFERROR(__xludf.DUMMYFUNCTION("""COMPUTED_VALUE"""),"Keck et al")</f>
        <v>Keck et al</v>
      </c>
      <c r="E1453" s="24" t="str">
        <f>IFERROR(__xludf.DUMMYFUNCTION("""COMPUTED_VALUE"""),"WOS:000479056100010")</f>
        <v>WOS:000479056100010</v>
      </c>
      <c r="F1453" s="24" t="str">
        <f>IFERROR(__xludf.DUMMYFUNCTION("""COMPUTED_VALUE"""),"[""ELIGIBLE""]")</f>
        <v>["ELIGIBLE"]</v>
      </c>
    </row>
    <row r="1454">
      <c r="A1454" s="24" t="str">
        <f>IFERROR(__xludf.DUMMYFUNCTION("""COMPUTED_VALUE"""),"Effects of marine cage aquaculture on macrofauna assemblages associated with Posidonia oceanica meadows")</f>
        <v>Effects of marine cage aquaculture on macrofauna assemblages associated with Posidonia oceanica meadows</v>
      </c>
      <c r="B1454" s="24" t="str">
        <f>IFERROR(__xludf.DUMMYFUNCTION("""COMPUTED_VALUE"""),"Marine cage aquaculture has the potential to severely impact Posidonia oceanica seagrass meadows and its associated fauna. In order to assess the impact of fish farming in a littoral bay of Corsica, France, physico-chemical (mud and organic matter) and bi"&amp;"ological (density and compactness of P. oceanica beds and associated macrofauna) variables have been examined in two stations putatively impacted to different degrees (St1 and St2) and in two unimpacted stations (Controls: C1 and C2). Principal Component "&amp;"Analysis of meadow structural variables (shoot density and compactness of matte) and abiotic variables (mud and organic matter percentage into sediment) highlighted differences among stations and, particularly, differences between impacted stations and co"&amp;"ntrols. Results from C1 and C2 totally overlapped. St1 was the station which differed the most from controls. Compared with control stations, St1 and St2 were characterized by higher values of organic matter and mud and by lower values of shoot density an"&amp;"d matte compactness. Permutational multivariate analysis of variance (PERMANOVA) did not show significant differences between C1 and C2 in the structure of macrofauna assemblages, whereas significant differences between the two impacted sites and between "&amp;"these and the control conditions emerged. Differences in assemblages were well correlated with the measured abiotic variables. The analysis showed that the species most responsible for difference among stations were typical of muddy sediment with high org"&amp;"anic matter content. These species had higher mean abundance values at impacted stations than at controls. This study suggests fish farming determines an increase of organic matter and sedimentation, which resolve in changes in structural properties of th"&amp;"e seagrass meadows and, consequently, changes in the associated macrofauna assemblages.")</f>
        <v>Marine cage aquaculture has the potential to severely impact Posidonia oceanica seagrass meadows and its associated fauna. In order to assess the impact of fish farming in a littoral bay of Corsica, France, physico-chemical (mud and organic matter) and biological (density and compactness of P. oceanica beds and associated macrofauna) variables have been examined in two stations putatively impacted to different degrees (St1 and St2) and in two unimpacted stations (Controls: C1 and C2). Principal Component Analysis of meadow structural variables (shoot density and compactness of matte) and abiotic variables (mud and organic matter percentage into sediment) highlighted differences among stations and, particularly, differences between impacted stations and controls. Results from C1 and C2 totally overlapped. St1 was the station which differed the most from controls. Compared with control stations, St1 and St2 were characterized by higher values of organic matter and mud and by lower values of shoot density and matte compactness. Permutational multivariate analysis of variance (PERMANOVA) did not show significant differences between C1 and C2 in the structure of macrofauna assemblages, whereas significant differences between the two impacted sites and between these and the control conditions emerged. Differences in assemblages were well correlated with the measured abiotic variables. The analysis showed that the species most responsible for difference among stations were typical of muddy sediment with high organic matter content. These species had higher mean abundance values at impacted stations than at controls. This study suggests fish farming determines an increase of organic matter and sedimentation, which resolve in changes in structural properties of the seagrass meadows and, consequently, changes in the associated macrofauna assemblages.</v>
      </c>
      <c r="C1454" s="24" t="str">
        <f>IFERROR(__xludf.DUMMYFUNCTION("""COMPUTED_VALUE"""),"10.1080/11250000903464075")</f>
        <v>10.1080/11250000903464075</v>
      </c>
      <c r="D1454" s="24" t="str">
        <f>IFERROR(__xludf.DUMMYFUNCTION("""COMPUTED_VALUE"""),"Keck et al")</f>
        <v>Keck et al</v>
      </c>
      <c r="E1454" s="24" t="str">
        <f>IFERROR(__xludf.DUMMYFUNCTION("""COMPUTED_VALUE"""),"WOS:000281363500015")</f>
        <v>WOS:000281363500015</v>
      </c>
      <c r="F1454" s="24" t="str">
        <f>IFERROR(__xludf.DUMMYFUNCTION("""COMPUTED_VALUE"""),"[""ELIGIBLE""]")</f>
        <v>["ELIGIBLE"]</v>
      </c>
    </row>
    <row r="1455">
      <c r="A1455" s="24" t="str">
        <f>IFERROR(__xludf.DUMMYFUNCTION("""COMPUTED_VALUE"""),"Concentration-dependent responses of soil bacterial, fungal and nitrifying communities to silver nano and micron particles")</f>
        <v>Concentration-dependent responses of soil bacterial, fungal and nitrifying communities to silver nano and micron particles</v>
      </c>
      <c r="B1455" s="24" t="str">
        <f>IFERROR(__xludf.DUMMYFUNCTION("""COMPUTED_VALUE"""),"The growing use of silver nanoparticles (AgNPs) is likely to result in increased environmental contamination. Although AgNPs have been reported to affect microbial communities in a range of ecosystems, there is still a lack of information concerning the e"&amp;"ffect of low concentrations of AgNPs on soil microbial community structures and functional groups involved in biogeochemical cycling. In this study, the concentration-dependent effects of AgNPs and silver micron particles (AgMPs) on bacterial and fungal c"&amp;"ommunity structures in an agricultural pastureland soil were examined in a microcosm-based experiment using enzyme analysis, molecular fmgerprinting, qPCR and amplicon sequencing. Soil enzyme processes were impacted by Ag contamination, with soil dehydrog"&amp;"enase activity reduced by 1 mg kg(-1) of AgNPs and AgMPs. Soil urease activity was less susceptible, but was inhibited by &gt;= 10 mg kg(-1) AgNPs. The significant (P &lt;= 0.001) decrease in copy numbers of the amoA gene by 10 mg kg(-1) AgNPs indicated that ar"&amp;"chaca ammonia oxidisers may be more sensitive to AgNP contamination than bacteria. Amplicon sequencing revealed the bacterial phyla Acidobacteria and Verrucomicrobia to be highly sensitive to AgNP contamination. A broad reduction in the relative abundance"&amp;" of Acidobacterial genera was observed, with the exception of the genus Geothrix which increased in response to AgNP and AgMP amendment. Broad tolerance to Ag was observed among the Bacteriodetes, with higher relative abundance of most genera observed in "&amp;"the presence of AgNPs and AgMPs. The proteobacterial genus Dyella was highly tolerant to AgNPs and AgMPs and relative abundance of this genus increased with Ag concentration. Soil fungal community structure responded to both AgNPs and AgMPs, but the nanop"&amp;"article had an impact at a lower concentration. This study demonstrates that pastureland soil microbial communities are highly sensitive to AgNP amendment and key functional processes may be disrupted by relatively low levels of contamination.")</f>
        <v>The growing use of silver nanoparticles (AgNPs) is likely to result in increased environmental contamination. Although AgNPs have been reported to affect microbial communities in a range of ecosystems, there is still a lack of information concerning the effect of low concentrations of AgNPs on soil microbial community structures and functional groups involved in biogeochemical cycling. In this study, the concentration-dependent effects of AgNPs and silver micron particles (AgMPs) on bacterial and fungal community structures in an agricultural pastureland soil were examined in a microcosm-based experiment using enzyme analysis, molecular fmgerprinting, qPCR and amplicon sequencing. Soil enzyme processes were impacted by Ag contamination, with soil dehydrogenase activity reduced by 1 mg kg(-1) of AgNPs and AgMPs. Soil urease activity was less susceptible, but was inhibited by &gt;= 10 mg kg(-1) AgNPs. The significant (P &lt;= 0.001) decrease in copy numbers of the amoA gene by 10 mg kg(-1) AgNPs indicated that archaca ammonia oxidisers may be more sensitive to AgNP contamination than bacteria. Amplicon sequencing revealed the bacterial phyla Acidobacteria and Verrucomicrobia to be highly sensitive to AgNP contamination. A broad reduction in the relative abundance of Acidobacterial genera was observed, with the exception of the genus Geothrix which increased in response to AgNP and AgMP amendment. Broad tolerance to Ag was observed among the Bacteriodetes, with higher relative abundance of most genera observed in the presence of AgNPs and AgMPs. The proteobacterial genus Dyella was highly tolerant to AgNPs and AgMPs and relative abundance of this genus increased with Ag concentration. Soil fungal community structure responded to both AgNPs and AgMPs, but the nanoparticle had an impact at a lower concentration. This study demonstrates that pastureland soil microbial communities are highly sensitive to AgNP amendment and key functional processes may be disrupted by relatively low levels of contamination.</v>
      </c>
      <c r="C1455" s="24" t="str">
        <f>IFERROR(__xludf.DUMMYFUNCTION("""COMPUTED_VALUE"""),"10.1007/s11356-018-2087-y")</f>
        <v>10.1007/s11356-018-2087-y</v>
      </c>
      <c r="D1455" s="24" t="str">
        <f>IFERROR(__xludf.DUMMYFUNCTION("""COMPUTED_VALUE"""),"Keck et al")</f>
        <v>Keck et al</v>
      </c>
      <c r="E1455" s="24" t="str">
        <f>IFERROR(__xludf.DUMMYFUNCTION("""COMPUTED_VALUE"""),"WOS:000437264700045")</f>
        <v>WOS:000437264700045</v>
      </c>
      <c r="F1455" s="24" t="str">
        <f>IFERROR(__xludf.DUMMYFUNCTION("""COMPUTED_VALUE"""),"[""ELIGIBLE""]")</f>
        <v>["ELIGIBLE"]</v>
      </c>
    </row>
    <row r="1456">
      <c r="A1456" s="24" t="str">
        <f>IFERROR(__xludf.DUMMYFUNCTION("""COMPUTED_VALUE"""),"Management strategies to increase stand structural diversity and enhance biodiversity in coastal rainforests of Alaska")</f>
        <v>Management strategies to increase stand structural diversity and enhance biodiversity in coastal rainforests of Alaska</v>
      </c>
      <c r="B1456" s="24" t="str">
        <f>IFERROR(__xludf.DUMMYFUNCTION("""COMPUTED_VALUE"""),"Coastal rainforests of southeast Alaska have relatively simple species composition but complex structures with high diversity of tree ages, sizes and forest canopy layers, and an abundant understory plant community. Wildlife and fisheries resources also p"&amp;"lay an important role in the ecological functioning of forest and aquatic systems. Clearcutting has greatly altered these forest ecosystems with significant decreases in structural diversity of forest stands and greatly reduced wildlife habitat. This pape"&amp;"r synthesizes information on management options in older forests that have never been actively managed, and in younger forests to increase diversity of stand structures and their associated effects on biodiversity. Light to moderate levels of partial cutt"&amp;"ing in old-growth forests can maintain the original diversity of overstory stand structures and understory plant communities. In younger forests that develop after clearcutting, mixed alder-conifer stands provide more heterogeneous structures and signific"&amp;"antly higher understory biomass than in pure conifer forests. Research has shown that red alder increases diversity and abundance of understory plants, and provides forage for deer and small mammals. Results also show a clear linkage between alder and imp"&amp;"roved invertebrate diversity in aquatic systems. A combination of light partial cutting in older forests along with inclusion of red alder in conifer-dominated forests could provide the greatest amount of diversity and maintain the complex stand structure"&amp;"s that are an important component of these forest ecosystems. (C) 2007 Elsevier Ltd. All rights reserved.")</f>
        <v>Coastal rainforests of southeast Alaska have relatively simple species composition but complex structures with high diversity of tree ages, sizes and forest canopy layers, and an abundant understory plant community. Wildlife and fisheries resources also play an important role in the ecological functioning of forest and aquatic systems. Clearcutting has greatly altered these forest ecosystems with significant decreases in structural diversity of forest stands and greatly reduced wildlife habitat. This paper synthesizes information on management options in older forests that have never been actively managed, and in younger forests to increase diversity of stand structures and their associated effects on biodiversity. Light to moderate levels of partial cutting in old-growth forests can maintain the original diversity of overstory stand structures and understory plant communities. In younger forests that develop after clearcutting, mixed alder-conifer stands provide more heterogeneous structures and significantly higher understory biomass than in pure conifer forests. Research has shown that red alder increases diversity and abundance of understory plants, and provides forage for deer and small mammals. Results also show a clear linkage between alder and improved invertebrate diversity in aquatic systems. A combination of light partial cutting in older forests along with inclusion of red alder in conifer-dominated forests could provide the greatest amount of diversity and maintain the complex stand structures that are an important component of these forest ecosystems. (C) 2007 Elsevier Ltd. All rights reserved.</v>
      </c>
      <c r="C1456" s="24" t="str">
        <f>IFERROR(__xludf.DUMMYFUNCTION("""COMPUTED_VALUE"""),"10.1016/j.biocon.2007.03.014")</f>
        <v>10.1016/j.biocon.2007.03.014</v>
      </c>
      <c r="D1456" s="24" t="str">
        <f>IFERROR(__xludf.DUMMYFUNCTION("""COMPUTED_VALUE"""),"Keck et al")</f>
        <v>Keck et al</v>
      </c>
      <c r="E1456" s="24" t="str">
        <f>IFERROR(__xludf.DUMMYFUNCTION("""COMPUTED_VALUE"""),"WOS:000247918700005")</f>
        <v>WOS:000247918700005</v>
      </c>
      <c r="F1456" s="24" t="str">
        <f>IFERROR(__xludf.DUMMYFUNCTION("""COMPUTED_VALUE"""),"[""ELIGIBLE""]")</f>
        <v>["ELIGIBLE"]</v>
      </c>
    </row>
    <row r="1457">
      <c r="A1457" s="24" t="str">
        <f>IFERROR(__xludf.DUMMYFUNCTION("""COMPUTED_VALUE"""),"Transformations from specialists to generalists cause bacterial communities are more stable than micro-eukaryotic communities under anthropogenic activity disturbance")</f>
        <v>Transformations from specialists to generalists cause bacterial communities are more stable than micro-eukaryotic communities under anthropogenic activity disturbance</v>
      </c>
      <c r="B1457" s="24" t="str">
        <f>IFERROR(__xludf.DUMMYFUNCTION("""COMPUTED_VALUE"""),"Different microbial components have different responses to environmental disturbances. Here, we found that the planktonic bacterial and micro-eukaryotic communities had different responses to anthropogenic activity distur-bance in a subtropical river, bec"&amp;"ause they had different survival strategies (generalist and specialist). We used nu-trients (nitrogen and phosphorus) as indicators of anthropogenic activities. We found that river stretch 1 showed low nutrient concentrations from October 2018 to Septembe"&amp;"r 2019. However, a nutrient disturbance was ob-served in river stretch 2. The nutrient concentrations increased largely in December and January but recovered to low values in June. Bacterial communities had higher resilience under this disturbance than mi"&amp;"cro-eukaryotic communities in river stretch 2. The bacterial community composition were quite different between the two river stretches in December and January but were similar in June and July. However, the differences of micro-eukaryotic community compo"&amp;"sition between the two river stretches were always high during the study period. The bacterial communities in river stretch 2 contained more generalists and nutrient tolerant specialists. The bacterial nutrient tolerant specialists rapidly decreased in th"&amp;"e low nutrient months and were replaced by the generalists. Bacteria which were involved in this shifts accounted for 29.3% of the total abundance. However, the micro-eukaryotic communities in river stretch 2 contained more moderate generalists. These mod"&amp;"erate general-ists were insensitive to the variation of nutrients and only 19.56% of the micro-eukaryotes had significant re-sponses to the disturbance. The survival strategies caused bacterial communities had higher adaptability than eukaryotes to enviro"&amp;"nmental fluctuation. (c) 2021 Elsevier B.V. All rights reserved.")</f>
        <v>Different microbial components have different responses to environmental disturbances. Here, we found that the planktonic bacterial and micro-eukaryotic communities had different responses to anthropogenic activity distur-bance in a subtropical river, because they had different survival strategies (generalist and specialist). We used nu-trients (nitrogen and phosphorus) as indicators of anthropogenic activities. We found that river stretch 1 showed low nutrient concentrations from October 2018 to September 2019. However, a nutrient disturbance was ob-served in river stretch 2. The nutrient concentrations increased largely in December and January but recovered to low values in June. Bacterial communities had higher resilience under this disturbance than micro-eukaryotic communities in river stretch 2. The bacterial community composition were quite different between the two river stretches in December and January but were similar in June and July. However, the differences of micro-eukaryotic community composition between the two river stretches were always high during the study period. The bacterial communities in river stretch 2 contained more generalists and nutrient tolerant specialists. The bacterial nutrient tolerant specialists rapidly decreased in the low nutrient months and were replaced by the generalists. Bacteria which were involved in this shifts accounted for 29.3% of the total abundance. However, the micro-eukaryotic communities in river stretch 2 contained more moderate generalists. These moderate general-ists were insensitive to the variation of nutrients and only 19.56% of the micro-eukaryotes had significant re-sponses to the disturbance. The survival strategies caused bacterial communities had higher adaptability than eukaryotes to environmental fluctuation. (c) 2021 Elsevier B.V. All rights reserved.</v>
      </c>
      <c r="C1457" s="24" t="str">
        <f>IFERROR(__xludf.DUMMYFUNCTION("""COMPUTED_VALUE"""),"10.1016/j.scitotenv.2021.148141")</f>
        <v>10.1016/j.scitotenv.2021.148141</v>
      </c>
      <c r="D1457" s="24" t="str">
        <f>IFERROR(__xludf.DUMMYFUNCTION("""COMPUTED_VALUE"""),"Keck et al")</f>
        <v>Keck et al</v>
      </c>
      <c r="E1457" s="24" t="str">
        <f>IFERROR(__xludf.DUMMYFUNCTION("""COMPUTED_VALUE"""),"WOS:000685278900008")</f>
        <v>WOS:000685278900008</v>
      </c>
      <c r="F1457" s="24" t="str">
        <f>IFERROR(__xludf.DUMMYFUNCTION("""COMPUTED_VALUE"""),"[""ELIGIBLE""]")</f>
        <v>["ELIGIBLE"]</v>
      </c>
    </row>
    <row r="1458">
      <c r="A1458" s="24" t="str">
        <f>IFERROR(__xludf.DUMMYFUNCTION("""COMPUTED_VALUE"""),"Light pollution at stadiums favors urban exploiter bats")</f>
        <v>Light pollution at stadiums favors urban exploiter bats</v>
      </c>
      <c r="B1458" s="24" t="str">
        <f>IFERROR(__xludf.DUMMYFUNCTION("""COMPUTED_VALUE"""),"Artificial night lighting by humans may destabilize ecosystems by altering light-dependent biological processes of organisms and changing the availability of light and darkness as resources of food, information and refuge. I tested the hypothesis that urb"&amp;"an exploiters should be more likely to utilize bright, unpredictable light pollution sources such as sport stadiums and building sites than urban avoiders. I quantified insectivorous bat activity and feeding attempts at seven sport stadiums under light an"&amp;"d dark treatments using acoustic monitoring of echolocation calls. Species richness estimators indicated that stadium inventories were complete. Activity and feeding attempts were significantly higher at lit stadiums than dark stadiums, irrespective of se"&amp;"ason or surrounding human land use. Bats exhibited species-specific differences in utilization of stadiums. As predicted, four urban exploiters - Chaerephon pumilus, Tadarida aegyptiaca, Otomops martiensseni and Scotophilus dinganii - dominated activity a"&amp;"nd feeding attempts at lit stadiums, yet one urban exploiter - Mops condylurus - was associated with dark stadiums. Activity levels at both dark and light stadiums were negatively correlated with peak echolocation frequency. Landscape-scale and finer scal"&amp;"e abiotic variables were poor predictors of bat activity and feeding attempts. My results suggest that in addition to abiotic processes associated with urbanization, light pollution at sport stadiums may homogenize urban bat diversity by favoring selected"&amp;" urban exploiters.")</f>
        <v>Artificial night lighting by humans may destabilize ecosystems by altering light-dependent biological processes of organisms and changing the availability of light and darkness as resources of food, information and refuge. I tested the hypothesis that urban exploiters should be more likely to utilize bright, unpredictable light pollution sources such as sport stadiums and building sites than urban avoiders. I quantified insectivorous bat activity and feeding attempts at seven sport stadiums under light and dark treatments using acoustic monitoring of echolocation calls. Species richness estimators indicated that stadium inventories were complete. Activity and feeding attempts were significantly higher at lit stadiums than dark stadiums, irrespective of season or surrounding human land use. Bats exhibited species-specific differences in utilization of stadiums. As predicted, four urban exploiters - Chaerephon pumilus, Tadarida aegyptiaca, Otomops martiensseni and Scotophilus dinganii - dominated activity and feeding attempts at lit stadiums, yet one urban exploiter - Mops condylurus - was associated with dark stadiums. Activity levels at both dark and light stadiums were negatively correlated with peak echolocation frequency. Landscape-scale and finer scale abiotic variables were poor predictors of bat activity and feeding attempts. My results suggest that in addition to abiotic processes associated with urbanization, light pollution at sport stadiums may homogenize urban bat diversity by favoring selected urban exploiters.</v>
      </c>
      <c r="C1458" s="24" t="str">
        <f>IFERROR(__xludf.DUMMYFUNCTION("""COMPUTED_VALUE"""),"10.1111/acv.12220")</f>
        <v>10.1111/acv.12220</v>
      </c>
      <c r="D1458" s="24" t="str">
        <f>IFERROR(__xludf.DUMMYFUNCTION("""COMPUTED_VALUE"""),"Keck et al")</f>
        <v>Keck et al</v>
      </c>
      <c r="E1458" s="24" t="str">
        <f>IFERROR(__xludf.DUMMYFUNCTION("""COMPUTED_VALUE"""),"WOS:000374563900007")</f>
        <v>WOS:000374563900007</v>
      </c>
      <c r="F1458" s="24" t="str">
        <f>IFERROR(__xludf.DUMMYFUNCTION("""COMPUTED_VALUE"""),"[""ELIGIBLE""]")</f>
        <v>["ELIGIBLE"]</v>
      </c>
    </row>
    <row r="1459">
      <c r="A1459" s="24" t="str">
        <f>IFERROR(__xludf.DUMMYFUNCTION("""COMPUTED_VALUE"""),"Influence of Vegetation on Invertebrate Communities in Grazed Freshwater Wetlands in South-central Florida")</f>
        <v>Influence of Vegetation on Invertebrate Communities in Grazed Freshwater Wetlands in South-central Florida</v>
      </c>
      <c r="B1459" s="24" t="str">
        <f>IFERROR(__xludf.DUMMYFUNCTION("""COMPUTED_VALUE"""),"Grazing lands and rangelands are increasingly recognized as an important alternative to other developed land uses for sustaining ecological communities in Florida, the rest of the southeastern United States, and other regions. It is important to understan"&amp;"d factors that influence ecological communities on private grazing lands, especially in areas with abundant wetlands, which are often sensitive habitats. This study examined the effects of different vegetation types and simulated grazing (clipping) on the"&amp;" abundance, diversity, and composition of the invertebrate community in seasonally flooded, isolated wetlands on a cattle ranch in south-central Florida. We compared invertebrate communities in wetland areas dominated by two different types of vegetation:"&amp;" emergent macrophytes (Pontederia cordata [Pickerelweed]) and grasses (primarily Luziola fluitans [Southern Watergrass]). There was a trend toward greater abundance and diversity of invertebrates in grass-dominated communities. Experimental removal of veg"&amp;"etation to simulate heavy grazing significantly decreased the abundance and diversity of invertebrates. It also shifted the community composition of invertebrates to favor members of Diptera and Ostracoda. Management practices in grazed wetlands that use "&amp;"light or intermediate levels of grazing, or that foster a greater diversity of vegetative cover, may support more diverse and populous wetland invertebrate communities.")</f>
        <v>Grazing lands and rangelands are increasingly recognized as an important alternative to other developed land uses for sustaining ecological communities in Florida, the rest of the southeastern United States, and other regions. It is important to understand factors that influence ecological communities on private grazing lands, especially in areas with abundant wetlands, which are often sensitive habitats. This study examined the effects of different vegetation types and simulated grazing (clipping) on the abundance, diversity, and composition of the invertebrate community in seasonally flooded, isolated wetlands on a cattle ranch in south-central Florida. We compared invertebrate communities in wetland areas dominated by two different types of vegetation: emergent macrophytes (Pontederia cordata [Pickerelweed]) and grasses (primarily Luziola fluitans [Southern Watergrass]). There was a trend toward greater abundance and diversity of invertebrates in grass-dominated communities. Experimental removal of vegetation to simulate heavy grazing significantly decreased the abundance and diversity of invertebrates. It also shifted the community composition of invertebrates to favor members of Diptera and Ostracoda. Management practices in grazed wetlands that use light or intermediate levels of grazing, or that foster a greater diversity of vegetative cover, may support more diverse and populous wetland invertebrate communities.</v>
      </c>
      <c r="C1459" s="24" t="str">
        <f>IFERROR(__xludf.DUMMYFUNCTION("""COMPUTED_VALUE"""),"10.1656/058.009.0304")</f>
        <v>10.1656/058.009.0304</v>
      </c>
      <c r="D1459" s="24" t="str">
        <f>IFERROR(__xludf.DUMMYFUNCTION("""COMPUTED_VALUE"""),"Keck et al")</f>
        <v>Keck et al</v>
      </c>
      <c r="E1459" s="24" t="str">
        <f>IFERROR(__xludf.DUMMYFUNCTION("""COMPUTED_VALUE"""),"WOS:000208397600004")</f>
        <v>WOS:000208397600004</v>
      </c>
      <c r="F1459" s="24" t="str">
        <f>IFERROR(__xludf.DUMMYFUNCTION("""COMPUTED_VALUE"""),"[""ELIGIBLE""]")</f>
        <v>["ELIGIBLE"]</v>
      </c>
    </row>
    <row r="1460">
      <c r="A1460" s="24" t="str">
        <f>IFERROR(__xludf.DUMMYFUNCTION("""COMPUTED_VALUE"""),"Impact of exploratory offshore drilling on benthic communities in the Minerva gas field, Port Campbell, Australia")</f>
        <v>Impact of exploratory offshore drilling on benthic communities in the Minerva gas field, Port Campbell, Australia</v>
      </c>
      <c r="B1460" s="24" t="str">
        <f>IFERROR(__xludf.DUMMYFUNCTION("""COMPUTED_VALUE"""),"Changes to benthic infauna caused by exploratory gas drilling operations in the Minerva field were examined experimentally using a BACI (before, after, control, impact) design. Analysis of 72 x 0.1 m(2) Smith-McIntyre grab samples obtained from one pre-dr"&amp;"illing and three post-drilling periods yielded a diverse fauna consisting of 196 invertebrate species and 5035 individuals. Changes to benthic community structure were assessed using ANOVA and nonmetric multidimensional scaling (MDS). The abundances of tw"&amp;"o common species (Apseudes sp. 1 and Prionospio coorilla) decreased significantly at the well-head site immediately after drilling. The size of these reductions in abundance ranged between 71% and 88%, and persisted for less than 4 months after drilling. "&amp;"A third common species (Katlysia sp. 1) increased in abundance 200 m east of the well-head following drilling. Most species occurred at densities too low to be analysed individually and so were pooled at higher taxonomic levels. Changes in the abundance o"&amp;"f species aggregated by phylum varied, but significant declines in the most abundant phyla (Crustaceans and Polychaetes) of 45-73% were observed at all sites within a 100 m radius of the well-head following drilling. In most cases these changes became und"&amp;"etectable four months after drilling following species recruitments. MDS ordinations confirm that drilling related changes to benthic community structure are most pronounced at stations located closest to the well-head. Additionally, the ordinations indic"&amp;"ate that modified communities persist at the well-head for more than I I months following exploratory drilling. (C) 2004 Elsevier Ltd. All rights reserved.")</f>
        <v>Changes to benthic infauna caused by exploratory gas drilling operations in the Minerva field were examined experimentally using a BACI (before, after, control, impact) design. Analysis of 72 x 0.1 m(2) Smith-McIntyre grab samples obtained from one pre-drilling and three post-drilling periods yielded a diverse fauna consisting of 196 invertebrate species and 5035 individuals. Changes to benthic community structure were assessed using ANOVA and nonmetric multidimensional scaling (MDS). The abundances of two common species (Apseudes sp. 1 and Prionospio coorilla) decreased significantly at the well-head site immediately after drilling. The size of these reductions in abundance ranged between 71% and 88%, and persisted for less than 4 months after drilling. A third common species (Katlysia sp. 1) increased in abundance 200 m east of the well-head following drilling. Most species occurred at densities too low to be analysed individually and so were pooled at higher taxonomic levels. Changes in the abundance of species aggregated by phylum varied, but significant declines in the most abundant phyla (Crustaceans and Polychaetes) of 45-73% were observed at all sites within a 100 m radius of the well-head following drilling. In most cases these changes became undetectable four months after drilling following species recruitments. MDS ordinations confirm that drilling related changes to benthic community structure are most pronounced at stations located closest to the well-head. Additionally, the ordinations indicate that modified communities persist at the well-head for more than I I months following exploratory drilling. (C) 2004 Elsevier Ltd. All rights reserved.</v>
      </c>
      <c r="C1460" s="24" t="str">
        <f>IFERROR(__xludf.DUMMYFUNCTION("""COMPUTED_VALUE"""),"10.1016/j.marenvres.2004.05.001")</f>
        <v>10.1016/j.marenvres.2004.05.001</v>
      </c>
      <c r="D1460" s="24" t="str">
        <f>IFERROR(__xludf.DUMMYFUNCTION("""COMPUTED_VALUE"""),"Keck et al")</f>
        <v>Keck et al</v>
      </c>
      <c r="E1460" s="24" t="str">
        <f>IFERROR(__xludf.DUMMYFUNCTION("""COMPUTED_VALUE"""),"WOS:000224620800004")</f>
        <v>WOS:000224620800004</v>
      </c>
      <c r="F1460" s="24" t="str">
        <f>IFERROR(__xludf.DUMMYFUNCTION("""COMPUTED_VALUE"""),"[""ELIGIBLE""]")</f>
        <v>["ELIGIBLE"]</v>
      </c>
    </row>
    <row r="1461">
      <c r="A1461" s="24" t="str">
        <f>IFERROR(__xludf.DUMMYFUNCTION("""COMPUTED_VALUE"""),"Stressor dominance and sensitivity-dependent antagonism: Disentangling the freshwater effects of an insecticide among co-occurring agricultural stressors")</f>
        <v>Stressor dominance and sensitivity-dependent antagonism: Disentangling the freshwater effects of an insecticide among co-occurring agricultural stressors</v>
      </c>
      <c r="B1461" s="24" t="str">
        <f>IFERROR(__xludf.DUMMYFUNCTION("""COMPUTED_VALUE"""),"Pesticide concentrations are correlated with regional declines in stream invertebrate diversity. Experimental studies have identified that pesticides can have strong and persistent negative effects on aquatic ecosystems. These effects may occur at concent"&amp;"rations orders of magnitude lower than laboratory toxicity studies predict. Synergism among stressors is one explanation for observed laboratory-field differences. However, the true effect of pesticides on stream invertebrates remains uncertain, given int"&amp;"eractions between stressors and natural environmental conditions. We experimentally examined multiple-stressor effects on stream invertebrate assemblages and leaf litter breakdown using 24 independent ~900 L re-circulating outdoor mesocosms in a semi-orth"&amp;"ogonal design. Two pulses of the pesticide malathion (C10H19O6PS2) were delivered at low and high concentrations (Pulse 1: low at 0.1 and high at 1 mu g/L; Pulse 2: at 2.5 and 25 mu g/L). These were crossed with a treatment combining stressors commonly as"&amp;"sociated with agricultural development; nitrogen, phosphorus and sediment (kaolinite). Malathion degradation was rapid (&lt;24 hr half-life) in all treatments, likely because of photolysis, hydrolysis, the presence of biofilms and sorptive processes. There w"&amp;"ere significant differences in invertebrate assemblages between treatments, where malathion contributed to 48% and 87% of deviance during Pulse 1 and 2 respectively. Malathion had strong negative effects during Pulse 2, with declines occurring between con"&amp;"trol and high pesticide treatments in Ephemeroptera, Plecoptera and Trichoptera abundances (Cohen's d = 3.08), invertebrate richness (d = 3.57) and total abundance (d = 3.31). Despite the dominant effects of malathion on invertebrates, agricultural stress"&amp;"ors inhibited rates of leaf litter breakdown (p &lt; 0.05), and weakly mitigated malathion toxicity in mesocosms (e.g. PERMANOVA, P approximate to 0.1). Malathion breakdown analysis indicated sediment addition reduced malathion concentrations through alkalin"&amp;"e hydrolysis and sorption. Experimental assays on common taxa supported sediment-malathion interactions resulted in antagonism. Synthesis and applications. Pesticide effects were not synergistic with the stressors tested here. Indeed, sensitivity-dependen"&amp;"t stressor antagonisms were observed, reinforcing a mechanistic understanding of stressor effects and interactions is important. Among aquatic stressors examined, malathion had dominant effects on invertebrate assemblages, despite rapid degradation. Our r"&amp;"esults suggest that pesticide effects may be underestimated within ecosystems, where pesticides can have severe community-wide effects, but rapid pesticide breakdown and sorptive processes may conceal causal links.")</f>
        <v>Pesticide concentrations are correlated with regional declines in stream invertebrate diversity. Experimental studies have identified that pesticides can have strong and persistent negative effects on aquatic ecosystems. These effects may occur at concentrations orders of magnitude lower than laboratory toxicity studies predict. Synergism among stressors is one explanation for observed laboratory-field differences. However, the true effect of pesticides on stream invertebrates remains uncertain, given interactions between stressors and natural environmental conditions. We experimentally examined multiple-stressor effects on stream invertebrate assemblages and leaf litter breakdown using 24 independent ~900 L re-circulating outdoor mesocosms in a semi-orthogonal design. Two pulses of the pesticide malathion (C10H19O6PS2) were delivered at low and high concentrations (Pulse 1: low at 0.1 and high at 1 mu g/L; Pulse 2: at 2.5 and 25 mu g/L). These were crossed with a treatment combining stressors commonly associated with agricultural development; nitrogen, phosphorus and sediment (kaolinite). Malathion degradation was rapid (&lt;24 hr half-life) in all treatments, likely because of photolysis, hydrolysis, the presence of biofilms and sorptive processes. There were significant differences in invertebrate assemblages between treatments, where malathion contributed to 48% and 87% of deviance during Pulse 1 and 2 respectively. Malathion had strong negative effects during Pulse 2, with declines occurring between control and high pesticide treatments in Ephemeroptera, Plecoptera and Trichoptera abundances (Cohen's d = 3.08), invertebrate richness (d = 3.57) and total abundance (d = 3.31). Despite the dominant effects of malathion on invertebrates, agricultural stressors inhibited rates of leaf litter breakdown (p &lt; 0.05), and weakly mitigated malathion toxicity in mesocosms (e.g. PERMANOVA, P approximate to 0.1). Malathion breakdown analysis indicated sediment addition reduced malathion concentrations through alkaline hydrolysis and sorption. Experimental assays on common taxa supported sediment-malathion interactions resulted in antagonism. Synthesis and applications. Pesticide effects were not synergistic with the stressors tested here. Indeed, sensitivity-dependent stressor antagonisms were observed, reinforcing a mechanistic understanding of stressor effects and interactions is important. Among aquatic stressors examined, malathion had dominant effects on invertebrate assemblages, despite rapid degradation. Our results suggest that pesticide effects may be underestimated within ecosystems, where pesticides can have severe community-wide effects, but rapid pesticide breakdown and sorptive processes may conceal causal links.</v>
      </c>
      <c r="C1461" s="24" t="str">
        <f>IFERROR(__xludf.DUMMYFUNCTION("""COMPUTED_VALUE"""),"10.1111/1365-2664.13430")</f>
        <v>10.1111/1365-2664.13430</v>
      </c>
      <c r="D1461" s="24" t="str">
        <f>IFERROR(__xludf.DUMMYFUNCTION("""COMPUTED_VALUE"""),"Keck et al")</f>
        <v>Keck et al</v>
      </c>
      <c r="E1461" s="24" t="str">
        <f>IFERROR(__xludf.DUMMYFUNCTION("""COMPUTED_VALUE"""),"WOS:000478601300016")</f>
        <v>WOS:000478601300016</v>
      </c>
      <c r="F1461" s="24" t="str">
        <f>IFERROR(__xludf.DUMMYFUNCTION("""COMPUTED_VALUE"""),"[""ELIGIBLE""]")</f>
        <v>["ELIGIBLE"]</v>
      </c>
    </row>
    <row r="1462">
      <c r="A1462" s="24" t="str">
        <f>IFERROR(__xludf.DUMMYFUNCTION("""COMPUTED_VALUE"""),"A pilot experiment to assess the efficiency of pharmaceutical plant wastewater treatment and the decreasing effluent toxicity to periphytic biofilms")</f>
        <v>A pilot experiment to assess the efficiency of pharmaceutical plant wastewater treatment and the decreasing effluent toxicity to periphytic biofilms</v>
      </c>
      <c r="B1462" s="24" t="str">
        <f>IFERROR(__xludf.DUMMYFUNCTION("""COMPUTED_VALUE"""),"Pharmaceutical industry effluents are complex and highly variable in time. Assessing the efficiency of a pharmaceutical industry wastewater treatment plant (WWTP) and the resulting decrease in effluent toxicity and ecological risk is thus not straightforw"&amp;"ard. We set up an original in situ pilot directly connected to a pharmaceutical WWTP to monitor the chronic toxicity of successive effluents using natural periphytic biofilms. Their structural and functional responses to effluent exposure were assessed by"&amp;" combining (i) a molecular approach to characterize the bacterial and diatom diversity and (ii) functional measurements of photosynthetic and enzyme activities. Effluent contamination by pharmaceuticals strongly decreased after the quaternary treatment (a"&amp;"ctivated carbon). Most of the structural biological characteristics improved with cumulative WWTP treatment (bacterial diversity, microbial genetic structure, and biological diatom index), showing community recovery along the treatment process. However, f"&amp;"unctional parameters did not show clear links with treatment steps, suggesting that microbial activities were not solely driven by pharmaceuticals produced during the experimental period. Operationally, this type of pilot system offers a useful tool for b"&amp;"iomonitoring approaches and offers new approaches for industrial managers to assess the ecological risk of production effluents in receiving water.")</f>
        <v>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v>
      </c>
      <c r="C1462" s="24" t="str">
        <f>IFERROR(__xludf.DUMMYFUNCTION("""COMPUTED_VALUE"""),"10.1016/j.jhazmat.2021.125121")</f>
        <v>10.1016/j.jhazmat.2021.125121</v>
      </c>
      <c r="D1462" s="24" t="str">
        <f>IFERROR(__xludf.DUMMYFUNCTION("""COMPUTED_VALUE"""),"Keck et al")</f>
        <v>Keck et al</v>
      </c>
      <c r="E1462" s="24" t="str">
        <f>IFERROR(__xludf.DUMMYFUNCTION("""COMPUTED_VALUE"""),"WOS:000638067100001")</f>
        <v>WOS:000638067100001</v>
      </c>
      <c r="F1462" s="24" t="str">
        <f>IFERROR(__xludf.DUMMYFUNCTION("""COMPUTED_VALUE"""),"[""ELIGIBLE""]")</f>
        <v>["ELIGIBLE"]</v>
      </c>
    </row>
    <row r="1463">
      <c r="A1463" s="24" t="str">
        <f>IFERROR(__xludf.DUMMYFUNCTION("""COMPUTED_VALUE"""),"Effects of decabromodiphenyl ether on activity, abundance, and community composition of phosphorus mineralizing bacteria in eutrophic lake sediments")</f>
        <v>Effects of decabromodiphenyl ether on activity, abundance, and community composition of phosphorus mineralizing bacteria in eutrophic lake sediments</v>
      </c>
      <c r="B1463" s="24" t="str">
        <f>IFERROR(__xludf.DUMMYFUNCTION("""COMPUTED_VALUE"""),"Polybrominated diphenyl ethers (PBDEs) are typical persistent organic pollutants (POPs) in the environment. However, little is known about their effects on phosphorus mineralizing bacteria (PMB) in eutrophic lake sediments, despite the critical role of PM"&amp;"B in phosphorus (P) biogeochemical cycling. In this study, we carried out a 60-day microcosm experiment to understand the effects of 2 and 20 mg kg(-1) dry weight decabromodiphenyl ether (BDE-209) on the activity, abundance, diversity, and community compo"&amp;"sition of PMB in the sediment of Taihu Lake, a typical eutrophic lake in China. The results showed that BDE-209 contamination, regardless of the contamination levels, significantly increased the orthophosphate concentration in overlying water and availabl"&amp;"e phosphorus concentration in sediments on day 60. Such increases may be explained by the stimulatory effects of BDE-209 on alkaline phosphatase (ALP) activity and PMB abundance. Moreover, based on Miseq sequencing of the phoD gene encoding ALP, Actinobac"&amp;"teria was the dominant PMB phylum in all treatments, and BDE-209 significantly increased the diversity of PMB and altered their community composition. In particular, the relative abundances of some PMB genera such as Bradyrhizobium were increased signific"&amp;"antly after 60 days of the High treatment. A co-occurrence network analysis further revealed that the high level of BDE-209 contamination strengthened the connectivity and interspecific co-operative relationships in the PMB community. These results will h"&amp;"elp us to understand the effects of POPs on P biogeochemical cycling in eutrophic lakes and the associated microbial mechanisms. (C) 2019 Elsevier B.V. All rights reserved.")</f>
        <v>Polybrominated diphenyl ethers (PBDEs) are typical persistent organic pollutants (POPs) in the environment. However, little is known about their effects on phosphorus mineralizing bacteria (PMB) in eutrophic lake sediments, despite the critical role of PMB in phosphorus (P) biogeochemical cycling. In this study, we carried out a 60-day microcosm experiment to understand the effects of 2 and 20 mg kg(-1) dry weight decabromodiphenyl ether (BDE-209) on the activity, abundance, diversity, and community composition of PMB in the sediment of Taihu Lake, a typical eutrophic lake in China. The results showed that BDE-209 contamination, regardless of the contamination levels, significantly increased the orthophosphate concentration in overlying water and available phosphorus concentration in sediments on day 60. Such increases may be explained by the stimulatory effects of BDE-209 on alkaline phosphatase (ALP) activity and PMB abundance. Moreover, based on Miseq sequencing of the phoD gene encoding ALP, Actinobacteria was the dominant PMB phylum in all treatments, and BDE-209 significantly increased the diversity of PMB and altered their community composition. In particular, the relative abundances of some PMB genera such as Bradyrhizobium were increased significantly after 60 days of the High treatment. A co-occurrence network analysis further revealed that the high level of BDE-209 contamination strengthened the connectivity and interspecific co-operative relationships in the PMB community. These results will help us to understand the effects of POPs on P biogeochemical cycling in eutrophic lakes and the associated microbial mechanisms. (C) 2019 Elsevier B.V. All rights reserved.</v>
      </c>
      <c r="C1463" s="24" t="str">
        <f>IFERROR(__xludf.DUMMYFUNCTION("""COMPUTED_VALUE"""),"10.1016/j.scitotenv.2019.133785")</f>
        <v>10.1016/j.scitotenv.2019.133785</v>
      </c>
      <c r="D1463" s="24" t="str">
        <f>IFERROR(__xludf.DUMMYFUNCTION("""COMPUTED_VALUE"""),"Keck et al")</f>
        <v>Keck et al</v>
      </c>
      <c r="E1463" s="24" t="str">
        <f>IFERROR(__xludf.DUMMYFUNCTION("""COMPUTED_VALUE"""),"WOS:000496802200038")</f>
        <v>WOS:000496802200038</v>
      </c>
      <c r="F1463" s="24" t="str">
        <f>IFERROR(__xludf.DUMMYFUNCTION("""COMPUTED_VALUE"""),"[""ELIGIBLE""]")</f>
        <v>["ELIGIBLE"]</v>
      </c>
    </row>
    <row r="1464">
      <c r="A1464" s="24" t="str">
        <f>IFERROR(__xludf.DUMMYFUNCTION("""COMPUTED_VALUE"""),"Response and recovery of a pristine groundwater ecosystem impacted by toluene contamination A meso-scale indoor aquifer experiment")</f>
        <v>Response and recovery of a pristine groundwater ecosystem impacted by toluene contamination A meso-scale indoor aquifer experiment</v>
      </c>
      <c r="B1464" s="24" t="str">
        <f>IFERROR(__xludf.DUMMYFUNCTION("""COMPUTED_VALUE"""),"Microbial communities are the driving force behind the degradation of contaminants like aromatic hydrocarbons in groundwater ecosystems. However, little is known about the response of native microbial communities to contamination in pristine environments "&amp;"as well as their potential to recover from a contamination event. Here, we used an indoor aquifer mesocosm filled with sandy quaternary calciferous sediment that was continuously fed with pristine groundwater to study the response, resistance and resilien"&amp;"ce of microbial communities to toluene contamination over a period of almost two years, comprising 132 days of toluene exposure followed by nearly 600 days of recovery. We observed an unexpectedly high intrinsic potential for toluene degradation, starting"&amp;" within the first two weeks after the first exposure. The contamination led to a shift from oxic to anoxic, primarily nitrate-reducing conditions as well as marked cell growth inside the contaminant plume. Depth-resolved community fingerprinting revealed "&amp;"a low resistance of the native microbial community to the perturbation induced by the exposure to toluene. Distinct populations that were dominated by a small number of operational taxonomic units (OTUs) rapidly emerged inside the plume and at the plume f"&amp;"ringes, partially replacing the original community. During the recovery period physico-chemical conditions were restored to the pristine state within about 35 days, whereas the recovery of the biological parameters was much slower and the community compos"&amp;"ition inside the former plume area had not recovered to the original state by the end of the experiment. These results demonstrate the low resilience of sediment-associated groundwater microbial communities to organic pollution and underline that recovery"&amp;" of groundwater ecosystems cannot be assessed solely by physico-chemical parameters.")</f>
        <v>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v>
      </c>
      <c r="C1464" s="24" t="str">
        <f>IFERROR(__xludf.DUMMYFUNCTION("""COMPUTED_VALUE"""),"10.1016/j.jconhyd.2017.10.004")</f>
        <v>10.1016/j.jconhyd.2017.10.004</v>
      </c>
      <c r="D1464" s="24" t="str">
        <f>IFERROR(__xludf.DUMMYFUNCTION("""COMPUTED_VALUE"""),"Keck et al")</f>
        <v>Keck et al</v>
      </c>
      <c r="E1464" s="24" t="str">
        <f>IFERROR(__xludf.DUMMYFUNCTION("""COMPUTED_VALUE"""),"WOS:000418215100003")</f>
        <v>WOS:000418215100003</v>
      </c>
      <c r="F1464" s="24" t="str">
        <f>IFERROR(__xludf.DUMMYFUNCTION("""COMPUTED_VALUE"""),"[""ELIGIBLE""]")</f>
        <v>["ELIGIBLE"]</v>
      </c>
    </row>
    <row r="1465">
      <c r="A1465" s="24" t="str">
        <f>IFERROR(__xludf.DUMMYFUNCTION("""COMPUTED_VALUE"""),"Does human pressure affect the community structure of surf zone fish in sandy beaches?")</f>
        <v>Does human pressure affect the community structure of surf zone fish in sandy beaches?</v>
      </c>
      <c r="B1465" s="24" t="str">
        <f>IFERROR(__xludf.DUMMYFUNCTION("""COMPUTED_VALUE"""),"Intense tourism and human activities have resulted in habitat destruction in sandy beach ecosystems with negative impacts on the associated communities. To investigate whether urbanized beaches affect surf zone fish communities, fish and their benthic mac"&amp;"rofaunal prey were collected during periods of low and high human pressure at two beaches on the Southeastern Brazilian coast. A BACI experimental design (Before-After-Control-Impact) was adapted for comparisons of tourism impact on fish community composi"&amp;"tion and structure in urbanized, intermediate and non-urbanized sectors of each beach. At the end of the summer season, we observed a significant reduction in fish richness, abundance, and diversity in the high tourist pressure areas. The negative associa"&amp;"tion between visitors' abundance and the macrofaunal density suggests that urbanized beaches are avoided by surf zone fish due to higher human pressure and the reduction of food availability. Our results indicate that surf zone fish should be included in "&amp;"environmental impact studies in sandy beaches, including commercial species, e.g., the bluefish Pomatomus saltatrix. The comparative results from the less urbanized areas suggest that environmental zoning and visitation limits should be used as effective "&amp;"management and preservation strategies on beaches with high conservation potential.")</f>
        <v>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v>
      </c>
      <c r="C1465" s="24" t="str">
        <f>IFERROR(__xludf.DUMMYFUNCTION("""COMPUTED_VALUE"""),"10.1016/j.csr.2016.11.007")</f>
        <v>10.1016/j.csr.2016.11.007</v>
      </c>
      <c r="D1465" s="24" t="str">
        <f>IFERROR(__xludf.DUMMYFUNCTION("""COMPUTED_VALUE"""),"Keck et al")</f>
        <v>Keck et al</v>
      </c>
      <c r="E1465" s="24" t="str">
        <f>IFERROR(__xludf.DUMMYFUNCTION("""COMPUTED_VALUE"""),"WOS:000393005500001")</f>
        <v>WOS:000393005500001</v>
      </c>
      <c r="F1465" s="24" t="str">
        <f>IFERROR(__xludf.DUMMYFUNCTION("""COMPUTED_VALUE"""),"[""ELIGIBLE""]")</f>
        <v>["ELIGIBLE"]</v>
      </c>
    </row>
    <row r="1466">
      <c r="A1466" s="24" t="str">
        <f>IFERROR(__xludf.DUMMYFUNCTION("""COMPUTED_VALUE"""),"Cascading human impacts, marine protected areas, and the structure of Mediterranean reef assemblages")</f>
        <v>Cascading human impacts, marine protected areas, and the structure of Mediterranean reef assemblages</v>
      </c>
      <c r="B1466" s="24" t="str">
        <f>IFERROR(__xludf.DUMMYFUNCTION("""COMPUTED_VALUE"""),"Coastal marine assemblages are shaped by interactions between physical factors, biological interactions, and almost ubiquitously, human impacts. Large-scale manipulations of human access replicated over a range of physical and biological conditions can ge"&amp;"nerate insights over the processes shaping marine assemblages. We examined the relative roles of human impacts and hydrographic conditions on assemblages of shallow (3-10 m depth) rocky reefs by comparing no-take reserves with fishing areas occurring in g"&amp;"radients of exposure of the coastline to dominant winds and waves around two Mediterranean islands, Capraia and Giannutri, Italy. We hypothesized that fishing influences assemblages directly by reducing populations of target fish species, and indirectly b"&amp;"y reducing predation on sea urchins, intensifying herbivory, and causing barrens of encrusting coralline algae. We examined how the possible effects of fishing varied with physical exposure of the coastline. The composition of fish assemblages differed si"&amp;"gnificantly between sites within no-take reserves and fished reference sites. Abundances and sizes of predatory fishes targeted by local fisheries were greater in no-take reserves than in fished areas. Sea urchin densities, the extent of coralline barrens"&amp;", and the structure of the algal and invertebrate benthic assemblages showed clear variation associated with exposure of the coastline to dominant winds and waves, but weak effects of protection from human use. Densities of the black sea urchin Arbacia li"&amp;"xula were significantly greater along the windward than along the leeward sides of the islands, and were positively correlated with the extent of coralline barrens. In contrast, the purple sea urchin Paracentrotus lividus was more abundant along the leewa"&amp;"rd sides of islands and showed indirect responses to protection at Giannutri, where purple sea urchins tended to have greater densities at fished than at protected sites. Protection from fishing influenced fish assemblages directly, and benthic assemblage"&amp;"s indirectly, but the latter effect was observed only at sites with lower physical exposure. Indirect effects of fishing and recovery of assemblages within marine protected areas through cascading trophic interactions are likely to vary depending on local"&amp;" physical conditions and on the characteristics of species that are locally dominant.")</f>
        <v>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v>
      </c>
      <c r="C1466" s="24" t="str">
        <f>IFERROR(__xludf.DUMMYFUNCTION("""COMPUTED_VALUE"""),"10.1890/03-4058")</f>
        <v>10.1890/03-4058</v>
      </c>
      <c r="D1466" s="24" t="str">
        <f>IFERROR(__xludf.DUMMYFUNCTION("""COMPUTED_VALUE"""),"Keck et al")</f>
        <v>Keck et al</v>
      </c>
      <c r="E1466" s="24" t="str">
        <f>IFERROR(__xludf.DUMMYFUNCTION("""COMPUTED_VALUE"""),"WOS:000227254000004")</f>
        <v>WOS:000227254000004</v>
      </c>
      <c r="F1466" s="24" t="str">
        <f>IFERROR(__xludf.DUMMYFUNCTION("""COMPUTED_VALUE"""),"[""ELIGIBLE""]")</f>
        <v>["ELIGIBLE"]</v>
      </c>
    </row>
    <row r="1467">
      <c r="A1467" s="24" t="str">
        <f>IFERROR(__xludf.DUMMYFUNCTION("""COMPUTED_VALUE"""),"Impact of pyrene and cadmium co-contamination on prokaryotic community in coastal sediment microcosms")</f>
        <v>Impact of pyrene and cadmium co-contamination on prokaryotic community in coastal sediment microcosms</v>
      </c>
      <c r="B1467" s="24" t="str">
        <f>IFERROR(__xludf.DUMMYFUNCTION("""COMPUTED_VALUE"""),"Acute ecological impacts of co-contamination of polycyclic aromatic hydrocarbons (PAHs) and heavy metals on diversity and composition of coastal benthic prokaryotes were unclear. We took pyrene (Pyr) and cadmium (Cd) as the representatives and mimicked an"&amp;" eight-weekex posure of moderate and high levels of Pyr, Cd and their mixtures. 16S rRNA amplicon sequencing was used to investigate interaction of the contaminant in temporal succession of prokaryotes. Generally, concentrations of Pyr and HCI-extractable"&amp;" Cd in the sediments were stable over time. Effects and interaction of Pyr and Cd on prokaryotic a-diversity were temporally- and dose-dependent with a decreasing trend in richness and Shannon index under various contamination regimes, particularly in the"&amp;" single-Cd contaminated groups at the early stage. Temporal variability and Pyr-induced pattern in prokaryotic composition were observed. However, Pyr and Cd showed a persistent interaction in prokaryotic composition after 7 days, altering successional tr"&amp;"ajectories of communities. The communities under Pyr contamination regardless of Cd could be at a developing stage for an active PAH-degrading community with appearance of a pioneer Cycloclasticus phylotype, persistently showing a strong correlation with "&amp;"Pyr level. The associations of phylotypes and Cd level were short-lived and weak, corresponding to the overall resistance of prokaryotic composition to Cd, In the high-throughput sequencing era, using microcosm experiment, we renewed the knowledge about h"&amp;"ow prokaryotes vary in terms of alpha-diversity, composition and specific taxa in response to co-contamination of model contaminants at a temporal scale. (C) 2017 Elsevier Ltd. All rights reserved.")</f>
        <v>Acute ecological impacts of co-contamination of polycyclic aromatic hydrocarbons (PAHs) and heavy metals on diversity and composition of coastal benthic prokaryotes were unclear. We took pyrene (Pyr) and cadmium (Cd) as the representatives and mimicked an eight-weekex posure of moderate and high levels of Pyr, Cd and their mixtures. 16S rRNA amplicon sequencing was used to investigate interaction of the contaminant in temporal succession of prokaryotes. Generally, concentrations of Pyr and HCI-extractable Cd in the sediments were stable over time. Effects and interaction of Pyr and Cd on prokaryotic a-diversity were temporally- and dose-dependent with a decreasing trend in richness and Shannon index under various contamination regimes, particularly in the single-Cd contaminated groups at the early stage. Temporal variability and Pyr-induced pattern in prokaryotic composition were observed. However, Pyr and Cd showed a persistent interaction in prokaryotic composition after 7 days, altering successional trajectories of communities. The communities under Pyr contamination regardless of Cd could be at a developing stage for an active PAH-degrading community with appearance of a pioneer Cycloclasticus phylotype, persistently showing a strong correlation with Pyr level. The associations of phylotypes and Cd level were short-lived and weak, corresponding to the overall resistance of prokaryotic composition to Cd, In the high-throughput sequencing era, using microcosm experiment, we renewed the knowledge about how prokaryotes vary in terms of alpha-diversity, composition and specific taxa in response to co-contamination of model contaminants at a temporal scale. (C) 2017 Elsevier Ltd. All rights reserved.</v>
      </c>
      <c r="C1467" s="24" t="str">
        <f>IFERROR(__xludf.DUMMYFUNCTION("""COMPUTED_VALUE"""),"10.1016/j.chemosphere.2017.08.124")</f>
        <v>10.1016/j.chemosphere.2017.08.124</v>
      </c>
      <c r="D1467" s="24" t="str">
        <f>IFERROR(__xludf.DUMMYFUNCTION("""COMPUTED_VALUE"""),"Keck et al")</f>
        <v>Keck et al</v>
      </c>
      <c r="E1467" s="24" t="str">
        <f>IFERROR(__xludf.DUMMYFUNCTION("""COMPUTED_VALUE"""),"WOS:000413378400035")</f>
        <v>WOS:000413378400035</v>
      </c>
      <c r="F1467" s="24" t="str">
        <f>IFERROR(__xludf.DUMMYFUNCTION("""COMPUTED_VALUE"""),"[""ELIGIBLE""]")</f>
        <v>["ELIGIBLE"]</v>
      </c>
    </row>
    <row r="1468">
      <c r="A1468" s="24" t="str">
        <f>IFERROR(__xludf.DUMMYFUNCTION("""COMPUTED_VALUE"""),"Impacts of benzo(a)pyrene exposure on scallop (Chlamys farreri) gut health and gut microbiota composition")</f>
        <v>Impacts of benzo(a)pyrene exposure on scallop (Chlamys farreri) gut health and gut microbiota composition</v>
      </c>
      <c r="B1468" s="24" t="str">
        <f>IFERROR(__xludf.DUMMYFUNCTION("""COMPUTED_VALUE"""),"The gut tissue interacts with nutrients and pollutants which can impact gut health. Gut microbiota is essential to the host health, but is also easily affected by external environment. However, little is known about the toxicological assessment of environ"&amp;"mental contaminants on gut health and microbiota, especially in marine invertebrates. In this study, we first explored the effect of benzo(a)pyrene (BaP) on the gut health and gut microbiota of scallops (Chlamys farreri). The scallops were exposed to diff"&amp;"erent concentrations (0, 0.4, 2 and 10 mu g/L) of BaP for 21 days. The histological morphology, immune-and oxidative enzyme-related gene expression, and lipid peroxidation of the scallops were analyzed at 7, 14 and 21 days. The results revealed that BaP c"&amp;"ould impair intestinal barrier function, increasing the intestinal permeability of scallops. Moreover, immune and antioxidant responses were induced in the gut tissue. After a 21-day exposure to different concentrations of BaP, the intestinal microbial co"&amp;"mmunity was analyzed based on 16S rRNA sequencing. Our results suggested that BaP exposure altered the gut microbial diversity and composition in scallops. Many beneficial genera declined after BaP treatment, while the potential pathogens were increased, "&amp;"such as Mycoplasma and Tenacibaculum. A series of hydrocarbon-degrading bacteria were recognized in BaP-treated groups, such as Pseudomonas, Polaribacter, Amphritea and Kordiimonas. Interestingly, the degrading bacteria present varied after exposure to di"&amp;"fferent concentrations of BaP. Overall, this study provides new insights into gut health and gut microbiota in marine invertebrates following exposure to persistent organic pollutants. (c) 2021 Published by Elsevier B.V.")</f>
        <v>The gut tissue interacts with nutrients and pollutants which can impact gut health. Gut microbiota is essential to the host health, but is also easily affected by external environment. However, little is known about the toxicological assessment of environmental contaminants on gut health and microbiota, especially in marine invertebrates. In this study, we first explored the effect of benzo(a)pyrene (BaP) on the gut health and gut microbiota of scallops (Chlamys farreri). The scallops were exposed to different concentrations (0, 0.4, 2 and 10 mu g/L) of BaP for 21 days. The histological morphology, immune-and oxidative enzyme-related gene expression, and lipid peroxidation of the scallops were analyzed at 7, 14 and 21 days. The results revealed that BaP could impair intestinal barrier function, increasing the intestinal permeability of scallops. Moreover, immune and antioxidant responses were induced in the gut tissue. After a 21-day exposure to different concentrations of BaP, the intestinal microbial community was analyzed based on 16S rRNA sequencing. Our results suggested that BaP exposure altered the gut microbial diversity and composition in scallops. Many beneficial genera declined after BaP treatment, while the potential pathogens were increased, such as Mycoplasma and Tenacibaculum. A series of hydrocarbon-degrading bacteria were recognized in BaP-treated groups, such as Pseudomonas, Polaribacter, Amphritea and Kordiimonas. Interestingly, the degrading bacteria present varied after exposure to different concentrations of BaP. Overall, this study provides new insights into gut health and gut microbiota in marine invertebrates following exposure to persistent organic pollutants. (c) 2021 Published by Elsevier B.V.</v>
      </c>
      <c r="C1468" s="24" t="str">
        <f>IFERROR(__xludf.DUMMYFUNCTION("""COMPUTED_VALUE"""),"10.1016/j.scitotenv.2021.149471")</f>
        <v>10.1016/j.scitotenv.2021.149471</v>
      </c>
      <c r="D1468" s="24" t="str">
        <f>IFERROR(__xludf.DUMMYFUNCTION("""COMPUTED_VALUE"""),"Keck et al")</f>
        <v>Keck et al</v>
      </c>
      <c r="E1468" s="24" t="str">
        <f>IFERROR(__xludf.DUMMYFUNCTION("""COMPUTED_VALUE"""),"WOS:000701263300010")</f>
        <v>WOS:000701263300010</v>
      </c>
      <c r="F1468" s="24" t="str">
        <f>IFERROR(__xludf.DUMMYFUNCTION("""COMPUTED_VALUE"""),"[""ELIGIBLE""]")</f>
        <v>["ELIGIBLE"]</v>
      </c>
    </row>
    <row r="1469">
      <c r="A1469" s="24" t="str">
        <f>IFERROR(__xludf.DUMMYFUNCTION("""COMPUTED_VALUE"""),"Effects of hydraulic dredging on the benthic ecology and sediment chemistry on a cultivated bed of the Northern quahog, Mercenaria mercenaria")</f>
        <v>Effects of hydraulic dredging on the benthic ecology and sediment chemistry on a cultivated bed of the Northern quahog, Mercenaria mercenaria</v>
      </c>
      <c r="B1469" s="24" t="str">
        <f>IFERROR(__xludf.DUMMYFUNCTION("""COMPUTED_VALUE"""),"We examined the effects of hydraulic dredging on the benthic ecology and sediment biogeochemistry of a leased shellfish bed in Long Island Sound near Milford, Connecticut, where Northern quahog or hard clam, Mercenaria mercenaria (Linnaeus 1758), aquacult"&amp;"ure is conducted. Six 1 ha plots were sampled at 1-2 week intervals from June through October of 2010. One-time hydraulic dredging to harvest hard clams was conducted on 3 dredged treatment plots in mid-June, while 3 control plots remained not dredged. Re"&amp;"peated measures analysis indicated no significant differences between dredged and not dredged plots for any of the ecological indices or sediment chemistry measurements. Numbers of newly settled hard clams were significantly higher on dredged plots. Clust"&amp;"er analysis indicated a strong seasonal influence on benthic community structure distinguishing between early and late season assemblages. Hydraulic shellfish harvesting as conducted on leased beds in Long Island Sound did not appear to significantly impa"&amp;"ct benthic assemblages or sediment biogeochemistry, while sediment grain size and sampling date had a greater influence on benthic community structure. Published by Elsevier B.V.")</f>
        <v>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v>
      </c>
      <c r="C1469" s="24" t="str">
        <f>IFERROR(__xludf.DUMMYFUNCTION("""COMPUTED_VALUE"""),"10.1016/j.aquaculture.2014.03.012")</f>
        <v>10.1016/j.aquaculture.2014.03.012</v>
      </c>
      <c r="D1469" s="24" t="str">
        <f>IFERROR(__xludf.DUMMYFUNCTION("""COMPUTED_VALUE"""),"Keck et al")</f>
        <v>Keck et al</v>
      </c>
      <c r="E1469" s="24" t="str">
        <f>IFERROR(__xludf.DUMMYFUNCTION("""COMPUTED_VALUE"""),"WOS:000335816400020")</f>
        <v>WOS:000335816400020</v>
      </c>
      <c r="F1469" s="24" t="str">
        <f>IFERROR(__xludf.DUMMYFUNCTION("""COMPUTED_VALUE"""),"[""ELIGIBLE""]")</f>
        <v>["ELIGIBLE"]</v>
      </c>
    </row>
    <row r="1470">
      <c r="A1470" s="24" t="str">
        <f>IFERROR(__xludf.DUMMYFUNCTION("""COMPUTED_VALUE"""),"Response of the post-fire bryophyte community to salvage logging in boreal mixedwood forests of northeastern Alberta, Canada")</f>
        <v>Response of the post-fire bryophyte community to salvage logging in boreal mixedwood forests of northeastern Alberta, Canada</v>
      </c>
      <c r="B1470" s="24" t="str">
        <f>IFERROR(__xludf.DUMMYFUNCTION("""COMPUTED_VALUE"""),"Salvage logging is common practice in the boreal forest of northeastern Alberta, Canada. Fire-killed aspen snags are harvested as soon as is feasible after fire, and in the case of the House River fire (which burned over 250,000 ha in May and June 2002), "&amp;"planning and harvesting began before the fire was extinguished and continued until summer 2003. The ecological consequences of salvage logging are poorly understood, and unknown for bryophytes. Frequency of bryophyte occurrence was sampled during the firs"&amp;"t (2003) and second (2004) growing seasons after fire, in both burned and salvage logged stands. Because many bryophytes are substrate-specific, and because burned wood and scorched soil are important post-fire substrates, bryophytes in these microhabitat"&amp;"s were targeted. Post-fire specialists and ubiquitous species dominated the communities on both substrates in burned stands and included Aulacomnium palustre, Ceratodon purpureus, Funaria hygrometrica, Leptobryum pyriforme, Marchantia polymorpha, Pohlia n"&amp;"utans, and Polytrichum juniperinum. Salvage logging had a greater negative affect on bryophytes on burned wood than those observed on scorched soil. On burned wood, species richness was lower and the community differed in salvage logged stands compared to"&amp;" burned stands; these observations were consistent over both years of study. On scorched soil, species richness was lower and community composition differed in salvage logged stands compared to burned stands in the first year after salvage logging, but th"&amp;"ese differences were overcome by the second year after salvage logging. To preserve bryophytes on a managed landbase, particularly those found on wood, management objectives should include provisions to protect bryophyte substrate. (c) 2006 Elsevier B.V. "&amp;"All rights reserved.")</f>
        <v>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v>
      </c>
      <c r="C1470" s="24" t="str">
        <f>IFERROR(__xludf.DUMMYFUNCTION("""COMPUTED_VALUE"""),"10.1016/j.foreco.2006.07.013")</f>
        <v>10.1016/j.foreco.2006.07.013</v>
      </c>
      <c r="D1470" s="24" t="str">
        <f>IFERROR(__xludf.DUMMYFUNCTION("""COMPUTED_VALUE"""),"Keck et al")</f>
        <v>Keck et al</v>
      </c>
      <c r="E1470" s="24" t="str">
        <f>IFERROR(__xludf.DUMMYFUNCTION("""COMPUTED_VALUE"""),"WOS:000241292000030")</f>
        <v>WOS:000241292000030</v>
      </c>
      <c r="F1470" s="24" t="str">
        <f>IFERROR(__xludf.DUMMYFUNCTION("""COMPUTED_VALUE"""),"[""ELIGIBLE""]")</f>
        <v>["ELIGIBLE"]</v>
      </c>
    </row>
    <row r="1471">
      <c r="A1471" s="24" t="str">
        <f>IFERROR(__xludf.DUMMYFUNCTION("""COMPUTED_VALUE"""),"Habitat Disturbance Linked with Host Microbiome Dispersion and Bd Dynamics in Temperate Amphibians")</f>
        <v>Habitat Disturbance Linked with Host Microbiome Dispersion and Bd Dynamics in Temperate Amphibians</v>
      </c>
      <c r="B1471" s="24" t="str">
        <f>IFERROR(__xludf.DUMMYFUNCTION("""COMPUTED_VALUE"""),"Anthropogenic habitat disturbances can dramatically alter ecological community interactions, including host-pathogen dynamics. Recent work has highlighted the potential for habitat disturbances to alter host-associated microbial communities, but the assoc"&amp;"iations between anthropogenic disturbance, host microbiomes, and pathogens are unresolved. Amphibian skin microbial communities are particularly responsive to factors like temperature, physiochemistry, pathogen infection, and environmental microbial reser"&amp;"voirs. Through a field survey on wild populations of Acris crepitans (Hylidae) and Lithobates catesbeianus (Ranidae), we assessed the effects of habitat disturbance and connectivity on environmental bacterial reservoirs, Batrachochytrium dendrobatidis (Bd"&amp;") infection, and skin microbiome composition. We found higher measures of microbiome dispersion (a measure of community variability) in A. crepitans from more disturbed ponds, supporting the hypothesis that disturbance increases stochasticity in biologica"&amp;"l communities. We also found that habitat disturbance limited microbiome similarity between locations for both species, suggesting greater isolation of bacterial assemblages in more disturbed areas. Higher disturbance was associated with lower Bd prevalen"&amp;"ce for A. crepitans, which could signify suboptimal microclimates for Bd in disturbed habitats. Combined, our findings show that reduced microbiome stability stemming from habitat disturbance could compromise population health, even in the absence of path"&amp;"ogenic infection.")</f>
        <v>Anthropogenic habitat disturbances can dramatically alter ecological community interactions, including host-pathogen dynamics. Recent work has highlighted the potential for habitat disturbances to alter host-associated microbial communities, but the associations between anthropogenic disturbance, host microbiomes, and pathogens are unresolved. Amphibian skin microbial communities are particularly responsive to factors like temperature, physiochemistry, pathogen infection, and environmental microbial reservoirs. Through a field survey on wild populations of Acris crepitans (Hylidae) and Lithobates catesbeianus (Ranidae), we assessed the effects of habitat disturbance and connectivity on environmental bacterial reservoirs, Batrachochytrium dendrobatidis (Bd) infection, and skin microbiome composition. We found higher measures of microbiome dispersion (a measure of community variability) in A. crepitans from more disturbed ponds, supporting the hypothesis that disturbance increases stochasticity in biological communities. We also found that habitat disturbance limited microbiome similarity between locations for both species, suggesting greater isolation of bacterial assemblages in more disturbed areas. Higher disturbance was associated with lower Bd prevalence for A. crepitans, which could signify suboptimal microclimates for Bd in disturbed habitats. Combined, our findings show that reduced microbiome stability stemming from habitat disturbance could compromise population health, even in the absence of pathogenic infection.</v>
      </c>
      <c r="C1471" s="24" t="str">
        <f>IFERROR(__xludf.DUMMYFUNCTION("""COMPUTED_VALUE"""),"10.1007/s00248-021-01897-3")</f>
        <v>10.1007/s00248-021-01897-3</v>
      </c>
      <c r="D1471" s="24" t="str">
        <f>IFERROR(__xludf.DUMMYFUNCTION("""COMPUTED_VALUE"""),"Keck et al")</f>
        <v>Keck et al</v>
      </c>
      <c r="E1471" s="24" t="str">
        <f>IFERROR(__xludf.DUMMYFUNCTION("""COMPUTED_VALUE"""),"WOS:000709269300002")</f>
        <v>WOS:000709269300002</v>
      </c>
      <c r="F1471" s="24" t="str">
        <f>IFERROR(__xludf.DUMMYFUNCTION("""COMPUTED_VALUE"""),"[""ELIGIBLE""]")</f>
        <v>["ELIGIBLE"]</v>
      </c>
    </row>
    <row r="1472">
      <c r="A1472" s="24" t="str">
        <f>IFERROR(__xludf.DUMMYFUNCTION("""COMPUTED_VALUE"""),"Eutrophication and Dreissena Invasion as Drivers of Biodiversity: A Century of Change in the Mollusc Community of Oneida Lake")</f>
        <v>Eutrophication and Dreissena Invasion as Drivers of Biodiversity: A Century of Change in the Mollusc Community of Oneida Lake</v>
      </c>
      <c r="B1472" s="24" t="str">
        <f>IFERROR(__xludf.DUMMYFUNCTION("""COMPUTED_VALUE"""),"Changes in nutrient loading and invasive species are among the strongest human-driven disturbances in freshwater ecosystems, but our knowledge on how they affect the biodiversity of lakes is still limited. We conducted a detailed historical analysis of th"&amp;"e mollusc community of Oneida Lake based on our comprehensive lakewide study in 2012 and previous surveys dating back to 1915. In the early 20th century, the lake had a high water clarity, with abundant macrophytes and benthic algae, and hosted the most d"&amp;"iverse molluscan community in New York State, including 32 gastropod and 9 unionid species. By the 1960s, lake turbidity increased during a period of anthropogenic eutrophication, resulting in a 38% decline in species richness and a 95% reduction in abund"&amp;"ance of native gastropods grazing on benthic algae. Following the invasion of Dreissena spp. in 1991 and subsequent increases in water clarity, native gastropod species richness expanded by 37% and abundance increased 20-fold by 2012. In contrast, filter-"&amp;"feeding unionids were unaffected by increased turbidity during the period of eutrophication but were extirpated by dreissenids. Through contrasting effects on turbidity, eutrophication and Dreissena spp. have likely driven the observed changes in native g"&amp;"razing gastropods by affecting the abundance of light-limited benthic algae. Given the high species richness and ecological importance of benthic grazers, monitoring and managing turbidity is important in preserving molluscan diversity.")</f>
        <v>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v>
      </c>
      <c r="C1472" s="24" t="str">
        <f>IFERROR(__xludf.DUMMYFUNCTION("""COMPUTED_VALUE"""),"10.1371/journal.pone.0101388")</f>
        <v>10.1371/journal.pone.0101388</v>
      </c>
      <c r="D1472" s="24" t="str">
        <f>IFERROR(__xludf.DUMMYFUNCTION("""COMPUTED_VALUE"""),"Keck et al")</f>
        <v>Keck et al</v>
      </c>
      <c r="E1472" s="24" t="str">
        <f>IFERROR(__xludf.DUMMYFUNCTION("""COMPUTED_VALUE"""),"WOS:000338763800023")</f>
        <v>WOS:000338763800023</v>
      </c>
      <c r="F1472" s="24" t="str">
        <f>IFERROR(__xludf.DUMMYFUNCTION("""COMPUTED_VALUE"""),"[""ELIGIBLE""]")</f>
        <v>["ELIGIBLE"]</v>
      </c>
    </row>
    <row r="1473">
      <c r="A1473" s="24" t="str">
        <f>IFERROR(__xludf.DUMMYFUNCTION("""COMPUTED_VALUE"""),"Effects of sewage pollution on the structure of rocky shore macroinvertebrate assemblages")</f>
        <v>Effects of sewage pollution on the structure of rocky shore macroinvertebrate assemblages</v>
      </c>
      <c r="B1473" s="24" t="str">
        <f>IFERROR(__xludf.DUMMYFUNCTION("""COMPUTED_VALUE"""),"The urgency to find efficient indices and indicators to prevent further deterioration of coastal areas is one of the hot topics in today's scientific publication. However, a detailed knowledge of community responses to anthropogenic impacts is essential t"&amp;"o sustain those indices. The studies on the response of benthic community to sewage pollution on intertidal rocky shores are generally based on visual census and do not take into account the tidal levels. In order to fulfil this gap in this study: (i) the"&amp;" sampling was performed by destructive sampling, with all individuals identified to the species level; (ii) the sampling was done at all levels of the intertidal (sublittoral fringe, eulittoral, and littoral fringe). Sewage pollution changed the environme"&amp;"ntal variables and the abundance of macroinvertebrates, being Mytilus galloprovincialis, Melarhaphe neritoides, and Chthamalus montagui the species most responsible for the dissimilarities observed. Effects were different on the three intertidal zones: co"&amp;"mmunity structure changed in the sublittoral fringe; suspension-feeders abundances and species richness increased in the eulittoral; no differences were detected in the littoral fringe. Moreover, the results confirm that the presence of sewage discharges "&amp;"tended to benefit suspension feeders, and that the sensitive species were replaced by opportunistic ones.")</f>
        <v>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v>
      </c>
      <c r="C1473" s="24" t="str">
        <f>IFERROR(__xludf.DUMMYFUNCTION("""COMPUTED_VALUE"""),"10.1007/s10750-013-1773-5")</f>
        <v>10.1007/s10750-013-1773-5</v>
      </c>
      <c r="D1473" s="24" t="str">
        <f>IFERROR(__xludf.DUMMYFUNCTION("""COMPUTED_VALUE"""),"Keck et al")</f>
        <v>Keck et al</v>
      </c>
      <c r="E1473" s="24" t="str">
        <f>IFERROR(__xludf.DUMMYFUNCTION("""COMPUTED_VALUE"""),"WOS:000330836300019")</f>
        <v>WOS:000330836300019</v>
      </c>
      <c r="F1473" s="24" t="str">
        <f>IFERROR(__xludf.DUMMYFUNCTION("""COMPUTED_VALUE"""),"[""ELIGIBLE""]")</f>
        <v>["ELIGIBLE"]</v>
      </c>
    </row>
    <row r="1474">
      <c r="A1474" s="24" t="str">
        <f>IFERROR(__xludf.DUMMYFUNCTION("""COMPUTED_VALUE"""),"Cultivated milkweed hosts high diversity of surface-active and soil-dwelling arthropods in a New England case study")</f>
        <v>Cultivated milkweed hosts high diversity of surface-active and soil-dwelling arthropods in a New England case study</v>
      </c>
      <c r="B1474" s="24" t="str">
        <f>IFERROR(__xludf.DUMMYFUNCTION("""COMPUTED_VALUE"""),"New land uses can drive complex changes to local biodiversity. In the Northeastern U.S., cultivated milkweed has arisen as a new crop with potentially promising outcomes for monarch butterflies, but has unknown effects on surface-active and soil-dwelling "&amp;"arthropods. We assessed differences in arthropod communities among nearby sites containing milkweed and three common regional land uses: conventional corn, conventional hay, and forest, representing a spectrum of high to low land use intensity. In each la"&amp;"nd use, we sampled surface-active and soil-dwelling arthropods, and we classified organisms at the taxonomic order level for all collected arthropods and at the taxonomic genus level for surface-active beetles. To address differences in functional traits "&amp;"between sites, we measured organisms' body sizes and calculated average body mass, total biomass, and abundance of arthropods in small, medium, and large size classes. In almost all analyses, taxonomic diversity values were significantly higher in the mil"&amp;"kweed site than in corn and similar between the milkweed and hay sites. Milkweed had significantly higher diversity of surface-active arthropods than forest (for both orders and beetle genera), but did not have higher diversity of soil-dwelling arthropods"&amp;", indicating possible different mechanisms driving aboveground versus belowground trends. Community composition differed significantly among land uses (demonstrated in NMDS ordination plots), with milkweed most similar to hay. Body size analyses demonstra"&amp;"ted high total biomass and generally higher abundance of larger individuals in milkweed than in other land uses, with the exception of corn, which was dominated by large carabid beetles. We discuss the implications of our findings to land use properties a"&amp;"nd ecological function. Our case study indicates promising benefits of milkweed cultivation for soil biodiversity and soil health, with more research needed to validate and build from our results.")</f>
        <v>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v>
      </c>
      <c r="C1474" s="24" t="str">
        <f>IFERROR(__xludf.DUMMYFUNCTION("""COMPUTED_VALUE"""),"10.1016/j.agee.2021.107749")</f>
        <v>10.1016/j.agee.2021.107749</v>
      </c>
      <c r="D1474" s="24" t="str">
        <f>IFERROR(__xludf.DUMMYFUNCTION("""COMPUTED_VALUE"""),"Keck et al")</f>
        <v>Keck et al</v>
      </c>
      <c r="E1474" s="24" t="str">
        <f>IFERROR(__xludf.DUMMYFUNCTION("""COMPUTED_VALUE"""),"WOS:000724259300003")</f>
        <v>WOS:000724259300003</v>
      </c>
      <c r="F1474" s="24" t="str">
        <f>IFERROR(__xludf.DUMMYFUNCTION("""COMPUTED_VALUE"""),"[""ELIGIBLE""]")</f>
        <v>["ELIGIBLE"]</v>
      </c>
    </row>
    <row r="1475">
      <c r="A1475" s="24" t="str">
        <f>IFERROR(__xludf.DUMMYFUNCTION("""COMPUTED_VALUE"""),"Reorganization of taxonomic, functional, and phylogenetic ant biodiversity after conversion to rubber plantation")</f>
        <v>Reorganization of taxonomic, functional, and phylogenetic ant biodiversity after conversion to rubber plantation</v>
      </c>
      <c r="B1475" s="24" t="str">
        <f>IFERROR(__xludf.DUMMYFUNCTION("""COMPUTED_VALUE"""),"Agricultural activity associated with habitat conversion is a major driver of biodiversity loss across the tropics. The decline of species richness is a common outcome of conversion to agricultural land use, but the associated changes in functional and ph"&amp;"ylogenetic diversities, and spatial patterns of beta diversity, are not well understood. These patterns may shed light on underlying ecological processes that are of both basic and applied interest; for example the relative roles of stochastic assembly, e"&amp;"cological filtering, and competition in structuring ecological communities as well as broader consequences for ecological functioning in agroecosystems. Here we investigate the effects of conversion to rubber plantation (Hevea brasiliensis), a rapidly spr"&amp;"eading agroecosystem in Southeast Asia, on leaf-litter ant taxonomic, functional, and phylogenetic diversities at local and among-sites scales in Xishuangbanna, Southeast China. We found a sharp decline of ant species richness in rubber plantations compar"&amp;"ed with nearby forest habitat, with low beta diversity indicating spatial homogeneity of communities in rubber plantations. In addition, patterns of both functional alpha and beta diversities suggested the emergence of a functionally distinct ant communit"&amp;"y in the agroecosystem compared to the forest habitats. These results support a role of ecological filtering in structuring the taxonomic and functional composition of both rubber and forest habitats. In contrast, changes in phylogenetic diversity were mo"&amp;"dest and not significantly different from random expectations despite strong phylogenetic signal of functional traits. This study highlights the need for a pluralistic approach to characterizing the loss of biodiversity in agroecosystems, as well as under"&amp;"standing the underlying mechanisms of community assembly driving this biodiversity loss.")</f>
        <v>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v>
      </c>
      <c r="C1475" s="24" t="str">
        <f>IFERROR(__xludf.DUMMYFUNCTION("""COMPUTED_VALUE"""),"10.1890/15-1464.1")</f>
        <v>10.1890/15-1464.1</v>
      </c>
      <c r="D1475" s="24" t="str">
        <f>IFERROR(__xludf.DUMMYFUNCTION("""COMPUTED_VALUE"""),"Keck et al")</f>
        <v>Keck et al</v>
      </c>
      <c r="E1475" s="24" t="str">
        <f>IFERROR(__xludf.DUMMYFUNCTION("""COMPUTED_VALUE"""),"WOS:000375376400004")</f>
        <v>WOS:000375376400004</v>
      </c>
      <c r="F1475" s="24" t="str">
        <f>IFERROR(__xludf.DUMMYFUNCTION("""COMPUTED_VALUE"""),"[""ELIGIBLE""]")</f>
        <v>["ELIGIBLE"]</v>
      </c>
    </row>
    <row r="1476">
      <c r="A1476" s="24" t="str">
        <f>IFERROR(__xludf.DUMMYFUNCTION("""COMPUTED_VALUE"""),"Phosphate fertiliser alters carboxylates and bacterial communities in sweet potato (Ipomoea batatas(L.) Lam.) rhizosheaths")</f>
        <v>Phosphate fertiliser alters carboxylates and bacterial communities in sweet potato (Ipomoea batatas(L.) Lam.) rhizosheaths</v>
      </c>
      <c r="B1476" s="24" t="str">
        <f>IFERROR(__xludf.DUMMYFUNCTION("""COMPUTED_VALUE"""),"Aims This study aimed to determine the structure of the bacterial community inhabiting the roots and rhizosheath of sweet potato cultivars, and how these bacterial communities respond to P addition and subsequent changes in carboxylate exudation by sweet "&amp;"potato roots. Methods Five sweet potato cultivars were grown with and without P addition in a low P soil in a glasshouse: Beauregard and Northern Star (both international cultivars) and Whagi Besta, Maraso and Marasunda which originate from Papua New Guin"&amp;"ea. Rhizosheath carboxylates were measured and the root/rhizosheath bacterial community analysed using 16S rRNA gene sequencing. Results Carboxylate amount per g root weight was reduced (citrate) or increased (malate and oxalate) with addition of P. Carbo"&amp;"xylate amount also positively correlated (citrate, oxalate and shikimate) or negatively correlated (malate) to bacterial alpha diversity when no P was added. P addition decreased bacterial diversity, altered the structure of the bacterial community (taxa "&amp;"and predicted function) and led to an enrichment of bacteria related to known P-solubilising bacteria (BurkholderiaandMassilia) as well as to functions related to biosynthesis. Conclusion This study provides a first indication of types and putative roles "&amp;"of root/rhizosheath bacteria in sweet potato cultivars originating from a wide range of environments including marginal and P-impoverished soils and high-P agricultural systems.")</f>
        <v>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v>
      </c>
      <c r="C1476" s="24" t="str">
        <f>IFERROR(__xludf.DUMMYFUNCTION("""COMPUTED_VALUE"""),"10.1007/s11104-020-04646-6")</f>
        <v>10.1007/s11104-020-04646-6</v>
      </c>
      <c r="D1476" s="24" t="str">
        <f>IFERROR(__xludf.DUMMYFUNCTION("""COMPUTED_VALUE"""),"Keck et al")</f>
        <v>Keck et al</v>
      </c>
      <c r="E1476" s="24" t="str">
        <f>IFERROR(__xludf.DUMMYFUNCTION("""COMPUTED_VALUE"""),"WOS:000554433400002")</f>
        <v>WOS:000554433400002</v>
      </c>
      <c r="F1476" s="24" t="str">
        <f>IFERROR(__xludf.DUMMYFUNCTION("""COMPUTED_VALUE"""),"[""ELIGIBLE""]")</f>
        <v>["ELIGIBLE"]</v>
      </c>
    </row>
    <row r="1477">
      <c r="A1477" s="24" t="str">
        <f>IFERROR(__xludf.DUMMYFUNCTION("""COMPUTED_VALUE"""),"Impacts of dredged material disposal on a tropical soft-bottom benthic assemblage")</f>
        <v>Impacts of dredged material disposal on a tropical soft-bottom benthic assemblage</v>
      </c>
      <c r="B1477" s="24" t="str">
        <f>IFERROR(__xludf.DUMMYFUNCTION("""COMPUTED_VALUE"""),"The soft-bottom benthic macrofauna in a spoil-ground of dredged material in Cleveland Bay, North Queensland, Australia, was studied to detect possible impacts of the disposal of sediments. The spatial distribution of the assemblage was studied in relation"&amp;" to the source of the impact at 28 stations on four occasions during 1998 and 1999. Additionally, environmental variables were measured on each occasion at each station. Macrobenthic assemblages inside the spoil-ground were different from assemblages outs"&amp;"ide the spoil ground only immediately after (15 days) the disposal of dredged material. Given the decrease in the abundance of organisms and number of species, it is suggested that this effect was due to direct burial of the macrobenthic assemblage inside"&amp;" the spoil-ground. Macrobenthic assemblages inside the spoil ground were not different from assemblages outside the spoil ground 3 months after dumping. These results suggest that the soft-bottom macrobenthic assemblages may respond quickly to the disturb"&amp;"ance associated with the dumping of dredged material. (C) 2003 Elsevier Ltd. All rights reserved.")</f>
        <v>The soft-bottom benthic macrofauna in a spoil-ground of dredged material in Cleveland Bay, North Queensland, Australia, was studied to detect possible impacts of the disposal of sediments. The spatial distribution of the assemblage was studied in relation to the source of the impact at 28 stations on four occasions during 1998 and 1999. Additionally, environmental variables were measured on each occasion at each station. Macrobenthic assemblages inside the spoil-ground were different from assemblages outside the spoil ground only immediately after (15 days) the disposal of dredged material. Given the decrease in the abundance of organisms and number of species, it is suggested that this effect was due to direct burial of the macrobenthic assemblage inside the spoil-ground. Macrobenthic assemblages inside the spoil ground were not different from assemblages outside the spoil ground 3 months after dumping. These results suggest that the soft-bottom macrobenthic assemblages may respond quickly to the disturbance associated with the dumping of dredged material. (C) 2003 Elsevier Ltd. All rights reserved.</v>
      </c>
      <c r="C1477" s="24" t="str">
        <f>IFERROR(__xludf.DUMMYFUNCTION("""COMPUTED_VALUE"""),"10.1016/j.marpolbul.2003.08.002")</f>
        <v>10.1016/j.marpolbul.2003.08.002</v>
      </c>
      <c r="D1477" s="24" t="str">
        <f>IFERROR(__xludf.DUMMYFUNCTION("""COMPUTED_VALUE"""),"Keck et al")</f>
        <v>Keck et al</v>
      </c>
      <c r="E1477" s="24" t="str">
        <f>IFERROR(__xludf.DUMMYFUNCTION("""COMPUTED_VALUE"""),"WOS:000220102500020")</f>
        <v>WOS:000220102500020</v>
      </c>
      <c r="F1477" s="24" t="str">
        <f>IFERROR(__xludf.DUMMYFUNCTION("""COMPUTED_VALUE"""),"[""ELIGIBLE""]")</f>
        <v>["ELIGIBLE"]</v>
      </c>
    </row>
    <row r="1478">
      <c r="A1478" s="24" t="str">
        <f>IFERROR(__xludf.DUMMYFUNCTION("""COMPUTED_VALUE"""),"Organic contamination as a driver of structural changes of hydroid's assemblages of the coral reefs near to Havana Harbour, Cuba")</f>
        <v>Organic contamination as a driver of structural changes of hydroid's assemblages of the coral reefs near to Havana Harbour, Cuba</v>
      </c>
      <c r="B1478" s="24" t="str">
        <f>IFERROR(__xludf.DUMMYFUNCTION("""COMPUTED_VALUE"""),"Hydroid assemblage's responses to organic contamination were evaluated using sedimentary sterols as explanatory variables. At seven coral reef sites in the Havana west coast, hydroids were collected along three 10 m x 1 m, 10 m deep transects. Five sterol"&amp;"s were analysed, i.e., coprostanol, an indicator of faecal contamination, and cholestanol, cholesterol, stigmasterol and brassicasterol, indicators of biogenic organic matter inputs. The sampling sites were classified by level of contamination. A total of"&amp;" 65 species comprised the hydroid assemblages. Hydroids community abundance and richness decreased in the contaminated sites. Coprostanol had the highest relative importance for these variables and also for Plumularia fioridana and Clytia gracilis abundan"&amp;"ces. Obelia dichotoma and Haleciwn bermudense were relatively abundant in the contaminated sites. The results indicate that faecal contamination negatively affected the hydroid assemblages, highlighting the importance of integrated biological and chemical"&amp;" indicators to evaluate the environmental conditions of the Havana coral reef.")</f>
        <v>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v>
      </c>
      <c r="C1478" s="24" t="str">
        <f>IFERROR(__xludf.DUMMYFUNCTION("""COMPUTED_VALUE"""),"10.1016/j.marpolbul.2018.06.003")</f>
        <v>10.1016/j.marpolbul.2018.06.003</v>
      </c>
      <c r="D1478" s="24" t="str">
        <f>IFERROR(__xludf.DUMMYFUNCTION("""COMPUTED_VALUE"""),"Keck et al")</f>
        <v>Keck et al</v>
      </c>
      <c r="E1478" s="24" t="str">
        <f>IFERROR(__xludf.DUMMYFUNCTION("""COMPUTED_VALUE"""),"WOS:000441853600061")</f>
        <v>WOS:000441853600061</v>
      </c>
      <c r="F1478" s="24" t="str">
        <f>IFERROR(__xludf.DUMMYFUNCTION("""COMPUTED_VALUE"""),"[""ELIGIBLE""]")</f>
        <v>["ELIGIBLE"]</v>
      </c>
    </row>
    <row r="1479">
      <c r="A1479" s="24" t="str">
        <f>IFERROR(__xludf.DUMMYFUNCTION("""COMPUTED_VALUE"""),"Tree community change in a tropical dry forest: the role of roads and exotic plant invasion")</f>
        <v>Tree community change in a tropical dry forest: the role of roads and exotic plant invasion</v>
      </c>
      <c r="B1479" s="24" t="str">
        <f>IFERROR(__xludf.DUMMYFUNCTION("""COMPUTED_VALUE"""),"Among the most endangered tropical ecosystems, tropical dry forests are threatened by degradation that includes edge effects arising from perturbations Such as the creation and maintenance of roads and other clearings. While much is known about these adve"&amp;"rse effects on tree communities in tropical moist forests, similar effects in tropical dry forests are little understood. This paper examines the relationship between roads, road-related exotic plant invasion and tree community change in a tropical dry fo"&amp;"rest in Southern India. Forty pairs of roadside and interior plots across four factorial combinations of road width (wide and narrow) and understorey type (native and exotic) were sampled. Tree death and extant tree community composition were compared usi"&amp;"ng generalized linear models and similarity analyses. Tree death near roads was more than double that away from them, suggesting that roads may increase tree death in these forests. The interactive effect of Understorey type (exotic or native) and road wi"&amp;"dth on tree death was significant, with highest tree death near wide roads bordered by exotic Understorey. Conversely, tree community composition was influenced by road width and understorey type, but not by proximity to roads. Creation and maintenance of"&amp;" roads for forest management may have serious implications for tree communities in tropical dry forests and should thus be minimized. Exotic plants may also be important contributors to increasing tree death, and further research on their impacts, particu"&amp;"larly into underlying mechanisms, is critical to the long-term conservation of tropical dry forest communities.")</f>
        <v>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v>
      </c>
      <c r="C1479" s="24" t="str">
        <f>IFERROR(__xludf.DUMMYFUNCTION("""COMPUTED_VALUE"""),"10.1017/S0376892909990257")</f>
        <v>10.1017/S0376892909990257</v>
      </c>
      <c r="D1479" s="24" t="str">
        <f>IFERROR(__xludf.DUMMYFUNCTION("""COMPUTED_VALUE"""),"Keck et al")</f>
        <v>Keck et al</v>
      </c>
      <c r="E1479" s="24" t="str">
        <f>IFERROR(__xludf.DUMMYFUNCTION("""COMPUTED_VALUE"""),"WOS:000275897300004")</f>
        <v>WOS:000275897300004</v>
      </c>
      <c r="F1479" s="24" t="str">
        <f>IFERROR(__xludf.DUMMYFUNCTION("""COMPUTED_VALUE"""),"[""ELIGIBLE""]")</f>
        <v>["ELIGIBLE"]</v>
      </c>
    </row>
    <row r="1480">
      <c r="A1480" s="24" t="str">
        <f>IFERROR(__xludf.DUMMYFUNCTION("""COMPUTED_VALUE"""),"Livestock grazing-induced large-scale biotic homogenization in arid Mediterranean steppe rangelands")</f>
        <v>Livestock grazing-induced large-scale biotic homogenization in arid Mediterranean steppe rangelands</v>
      </c>
      <c r="B1480" s="24" t="str">
        <f>IFERROR(__xludf.DUMMYFUNCTION("""COMPUTED_VALUE"""),"Despite many studies that have explored the effect of livestock grazing on plant communities, the response of species composition and diversity to livestock grazing in arid rangelands remains ambiguous. This study examined the effects of livestock grazing"&amp;" on plant communities in arid steppe rangelands of North Africa. Plant diversity of annual species, perennial species, and all species combined were measured and compared between grazed and grazing-excluded areas. We also examined the relative importance "&amp;"of species turnover and community nestedness. Moreover, the effects of livestock grazing on beta diversity at local among transects and landscape among sites scales were examined using the multiplicative diversity partitioning. Results revealed that lives"&amp;"tock grazing significantly decreased the alpha diversity of all species combined and the diversity of annual plants. Livestock grazing induced a shift in plant community composition where most species composition variation (similar to 74%) was due to infr"&amp;"equent species replacement 'turnover' between the two management types rather than nestedness (similar to 26%). Results revealed also that among transects, beta diversity was higher in grazed steppes than in grazing-excluded steppes. Whereas, among sites,"&amp;" beta diversity was lower in grazed steppes compared to grazing-excluded steppes. These findings suggest that livestock grazing in arid steppe rangelands increases the variation in plant species composition at a local spatial scale and engenders vegetatio"&amp;"n homogeneity at a landscape spatial scale. Therefore, the implementation of appropriate management practices such as short-term grazing exclusion is mandatory to prevent these ecosystems from large-scale biotic homogenization.")</f>
        <v>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v>
      </c>
      <c r="C1480" s="24" t="str">
        <f>IFERROR(__xludf.DUMMYFUNCTION("""COMPUTED_VALUE"""),"10.1002/ldr.4095")</f>
        <v>10.1002/ldr.4095</v>
      </c>
      <c r="D1480" s="24" t="str">
        <f>IFERROR(__xludf.DUMMYFUNCTION("""COMPUTED_VALUE"""),"Keck et al")</f>
        <v>Keck et al</v>
      </c>
      <c r="E1480" s="24" t="str">
        <f>IFERROR(__xludf.DUMMYFUNCTION("""COMPUTED_VALUE"""),"WOS:000700829400001")</f>
        <v>WOS:000700829400001</v>
      </c>
      <c r="F1480" s="24" t="str">
        <f>IFERROR(__xludf.DUMMYFUNCTION("""COMPUTED_VALUE"""),"[""ELIGIBLE""]")</f>
        <v>["ELIGIBLE"]</v>
      </c>
    </row>
    <row r="1481">
      <c r="A1481" s="24" t="str">
        <f>IFERROR(__xludf.DUMMYFUNCTION("""COMPUTED_VALUE"""),"Effects of atrazine short-term exposure on jumping ability and intestinal microbiota diversity in male Pelophylax nigromaculatus adults")</f>
        <v>Effects of atrazine short-term exposure on jumping ability and intestinal microbiota diversity in male Pelophylax nigromaculatus adults</v>
      </c>
      <c r="B1481" s="24" t="str">
        <f>IFERROR(__xludf.DUMMYFUNCTION("""COMPUTED_VALUE"""),"Atrazine, a common chemical pesticide, has toxicity to adult and juvenile amphibians in natural ecosystems; however, it is more common to study its effects on larvae instead of adults. This study assessed the impacts of atrazine in water through short-ter"&amp;"m exposure (7 days) on male black spotted frog (Pelophylax nigromaculatus) adults fed every day. The jumping ability, including jumping height, distance, time, and speed, was measured by 3D motion analysis software, and the intestinal content microbiota w"&amp;"as determined by 16S rRNA amplicon sequencing with QIIME software. The results showed that male P. nigromaculatus exposure to 200 and 500 mu g/L atrazine significantly increased jumping distance and jumping time compared to control groups. Conversely, 500"&amp;" mu g/L atrazine treatments significantly decreased the diversity and changed the composition and structure of intestinal content microflora in male P. nigromaculatus compared to control groups. At the phylum level, Chlamydiae was only detected in the con"&amp;"trol group, and Actinobacteria, Bacteroidetes, Firmicutes, Fusobacteria, and Proteobacteria were the dominant microflora in the atrazine treatment groups. At the genus level, the abundance of Lactobacillus and Weissella significantly increased in atrazine"&amp;" treatment groups compared to control groups. This study can provide a new framework based on movement behavior and intestinal microbiota to evaluate the response of amphibians to short-term exposure to environmental pollution.")</f>
        <v>Atrazine, a common chemical pesticide, has toxicity to adult and juvenile amphibians in natural ecosystems; however, it is more common to study its effects on larvae instead of adults. This study assessed the impacts of atrazine in water through short-term exposure (7 days) on male black spotted frog (Pelophylax nigromaculatus) adults fed every day. The jumping ability, including jumping height, distance, time, and speed, was measured by 3D motion analysis software, and the intestinal content microbiota was determined by 16S rRNA amplicon sequencing with QIIME software. The results showed that male P. nigromaculatus exposure to 200 and 500 mu g/L atrazine significantly increased jumping distance and jumping time compared to control groups. Conversely, 500 mu g/L atrazine treatments significantly decreased the diversity and changed the composition and structure of intestinal content microflora in male P. nigromaculatus compared to control groups. At the phylum level, Chlamydiae was only detected in the control group, and Actinobacteria, Bacteroidetes, Firmicutes, Fusobacteria, and Proteobacteria were the dominant microflora in the atrazine treatment groups. At the genus level, the abundance of Lactobacillus and Weissella significantly increased in atrazine treatment groups compared to control groups. This study can provide a new framework based on movement behavior and intestinal microbiota to evaluate the response of amphibians to short-term exposure to environmental pollution.</v>
      </c>
      <c r="C1481" s="24" t="str">
        <f>IFERROR(__xludf.DUMMYFUNCTION("""COMPUTED_VALUE"""),"10.1007/s11356-021-13234-9")</f>
        <v>10.1007/s11356-021-13234-9</v>
      </c>
      <c r="D1481" s="24" t="str">
        <f>IFERROR(__xludf.DUMMYFUNCTION("""COMPUTED_VALUE"""),"Keck et al")</f>
        <v>Keck et al</v>
      </c>
      <c r="E1481" s="24" t="str">
        <f>IFERROR(__xludf.DUMMYFUNCTION("""COMPUTED_VALUE"""),"WOS:000626391600011")</f>
        <v>WOS:000626391600011</v>
      </c>
      <c r="F1481" s="24" t="str">
        <f>IFERROR(__xludf.DUMMYFUNCTION("""COMPUTED_VALUE"""),"[""ELIGIBLE""]")</f>
        <v>["ELIGIBLE"]</v>
      </c>
    </row>
    <row r="1482">
      <c r="A1482" s="24" t="str">
        <f>IFERROR(__xludf.DUMMYFUNCTION("""COMPUTED_VALUE"""),"Zooplankton functional diversity as an indicator of a long-term aquatic restoration in an Amazonian lake")</f>
        <v>Zooplankton functional diversity as an indicator of a long-term aquatic restoration in an Amazonian lake</v>
      </c>
      <c r="B1482" s="24" t="str">
        <f>IFERROR(__xludf.DUMMYFUNCTION("""COMPUTED_VALUE"""),"Mining is an important economic activity that can have severe impacts on aquatic ecosystems. Plankton communities are commonly used as bioindicators of human-related threats to freshwater environments due to their rapid response to environmental condition"&amp;"s changes. Here, we used zooplankton functional diversity to understand the recovery patterns of an Amazonian lake impacted by mining activity (input of bauxite tailings) after 30 years of natural attenuation and active restoration processes. Zooplankton "&amp;"species richness and functional diversity (Rao's quadratic entropy-FDQ and community-level weighted means of trait values-CWM) were compared in impacted and reference areas during the flood period, in March 2015. We found a significant negative influence "&amp;"of turbidity on zooplankton FDQ, and similar FDQ and CWM values between the active restoration area and the reference area. These results suggest a positive effect of vegetation restoration efforts for the zooplankton community of Batata Lake. We demonstr"&amp;"ated the utility of zooplankton functional diversity metrics as bioindicators of freshwater restoration, the response of the aquatic ecosystem to vegetation restoration and, consequently, water quality.")</f>
        <v>Mining is an important economic activity that can have severe impacts on aquatic ecosystems. Plankton communities are commonly used as bioindicators of human-related threats to freshwater environments due to their rapid response to environmental conditions changes. Here, we used zooplankton functional diversity to understand the recovery patterns of an Amazonian lake impacted by mining activity (input of bauxite tailings) after 30 years of natural attenuation and active restoration processes. Zooplankton species richness and functional diversity (Rao's quadratic entropy-FDQ and community-level weighted means of trait values-CWM) were compared in impacted and reference areas during the flood period, in March 2015. We found a significant negative influence of turbidity on zooplankton FDQ, and similar FDQ and CWM values between the active restoration area and the reference area. These results suggest a positive effect of vegetation restoration efforts for the zooplankton community of Batata Lake. We demonstrated the utility of zooplankton functional diversity metrics as bioindicators of freshwater restoration, the response of the aquatic ecosystem to vegetation restoration and, consequently, water quality.</v>
      </c>
      <c r="C1482" s="24" t="str">
        <f>IFERROR(__xludf.DUMMYFUNCTION("""COMPUTED_VALUE"""),"10.1111/rec.13365")</f>
        <v>10.1111/rec.13365</v>
      </c>
      <c r="D1482" s="24" t="str">
        <f>IFERROR(__xludf.DUMMYFUNCTION("""COMPUTED_VALUE"""),"Keck et al")</f>
        <v>Keck et al</v>
      </c>
      <c r="E1482" s="24" t="str">
        <f>IFERROR(__xludf.DUMMYFUNCTION("""COMPUTED_VALUE"""),"WOS:000649435400001")</f>
        <v>WOS:000649435400001</v>
      </c>
      <c r="F1482" s="24" t="str">
        <f>IFERROR(__xludf.DUMMYFUNCTION("""COMPUTED_VALUE"""),"[""ELIGIBLE""]")</f>
        <v>["ELIGIBLE"]</v>
      </c>
    </row>
    <row r="1483">
      <c r="A1483" s="24" t="str">
        <f>IFERROR(__xludf.DUMMYFUNCTION("""COMPUTED_VALUE"""),"Land use, water chemistry, aquatic vegetation, and zooplankton community structure of shallow lakes")</f>
        <v>Land use, water chemistry, aquatic vegetation, and zooplankton community structure of shallow lakes</v>
      </c>
      <c r="B1483" s="24" t="str">
        <f>IFERROR(__xludf.DUMMYFUNCTION("""COMPUTED_VALUE"""),"Landscape-lake interactions, including anthropogenic effects in modern human-dominated landscapes, are essential elements of our understanding of aquatic community ecology. This study links land use (six categories) to the aquatic environment (30 water ch"&amp;"emistry, lake morphology, and vegetation variables) and to zooplankton community richness (32 common taxa) and composition in 73 small and shallow lakes of southeastern Wisconsin, USA. The sites differed most according to two environmental variables (prin"&amp;"cipal components analysis [PCA] ordination): the presence/absence of riparian vegetation and the water source (whether ground or atmospheric). Shallow lakes in different land use categories (reference, urban, and agricultural) differed significantly in te"&amp;"rms of the two major environmental variables, especially presence of riparian and aquatic vegetation. Reference sites were characterized by the most vegetation and the highest zooplankton richness. Agricultural sites with wide riparian vegetative buffer s"&amp;"trips (&gt;30 m) had significantly more zooplankton taxa than agricultural lakes with narrow buffer strips. A non-metric multidimensional scaling (NMS) ordination of zooplankton community composition suggested a single community among land use categories, wi"&amp;"th some variation related to vegetation and the water source. The first NMS axis was correlated with PCAI axis (vegetation) and with zooplankton taxon richness, and the second axis was correlated with PCA2 (water source). The third axis was not strongly c"&amp;"orrelated with any of the measured environmental factors, suggesting that an unmeasured factor related to disturbance was also important in determining taxon composition. Our analysis supports the hypothesis that zooplankton community structure (taxon ric"&amp;"hness and composition) is indirectly associated with land use, via the effect of land use on vegetation and the hydrological continuum.")</f>
        <v>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v>
      </c>
      <c r="C1483" s="24" t="str">
        <f>IFERROR(__xludf.DUMMYFUNCTION("""COMPUTED_VALUE"""),"10.1890/04-1494")</f>
        <v>10.1890/04-1494</v>
      </c>
      <c r="D1483" s="24" t="str">
        <f>IFERROR(__xludf.DUMMYFUNCTION("""COMPUTED_VALUE"""),"Keck et al")</f>
        <v>Keck et al</v>
      </c>
      <c r="E1483" s="24" t="str">
        <f>IFERROR(__xludf.DUMMYFUNCTION("""COMPUTED_VALUE"""),"WOS:000230876900009")</f>
        <v>WOS:000230876900009</v>
      </c>
      <c r="F1483" s="24" t="str">
        <f>IFERROR(__xludf.DUMMYFUNCTION("""COMPUTED_VALUE"""),"[""ELIGIBLE""]")</f>
        <v>["ELIGIBLE"]</v>
      </c>
    </row>
    <row r="1484">
      <c r="A1484" s="24" t="str">
        <f>IFERROR(__xludf.DUMMYFUNCTION("""COMPUTED_VALUE"""),"Assessing the nature of the combined effects of copper and zinc on estuarine infaunal communities")</f>
        <v>Assessing the nature of the combined effects of copper and zinc on estuarine infaunal communities</v>
      </c>
      <c r="B1484" s="24" t="str">
        <f>IFERROR(__xludf.DUMMYFUNCTION("""COMPUTED_VALUE"""),"Elevated levels of copper and zinc in sediment have been shown to adversely affect estuarine infauna. We investigated the additivity of the combined effects of copper and zinc on infaunal recolonisation through a manipulative field experiment in Orewa est"&amp;"uary, New Zealand, using defaunated sediment discs treated with these metals. The nature of their combined effects varied among infaunal taxa and the particular variables being examined. Additive effects were detected for species richness, for the mean lo"&amp;"g abundances of the polychaetes Prionospio sp. and Scoloplos cylindrifer and for the multivariate response of the community as a whole. Antagonistic effects were detected for the mean log abundances of total infauna and the polychaete Heteromastus sp. Cha"&amp;"racterising the potentially interactive nature of the combined effects of multiple heavy metals is essential in order to build predictive models of future environmental impacts of metal accumulation in estuarine sediments. (C) 2010 Elsevier Ltd. All right"&amp;"s reserved.")</f>
        <v>Elevated levels of copper and zinc in sediment have been shown to adversely affect estuarine infauna. We investigated the additivity of the combined effects of copper and zinc on infaunal recolonisation through a manipulative field experiment in Orewa estuary, New Zealand, using defaunated sediment discs treated with these metals. The nature of their combined effects varied among infaunal taxa and the particular variables being examined. Additive effects were detected for species richness, for the mean log abundances of the polychaetes Prionospio sp. and Scoloplos cylindrifer and for the multivariate response of the community as a whole. Antagonistic effects were detected for the mean log abundances of total infauna and the polychaete Heteromastus sp. Characterising the potentially interactive nature of the combined effects of multiple heavy metals is essential in order to build predictive models of future environmental impacts of metal accumulation in estuarine sediments. (C) 2010 Elsevier Ltd. All rights reserved.</v>
      </c>
      <c r="C1484" s="24" t="str">
        <f>IFERROR(__xludf.DUMMYFUNCTION("""COMPUTED_VALUE"""),"10.1016/j.envpol.2010.09.012")</f>
        <v>10.1016/j.envpol.2010.09.012</v>
      </c>
      <c r="D1484" s="24" t="str">
        <f>IFERROR(__xludf.DUMMYFUNCTION("""COMPUTED_VALUE"""),"Keck et al")</f>
        <v>Keck et al</v>
      </c>
      <c r="E1484" s="24" t="str">
        <f>IFERROR(__xludf.DUMMYFUNCTION("""COMPUTED_VALUE"""),"WOS:000285129600016")</f>
        <v>WOS:000285129600016</v>
      </c>
      <c r="F1484" s="24" t="str">
        <f>IFERROR(__xludf.DUMMYFUNCTION("""COMPUTED_VALUE"""),"[""ELIGIBLE""]")</f>
        <v>["ELIGIBLE"]</v>
      </c>
    </row>
    <row r="1485">
      <c r="A1485" s="24" t="str">
        <f>IFERROR(__xludf.DUMMYFUNCTION("""COMPUTED_VALUE"""),"Eutrophication homogenizes shallow lake macrophyte assemblages over space and time")</f>
        <v>Eutrophication homogenizes shallow lake macrophyte assemblages over space and time</v>
      </c>
      <c r="B1485" s="24" t="str">
        <f>IFERROR(__xludf.DUMMYFUNCTION("""COMPUTED_VALUE"""),"Eutrophication is commonly implicated in the reduction in macrophyte species richness in shallow lakes. However, the extent to which other more nuanced measures of macrophyte diversity, such as assemblage heterogeneity, are impacted concurrently by eutrop"&amp;"hication over space and time and the joint influences of other factors (e.g., species invasions and connectivity) remains relatively poorly documented. Using a combination of contemporary and paleoecological data, we examine how eutrophication influences "&amp;"macrophyte assemblage heterogeneity and how nutrient enrichment interacts with watercourse connectivity, lake surface area, and relative zebra mussel abundance over space (within and among lakes) and time (decades to centuries) at the landscape scale. The"&amp;" study system is the Upper Lough Erne, Northern Ireland, UK, which is composed of a large main lake and several smaller satellite lakes that vary in their hydrological connectivity to the main lake. By applying homogeneity analysis of multivariate dispers"&amp;"ions and partial redundancy analysis, we demonstrate that contemporary lake macrophyte heterogeneity and species richness are reduced in lakes with intensified eutrophication but are increased in lakes with greater zebra mussel abundance and lake surface "&amp;"area. Watercourse connectivity positively influenced assemblage heterogeneity and explained larger proportions of the variation in assemblage heterogeneity than local environmental factors, whereas variation in species richness was better related to local"&amp;" abiotic factors. Macrophyte fossil data revealed within- and among-lake assemblage homogenization post-1960, with the main lake and connected sites showing the highest rates of homogenization due to progressive eutrophication. The long-term and contempor"&amp;"ary data collectively indicate that eutrophication reduces assemblage heterogeneity over time by overriding the importance of regional processes (e.g., connectivity) and exerts stronger pressure on isolated lakes. Our results suggest further that in conne"&amp;"cted lake systems, assemblage heterogeneity may be impacted more rapidly by eutrophication than species richness. This means that early effects of eutrophication in many systems may be underestimated by monitoring that focuses solely on species richness a"&amp;"nd is not performed at adequate landscape scales.")</f>
        <v>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v>
      </c>
      <c r="C1485" s="24" t="str">
        <f>IFERROR(__xludf.DUMMYFUNCTION("""COMPUTED_VALUE"""),"10.1002/ecs2.2406")</f>
        <v>10.1002/ecs2.2406</v>
      </c>
      <c r="D1485" s="24" t="str">
        <f>IFERROR(__xludf.DUMMYFUNCTION("""COMPUTED_VALUE"""),"Keck et al")</f>
        <v>Keck et al</v>
      </c>
      <c r="E1485" s="24" t="str">
        <f>IFERROR(__xludf.DUMMYFUNCTION("""COMPUTED_VALUE"""),"WOS:000446834100017")</f>
        <v>WOS:000446834100017</v>
      </c>
      <c r="F1485" s="24" t="str">
        <f>IFERROR(__xludf.DUMMYFUNCTION("""COMPUTED_VALUE"""),"[""ELIGIBLE""]")</f>
        <v>["ELIGIBLE"]</v>
      </c>
    </row>
    <row r="1486">
      <c r="A1486" s="24" t="str">
        <f>IFERROR(__xludf.DUMMYFUNCTION("""COMPUTED_VALUE"""),"Highway pollution effects on microhabitat community structure of corticolous lichens")</f>
        <v>Highway pollution effects on microhabitat community structure of corticolous lichens</v>
      </c>
      <c r="B1486" s="24" t="str">
        <f>IFERROR(__xludf.DUMMYFUNCTION("""COMPUTED_VALUE"""),"We studied lichen communities on bole and base tree trunk segments along forest edge-to-interior gradients on opposite sides of a major highway and a control site in central North Carolina, U.S.A., to investigate if these two communities differ and if so,"&amp;" do they differ in response to highway pollution. At each site we measured various environmental parameters including ambient air NO2 concentrations, and sampled lichens on 5-7 trees along each of five parallel transects established at the forest edge and"&amp;" at 25, 60, 100 and 150 m into the forest. We compared lichen communities between the two trunk segments via species richness and composition by habit, photobiont type, and reproductive strategy. We then ran dual (bole and base) NMS ordinations with subse"&amp;"quent correlation/regression analyses to explore/test relationships of lichen parameters with environmental variables among the 15 sample transects combined. Species richness was similar between trunk segments at transect and site levels as well as overal"&amp;"l. Bole and base communities were more compositionally similar to each other at the highway sites than they were at the control site, based on Bray-Curtis similarity indices (BC). Tree base communities differed in terms of functional groupings, with great"&amp;"er proportions of squamulose, cyanolichen and sterile species than found in tree bole communities, but varyingly so among sites. Patterns of bole-base BC values with distance from the forest edge were not apparent in any of the sites. Ordination analyses "&amp;"resulted in Axis 1 representing most of the variation for each trunk segment. Along this axis, correlations were similar between boles and bases, with the strongest ones involving lichen species richness (negative) and NO2 concentrations (positive); notab"&amp;"ly weak correlations involved tree species number, canopy cover and DBH. Similar patterns were found when lichen species number was correlated with environmental parameters directly, with NO2 concentration correlating strongest at each trunk segment. Amon"&amp;"g functional groups, % crustose and % fertile species on bases correlated significantly with NO2. Lichen species-NO2 relationships on boles and bases were both found to be highly significant quadratic relationships with base lichen richness being stronger"&amp;".")</f>
        <v>We studied lichen communities on bole and base tree trunk segments along forest edge-to-interior gradients on opposite sides of a major highway and a control site in central North Carolina, U.S.A., to investigate if these two communities differ and if so, do they differ in response to highway pollution. At each site we measured various environmental parameters including ambient air NO2 concentrations, and sampled lichens on 5-7 trees along each of five parallel transects established at the forest edge and at 25, 60, 100 and 150 m into the forest. We compared lichen communities between the two trunk segments via species richness and composition by habit, photobiont type, and reproductive strategy. We then ran dual (bole and base) NMS ordinations with subsequent correlation/regression analyses to explore/test relationships of lichen parameters with environmental variables among the 15 sample transects combined. Species richness was similar between trunk segments at transect and site levels as well as overall. Bole and base communities were more compositionally similar to each other at the highway sites than they were at the control site, based on Bray-Curtis similarity indices (BC). Tree base communities differed in terms of functional groupings, with greater proportions of squamulose, cyanolichen and sterile species than found in tree bole communities, but varyingly so among sites. Patterns of bole-base BC values with distance from the forest edge were not apparent in any of the sites. Ordination analyses resulted in Axis 1 representing most of the variation for each trunk segment. Along this axis, correlations were similar between boles and bases, with the strongest ones involving lichen species richness (negative) and NO2 concentrations (positive); notably weak correlations involved tree species number, canopy cover and DBH. Similar patterns were found when lichen species number was correlated with environmental parameters directly, with NO2 concentration correlating strongest at each trunk segment. Among functional groups, % crustose and % fertile species on bases correlated significantly with NO2. Lichen species-NO2 relationships on boles and bases were both found to be highly significant quadratic relationships with base lichen richness being stronger.</v>
      </c>
      <c r="C1486" s="24" t="str">
        <f>IFERROR(__xludf.DUMMYFUNCTION("""COMPUTED_VALUE"""),"10.1639/0007-2745-121.1.001")</f>
        <v>10.1639/0007-2745-121.1.001</v>
      </c>
      <c r="D1486" s="24" t="str">
        <f>IFERROR(__xludf.DUMMYFUNCTION("""COMPUTED_VALUE"""),"Keck et al")</f>
        <v>Keck et al</v>
      </c>
      <c r="E1486" s="24" t="str">
        <f>IFERROR(__xludf.DUMMYFUNCTION("""COMPUTED_VALUE"""),"WOS:000431655100001")</f>
        <v>WOS:000431655100001</v>
      </c>
      <c r="F1486" s="24" t="str">
        <f>IFERROR(__xludf.DUMMYFUNCTION("""COMPUTED_VALUE"""),"[""ELIGIBLE""]")</f>
        <v>["ELIGIBLE"]</v>
      </c>
    </row>
    <row r="1487">
      <c r="A1487" s="24" t="str">
        <f>IFERROR(__xludf.DUMMYFUNCTION("""COMPUTED_VALUE"""),"Effects of the herbicides metazachlor and flufenacet on phytoplankton communities - A microcosm assay")</f>
        <v>Effects of the herbicides metazachlor and flufenacet on phytoplankton communities - A microcosm assay</v>
      </c>
      <c r="B1487" s="24" t="str">
        <f>IFERROR(__xludf.DUMMYFUNCTION("""COMPUTED_VALUE"""),"Agrochemicals are the main pollutants in freshwater ecosystems. Metazachlor and flufenacet are two common herbicides applied in fall (i.e., August-October) to agricultural fields in Northern Germany. High concentrations of these herbicides are often found"&amp;" in adjacent aquatic ecosystems. Phytoplankton are one of the highly susceptible non-targeted aquatic organismal groups for herbicides and effects on phytoplankton may initiate a chain of consequences in meta communities through trophic interactions. Few "&amp;"studies have focused on responses of the phytoplankton community for metazachlor and, no studies have focused on flufenacet. We studied the effects of metazachlor and flufenacet on the phytoplankton community by conducting a microcosm experiment exposing "&amp;"natural fall phytoplankton communities to environmentally realistic concentrations as 0 (control), 0.5, 5 and 50 mu g L-1 of metazachlor and flufenacet treatments over a 4-week period. We measured changes in density, composition (i.e., in phyla and specie"&amp;"s level), taxonomic diversity indices, and functional features of phytoplankton communities as a response to herbicides. A reduction in the density of Chlorophyta species (e.g., Koliella longiseta, Selenastrum bibraianum) and Cyanobacteria species (e.g., "&amp;"Merismopedia tenuissima and Aphanocapsa elegans) was observed in herbicide treatments compared to controls. The phytoplankton community shifted towards a high density of species from Bacillariophyta (e.g., Nitzschia fonticola and Cyclotella meneghiniana),"&amp;" Miozoa (i.e., Peridinium willei), and Euglenozoa (i.e., Trachelomonas volvocina) in herbicide treatments compared to controls. Metazachlor and flufenacet showed significant negative effects on taxonomic diversity indices (e.g., species richness, the Shan"&amp;"non-Wiener index) and functional features (e.g., functional dispersion and redundancy) of the phytoplankton communities, with increasing herbicide concentrations. Our study provides insights into direct, selective, and irrecoverable effects of metazachlor"&amp;" and flufenacet on phytoplankton communities in the short-term. The comprehensive understanding of these effects of environmentally realistic herbicide concentrations on aquatic biota is essential for a sustainable management of aquatic ecosystems in agri"&amp;"cultural areas.")</f>
        <v>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mu 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v>
      </c>
      <c r="C1487" s="24" t="str">
        <f>IFERROR(__xludf.DUMMYFUNCTION("""COMPUTED_VALUE"""),"10.1016/j.ecoenv.2021.113036")</f>
        <v>10.1016/j.ecoenv.2021.113036</v>
      </c>
      <c r="D1487" s="24" t="str">
        <f>IFERROR(__xludf.DUMMYFUNCTION("""COMPUTED_VALUE"""),"Keck et al")</f>
        <v>Keck et al</v>
      </c>
      <c r="E1487" s="24" t="str">
        <f>IFERROR(__xludf.DUMMYFUNCTION("""COMPUTED_VALUE"""),"WOS:000740121400005")</f>
        <v>WOS:000740121400005</v>
      </c>
      <c r="F1487" s="24" t="str">
        <f>IFERROR(__xludf.DUMMYFUNCTION("""COMPUTED_VALUE"""),"[""ELIGIBLE""]")</f>
        <v>["ELIGIBLE"]</v>
      </c>
    </row>
    <row r="1488">
      <c r="A1488" s="24" t="str">
        <f>IFERROR(__xludf.DUMMYFUNCTION("""COMPUTED_VALUE"""),"The contribution of man-made ditches to the regional stream biodiversity of the new river watershed in the Florida panhandle")</f>
        <v>The contribution of man-made ditches to the regional stream biodiversity of the new river watershed in the Florida panhandle</v>
      </c>
      <c r="B1488" s="24" t="str">
        <f>IFERROR(__xludf.DUMMYFUNCTION("""COMPUTED_VALUE"""),"The role of ditches as reservoirs for or contributors to regional diversity has rarely been assessed. In this study, we aimed (1) to assess the effect of ditches on aquatic faunal assemblages of first order streams and (2) to assess the extent to which th"&amp;"e animal communities in altered streams that are crossed by ditches resembled those found in nearby natural streams. We examined the fauna of four different aquatic habitats of the New River watershed in the Florida Panhandle: (1) natural streams, (2) alt"&amp;"ered streams, (3) ditches that cross the altered streams, and (4) ditches that do not cross the altered streams, sampling these habitats in three geographically distinct sites and visiting each location three times during a summer. Ditches did not have th"&amp;"e same environmental features as streams and as a result their faunal community did not completely mimic those of natural streams. Streams contained 50% less aquatic vegetation and more canopy cover, while natural streams were more acidic than any other h"&amp;"abitat. The connected altered stream and ditch habitats contained the highest biodiversity, while natural streams contained the lowest. Our ordination of taxonomic composition did not reveal any significant differences between habitats. However, natural s"&amp;"treams were more likely to contain Hyalella spp., Oligochaetes, and Palaemonetes spp. than other sites, yet did not contain Baetidae spp., Naucorida spp., Trepobate spp., Dolomedes okefinokensis, Leptolucania ommata, or any Centrarcids. These results indi"&amp;"cate the importance of ditches within this system as a reservoir for and contributor to regional stream biodiversity and this finding should be taken into consideration by managers for the conservation of the regional freshwater biodiversity.")</f>
        <v>The role of ditches as reservoirs for or contributors to regional diversity has rarely been assessed. In this study, we aimed (1) to assess the effect of ditches on aquatic faunal assemblages of first order streams and (2) to assess the extent to which the animal communities in altered streams that are crossed by ditches resembled those found in nearby natural streams. We examined the fauna of four different aquatic habitats of the New River watershed in the Florida Panhandle: (1) natural streams, (2) altered streams, (3) ditches that cross the altered streams, and (4) ditches that do not cross the altered streams, sampling these habitats in three geographically distinct sites and visiting each location three times during a summer. Ditches did not have the same environmental features as streams and as a result their faunal community did not completely mimic those of natural streams. Streams contained 50% less aquatic vegetation and more canopy cover, while natural streams were more acidic than any other habitat. The connected altered stream and ditch habitats contained the highest biodiversity, while natural streams contained the lowest. Our ordination of taxonomic composition did not reveal any significant differences between habitats. However, natural streams were more likely to contain Hyalella spp., Oligochaetes, and Palaemonetes spp. than other sites, yet did not contain Baetidae spp., Naucorida spp., Trepobate spp., Dolomedes okefinokensis, Leptolucania ommata, or any Centrarcids. These results indicate the importance of ditches within this system as a reservoir for and contributor to regional stream biodiversity and this finding should be taken into consideration by managers for the conservation of the regional freshwater biodiversity.</v>
      </c>
      <c r="C1488" s="24" t="str">
        <f>IFERROR(__xludf.DUMMYFUNCTION("""COMPUTED_VALUE"""),"10.1007/s10750-010-0521-3")</f>
        <v>10.1007/s10750-010-0521-3</v>
      </c>
      <c r="D1488" s="24" t="str">
        <f>IFERROR(__xludf.DUMMYFUNCTION("""COMPUTED_VALUE"""),"Keck et al")</f>
        <v>Keck et al</v>
      </c>
      <c r="E1488" s="24" t="str">
        <f>IFERROR(__xludf.DUMMYFUNCTION("""COMPUTED_VALUE"""),"WOS:000285064900014")</f>
        <v>WOS:000285064900014</v>
      </c>
      <c r="F1488" s="24" t="str">
        <f>IFERROR(__xludf.DUMMYFUNCTION("""COMPUTED_VALUE"""),"[""ELIGIBLE""]")</f>
        <v>["ELIGIBLE"]</v>
      </c>
    </row>
    <row r="1489">
      <c r="A1489" s="24" t="str">
        <f>IFERROR(__xludf.DUMMYFUNCTION("""COMPUTED_VALUE"""),"Chemical multi-contamination drives benthic prokaryotic diversity in the anthropized Toulon Bay")</f>
        <v>Chemical multi-contamination drives benthic prokaryotic diversity in the anthropized Toulon Bay</v>
      </c>
      <c r="B1489" s="24" t="str">
        <f>IFERROR(__xludf.DUMMYFUNCTION("""COMPUTED_VALUE"""),"Investigating the impact of human activities on marine coastal ecosystems remains difficult because of the co-occurrence of numerous natural and human-induced gradients. Our aims were (i) to evaluate the links between the chemical environment as a whole a"&amp;"nd microbial diversity in the benthic compartment, and (ii) to compare the contributions of anthropogenic and natural chemical gradients to microbial diversity shifts. We studied surface sediments from 54 sampling sites in the semi-enclosed Toulon Bay (NW"&amp;" Mediterranean) exposed to high anthropogenic pressure. Previously published chemical data were completed by new measurements, resulting in an in depth geochemical characterization by 29 representative environmental variables. Bacterial and archaeal diver"&amp;"sity was assessed by terminal restriction fragment length polymorphism profiling on a selection of samples distributed along chemical gradients. Multivariate statistical analyses explained from 45% to 80% of the spatial variation in microbial diversity, c"&amp;"onsidering only the chemical variables. A selection of trace metals of anthropogenic origin appeared to be strong structural factors for both bacterial and archaeal communities. Bacterial terminal restriction fragment (T-RF) richness correlated strongly w"&amp;"ith both anthropogenic and natural chemical gradients, whereas archaeal T-RF richness demonstrated fewer links with chemical variables. No significant decrease in diversity was evidenced in relation to chemical contamination, suggesting a high adaptive po"&amp;"tential of benthic microbial communities in Toulon Bay. (C) 2016 Elsevier B.V. All rights reserved.")</f>
        <v>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v>
      </c>
      <c r="C1489" s="24" t="str">
        <f>IFERROR(__xludf.DUMMYFUNCTION("""COMPUTED_VALUE"""),"10.1016/j.scitotenv.2016.02.038")</f>
        <v>10.1016/j.scitotenv.2016.02.038</v>
      </c>
      <c r="D1489" s="24" t="str">
        <f>IFERROR(__xludf.DUMMYFUNCTION("""COMPUTED_VALUE"""),"Keck et al")</f>
        <v>Keck et al</v>
      </c>
      <c r="E1489" s="24" t="str">
        <f>IFERROR(__xludf.DUMMYFUNCTION("""COMPUTED_VALUE"""),"WOS:000373278700032")</f>
        <v>WOS:000373278700032</v>
      </c>
      <c r="F1489" s="24" t="str">
        <f>IFERROR(__xludf.DUMMYFUNCTION("""COMPUTED_VALUE"""),"[""ELIGIBLE""]")</f>
        <v>["ELIGIBLE"]</v>
      </c>
    </row>
    <row r="1490">
      <c r="A1490" s="24" t="str">
        <f>IFERROR(__xludf.DUMMYFUNCTION("""COMPUTED_VALUE"""),"Similar topologies of individual-based plant-herbivorous networks in forest interior and anthropogenic edges")</f>
        <v>Similar topologies of individual-based plant-herbivorous networks in forest interior and anthropogenic edges</v>
      </c>
      <c r="B1490" s="24" t="str">
        <f>IFERROR(__xludf.DUMMYFUNCTION("""COMPUTED_VALUE"""),"Understanding the impacts of edge effects on ecological interactions plays an integral role in planning ecosystem recovery from human perturbations, as well as conservation of habitats. Edge effects related to forest fragmentation cause changes in species"&amp;" diversity that can disrupt ecological networks. Here, we evaluated how the diversity of, and interactions between, herbivorous insects associated with individuals of a pioneer plant species, Mabea fistulifera (Euphorbiaceae) are affected by the disturban"&amp;"ces related to edge effects. We addressed two specific questions: (i) How do the forest edges affect species richness, abundance and composition of herbivorous interacting with M. fistulifera? (ii) Do different disturbances related to edge effects affect "&amp;"the topology of individual-based plant-herbivorous networks? Herbivorous insects were sampled from three population patches of M. fistulifera in Brazilian Atlantic forest areas: two areas were subjected to distinct intensities of anthropogenic disturbance"&amp;"s (firebreak and park access road, considered edges of low- and high-impact, respectively), and one in the forest interior (control). We expected a lower species richness and abundance of herbivorous interacting with plants in forest edges than in the for"&amp;"est interior apart from to differences in the species composition. Therefore, based on these predictions, we expected that the various disturbances related to edge effects may change the topology of individual-based plant-herbivorous networks. We observed"&amp;" that species richness and abundance of herbivorous in high-impact environments decreased in relation to forest interior, as well the species composition differed between these areas. Disturbance jeopardised network specialisation but did not change the t"&amp;"opology of individual-based networks, which presented a modular pattern. Edges affected herbivorous diversity and decreased the interaction overlap as individual-based networks became highly specialised with increasing disturbance. These results enhance t"&amp;"he understanding of edge effects and resilience of plant-herbivorous interactions in regularly disturbed tropical environments.")</f>
        <v>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v>
      </c>
      <c r="C1490" s="24" t="str">
        <f>IFERROR(__xludf.DUMMYFUNCTION("""COMPUTED_VALUE"""),"10.1111/aec.13001")</f>
        <v>10.1111/aec.13001</v>
      </c>
      <c r="D1490" s="24" t="str">
        <f>IFERROR(__xludf.DUMMYFUNCTION("""COMPUTED_VALUE"""),"Keck et al")</f>
        <v>Keck et al</v>
      </c>
      <c r="E1490" s="24" t="str">
        <f>IFERROR(__xludf.DUMMYFUNCTION("""COMPUTED_VALUE"""),"WOS:000612539900001")</f>
        <v>WOS:000612539900001</v>
      </c>
      <c r="F1490" s="24" t="str">
        <f>IFERROR(__xludf.DUMMYFUNCTION("""COMPUTED_VALUE"""),"[""ELIGIBLE""]")</f>
        <v>["ELIGIBLE"]</v>
      </c>
    </row>
    <row r="1491">
      <c r="A1491" s="24" t="str">
        <f>IFERROR(__xludf.DUMMYFUNCTION("""COMPUTED_VALUE"""),"Functional shifts of soil microbial communities associated with Alliaria petiolata invasion")</f>
        <v>Functional shifts of soil microbial communities associated with Alliaria petiolata invasion</v>
      </c>
      <c r="B1491" s="24" t="str">
        <f>IFERROR(__xludf.DUMMYFUNCTION("""COMPUTED_VALUE"""),"Soil feedback is thought to be an important contributor to the success of invasive plants. Despite evidence that invasive plants change soil microbial diversity, the functional roles of microbes impacted by invasion are still unclear. This knowledge is a "&amp;"critical component of our understanding of ecological mechanisms of plant invasion. Mounting evidence suggests Alliaria petiolata can suppress arbuscular mycorrhizal fungi (AMF) to disrupt native plant communities in controlled laboratory and greenhouse e"&amp;"xperiments, though it is less clear if allelochemicals persist under natural field conditions. Alternatively, invasive plants may accumulate pathogens that are more harmful to competitors as predicted by the Enemy of my Enemy Hypothesis (EEH). We examined"&amp;" changes in functional groups of soil bacteria and fungi associated with ten naturally occurring populations of A. petiolata using amplicon sequences (16S and ITS rRNA). To relate soil microbial communities to impacts on co-occurring plants, we measured r"&amp;"oot infections and AMF colonization. We found no changes in the diversity and abundance of AMF in plants co-occurring with A. petiolata, suggesting that mycorrhizal suppression in the field may not be as critical to the invasion of A. petiolata as implied"&amp;" by more controlled experiments. Instead, we found changes in pathogen community composition and marginal evidence of increase in mot lesions of plants growing with A. petiolata, lending support to the EEH. In addition to these impacts on plant health, ch"&amp;"anges in ectomycorrhiza, and other nutrient cycling microbes may be important forces underlying the invasion of A. petiolata and its impact on ecosystem function.")</f>
        <v>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v>
      </c>
      <c r="C1491" s="24" t="str">
        <f>IFERROR(__xludf.DUMMYFUNCTION("""COMPUTED_VALUE"""),"10.1016/j.pedobi.2020.150700")</f>
        <v>10.1016/j.pedobi.2020.150700</v>
      </c>
      <c r="D1491" s="24" t="str">
        <f>IFERROR(__xludf.DUMMYFUNCTION("""COMPUTED_VALUE"""),"Keck et al")</f>
        <v>Keck et al</v>
      </c>
      <c r="E1491" s="24" t="str">
        <f>IFERROR(__xludf.DUMMYFUNCTION("""COMPUTED_VALUE"""),"WOS:000621352900002")</f>
        <v>WOS:000621352900002</v>
      </c>
      <c r="F1491" s="24" t="str">
        <f>IFERROR(__xludf.DUMMYFUNCTION("""COMPUTED_VALUE"""),"[""ELIGIBLE""]")</f>
        <v>["ELIGIBLE"]</v>
      </c>
    </row>
    <row r="1492">
      <c r="A1492" s="24" t="str">
        <f>IFERROR(__xludf.DUMMYFUNCTION("""COMPUTED_VALUE"""),"Long-Term Fertilization History Alters Effects of Microplastics on Soil Properties, Microbial Communities, and Functions in Diverse Farmland Ecosystem")</f>
        <v>Long-Term Fertilization History Alters Effects of Microplastics on Soil Properties, Microbial Communities, and Functions in Diverse Farmland Ecosystem</v>
      </c>
      <c r="B1492" s="24" t="str">
        <f>IFERROR(__xludf.DUMMYFUNCTION("""COMPUTED_VALUE"""),"Microplastics (MPs) pollution has caused a threat to soil ecosystem diversity and functioning globally. Recently, an increasing number of studies have reported effects of MPs on soil ecosystems. However, these studies mainly focused on soil bacterial comm"&amp;"unities and a few limited functional genes, which is why MPs effects on soil ecosystems are still not fully understood. Fertilization treatment often coinsides with MPs exposure in practice. Here, we studied effects of an environmentally relevant concentr"&amp;"ation of polyethylene on soil properties, microbial communities, and functions under different soil types and fertilization history. Our results showed that 0.2% PE MPs exposure could affect soil pH, but this effect varied according to soil type and ferti"&amp;"lization history. Long-term fertilization history could alter effects of MPs on soil bacterial and fungal communities in diverse farmland ecosystems (P &lt; 0.05). Soil fungal communities are more sensitive to MPs than bacterial communities under 0.2% PE MPs"&amp;" exposure. MPs exposure has a greater impact on the soil ecosystem with a lower microbial diversity and functional genes abundance and increases the abundance of pathogenic microorganisms. These findings provided an integrated picture to aid our understan"&amp;"ding of the impact of MPs on diverse farmland ecosystems with different fertilization histories.")</f>
        <v>Microplastics (MPs) pollution has caused a threat to soil ecosystem diversity and functioning globally. Recently, an increasing number of studies have reported effects of MPs on soil ecosystems. However, these studies mainly focused on soil bacterial communities and a few limited functional genes, which is why MPs effects on soil ecosystems are still not fully understood. Fertilization treatment often coinsides with MPs exposure in practice. Here, we studied effects of an environmentally relevant concentration of polyethylene on soil properties, microbial communities, and functions under different soil types and fertilization history. Our results showed that 0.2% PE MPs exposure could affect soil pH, but this effect varied according to soil type and fertilization history. Long-term fertilization history could alter effects of MPs on soil bacterial and fungal communities in diverse farmland ecosystems (P &lt; 0.05). Soil fungal communities are more sensitive to MPs than bacterial communities under 0.2% PE MPs exposure. MPs exposure has a greater impact on the soil ecosystem with a lower microbial diversity and functional genes abundance and increases the abundance of pathogenic microorganisms. These findings provided an integrated picture to aid our understanding of the impact of MPs on diverse farmland ecosystems with different fertilization histories.</v>
      </c>
      <c r="C1492" s="24" t="str">
        <f>IFERROR(__xludf.DUMMYFUNCTION("""COMPUTED_VALUE"""),"10.1021/acs.est.0c04849")</f>
        <v>10.1021/acs.est.0c04849</v>
      </c>
      <c r="D1492" s="24" t="str">
        <f>IFERROR(__xludf.DUMMYFUNCTION("""COMPUTED_VALUE"""),"Keck et al")</f>
        <v>Keck et al</v>
      </c>
      <c r="E1492" s="24" t="str">
        <f>IFERROR(__xludf.DUMMYFUNCTION("""COMPUTED_VALUE"""),"WOS:000643546400046")</f>
        <v>WOS:000643546400046</v>
      </c>
      <c r="F1492" s="24" t="str">
        <f>IFERROR(__xludf.DUMMYFUNCTION("""COMPUTED_VALUE"""),"[""ELIGIBLE""]")</f>
        <v>["ELIGIBLE"]</v>
      </c>
    </row>
    <row r="1493">
      <c r="A1493" s="24" t="str">
        <f>IFERROR(__xludf.DUMMYFUNCTION("""COMPUTED_VALUE"""),"Assessing Chromium Contamination in Red Soil: Monitoring the Migration of Fractions and the Change of Related Microorganisms")</f>
        <v>Assessing Chromium Contamination in Red Soil: Monitoring the Migration of Fractions and the Change of Related Microorganisms</v>
      </c>
      <c r="B1493" s="24" t="str">
        <f>IFERROR(__xludf.DUMMYFUNCTION("""COMPUTED_VALUE"""),"The improper stacking of chromium (Cr) slag poses a great threat to the environment and human health. The toxicity of Cr in soil is not only related to its total amount, but also to its fractions. A simulated experiment was conducted in laboratory to asse"&amp;"ss the environmental risk of Cr fractions migration and distribution in red soil. The results showed the content of acid-soluble and reducible Cr significantly decreased (P &lt; 0.05) in top layer but increased in middle and substratum layers over time. This"&amp;" indicated that acid-soluble and reducible Cr migrated downward with time and the relative mobility of acid-soluble Cr (0.038 mg/kgdm) was higher than that of reducible Cr (0.028 mg/kgdm). Furthermore, correlation analysis between microbial community and "&amp;"chromium fraction showed the relative abundance of Lysobacter, Flavihumibacter, Flavisolbacter, and Altererythrobacter was significantly (P &lt; 0.05) correlated with acid-soluble and reducible fractions. Thus, these microorganisms might be evaluators to ass"&amp;"ess the migration of acid-soluble and reducible fractions in red soil. In summary, this study provided a new comprehension on remediation of Cr-contaminated soil by monitoring the migration of acid-soluble and reducible fractions and the changes of relate"&amp;"d microbial groups.")</f>
        <v>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v>
      </c>
      <c r="C1493" s="24" t="str">
        <f>IFERROR(__xludf.DUMMYFUNCTION("""COMPUTED_VALUE"""),"10.3390/ijerph17082835")</f>
        <v>10.3390/ijerph17082835</v>
      </c>
      <c r="D1493" s="24" t="str">
        <f>IFERROR(__xludf.DUMMYFUNCTION("""COMPUTED_VALUE"""),"Keck et al")</f>
        <v>Keck et al</v>
      </c>
      <c r="E1493" s="24" t="str">
        <f>IFERROR(__xludf.DUMMYFUNCTION("""COMPUTED_VALUE"""),"WOS:000535744100220")</f>
        <v>WOS:000535744100220</v>
      </c>
      <c r="F1493" s="24" t="str">
        <f>IFERROR(__xludf.DUMMYFUNCTION("""COMPUTED_VALUE"""),"[""ELIGIBLE""]")</f>
        <v>["ELIGIBLE"]</v>
      </c>
    </row>
    <row r="1494">
      <c r="A1494" s="24" t="str">
        <f>IFERROR(__xludf.DUMMYFUNCTION("""COMPUTED_VALUE"""),"The importance of traditional orchards for breeding birds: The preliminary study on Central European example")</f>
        <v>The importance of traditional orchards for breeding birds: The preliminary study on Central European example</v>
      </c>
      <c r="B1494" s="24" t="str">
        <f>IFERROR(__xludf.DUMMYFUNCTION("""COMPUTED_VALUE"""),"Orchards are parts of agriculture and apart from their economic role they may preserve biodiversity in highly transformed farmlands. An increasing intensity of orchards management is known to be threat for some species, especially pollinators and birds. O"&amp;"n the other hand, the biodiversity of abandoned orchards was hardly investigated. Here, I present a survey of orchards in Poland to estimate how bird's diversities differ in response to the intensity of orchards management. In 2014, 66 orchards of three t"&amp;"ypes abandoned, extensively and intensively managed were investigated. Bird species' richness and abundance were found to be highest in abandoned orchards but overall bird diversity and species composition in abandoned did not differ from these found in e"&amp;"xtensively managed orchards. In abandoned and extensively managed orchards, hollow-dwellers and insectivores (with some rare old-forest associated species) dominated, whereas in intensively managed orchards the most diverse were ground-dwellers. Among the"&amp;" several selected environmental features, the highest impact on bird diversity was related to the tree diversity, abundance of older trees, presence of multilayer understory and heterogeneous surrounding. The preliminary study point that traditional orcha"&amp;"rds could play a important role for wood-dwelling species in agriculture and because of that the removal or replacement of all traditional orchards by intensively managed orchards should be avoided and needs of orchard protection should be implemented int"&amp;"o Agri-Environmental Schemes/High Nature Value farming systems and possibly also into habitat directive of EU. Unfortunately, the number of abandoned and extensively managed orchards is declining from agricultural landscapes, and traditional orchards are "&amp;"replaced by conventional fruit plantations. (C) 2016 Elsevier Masson SAS. All rights reserved.")</f>
        <v>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v>
      </c>
      <c r="C1494" s="24" t="str">
        <f>IFERROR(__xludf.DUMMYFUNCTION("""COMPUTED_VALUE"""),"10.1016/j.actao.2016.12.010")</f>
        <v>10.1016/j.actao.2016.12.010</v>
      </c>
      <c r="D1494" s="24" t="str">
        <f>IFERROR(__xludf.DUMMYFUNCTION("""COMPUTED_VALUE"""),"Keck et al")</f>
        <v>Keck et al</v>
      </c>
      <c r="E1494" s="24" t="str">
        <f>IFERROR(__xludf.DUMMYFUNCTION("""COMPUTED_VALUE"""),"WOS:000393635700008")</f>
        <v>WOS:000393635700008</v>
      </c>
      <c r="F1494" s="24" t="str">
        <f>IFERROR(__xludf.DUMMYFUNCTION("""COMPUTED_VALUE"""),"[""ELIGIBLE""]")</f>
        <v>["ELIGIBLE"]</v>
      </c>
    </row>
    <row r="1495">
      <c r="A1495" s="24" t="str">
        <f>IFERROR(__xludf.DUMMYFUNCTION("""COMPUTED_VALUE"""),"Microbial communities in rare earth mining soil after in-situ leaching mining")</f>
        <v>Microbial communities in rare earth mining soil after in-situ leaching mining</v>
      </c>
      <c r="B1495" s="24" t="str">
        <f>IFERROR(__xludf.DUMMYFUNCTION("""COMPUTED_VALUE"""),"In-situ leaching technology is now widely used to exploit ion adsorption rare earth ore, which has caused serious environmental problems and deterioration of mining soil ecosystems. However, our knowledge about the influences of mining operation on the mi"&amp;"crobiota in these ecosystems is currently very limited. In this study, diversity and composition of prokaryote and ammonia-oxidizing microorganisms in rare earth mining soil after in-situ leaching practice were examined using quantitative Polymerase Chain"&amp;" Reaction (qPCR) and Illumina high-throughput sequencing. Results showed that in-situ leaching mining considerably impacted microbial communities of the mining soils. The abundances of bacterial, archaeal, and ammonia-oxidizing archaea (AOA) were signific"&amp;"antly and negatively correlated with ionic rare earth elements (REEs), while their diversities were relatively stable. Total rare earth elements (TREEs) and ammonium were the strongest predictors of the bacterial community structure, and organic matter wa"&amp;"s the key factor predicting the variation in the archaeal community. Chloroflexi, Proteobacteria, Acidobacteria, and Actinobacteria were the most abundant bacterial phyla, and archaeal communities were dominated by Thaumarchaeota. Phylogenetic analysis in"&amp;"dicated that unclassified Thaumarchaeota and Crenarchaeota were the predominant AOA groups. The non-detection of ammonia-oxidizing bacteria (AOB) and the abundance of AOA indicated that archaea rather than bacteria were predominantly responsible for ammon"&amp;"ia oxidation in the mining soil. Network analysis demonstrated that positive interactions among microorganisms could increase their adaptability or resistance to this harsh environment. This study provides a comprehensive analysis of the prokaryotic commu"&amp;"nities and functional groups in rare earth mining soil after mining operation, as well as insight into the potential interactive mechanisms among soil microbes. (C) 2020 Elsevier B.V. All rights reserved.")</f>
        <v>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v>
      </c>
      <c r="C1495" s="24" t="str">
        <f>IFERROR(__xludf.DUMMYFUNCTION("""COMPUTED_VALUE"""),"10.1016/j.scitotenv.2020.142521")</f>
        <v>10.1016/j.scitotenv.2020.142521</v>
      </c>
      <c r="D1495" s="24" t="str">
        <f>IFERROR(__xludf.DUMMYFUNCTION("""COMPUTED_VALUE"""),"Keck et al")</f>
        <v>Keck et al</v>
      </c>
      <c r="E1495" s="24" t="str">
        <f>IFERROR(__xludf.DUMMYFUNCTION("""COMPUTED_VALUE"""),"WOS:000600537400046")</f>
        <v>WOS:000600537400046</v>
      </c>
      <c r="F1495" s="24" t="str">
        <f>IFERROR(__xludf.DUMMYFUNCTION("""COMPUTED_VALUE"""),"[""ELIGIBLE""]")</f>
        <v>["ELIGIBLE"]</v>
      </c>
    </row>
    <row r="1496">
      <c r="A1496" s="24" t="str">
        <f>IFERROR(__xludf.DUMMYFUNCTION("""COMPUTED_VALUE"""),"CHALLENGES IN ASSESSING ECOLOGICAL IMPACTS OF CONSTRUCTION AND DEMOLITION WASTE ON WETLANDS: A CASE STUDY")</f>
        <v>CHALLENGES IN ASSESSING ECOLOGICAL IMPACTS OF CONSTRUCTION AND DEMOLITION WASTE ON WETLANDS: A CASE STUDY</v>
      </c>
      <c r="B1496" s="24" t="str">
        <f>IFERROR(__xludf.DUMMYFUNCTION("""COMPUTED_VALUE"""),"Although wetlands are of ecological and economic importance, they continue to be lost to anthropogenic activities such as infilling. The impacts of wetland infilling with construction and demolition (C&amp;D) waste on wetland plant and dipteran (Insecta: Dipt"&amp;"era) communities were examined. Areas of wetland infilled with C&amp;D waste compared to non-infilled areas had: a) higher soil pH and lower soil moisture / organic content; b) a relatively higher percentage of ruderal plant communities; c) relatively fewer d"&amp;"ipteran families that were wetland specialist, gall-forming, parasitic and haematophagous; d) relatively lower abundances and species richness of marsh flies (Diptera: Sciomyzidae). Challenges encountered during this study included locating C&amp;D waste site"&amp;"s; obtaining permission from landowners to undertake this study; frequent damage and theft of equipment due to human interference, machinery and infilling activity. Given the current paucity of data regarding the ecological impacts of infilling with C&amp;D w"&amp;"aste on wetlands and the considerable challenges with undertaking such studies, we make recommendations for appropriate site selection and monitoring at C&amp;D waste infill sites.")</f>
        <v>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v>
      </c>
      <c r="C1496" s="24" t="str">
        <f>IFERROR(__xludf.DUMMYFUNCTION("""COMPUTED_VALUE"""),"10.15666/aeer/1202_457479")</f>
        <v>10.15666/aeer/1202_457479</v>
      </c>
      <c r="D1496" s="24" t="str">
        <f>IFERROR(__xludf.DUMMYFUNCTION("""COMPUTED_VALUE"""),"Keck et al")</f>
        <v>Keck et al</v>
      </c>
      <c r="E1496" s="24" t="str">
        <f>IFERROR(__xludf.DUMMYFUNCTION("""COMPUTED_VALUE"""),"WOS:000342047000007")</f>
        <v>WOS:000342047000007</v>
      </c>
      <c r="F1496" s="24" t="str">
        <f>IFERROR(__xludf.DUMMYFUNCTION("""COMPUTED_VALUE"""),"[""ELIGIBLE""]")</f>
        <v>["ELIGIBLE"]</v>
      </c>
    </row>
    <row r="1497">
      <c r="A1497" s="24" t="str">
        <f>IFERROR(__xludf.DUMMYFUNCTION("""COMPUTED_VALUE"""),"Imposed hydrological stability on lakes in arid Australia and effects on waterbirds")</f>
        <v>Imposed hydrological stability on lakes in arid Australia and effects on waterbirds</v>
      </c>
      <c r="B1497" s="24" t="str">
        <f>IFERROR(__xludf.DUMMYFUNCTION("""COMPUTED_VALUE"""),"Hydrological disturbances, usually floods and drying, govern the distribution and abundance of biota and ecological processes in freshwater ecosystems. Reducing hydrological variability should reduce biodiversity and affect ecological processes. Many of A"&amp;"ustralia's rivers have reduced variability with river regulation, but some remain free flowing. We tested the variability hypothesis using waterbird communities on 12 floodplain lakes, paired into six systems distributed across half of the continent, over"&amp;" the period from 1983 to 2001. Half of the floodplain lakes were regulated (reservoirs) with stable water levels, while the remainder had unaltered hydrology. We analyzed in more detail the waterbird community within the Menindee system, using eight flood"&amp;"plain lakes, paired into four groups of flow regimes. Similar but less marked patterns occurred within the Menindee system. Overall, mean density (+/-1 SE) on unregulated floodplain lakes was significantly higher (6.04 +/- 1.64 waterbirds/ha), compared wi"&amp;"th regulated floodplain lakes (0.66 +/- 0.22 waterbirds/ha). The mean number of species on floodplain lakes was significantly higher on unregulated lakes ( 17.21 +/- 0.95, n = 19), compared with regulated floodplain lakes (9.32 +/- 0.56, n = 19). Numbers "&amp;"of waterbird species were significantly higher on unregulated lakes compared with regulated lakes, reaching a higher mean accumulation value over time. High diversity was observed in three of the five functional feeding groups that feed on invertebrate po"&amp;"pulations and aquatic vegetation. The other two feeding groups (piscivores and large wading species) were similar in number and density between regulated and unregulated lakes, possibly because exotic fish species thrived in regulated lakes. Ordination an"&amp;"alyses supported these observations, clearly separating unregulated lakes and flow-regulated lakes. Reduction of hydrological variability, particularly removal of natural drying periods, affected the ecology of regulated floodplain lakes. High waterbird b"&amp;"iodiversity requires natural flooding and drying disturbance on lowland rivers, where extensive floods are punctuated by drying periods.")</f>
        <v>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v>
      </c>
      <c r="C1497" s="24" t="str">
        <f>IFERROR(__xludf.DUMMYFUNCTION("""COMPUTED_VALUE"""),"10.1890/03-0470")</f>
        <v>10.1890/03-0470</v>
      </c>
      <c r="D1497" s="24" t="str">
        <f>IFERROR(__xludf.DUMMYFUNCTION("""COMPUTED_VALUE"""),"Keck et al")</f>
        <v>Keck et al</v>
      </c>
      <c r="E1497" s="24" t="str">
        <f>IFERROR(__xludf.DUMMYFUNCTION("""COMPUTED_VALUE"""),"WOS:000224379600015")</f>
        <v>WOS:000224379600015</v>
      </c>
      <c r="F1497" s="24" t="str">
        <f>IFERROR(__xludf.DUMMYFUNCTION("""COMPUTED_VALUE"""),"[""ELIGIBLE""]")</f>
        <v>["ELIGIBLE"]</v>
      </c>
    </row>
    <row r="1498">
      <c r="A1498" s="24" t="str">
        <f>IFERROR(__xludf.DUMMYFUNCTION("""COMPUTED_VALUE"""),"Butterfly response to floral resources during early establishment at a heterogeneous prairie biomass production site in Iowa, USA")</f>
        <v>Butterfly response to floral resources during early establishment at a heterogeneous prairie biomass production site in Iowa, USA</v>
      </c>
      <c r="B1498" s="24" t="str">
        <f>IFERROR(__xludf.DUMMYFUNCTION("""COMPUTED_VALUE"""),"In the Midwestern USA, current biofuel production systems rely on high input monoculture crops that do little to support native biodiversity. The University of Northern Iowa's Tallgrass Prairie Center is investigating the feasibility of cultivating and ha"&amp;"rvesting diverse mixes of native prairie vegetation for use as a sustainable biofuel in a manner that also conserves biodiversity and protects soil and water resources. In 2009, we established 48 research plots on three soil types at an Iowa site with a u"&amp;"niform history of row crop production. We seeded each plot with one of four treatments of native prairie vegetation: (1) switchgrass monoculture, (2) warm-season grass mix (5 grass species), (3) biomass mix (16 species of grasses, legumes, and forbs), or "&amp;"(4) prairie mix (32 species of grasses, legumes, forbs, and sedges). In 2010, we measured vegetation characteristics and studied butterfly use of the plots to investigate the hypothesis that more diverse plant communities would support a greater abundance"&amp;" and diversity of butterflies. Habitat characteristics varied significantly among the plots by treatment and soil type, and butterflies responded rapidly to variation in floral abundance and richness. Averaged over the entire growing season, butterflies w"&amp;"ere six times more abundant and twice as species rich in the biomass and prairie mix plots compared to the warm-season grass and switchgrass plots. Our results suggest that implementation of biomass production using diverse mixes of native prairie vegetat"&amp;"ion on marginal lands could have positive effects on the maintenance of butterfly populations in agricultural landscapes.")</f>
        <v>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v>
      </c>
      <c r="C1498" s="24" t="str">
        <f>IFERROR(__xludf.DUMMYFUNCTION("""COMPUTED_VALUE"""),"10.1007/s10841-011-9433-4")</f>
        <v>10.1007/s10841-011-9433-4</v>
      </c>
      <c r="D1498" s="24" t="str">
        <f>IFERROR(__xludf.DUMMYFUNCTION("""COMPUTED_VALUE"""),"Keck et al")</f>
        <v>Keck et al</v>
      </c>
      <c r="E1498" s="24" t="str">
        <f>IFERROR(__xludf.DUMMYFUNCTION("""COMPUTED_VALUE"""),"WOS:000304135600013")</f>
        <v>WOS:000304135600013</v>
      </c>
      <c r="F1498" s="24" t="str">
        <f>IFERROR(__xludf.DUMMYFUNCTION("""COMPUTED_VALUE"""),"[""ELIGIBLE""]")</f>
        <v>["ELIGIBLE"]</v>
      </c>
    </row>
    <row r="1499">
      <c r="A1499" s="24" t="str">
        <f>IFERROR(__xludf.DUMMYFUNCTION("""COMPUTED_VALUE"""),"Ecological insights into the disturbances in bacterioplankton communities due to emerging organic pollutants from different anthropogenic activities along an urban river")</f>
        <v>Ecological insights into the disturbances in bacterioplankton communities due to emerging organic pollutants from different anthropogenic activities along an urban river</v>
      </c>
      <c r="B1499" s="24" t="str">
        <f>IFERROR(__xludf.DUMMYFUNCTION("""COMPUTED_VALUE"""),"Emerging organic pollutants (EOPs) in urban rivers have raised concerns regarding their eco-toxicological effects. However, the bacterioplankton community disturbances caused by EOPs in urban rivers and the associated ecological mechanisms remain unclear."&amp;" This study provided profiles of the spatial distribution of a bacterioplankton community disturbed by human activity along an urban river. The results showed that EOP concentration and composition were differently distributed in residential and industria"&amp;"l areas, which significantly influenced bacterioplankton community structure. Based on redundancy analysis, parabens (methylparaben and propylparaben) were the major factors driving bacterioplankton community changes. Parabens inhibited gram-positive bact"&amp;"eria and promoted oxidative stress-tolerant bacteria in the river ecosystem. Parabens also disturbed ecological processes of bacterioplankton community assembly, shifting from a homogeneous selection (consistent selection pressure under similar environmen"&amp;"tal condition) to stochastic processes (random changes due to birth, death, immigration, and emigration) with changing in paraben concentrations. Heterogeneous selection was predicted to dominate microbial community assembly with paraben concentration cha"&amp;"nges exceeding 61.6 ng/L, which could deteriorate the river ecosystem. Furthermore, specific bacterial genera were identified as potential bioindicators to assess the condition of EOP contaminants in the river. Overall, this study highlights significant d"&amp;"isturbances in bacterioplankton communities by EOPs at environmental concentrations, and our re-sults could facilitate generation of appropriate management strategies aimed at EOPs in urban rivers. (c) 2021 Elsevier B.V. All rights reserved.")</f>
        <v>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v>
      </c>
      <c r="C1499" s="24" t="str">
        <f>IFERROR(__xludf.DUMMYFUNCTION("""COMPUTED_VALUE"""),"10.1016/j.scitotenv.2021.148973")</f>
        <v>10.1016/j.scitotenv.2021.148973</v>
      </c>
      <c r="D1499" s="24" t="str">
        <f>IFERROR(__xludf.DUMMYFUNCTION("""COMPUTED_VALUE"""),"Keck et al")</f>
        <v>Keck et al</v>
      </c>
      <c r="E1499" s="24" t="str">
        <f>IFERROR(__xludf.DUMMYFUNCTION("""COMPUTED_VALUE"""),"WOS:000697347800008")</f>
        <v>WOS:000697347800008</v>
      </c>
      <c r="F1499" s="24" t="str">
        <f>IFERROR(__xludf.DUMMYFUNCTION("""COMPUTED_VALUE"""),"[""ELIGIBLE""]")</f>
        <v>["ELIGIBLE"]</v>
      </c>
    </row>
    <row r="1500">
      <c r="A1500" s="24" t="str">
        <f>IFERROR(__xludf.DUMMYFUNCTION("""COMPUTED_VALUE"""),"Beyond a minimum substrate supply: Sustaining saproxylic beetles in semi-natural forest management")</f>
        <v>Beyond a minimum substrate supply: Sustaining saproxylic beetles in semi-natural forest management</v>
      </c>
      <c r="B1500" s="24" t="str">
        <f>IFERROR(__xludf.DUMMYFUNCTION("""COMPUTED_VALUE"""),"Woody debris provides substrate for a large part of forest biodiversity. Many saproxylic species are threatened by deadwood removal from commercial forests. However, deadwood availability alone may be insufficient to sustain those specialist species, give"&amp;"n that naturally they inhabit diverse and dynamic forest ecosystems. We analysed the occurrence of saproxylic beetles under the conditions of semi-natural forestry in Estonia where managed stands are relatively rich in deadwood. We had two aims: (i) to es"&amp;"timate the role of deadwood amount taking into account other habitat factors for the beetles, and (ii) to contribute to the assessment of ecological sustainability of the silvicultural approaches used. The 128 studied stands represented four management st"&amp;"ages: clear-cuts, retention cuts with solitary trees, mature commercial forests, and (as reference) old growth across a gradient of forest site-types. Using flight-intercept traps and rearing from wood samples, we captured 105 pre-defined habitat speciali"&amp;"st species, of which 41% were of regional conservation concern. Site-scale occurrence of 34 species modelled for habitat factors depended mostly on management stage and forest type. Harvested sites (particularly retention cuts) were primarily preferred, a"&amp;"nd dry pine sites had a distinct fauna. Thirteen percent of target species favoured old growth, but in general, the beetle assemblages in old growth resembled those in mature commercial forest. Statistical significance of any stand characteristics (site t"&amp;"ype; stand structure) was established in only 62% of species, which indicates that there can be additional important factors, such as habitat connectivity, patch size or landscape history. These results highlight the importance of diverse forest managemen"&amp;"t and protection approaches for deadwood-dwellers, which should aim for habitat heterogeneity along with substrate diversity. For beetle diversity, retention cutting performs much better than clear-cutting, but even deadwood-rich mature stands cannot full"&amp;"y substitute old growth. We conclude that deadwood abundance serves only as a starting consideration for reconciling timber production and the conservation of deadwood dependent biodiversity. (C) 2015 Elsevier B.V. All rights reserved.")</f>
        <v>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v>
      </c>
      <c r="C1500" s="24" t="str">
        <f>IFERROR(__xludf.DUMMYFUNCTION("""COMPUTED_VALUE"""),"10.1016/j.foreco.2015.10.016")</f>
        <v>10.1016/j.foreco.2015.10.016</v>
      </c>
      <c r="D1500" s="24" t="str">
        <f>IFERROR(__xludf.DUMMYFUNCTION("""COMPUTED_VALUE"""),"Keck et al")</f>
        <v>Keck et al</v>
      </c>
      <c r="E1500" s="24" t="str">
        <f>IFERROR(__xludf.DUMMYFUNCTION("""COMPUTED_VALUE"""),"WOS:000367117400002")</f>
        <v>WOS:000367117400002</v>
      </c>
      <c r="F1500" s="24" t="str">
        <f>IFERROR(__xludf.DUMMYFUNCTION("""COMPUTED_VALUE"""),"[""ELIGIBLE""]")</f>
        <v>["ELIGIBLE"]</v>
      </c>
    </row>
    <row r="1501">
      <c r="A1501" s="24" t="str">
        <f>IFERROR(__xludf.DUMMYFUNCTION("""COMPUTED_VALUE"""),"Composition and diversity of butterflies (Lepidoptera, Papilionoidea) along an atmospheric pollution gradient in the Monterrey Metropolitan Area, Mexico")</f>
        <v>Composition and diversity of butterflies (Lepidoptera, Papilionoidea) along an atmospheric pollution gradient in the Monterrey Metropolitan Area, Mexico</v>
      </c>
      <c r="B1501" s="24" t="str">
        <f>IFERROR(__xludf.DUMMYFUNCTION("""COMPUTED_VALUE"""),"This study compares the variation of richness, abundance and diversity of butterfly species along an at-mospheric pollution gradient and during different seasons in the Monterrey Metropolitan Area, Mexico. Likewise, we analyse the influence of environment"&amp;"al variables on the abundance and richness of butterfly species and quantify the indicator species for each atmospheric pollution category. Based on spatial analy-sis of the main atmospheric pollutants and the vegetation cover conditions, four permanent s"&amp;"ampling sites were delimited. The sampling was carried out monthly in each of the sites using aerial entomological nets and ten Van Someren-Rydon traps during May 2018 to April 2019. A total of 8,570 specimens belong-ing to six families and 209 species we"&amp;"re collected. Both species richness and abundance were significantly different between all sites, except for the comparison between the moderate contamination site and the high contamination site; diversity decreased significantly with increasing levels o"&amp;"f contamination. The sea-sonality effect was absent on species richness; however, for species abundance the differences between dry season and rainy season were significant in each site excepting the moderate contamination site. Regard-ing diversity, the "&amp;"seasonal effect showed different distribution patterns according to each order. Relative humidity, vegetation cover and three pollution variables were highly correlated with both abundance and species richness. From the total number of species found, only"&amp;" 47 had a significant indicator value. This study constitutes the first faunistic contribution of butterflies as indicators of the environmental quality of urban areas in Mexico, which will help in the development of strategies for the management, plannin"&amp;"g and conservation of urban biodiversity.")</f>
        <v>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v>
      </c>
      <c r="C1501" s="24" t="str">
        <f>IFERROR(__xludf.DUMMYFUNCTION("""COMPUTED_VALUE"""),"10.3897/zookeys.1037.66001")</f>
        <v>10.3897/zookeys.1037.66001</v>
      </c>
      <c r="D1501" s="24" t="str">
        <f>IFERROR(__xludf.DUMMYFUNCTION("""COMPUTED_VALUE"""),"Keck et al")</f>
        <v>Keck et al</v>
      </c>
      <c r="E1501" s="24" t="str">
        <f>IFERROR(__xludf.DUMMYFUNCTION("""COMPUTED_VALUE"""),"WOS:000653017600003")</f>
        <v>WOS:000653017600003</v>
      </c>
      <c r="F1501" s="24" t="str">
        <f>IFERROR(__xludf.DUMMYFUNCTION("""COMPUTED_VALUE"""),"[""ELIGIBLE""]")</f>
        <v>["ELIGIBLE"]</v>
      </c>
    </row>
    <row r="1502">
      <c r="A1502" s="24" t="str">
        <f>IFERROR(__xludf.DUMMYFUNCTION("""COMPUTED_VALUE"""),"Strong differences in Quercus robur-associated ectomycorrhizal fungal communities along a forest-city soil sealing gradient")</f>
        <v>Strong differences in Quercus robur-associated ectomycorrhizal fungal communities along a forest-city soil sealing gradient</v>
      </c>
      <c r="B1502" s="24" t="str">
        <f>IFERROR(__xludf.DUMMYFUNCTION("""COMPUTED_VALUE"""),"Ectomycorrhizal fungi (EM) that associate with tree roots in a symbiotic relationship may be crucial in mediating tree health in urban environments, but research on the effects of urbanization on EM communities is very limited so far. Here, we compared EM"&amp;" communities of adult pedunculate oaks (Quercus robur) between urban and forest environments, and assessed the effect of soil sealing around the trees on their EM community composition and EM diversity. We sampled 32 oak individuals across 4 sampling clas"&amp;"ses (Street, Lane, Park and Forest), and we characterized their EM communities using 454 amplicon pyrosequencing. The EM communities were not nested but they were significantly different between all sampling classes, with a very strong community different"&amp;"iation between forest and urban trees. There were indications that EM richness declined with increasing sealed soil surface, with a significant effect of sampling class on estimated EM richness and diversity. We also identified indicator EM of the differe"&amp;"nt sampling classes. The most important soil factor affecting EM community composition was pH, followed by plant available phosphorus, total nitrogen content and organic matter. Our results may have important implications when developing EM inocula for ma"&amp;"naging tree health in urban environments. (C) 2015 Elsevier Ltd and The British Mycological Society. All rights reserved.")</f>
        <v>Ectomycorrhizal fungi (EM) that associate with tree roots in a symbiotic relationship may be crucial in mediating tree health in urban environments, but research on the effects of urbanization on EM communities is very limited so far. Here, we compared EM communities of adult pedunculate oaks (Quercus robur) between urban and forest environments, and assessed the effect of soil sealing around the trees on their EM community composition and EM diversity. We sampled 32 oak individuals across 4 sampling classes (Street, Lane, Park and Forest), and we characterized their EM communities using 454 amplicon pyrosequencing. The EM communities were not nested but they were significantly different between all sampling classes, with a very strong community differentiation between forest and urban trees. There were indications that EM richness declined with increasing sealed soil surface, with a significant effect of sampling class on estimated EM richness and diversity. We also identified indicator EM of the different sampling classes. The most important soil factor affecting EM community composition was pH, followed by plant available phosphorus, total nitrogen content and organic matter. Our results may have important implications when developing EM inocula for managing tree health in urban environments. (C) 2015 Elsevier Ltd and The British Mycological Society. All rights reserved.</v>
      </c>
      <c r="C1502" s="24" t="str">
        <f>IFERROR(__xludf.DUMMYFUNCTION("""COMPUTED_VALUE"""),"10.1016/j.funeco.2015.12.002")</f>
        <v>10.1016/j.funeco.2015.12.002</v>
      </c>
      <c r="D1502" s="24" t="str">
        <f>IFERROR(__xludf.DUMMYFUNCTION("""COMPUTED_VALUE"""),"Keck et al")</f>
        <v>Keck et al</v>
      </c>
      <c r="E1502" s="24" t="str">
        <f>IFERROR(__xludf.DUMMYFUNCTION("""COMPUTED_VALUE"""),"WOS:000373539100013")</f>
        <v>WOS:000373539100013</v>
      </c>
      <c r="F1502" s="24" t="str">
        <f>IFERROR(__xludf.DUMMYFUNCTION("""COMPUTED_VALUE"""),"[""ELIGIBLE""]")</f>
        <v>["ELIGIBLE"]</v>
      </c>
    </row>
    <row r="1503">
      <c r="A1503" s="24" t="str">
        <f>IFERROR(__xludf.DUMMYFUNCTION("""COMPUTED_VALUE"""),"Seasonality overwhelms aquacultural activity in determining the composition and assembly of the bacterial community in Lake Taihu, China")</f>
        <v>Seasonality overwhelms aquacultural activity in determining the composition and assembly of the bacterial community in Lake Taihu, China</v>
      </c>
      <c r="B1503" s="24" t="str">
        <f>IFERROR(__xludf.DUMMYFUNCTION("""COMPUTED_VALUE"""),"Aquaculture accounts for an extremely valuable and rapidly expanding sector of global food production, yet its environmental impacts on aquatic ecosystems have attracted much concern. In this study, we collected water samples from eastern Lake Taihu, Chin"&amp;"a. We targeted sites varying in their intensity of aquacultural activities and sampled them over multiple seasons. For each sample, we measured physicochemical variables, and we sequenced the 16S rRNA gene of the respective bacterial communities using an "&amp;"Illumina second-generation sequencing platform. Marked differences in diversity and bacterial community composition were observed between seasons, whereas we observed relatively weak differences between sites. Remarkable differences in the abundance of th"&amp;"e bacterial community were observed at the phylum and genus levels across the different seasons. Stochastic processes dominated the assembly of bacterial communities in the aquaculture-influenced systems, and the assembly processes of bacterial community "&amp;"differed between seasons. Our observations highlight the effect of seasonality on bacterial communities and provide a more complete knowledge base for the proper assessment of the effects of aquacultural activities on freshwater ecosystems. (C) 2019 Elsev"&amp;"ier B.V. All rights reserved.")</f>
        <v>Aquaculture accounts for an extremely valuable and rapidly expanding sector of global food production, yet its environmental impacts on aquatic ecosystems have attracted much concern. In this study, we collected water samples from eastern Lake Taihu, China. We targeted sites varying in their intensity of aquacultural activities and sampled them over multiple seasons. For each sample, we measured physicochemical variables, and we sequenced the 16S rRNA gene of the respective bacterial communities using an Illumina second-generation sequencing platform. Marked differences in diversity and bacterial community composition were observed between seasons, whereas we observed relatively weak differences between sites. Remarkable differences in the abundance of the bacterial community were observed at the phylum and genus levels across the different seasons. Stochastic processes dominated the assembly of bacterial communities in the aquaculture-influenced systems, and the assembly processes of bacterial community differed between seasons. Our observations highlight the effect of seasonality on bacterial communities and provide a more complete knowledge base for the proper assessment of the effects of aquacultural activities on freshwater ecosystems. (C) 2019 Elsevier B.V. All rights reserved.</v>
      </c>
      <c r="C1503" s="24" t="str">
        <f>IFERROR(__xludf.DUMMYFUNCTION("""COMPUTED_VALUE"""),"10.1016/j.scitotenv.2019.05.256")</f>
        <v>10.1016/j.scitotenv.2019.05.256</v>
      </c>
      <c r="D1503" s="24" t="str">
        <f>IFERROR(__xludf.DUMMYFUNCTION("""COMPUTED_VALUE"""),"Keck et al")</f>
        <v>Keck et al</v>
      </c>
      <c r="E1503" s="24" t="str">
        <f>IFERROR(__xludf.DUMMYFUNCTION("""COMPUTED_VALUE"""),"WOS:000471657600045")</f>
        <v>WOS:000471657600045</v>
      </c>
      <c r="F1503" s="24" t="str">
        <f>IFERROR(__xludf.DUMMYFUNCTION("""COMPUTED_VALUE"""),"[""ELIGIBLE""]")</f>
        <v>["ELIGIBLE"]</v>
      </c>
    </row>
    <row r="1504">
      <c r="A1504" s="24" t="str">
        <f>IFERROR(__xludf.DUMMYFUNCTION("""COMPUTED_VALUE"""),"Environmental and spatial processes influencing phytoplankton biomass along a reservoirs-river-floodplain lakes gradient: A metacommunity approach")</f>
        <v>Environmental and spatial processes influencing phytoplankton biomass along a reservoirs-river-floodplain lakes gradient: A metacommunity approach</v>
      </c>
      <c r="B1504" s="24" t="str">
        <f>IFERROR(__xludf.DUMMYFUNCTION("""COMPUTED_VALUE"""),"Evaluation of the relative influences of environmental and spatial processes in structuring aquatic metacommunities is an essential first step for understanding how these factors govern species distributions and affect spatial and temporal variability in "&amp;"community structure. Such variability has many causes and consequences at different scales. In the case of phytoplankton metacommunities, both species sorting and mass effect processes are likely to be important in structuring the patterns of biomass dist"&amp;"ribution on large spatial scales. We investigated the influences of environmental and spatial components on the phytoplankton community on a large spatial scale, consisting of a reservoirs-river-floodplain lakes gradient in a Neotropical region. Using par"&amp;"tial redundancy analysis, we partitioned the relative role of environmental (environmental filters) and spatial (asymmetric eigenvector maps) processes structuring phytoplankton biomass. A clear difference of the limnological conditions was observed betwe"&amp;"en the reservoirs and river-floodplain lakes system. High species richness and higher mean values of phytoplankton biomass were recorded in the floodplain lakes. Variation partitioning demonstrated the importance of both environmental and spatial process "&amp;"in phytoplankton biomass structuring. However, the relative importance of these processes may vary over time. Our results suggest that from a metacommunity perspective, the phytoplankton biomass of upstream reservoirs and a downstream river-floodplain lak"&amp;"es system is determined by environmental conditions (species sorting process), mainly in the floodplain lakes; and by high dispersion rates favoured by the connectivity and unidirectional flow (mass effect process), mainly between the reservoirs and the r"&amp;"iver.")</f>
        <v>Evaluation of the relative influences of environmental and spatial processes in structuring aquatic metacommunities is an essential first step for understanding how these factors govern species distributions and affect spatial and temporal variability in community structure. Such variability has many causes and consequences at different scales. In the case of phytoplankton metacommunities, both species sorting and mass effect processes are likely to be important in structuring the patterns of biomass distribution on large spatial scales. We investigated the influences of environmental and spatial components on the phytoplankton community on a large spatial scale, consisting of a reservoirs-river-floodplain lakes gradient in a Neotropical region. Using partial redundancy analysis, we partitioned the relative role of environmental (environmental filters) and spatial (asymmetric eigenvector maps) processes structuring phytoplankton biomass. A clear difference of the limnological conditions was observed between the reservoirs and river-floodplain lakes system. High species richness and higher mean values of phytoplankton biomass were recorded in the floodplain lakes. Variation partitioning demonstrated the importance of both environmental and spatial process in phytoplankton biomass structuring. However, the relative importance of these processes may vary over time. Our results suggest that from a metacommunity perspective, the phytoplankton biomass of upstream reservoirs and a downstream river-floodplain lakes system is determined by environmental conditions (species sorting process), mainly in the floodplain lakes; and by high dispersion rates favoured by the connectivity and unidirectional flow (mass effect process), mainly between the reservoirs and the river.</v>
      </c>
      <c r="C1504" s="24" t="str">
        <f>IFERROR(__xludf.DUMMYFUNCTION("""COMPUTED_VALUE"""),"10.1111/fwb.12986")</f>
        <v>10.1111/fwb.12986</v>
      </c>
      <c r="D1504" s="24" t="str">
        <f>IFERROR(__xludf.DUMMYFUNCTION("""COMPUTED_VALUE"""),"Keck et al")</f>
        <v>Keck et al</v>
      </c>
      <c r="E1504" s="24" t="str">
        <f>IFERROR(__xludf.DUMMYFUNCTION("""COMPUTED_VALUE"""),"WOS:000410094000008")</f>
        <v>WOS:000410094000008</v>
      </c>
      <c r="F1504" s="24" t="str">
        <f>IFERROR(__xludf.DUMMYFUNCTION("""COMPUTED_VALUE"""),"[""ELIGIBLE""]")</f>
        <v>["ELIGIBLE"]</v>
      </c>
    </row>
    <row r="1505">
      <c r="A1505" s="24" t="str">
        <f>IFERROR(__xludf.DUMMYFUNCTION("""COMPUTED_VALUE"""),"Tree Species Distribution along Environmental Gradients in an Area Affected by a Hydroelectric Dam in Southern Amazonia")</f>
        <v>Tree Species Distribution along Environmental Gradients in an Area Affected by a Hydroelectric Dam in Southern Amazonia</v>
      </c>
      <c r="B1505" s="24" t="str">
        <f>IFERROR(__xludf.DUMMYFUNCTION("""COMPUTED_VALUE"""),"We describe the patterns of composition and abundance of tree species and their relationships to environmental factors in an area affected by the Jirau hydroelectric dam on the Madeira River in the Brazilian state of Rondonia. Trees were sampled in 20 1-h"&amp;"a forest plots distributed among areas affected and unaffected by the hydroelectric reservoir. Predictors of species distribution included in the analyses were soil fertility (sum of bases) and texture, slope, and the vertical distance from the nearest dr"&amp;"ainage. We sampled 8504 individuals belonging to 909 species/morphospecies. Floristic differences occurred throughout the reservoir area and between the sides of the river, and were strongly associated with edaphic and geological factors. The predictor wi"&amp;"th the greatest effect on the floristic changes was the sum of bases, coupled with the vertical distance from the nearest drainage, the latter reflecting the influence of the riparian zone. The forests sampled were heterogeneous and included transitional "&amp;"formations between unflooded terra firme and seasonally inundated (varzea, campinarana) forests. Although a considerable number of species (253) were restricted to plots affected by the reservoir, most of these species have a widespread distribution in th"&amp;"e Amazon region. However, conservation measures are required in order to preserve species associations and ecosystems processes similar to those most affected by the reservoir such as the river floodplains. Our study reinforces the need to consider the he"&amp;"terogeneity of habitats affected by reservoirs when making decisions concerning the building of hydroelectric dams in the Amazon.")</f>
        <v>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v>
      </c>
      <c r="C1505" s="24" t="str">
        <f>IFERROR(__xludf.DUMMYFUNCTION("""COMPUTED_VALUE"""),"10.1111/btp.12111")</f>
        <v>10.1111/btp.12111</v>
      </c>
      <c r="D1505" s="24" t="str">
        <f>IFERROR(__xludf.DUMMYFUNCTION("""COMPUTED_VALUE"""),"Keck et al")</f>
        <v>Keck et al</v>
      </c>
      <c r="E1505" s="24" t="str">
        <f>IFERROR(__xludf.DUMMYFUNCTION("""COMPUTED_VALUE"""),"WOS:000335784700015")</f>
        <v>WOS:000335784700015</v>
      </c>
      <c r="F1505" s="24" t="str">
        <f>IFERROR(__xludf.DUMMYFUNCTION("""COMPUTED_VALUE"""),"[""ELIGIBLE""]")</f>
        <v>["ELIGIBLE"]</v>
      </c>
    </row>
    <row r="1506">
      <c r="A1506" s="24" t="str">
        <f>IFERROR(__xludf.DUMMYFUNCTION("""COMPUTED_VALUE"""),"Bird response to woody pastoral management of ancient chestnut orchards: A case study from the southern Alps")</f>
        <v>Bird response to woody pastoral management of ancient chestnut orchards: A case study from the southern Alps</v>
      </c>
      <c r="B1506" s="24" t="str">
        <f>IFERROR(__xludf.DUMMYFUNCTION("""COMPUTED_VALUE"""),"Wood-pasture abandonment is an important cause of structural homogenisation in traditionally managed forest landscapes across the Alps. In the present study, bird response to the restoration of ancient abandoned chestnut orchards was investigated by a pai"&amp;"rwise-comparison of species richness and community composition in 94 managed and unmanaged chestnut orchards on the southern slope of the Swiss Alps. Sixty-one bird species were tracked during four breeding seasons. Although managed orchards were more env"&amp;"ironmentally heterogeneous, the average number of bird species was only slightly higher in managed than unmanaged orchards, and no differences were found in species abundance and composition. We found, instead, five times as many bird species associated w"&amp;"ith managed chestnut orchards (i.e., five indicator species and 10 species exclusively observed in managed orchards) as compared to unmanaged orchards that only had one indicator and two exclusive species. We also found 11 species to be significantly asso"&amp;"ciated with managed orchards that have higher bird species richness and are mainly characterized by low tree coverage (&lt; 62.5%). We hypothesise that these results are mainly due to: (i) the high mobility of birds and the small patch size of managed orchar"&amp;"ds which may have mitigated the stronger effects expected on bird communities, and (ii) the naturally small populations of those bird species favoured by restoration which were masked by the most frequent and dominant species. Moreover, the resilience of "&amp;"bird communities to restoration could also be due to the long history of forest management and wildfires south of the Alps. When planning chestnut orchard restoration and management, we recommend considering a tree cover threshold of below 62.5% as a meas"&amp;"ure that promotes high bird species richness.")</f>
        <v>Wood-pasture abandonment is an important cause of structural homogenisation in traditionally managed forest landscapes across the Alps. In the present study, bird response to the restoration of ancient abandoned chestnut orchards was investigated by a pairwise-comparison of species richness and community composition in 94 managed and unmanaged chestnut orchards on the southern slope of the Swiss Alps. Sixty-one bird species were tracked during four breeding seasons. Although managed orchards were more environmentally heterogeneous, the average number of bird species was only slightly higher in managed than unmanaged orchards, and no differences were found in species abundance and composition. We found, instead, five times as many bird species associated with managed chestnut orchards (i.e., five indicator species and 10 species exclusively observed in managed orchards) as compared to unmanaged orchards that only had one indicator and two exclusive species. We also found 11 species to be significantly associated with managed orchards that have higher bird species richness and are mainly characterized by low tree coverage (&lt; 62.5%). We hypothesise that these results are mainly due to: (i) the high mobility of birds and the small patch size of managed orchards which may have mitigated the stronger effects expected on bird communities, and (ii) the naturally small populations of those bird species favoured by restoration which were masked by the most frequent and dominant species. Moreover, the resilience of bird communities to restoration could also be due to the long history of forest management and wildfires south of the Alps. When planning chestnut orchard restoration and management, we recommend considering a tree cover threshold of below 62.5% as a measure that promotes high bird species richness.</v>
      </c>
      <c r="C1506" s="24" t="str">
        <f>IFERROR(__xludf.DUMMYFUNCTION("""COMPUTED_VALUE"""),"10.1016/j.foreco.2019.117560")</f>
        <v>10.1016/j.foreco.2019.117560</v>
      </c>
      <c r="D1506" s="24" t="str">
        <f>IFERROR(__xludf.DUMMYFUNCTION("""COMPUTED_VALUE"""),"Keck et al")</f>
        <v>Keck et al</v>
      </c>
      <c r="E1506" s="24" t="str">
        <f>IFERROR(__xludf.DUMMYFUNCTION("""COMPUTED_VALUE"""),"WOS:000496607200023")</f>
        <v>WOS:000496607200023</v>
      </c>
      <c r="F1506" s="24" t="str">
        <f>IFERROR(__xludf.DUMMYFUNCTION("""COMPUTED_VALUE"""),"[""ELIGIBLE""]")</f>
        <v>["ELIGIBLE"]</v>
      </c>
    </row>
    <row r="1507">
      <c r="A1507" s="24" t="str">
        <f>IFERROR(__xludf.DUMMYFUNCTION("""COMPUTED_VALUE"""),"Responses of riffle beetle assemblages to deforestation in a semi-deciduous Atlantic Forest remnant")</f>
        <v>Responses of riffle beetle assemblages to deforestation in a semi-deciduous Atlantic Forest remnant</v>
      </c>
      <c r="B1507" s="24" t="str">
        <f>IFERROR(__xludf.DUMMYFUNCTION("""COMPUTED_VALUE"""),"Deforestation affects freshwater assemblages since aquatic organisms are dependent on the structure of the riparian vegetation. To investigate the responses of riffle beetles (Elmidae) to deforestation, this study assessed the structure of riffle beetle a"&amp;"ssemblages found in streams running through a large and well-preserved semi-deciduous Atlantic Forest remnant in Southern Brazil and in nearby deforested areas. Additionally, the effects of different substrate types (litter and stone) on the assemblages w"&amp;"ere assessed. Riffle beetle assemblages showed a remarkably distinct structure between forested and deforested areas. Lower abundance occurred in deforested streams. Indicator genera of forested streams were detected (e.g., Macrelmis and Microcylloepus), "&amp;"while a generalist genus (Heterelmis) predominated in deforested streams. Substrate type did not affect the composition of riffle beetle genera, although higher abundance was found in litter. Our results are likely associated with changes in the vegetatio"&amp;"n type and levels and quality of allochthonous material input between forested (native and higher levels) and deforested (exotic and lower levels) streams, which are directly linked to the feeding habits of riffle beetles. Thus, our study reveals an inter"&amp;"esting potential of riffle beetles as indicators of stream ecological integrity in semi-deciduous areas of the Atlantic Forest biome.")</f>
        <v>Deforestation affects freshwater assemblages since aquatic organisms are dependent on the structure of the riparian vegetation. To investigate the responses of riffle beetles (Elmidae) to deforestation, this study assessed the structure of riffle beetle assemblages found in streams running through a large and well-preserved semi-deciduous Atlantic Forest remnant in Southern Brazil and in nearby deforested areas. Additionally, the effects of different substrate types (litter and stone) on the assemblages were assessed. Riffle beetle assemblages showed a remarkably distinct structure between forested and deforested areas. Lower abundance occurred in deforested streams. Indicator genera of forested streams were detected (e.g., Macrelmis and Microcylloepus), while a generalist genus (Heterelmis) predominated in deforested streams. Substrate type did not affect the composition of riffle beetle genera, although higher abundance was found in litter. Our results are likely associated with changes in the vegetation type and levels and quality of allochthonous material input between forested (native and higher levels) and deforested (exotic and lower levels) streams, which are directly linked to the feeding habits of riffle beetles. Thus, our study reveals an interesting potential of riffle beetles as indicators of stream ecological integrity in semi-deciduous areas of the Atlantic Forest biome.</v>
      </c>
      <c r="C1507" s="24" t="str">
        <f>IFERROR(__xludf.DUMMYFUNCTION("""COMPUTED_VALUE"""),"10.1590/0001-3765201820160853")</f>
        <v>10.1590/0001-3765201820160853</v>
      </c>
      <c r="D1507" s="24" t="str">
        <f>IFERROR(__xludf.DUMMYFUNCTION("""COMPUTED_VALUE"""),"Keck et al")</f>
        <v>Keck et al</v>
      </c>
      <c r="E1507" s="24" t="str">
        <f>IFERROR(__xludf.DUMMYFUNCTION("""COMPUTED_VALUE"""),"WOS:000442096300022")</f>
        <v>WOS:000442096300022</v>
      </c>
      <c r="F1507" s="24" t="str">
        <f>IFERROR(__xludf.DUMMYFUNCTION("""COMPUTED_VALUE"""),"[""ELIGIBLE""]")</f>
        <v>["ELIGIBLE"]</v>
      </c>
    </row>
    <row r="1508">
      <c r="A1508" s="24" t="str">
        <f>IFERROR(__xludf.DUMMYFUNCTION("""COMPUTED_VALUE"""),"Biomonitoring of the Application of Monoculture and Integrated Multi-Trophic Aquaculture (IMTA) Using Macrobenthic Structures at Tembelas Island, Kepulauan Riau Province, Indonesia")</f>
        <v>Biomonitoring of the Application of Monoculture and Integrated Multi-Trophic Aquaculture (IMTA) Using Macrobenthic Structures at Tembelas Island, Kepulauan Riau Province, Indonesia</v>
      </c>
      <c r="B1508" s="24" t="str">
        <f>IFERROR(__xludf.DUMMYFUNCTION("""COMPUTED_VALUE"""),"Sustainable aquaculture needs to be considered when it comes to the utilization of water resources. The aim of this study was to apply biomonitoring using macrobenthic structures on both spatial and temporal applications of monoculture and integrated mult"&amp;"i-trophic aquaculture (IMTA) at Tembelas Island, Kepulauan Riau Province, Indonesia. Samples of sediment were taken from three fish farm locations, namely from an IMTA site, a monoculture site, and a reference site. Macrobenthic organisms obtained through"&amp;" rinsing, sieving, and sorting were then identified under a stereo-microscope. Diversity of the macrobenthic assemblages was analyzed with a Shannon-Wiener index (H'). Equitability was expressed through Pielou's evenness index. Finally, Bray-Curtis' non-m"&amp;"etric multi-dimensional scaling (NMDS) was used for similarities derived from log (X+1) transformed macrobenthic abundance to provide a visual representation of differences in their structure between sites over time. Results showed polychaetes exhibited d"&amp;"ifferences in both variation and abundance of genera between the farm and reference site. The assemblage of macrobenthos at the IMTA site consisted of 9 genera of gastropods, 3 genera of bivalves, 5 genera of polychaetes, and 2 genera of crustaceans. At t"&amp;"he monoculture site, 12 genera of gastropods, 4 genera of bivalves, 8 genera of polychaetes, 1 genera of crustaceans, and 1 genera of ophiuroid were observed. A relatively high abundance was observed at the reference site, with 27 genera of gastropods, 11"&amp;" genera of bivalves, 3 genera of polychaetes, and 1 genera of crustacean. The favorable water conditions and possible absence of waste input from aquaculture resulting in a more suitable habitat for macrobenthic life may explain this relative abundance. S"&amp;"ome of them were recognised as opportunistic taxa, i.e., Capitella sp., Heteromastus sp., and Lumbrinereis sp. Based on the diversity and evenness indices and the MNDS ordination, it can be concluded that the application of IMTA systems results in a suppr"&amp;"essed or reduced potential impact on environmental disturbance due to aquacultural activities.")</f>
        <v>Sustainable aquaculture needs to be considered when it comes to the utilization of water resources. The aim of this study was to apply biomonitoring using macrobenthic structures on both spatial and temporal applications of monoculture and integrated multi-trophic aquaculture (IMTA) at Tembelas Island, Kepulauan Riau Province, Indonesia. Samples of sediment were taken from three fish farm locations, namely from an IMTA site, a monoculture site, and a reference site. Macrobenthic organisms obtained through rinsing, sieving, and sorting were then identified under a stereo-microscope. Diversity of the macrobenthic assemblages was analyzed with a Shannon-Wiener index (H'). Equitability was expressed through Pielou's evenness index. Finally, Bray-Curtis' non-metric multi-dimensional scaling (NMDS) was used for similarities derived from log (X+1) transformed macrobenthic abundance to provide a visual representation of differences in their structure between sites over time. Results showed polychaetes exhibited differences in both variation and abundance of genera between the farm and reference site. The assemblage of macrobenthos at the IMTA site consisted of 9 genera of gastropods, 3 genera of bivalves, 5 genera of polychaetes, and 2 genera of crustaceans. At the monoculture site, 12 genera of gastropods, 4 genera of bivalves, 8 genera of polychaetes, 1 genera of crustaceans, and 1 genera of ophiuroid were observed. A relatively high abundance was observed at the reference site, with 27 genera of gastropods, 11 genera of bivalves, 3 genera of polychaetes, and 1 genera of crustacean. The favorable water conditions and possible absence of waste input from aquaculture resulting in a more suitable habitat for macrobenthic life may explain this relative abundance. Some of them were recognised as opportunistic taxa, i.e., Capitella sp., Heteromastus sp., and Lumbrinereis sp. Based on the diversity and evenness indices and the MNDS ordination, it can be concluded that the application of IMTA systems results in a suppressed or reduced potential impact on environmental disturbance due to aquacultural activities.</v>
      </c>
      <c r="C1508" s="24" t="str">
        <f>IFERROR(__xludf.DUMMYFUNCTION("""COMPUTED_VALUE"""),"10.3390/jmse8110942")</f>
        <v>10.3390/jmse8110942</v>
      </c>
      <c r="D1508" s="24" t="str">
        <f>IFERROR(__xludf.DUMMYFUNCTION("""COMPUTED_VALUE"""),"Keck et al")</f>
        <v>Keck et al</v>
      </c>
      <c r="E1508" s="24" t="str">
        <f>IFERROR(__xludf.DUMMYFUNCTION("""COMPUTED_VALUE"""),"WOS:000593235000001")</f>
        <v>WOS:000593235000001</v>
      </c>
      <c r="F1508" s="24" t="str">
        <f>IFERROR(__xludf.DUMMYFUNCTION("""COMPUTED_VALUE"""),"[""ELIGIBLE""]")</f>
        <v>["ELIGIBLE"]</v>
      </c>
    </row>
    <row r="1509">
      <c r="A1509" s="24" t="str">
        <f>IFERROR(__xludf.DUMMYFUNCTION("""COMPUTED_VALUE"""),"Riparian forests mitigate harmful ecological effects of agricultural diffuse pollution in medium-sized streams")</f>
        <v>Riparian forests mitigate harmful ecological effects of agricultural diffuse pollution in medium-sized streams</v>
      </c>
      <c r="B1509" s="24" t="str">
        <f>IFERROR(__xludf.DUMMYFUNCTION("""COMPUTED_VALUE"""),"Agricultural pollution persists as a significant environmental problem for stream ecosystems. Uncultivated buffer zones or reforestation of riparian zones are advocated as a key management option that could compensate the harmful land use impacts. The eff"&amp;"ectiveness of riparian forests to protect ecological conditions of agricultural streams is yet inconclusive, particularly regarding the benefit of riparian buffers in streams suffering from uninterrupted agricultural diffuse pollution. We studied the effe"&amp;"cts of riparian land use on periphyton production and diatom, macrophyte and benthic macroinvertebrate communities in medium-sized agricultural streams by a) comparing 18 open field and forested agricultural stream reach pairs that only differed by the ex"&amp;"tent of riparian forest cover, and b) comparing the agricultural reaches to 15 near-natural streams. We found that periphyton abundance was higher in open reaches than in the forested reaches, but diatom community structure did not respond to the riparian"&amp;" forest cover. Macrophyte and macroinvertebrate communities were clearly affected by the riparian forest cover. Graminoids dominated in open reaches, whereas bryophytes were more abundant in forested reaches. Shredding invertebrates were more abundant in "&amp;"forested reaches compared to open reaches, but grazers did not differ between the reach types. Macrophyte trait composition and macroinvertebrate community difference between the reaches were positively related to the difference in riparian forest cover. "&amp;"The community structure of all three groups in the agricultural streams differed distinctly from the near-natural streams. However, only macrophyte communities in forested agricultural reaches showed resemblance to near-natural composition. Our results su"&amp;"ggest that riparian forests provide ecological benefits that can partly compensate the impacts of agricultural diffuse pollution. However, community structure of forested agricultural reaches did not match the near-natural composition in any organism grou"&amp;"p indicating that catchment-scale management and mitigation of diffuse pollution need to be still advocated to achieve ecological goals in stream management and restoration. (C) 2018 Elsevier B.V. All rights reserved.")</f>
        <v>Agricultural pollution persists as a significant environmental problem for stream ecosystems. Uncultivated buffer zones or reforestation of riparian zones are advocated as a key management option that could compensate the harmful land use impacts. The effectiveness of riparian forests to protect ecological conditions of agricultural streams is yet inconclusive, particularly regarding the benefit of riparian buffers in streams suffering from uninterrupted agricultural diffuse pollution. We studied the effects of riparian land use on periphyton production and diatom, macrophyte and benthic macroinvertebrate communities in medium-sized agricultural streams by a) comparing 18 open field and forested agricultural stream reach pairs that only differed by the extent of riparian forest cover, and b) comparing the agricultural reaches to 15 near-natural streams. We found that periphyton abundance was higher in open reaches than in the forested reaches, but diatom community structure did not respond to the riparian forest cover. Macrophyte and macroinvertebrate communities were clearly affected by the riparian forest cover. Graminoids dominated in open reaches, whereas bryophytes were more abundant in forested reaches. Shredding invertebrates were more abundant in forested reaches compared to open reaches, but grazers did not differ between the reach types. Macrophyte trait composition and macroinvertebrate community difference between the reaches were positively related to the difference in riparian forest cover. The community structure of all three groups in the agricultural streams differed distinctly from the near-natural streams. However, only macrophyte communities in forested agricultural reaches showed resemblance to near-natural composition. Our results suggest that riparian forests provide ecological benefits that can partly compensate the impacts of agricultural diffuse pollution. However, community structure of forested agricultural reaches did not match the near-natural composition in any organism group indicating that catchment-scale management and mitigation of diffuse pollution need to be still advocated to achieve ecological goals in stream management and restoration. (C) 2018 Elsevier B.V. All rights reserved.</v>
      </c>
      <c r="C1509" s="24" t="str">
        <f>IFERROR(__xludf.DUMMYFUNCTION("""COMPUTED_VALUE"""),"10.1016/j.scitotenv.2018.08.427")</f>
        <v>10.1016/j.scitotenv.2018.08.427</v>
      </c>
      <c r="D1509" s="24" t="str">
        <f>IFERROR(__xludf.DUMMYFUNCTION("""COMPUTED_VALUE"""),"Keck et al")</f>
        <v>Keck et al</v>
      </c>
      <c r="E1509" s="24" t="str">
        <f>IFERROR(__xludf.DUMMYFUNCTION("""COMPUTED_VALUE"""),"WOS:000446076500045")</f>
        <v>WOS:000446076500045</v>
      </c>
      <c r="F1509" s="24" t="str">
        <f>IFERROR(__xludf.DUMMYFUNCTION("""COMPUTED_VALUE"""),"[""ELIGIBLE""]")</f>
        <v>["ELIGIBLE"]</v>
      </c>
    </row>
    <row r="1510">
      <c r="A1510" s="24" t="str">
        <f>IFERROR(__xludf.DUMMYFUNCTION("""COMPUTED_VALUE"""),"Changes of isopod assemblages along an urban-suburban-rural gradient in Hungary")</f>
        <v>Changes of isopod assemblages along an urban-suburban-rural gradient in Hungary</v>
      </c>
      <c r="B1510" s="24" t="str">
        <f>IFERROR(__xludf.DUMMYFUNCTION("""COMPUTED_VALUE"""),"Responses of isopod assemblages to urbanisation were studied along an urban-suburban-rural gradient representing a decrease in the intensity of human disturbance. Pitfall trapping collected six species (Armadillidium vulgare, Porcellio scaber, Porcellium "&amp;"collicola, Trachelipus ratzeburgii, Cylisticus convexus, and Trachelipus rathkii). A. vulgare occurred abundantly in all sites reflecting the broad tolerance and invasive nature of this species. Indicator species analysis demonstrated that P. scaber and T"&amp;". rathkii were significant quantitative character species for the urban site, while T. ratzeburgii was characteristic for the natural habitats (suburban and rural sites). CANOCO revealed that ground and air temperature show positive correlation with the d"&amp;"istribution of P. scaber and T. rathkii, and negative correlation with T. ratzeburgii. Nested ANOVA on trap level showed that there were no significant differences between the number of isopod species and individuals, and the diversity of isopod assemblag"&amp;"es in the three studied areas. Significant differences were observed at site level. The results did not support the hypothesis that diversity should decrease in response to habitat disturbance. They also contradicted the intermediate disturbance hypothesi"&amp;"s; species richness was not the highest in the moderately disturbed suburban area. Multivariate methods detected that the isopod assemblages of the rural and suburban areas were relatively similar, while that of the urban area was relatively separated. (c"&amp;") 2007 Elsevier Masson SAS. All rights reserved.")</f>
        <v>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v>
      </c>
      <c r="C1510" s="24" t="str">
        <f>IFERROR(__xludf.DUMMYFUNCTION("""COMPUTED_VALUE"""),"10.1016/j.ejsobi.2007.01.001")</f>
        <v>10.1016/j.ejsobi.2007.01.001</v>
      </c>
      <c r="D1510" s="24" t="str">
        <f>IFERROR(__xludf.DUMMYFUNCTION("""COMPUTED_VALUE"""),"Keck et al")</f>
        <v>Keck et al</v>
      </c>
      <c r="E1510" s="24" t="str">
        <f>IFERROR(__xludf.DUMMYFUNCTION("""COMPUTED_VALUE"""),"WOS:000247268100003")</f>
        <v>WOS:000247268100003</v>
      </c>
      <c r="F1510" s="24" t="str">
        <f>IFERROR(__xludf.DUMMYFUNCTION("""COMPUTED_VALUE"""),"[""ELIGIBLE""]")</f>
        <v>["ELIGIBLE"]</v>
      </c>
    </row>
    <row r="1511">
      <c r="A1511" s="24" t="str">
        <f>IFERROR(__xludf.DUMMYFUNCTION("""COMPUTED_VALUE"""),"The effect of dissolved nickel and copper on the adult coral Acropora muricata and its microbiome")</f>
        <v>The effect of dissolved nickel and copper on the adult coral Acropora muricata and its microbiome</v>
      </c>
      <c r="B1511" s="24" t="str">
        <f>IFERROR(__xludf.DUMMYFUNCTION("""COMPUTED_VALUE"""),"The potential impacts of mining activities on tropical coastal ecosystems are poorly understood. In particular, limited information is available on the effects of metals on scleractinian corals which are foundation species that form vital structural habit"&amp;"ats supporting other biota. This study investigated the effects of dissolved nickel and copper on the coral Acropora muricata and its associated microbiota. Corals collected from the Great Barrier Reef were exposed to dissolved nickel (45, 90, 470, 900 an"&amp;"d 9050 mu g Ni/L) or copper (4, 11, 32 and 65 mu g Cu/L) in flow through chambers at the National Sea Simulator, Townsville, Qld, Australia. After a 96-h exposure DNA metabarcoding (16S rDNA and 185 rDNA) was undertaken on all samples to detect changes in"&amp;" the structure of the coral microbiome. The controls remained healthy throughout the study period. After 36 h, bleaching was only observed in corals exposed to 32 and 65 mu g Cu/L and very high nickel concentrations (9050 mu g Ni/L). At 96 h, significant "&amp;"discolouration of corals was only observed in 470 and 900 mu g Ni/L treatments, the highest concentrations tested. While high concentrations of nickel caused bleaching, no changes in the composition of their microbiome communities were observed. In contra"&amp;"st, exposure to copper not only resulted in bleaching, but altered the composition of both the eukaryote and bacterial communities of the coral's microbiomes. Our findings showed that these effects were only evident at relatively high concentrations of ni"&amp;"ckel and copper, reflecting concentrations observed only in extremely polluted environments. Elevated metal concentrations have the capacity to alter the microbiomes which are inherently linked to coral health. Crown Copyright (C) 2019 Published by Elsevi"&amp;"er Ltd. All rights reserved.")</f>
        <v>The potential impacts of mining activities on tropical coastal ecosystems are poorly understood. In particular, limited information is available on the effects of metals on scleractinian corals which are foundation species that form vital structural habitats supporting other biota. This study investigated the effects of dissolved nickel and copper on the coral Acropora muricata and its associated microbiota. Corals collected from the Great Barrier Reef were exposed to dissolved nickel (45, 90, 470, 900 and 9050 mu g Ni/L) or copper (4, 11, 32 and 65 mu g Cu/L) in flow through chambers at the National Sea Simulator, Townsville, Qld, Australia. After a 96-h exposure DNA metabarcoding (16S rDNA and 185 rDNA) was undertaken on all samples to detect changes in the structure of the coral microbiome. The controls remained healthy throughout the study period. After 36 h, bleaching was only observed in corals exposed to 32 and 65 mu g Cu/L and very high nickel concentrations (9050 mu g Ni/L). At 96 h, significant discolouration of corals was only observed in 470 and 900 mu g Ni/L treatments, the highest concentrations tested. While high concentrations of nickel caused bleaching, no changes in the composition of their microbiome communities were observed. In contrast, exposure to copper not only resulted in bleaching, but altered the composition of both the eukaryote and bacterial communities of the coral's microbiomes. Our findings showed that these effects were only evident at relatively high concentrations of nickel and copper, reflecting concentrations observed only in extremely polluted environments. Elevated metal concentrations have the capacity to alter the microbiomes which are inherently linked to coral health. Crown Copyright (C) 2019 Published by Elsevier Ltd. All rights reserved.</v>
      </c>
      <c r="C1511" s="24" t="str">
        <f>IFERROR(__xludf.DUMMYFUNCTION("""COMPUTED_VALUE"""),"10.1016/j.envpol.2019.04.030")</f>
        <v>10.1016/j.envpol.2019.04.030</v>
      </c>
      <c r="D1511" s="24" t="str">
        <f>IFERROR(__xludf.DUMMYFUNCTION("""COMPUTED_VALUE"""),"Keck et al")</f>
        <v>Keck et al</v>
      </c>
      <c r="E1511" s="24" t="str">
        <f>IFERROR(__xludf.DUMMYFUNCTION("""COMPUTED_VALUE"""),"WOS:000471088200085")</f>
        <v>WOS:000471088200085</v>
      </c>
      <c r="F1511" s="24" t="str">
        <f>IFERROR(__xludf.DUMMYFUNCTION("""COMPUTED_VALUE"""),"[""ELIGIBLE""]")</f>
        <v>["ELIGIBLE"]</v>
      </c>
    </row>
    <row r="1512">
      <c r="A1512" s="24" t="str">
        <f>IFERROR(__xludf.DUMMYFUNCTION("""COMPUTED_VALUE"""),"An integrated insight into the response of bacterial communities to anthropogenic contaminants in a river: A case study of the Wonderfonteinspruit catchment area, South Africa")</f>
        <v>An integrated insight into the response of bacterial communities to anthropogenic contaminants in a river: A case study of the Wonderfonteinspruit catchment area, South Africa</v>
      </c>
      <c r="B1512" s="24" t="str">
        <f>IFERROR(__xludf.DUMMYFUNCTION("""COMPUTED_VALUE"""),"Bacterial communities in human-impacted rivers and streams are exposed to multiple anthropogenic contaminants, which can eventually lead to biodiversity loss and function. The Wonderfonteinspruit catchment area is impacted by operational and abandoned gol"&amp;"d mines, farms, and formal and informal settlements. In this study, we used 16S rRNA gene high-throughput sequencing to characterize bacterial communities in the lower Wonderfonteinspruit and their response to various contaminant sources. The results show"&amp;"ed that composition and structure of bacterial communities differed significantly (P&lt;0.05) between less (downstream) and more (upstream) polluted sites. The taxonomic and functional gene dissimilarities significantly correlated with each other, while down"&amp;"stream sites had more distinct functional genes. The relative abundance of Proteobacteria, Bacteroidetes and Actinobacteria was higher at upstream sites, while Acidobacteria, Cyanobacteria, Firmicutes and Verrucomicrobia were prominent at downstream sites"&amp;". In addition, upstream sites were rich in genera pathogenic and/or potentially pathogenic to humans. Multivariate and correlation analyses suggest that bacterial diversity was significantly (P&lt;0.05) impacted by pH and heavy metals (cobalt, arsenic, chrom"&amp;"ium, nickel and uranium). A significant fraction (similar to 14%) of the compositional variation was explained by a combination of anthropogenic inputs, of which mining (similar to 6%) was the main contributor to bacterial community variation. Network ana"&amp;"lysis indicated that bacterial communities had non-random inter-and intra-phyla associations and that the main taxa showed both positive and negative linkages to environmental parameters. Our results suggest that species sorting, due to environmental para"&amp;"meters, was the main process that structured bacterial communities. Furthermore, upstream sites had higher relative abundances of genes involved in xenobiotic degradation, suggesting stronger removal of polycyclic aromatic hydrocarbons and other organic c"&amp;"ompounds. This study provides insights into the influences of anthropogenic land use on bacterial community structure and functions in the lower Wonderfonteinspruit.")</f>
        <v>Bacterial communities in human-impacted rivers and streams are exposed to multiple anthropogenic contaminants, which can eventually lead to biodiversity loss and function. The Wonderfonteinspruit catchment area is impacted by operational and abandoned gold mines, farms, and formal and informal settlements. In this study, we used 16S rRNA gene high-throughput sequencing to characterize bacterial communities in the lower Wonderfonteinspruit and their response to various contaminant sources. The results showed that composition and structure of bacterial communities differed significantly (P&lt;0.05) between less (downstream) and more (upstream) polluted sites. The taxonomic and functional gene dissimilarities significantly correlated with each other, while downstream sites had more distinct functional genes. The relative abundance of Proteobacteria, Bacteroidetes and Actinobacteria was higher at upstream sites, while Acidobacteria, Cyanobacteria, Firmicutes and Verrucomicrobia were prominent at downstream sites. In addition, upstream sites were rich in genera pathogenic and/or potentially pathogenic to humans. Multivariate and correlation analyses suggest that bacterial diversity was significantly (P&lt;0.05) impacted by pH and heavy metals (cobalt, arsenic, chromium, nickel and uranium). A significant fraction (similar to 14%) of the compositional variation was explained by a combination of anthropogenic inputs, of which mining (similar to 6%) was the main contributor to bacterial community variation. Network analysis indicated that bacterial communities had non-random inter-and intra-phyla associations and that the main taxa showed both positive and negative linkages to environmental parameters. Our results suggest that species sorting, due to environmental parameters, was the main process that structured bacterial communities. Furthermore, upstream sites had higher relative abundances of genes involved in xenobiotic degradation, suggesting stronger removal of polycyclic aromatic hydrocarbons and other organic compounds. This study provides insights into the influences of anthropogenic land use on bacterial community structure and functions in the lower Wonderfonteinspruit.</v>
      </c>
      <c r="C1512" s="24" t="str">
        <f>IFERROR(__xludf.DUMMYFUNCTION("""COMPUTED_VALUE"""),"10.1371/journal.pone.0216758")</f>
        <v>10.1371/journal.pone.0216758</v>
      </c>
      <c r="D1512" s="24" t="str">
        <f>IFERROR(__xludf.DUMMYFUNCTION("""COMPUTED_VALUE"""),"Keck et al")</f>
        <v>Keck et al</v>
      </c>
      <c r="E1512" s="24" t="str">
        <f>IFERROR(__xludf.DUMMYFUNCTION("""COMPUTED_VALUE"""),"WOS:000468451000022")</f>
        <v>WOS:000468451000022</v>
      </c>
      <c r="F1512" s="24" t="str">
        <f>IFERROR(__xludf.DUMMYFUNCTION("""COMPUTED_VALUE"""),"[""ELIGIBLE""]")</f>
        <v>["ELIGIBLE"]</v>
      </c>
    </row>
    <row r="1513">
      <c r="A1513" s="24" t="str">
        <f>IFERROR(__xludf.DUMMYFUNCTION("""COMPUTED_VALUE"""),"Biodiversity associated with Sabellaria alveolata (Polychaeta: Sabellariidae) reefs: effects of human disturbances")</f>
        <v>Biodiversity associated with Sabellaria alveolata (Polychaeta: Sabellariidae) reefs: effects of human disturbances</v>
      </c>
      <c r="B1513" s="24" t="str">
        <f>IFERROR(__xludf.DUMMYFUNCTION("""COMPUTED_VALUE"""),"Infauna diversity is reported from the Sabellaria alveolata reefs in the bay of Mont Saint-Michel in France, known as the greatest European reef formation. Polychactes dominate the fauna, but other species also play a role in terms of reef functioning. Sp"&amp;"ecies richness of the associated infauna is much higher than that of the surrounding sediments and is concentrated mainly on the reef surface. Species richness clearly varied according to the three stages of reef evolution: the 'degraded' reef stage is di"&amp;"fferent from the 'ball-shaped structure' and 'platform' stages. Multivariate analyses indicate that three species communities can be distinguished, each corresponding to a different stage of reef development. The number of species is very high, but only a"&amp;" few species are restricted to a particular reef stage. Variations of surface topography and spatial heterogeneity can explain unusual associations of species that make infauna associated with S. alveolata reefs very unique. Moreover, the high densities o"&amp;"f S. alveolata (up to 60,000 ind m(-2)) raise questions regarding the role of the reefs in the ecosystem of the bay. Anthropogenic influences, notably mechanical disturbances due to fishing activity, show a steady increase and may have a serious impact on"&amp;" the assemblage diversity and the ecological stability of the reef, even though recolonization of S. alveolata is possible in degraded reef areas. An important question that must be addressed is whether human activities could influence the role of S. alve"&amp;"olata reefs in the bay of Mont Saint-Michel.")</f>
        <v>Infauna diversity is reported from the Sabellaria alveolata reefs in the bay of Mont Saint-Michel in France, known as the greatest European reef formation. Polychactes dominate the fauna, but other species also play a role in terms of reef functioning. Species richness of the associated infauna is much higher than that of the surrounding sediments and is concentrated mainly on the reef surface. Species richness clearly varied according to the three stages of reef evolution: the 'degraded' reef stage is different from the 'ball-shaped structure' and 'platform' stages. Multivariate analyses indicate that three species communities can be distinguished, each corresponding to a different stage of reef development. The number of species is very high, but only a few species are restricted to a particular reef stage. Variations of surface topography and spatial heterogeneity can explain unusual associations of species that make infauna associated with S. alveolata reefs very unique. Moreover, the high densities of S. alveolata (up to 60,000 ind m(-2)) raise questions regarding the role of the reefs in the ecosystem of the bay. Anthropogenic influences, notably mechanical disturbances due to fishing activity, show a steady increase and may have a serious impact on the assemblage diversity and the ecological stability of the reef, even though recolonization of S. alveolata is possible in degraded reef areas. An important question that must be addressed is whether human activities could influence the role of S. alveolata reefs in the bay of Mont Saint-Michel.</v>
      </c>
      <c r="C1513" s="24" t="str">
        <f>IFERROR(__xludf.DUMMYFUNCTION("""COMPUTED_VALUE"""),"10.1017/S0025315402006185")</f>
        <v>10.1017/S0025315402006185</v>
      </c>
      <c r="D1513" s="24" t="str">
        <f>IFERROR(__xludf.DUMMYFUNCTION("""COMPUTED_VALUE"""),"Keck et al")</f>
        <v>Keck et al</v>
      </c>
      <c r="E1513" s="24" t="str">
        <f>IFERROR(__xludf.DUMMYFUNCTION("""COMPUTED_VALUE"""),"WOS:000179144800011")</f>
        <v>WOS:000179144800011</v>
      </c>
      <c r="F1513" s="24" t="str">
        <f>IFERROR(__xludf.DUMMYFUNCTION("""COMPUTED_VALUE"""),"[""ELIGIBLE""]")</f>
        <v>["ELIGIBLE"]</v>
      </c>
    </row>
    <row r="1514">
      <c r="A1514" s="24" t="str">
        <f>IFERROR(__xludf.DUMMYFUNCTION("""COMPUTED_VALUE"""),"Effects of exotic fish farms on bird communities in lake and marine ecosystems")</f>
        <v>Effects of exotic fish farms on bird communities in lake and marine ecosystems</v>
      </c>
      <c r="B1514" s="24" t="str">
        <f>IFERROR(__xludf.DUMMYFUNCTION("""COMPUTED_VALUE"""),"Salmon farming is a widespread activity around the world, also known to promote diverse environmental effects on aquatic ecosystems. However, information regarding the impact of salmon farming on bird assemblages is notably scarce. We hypothesize that sal"&amp;"mon farming, by providing food subsidies and physical structures to birds, will change their local community structure. To test this hypothesis, we conducted a seasonal monitoring of bird richness, abundance, and composition at paired salmon pen and contr"&amp;"ol plots in two marine and two lake sites in southern Chile, from fall 2002 to summer 2004. Overall, salmon farming had no significant effects on species richness, but bird abundance was significantly and noticeably higher in salmon pens than in controls."&amp;" Such aggregation was mainly accounted for by the trophic guilds of omnivores, diving piscivores, carrion eaters, and perching piscivores, but not by invertebrate feeders, herbivores, and surface feeders. Species composition was also significantly and per"&amp;"sistently different between salmon pens and controls within each lake or marine locality. The patterns described above remained consistent across environment types and seasons indicating that salmon farming is changing the community structure of birds in "&amp;"both lake and marine habitats by promoting functional and aggregation responses, particularly by favoring species with broader niches. Such local patterns may thus anticipate potential threats from the ongoing expansion of the salmon industry to neighbori"&amp;"ng areas in Chile, resulting in regional changes of bird communities, toward a less diverse one and dominated by opportunistic, common, and generalist species such as gulls, vultures, and cormorants.")</f>
        <v>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v>
      </c>
      <c r="C1514" s="24" t="str">
        <f>IFERROR(__xludf.DUMMYFUNCTION("""COMPUTED_VALUE"""),"10.1007/s00114-013-1076-8")</f>
        <v>10.1007/s00114-013-1076-8</v>
      </c>
      <c r="D1514" s="24" t="str">
        <f>IFERROR(__xludf.DUMMYFUNCTION("""COMPUTED_VALUE"""),"Keck et al")</f>
        <v>Keck et al</v>
      </c>
      <c r="E1514" s="24" t="str">
        <f>IFERROR(__xludf.DUMMYFUNCTION("""COMPUTED_VALUE"""),"WOS:000321787200008")</f>
        <v>WOS:000321787200008</v>
      </c>
      <c r="F1514" s="24" t="str">
        <f>IFERROR(__xludf.DUMMYFUNCTION("""COMPUTED_VALUE"""),"[""ELIGIBLE""]")</f>
        <v>["ELIGIBLE"]</v>
      </c>
    </row>
    <row r="1515">
      <c r="A1515" s="24" t="str">
        <f>IFERROR(__xludf.DUMMYFUNCTION("""COMPUTED_VALUE"""),"Biting midges (Diptera: Ceratopogonidae) from an urban forest fragment in Central Amazon (Brazil): Effects of opening areas on abundance, richness, and composition")</f>
        <v>Biting midges (Diptera: Ceratopogonidae) from an urban forest fragment in Central Amazon (Brazil): Effects of opening areas on abundance, richness, and composition</v>
      </c>
      <c r="B1515" s="24" t="str">
        <f>IFERROR(__xludf.DUMMYFUNCTION("""COMPUTED_VALUE"""),"We assessed the immature stages of Ceratopogonidae (Diptera) in artificial containers in an urban forest fragment in Manaus (Brazil), including their behavioral, biological and ecological information. In addition, we evaluated the effects of deforestation"&amp;" in an open and forested area on Ceratopogonidae communities. Immatures were sampled between August 2012 and July 2014 in artificial containers installed in both habitat types. We collected 685 immatures of seven morpho-species of Bezzia Kieffer, Culicoid"&amp;"es Latreille, Dasyhelea Kieffer, Forcipomyia Meigen, and Palpomyia Meigen. In the open area, we recorded higher temperature and electrical conductivity values than in the forested area; however, these variables did not differ between seasons. Water volume"&amp;" was higher in open area and in rainy season, while pH was similar in both areas and seasons. Species richness was higher in forested area, but did not differ between seasons. We did not record differences in abundance between areas or seasons. Community "&amp;"composition differed between areas, but not between seasons. We provide the first records of Culicoides (Hoffmania) insignis Lutz and C. (Haematomyidium) quasiparaensis Clastrier in artificial containers from the state of Amazonas. Our results suggest tha"&amp;"t the preservation of forested areas in Amazonas is fundamental for the maintenance of the life cycle of some species of Ceratopogonidae.")</f>
        <v>We assessed the immature stages of Ceratopogonidae (Diptera) in artificial containers in an urban forest fragment in Manaus (Brazil), including their behavioral, biological and ecological information. In addition, we evaluated the effects of deforestation in an open and forested area on Ceratopogonidae communities. Immatures were sampled between August 2012 and July 2014 in artificial containers installed in both habitat types. We collected 685 immatures of seven morpho-species of Bezzia Kieffer, Culicoides Latreille, Dasyhelea Kieffer, Forcipomyia Meigen, and Palpomyia Meigen. In the open area, we recorded higher temperature and electrical conductivity values than in the forested area; however, these variables did not differ between seasons. Water volume was higher in open area and in rainy season, while pH was similar in both areas and seasons. Species richness was higher in forested area, but did not differ between seasons. We did not record differences in abundance between areas or seasons. Community composition differed between areas, but not between seasons. We provide the first records of Culicoides (Hoffmania) insignis Lutz and C. (Haematomyidium) quasiparaensis Clastrier in artificial containers from the state of Amazonas. Our results suggest that the preservation of forested areas in Amazonas is fundamental for the maintenance of the life cycle of some species of Ceratopogonidae.</v>
      </c>
      <c r="C1515" s="24" t="str">
        <f>IFERROR(__xludf.DUMMYFUNCTION("""COMPUTED_VALUE"""),"10.1590/0001-3765201720170370")</f>
        <v>10.1590/0001-3765201720170370</v>
      </c>
      <c r="D1515" s="24" t="str">
        <f>IFERROR(__xludf.DUMMYFUNCTION("""COMPUTED_VALUE"""),"Keck et al")</f>
        <v>Keck et al</v>
      </c>
      <c r="E1515" s="24" t="str">
        <f>IFERROR(__xludf.DUMMYFUNCTION("""COMPUTED_VALUE"""),"WOS:000418647100018")</f>
        <v>WOS:000418647100018</v>
      </c>
      <c r="F1515" s="24" t="str">
        <f>IFERROR(__xludf.DUMMYFUNCTION("""COMPUTED_VALUE"""),"[""ELIGIBLE""]")</f>
        <v>["ELIGIBLE"]</v>
      </c>
    </row>
    <row r="1516">
      <c r="A1516" s="24" t="str">
        <f>IFERROR(__xludf.DUMMYFUNCTION("""COMPUTED_VALUE"""),"A multimetric approach to evaluate offshore mussel aquaculture effects on the taxonomical and functional diversity of macrobenthic communities")</f>
        <v>A multimetric approach to evaluate offshore mussel aquaculture effects on the taxonomical and functional diversity of macrobenthic communities</v>
      </c>
      <c r="B1516" s="24" t="str">
        <f>IFERROR(__xludf.DUMMYFUNCTION("""COMPUTED_VALUE"""),"A multimetric approach was used to detect structural, compositional, and functional shifts in the underlying macrobenthic communities of an offshore mussel (Mytilus galloprovincialis) farm in a Portuguese Aquaculture Production Area. Sampling stations dis"&amp;"tributed inside and outside this area were used to evaluate sediment descriptors and macrobenthic samples collected before (April and September 2010) and after (June and September 2014) the initiation of mussel farming. Sediment fine fraction, organic mat"&amp;"ter content, and trace element concentrations were found to increase with depth, independently from the mussel farm. Moreover, the structure and composition of the macrobenthic communities were likewise structured by depth. Turnover was the dominant tempo"&amp;"ral and spatial pattern of beta diversity for all communities. Furthermore, the functional diversity of these communities was unaffected by the mussel farm. These results suggested that an offshore profile allowed hydrodynamic conditions to weaken the imp"&amp;"act of mussel farming and highlighted the importance of conducting an integrative multimetric analysis when studying aquaculture impacts on benthic communities.")</f>
        <v>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v>
      </c>
      <c r="C1516" s="24" t="str">
        <f>IFERROR(__xludf.DUMMYFUNCTION("""COMPUTED_VALUE"""),"10.1016/j.marenvres.2019.104774")</f>
        <v>10.1016/j.marenvres.2019.104774</v>
      </c>
      <c r="D1516" s="24" t="str">
        <f>IFERROR(__xludf.DUMMYFUNCTION("""COMPUTED_VALUE"""),"Keck et al")</f>
        <v>Keck et al</v>
      </c>
      <c r="E1516" s="24" t="str">
        <f>IFERROR(__xludf.DUMMYFUNCTION("""COMPUTED_VALUE"""),"WOS:000497258600014")</f>
        <v>WOS:000497258600014</v>
      </c>
      <c r="F1516" s="24" t="str">
        <f>IFERROR(__xludf.DUMMYFUNCTION("""COMPUTED_VALUE"""),"[""ELIGIBLE""]")</f>
        <v>["ELIGIBLE"]</v>
      </c>
    </row>
    <row r="1517">
      <c r="A1517" s="24" t="str">
        <f>IFERROR(__xludf.DUMMYFUNCTION("""COMPUTED_VALUE"""),"Edge effects as the principal cause of area effects on birds in fragmented secondary forest")</f>
        <v>Edge effects as the principal cause of area effects on birds in fragmented secondary forest</v>
      </c>
      <c r="B1517" s="24" t="str">
        <f>IFERROR(__xludf.DUMMYFUNCTION("""COMPUTED_VALUE"""),"Bird communities in tropical forests are strongly affected by both patch area and habitat edges. The fact that both effects are intrinsically confounded in space raises questions about how these two widely reported ecological patterns interact, and whethe"&amp;"r they are independent or simply different spatial manifestations of the same phenomenon. Moreover, do small patches of secondary forest, in landscapes where the most sensitive species have gone locally extinct, exhibit similar patterns to those previousl"&amp;"y observed in fragmented and continuous primary forests? We addressed these questions by testing edge-related differences in vegetation structure and bird community composition at 31 sites in fragmented and continuous landscapes in the imperilled Atlantic"&amp;" forest of Brazil. Over a two-year period, birds were captured with mist nets to a standardized effort of 680 net-hours at each site (similar to 22 000 net-hours resulting in 3381 captures from 114 species). We found that the bird community in patches of "&amp;"secondary forest was degraded in species composition compared to primary continuous forest, but still exhibited a strong response to edge effects. In fragmented secondary forests, edge and area effects also interacted, such that the magnitude of edge to i"&amp;"nterior differences on bird community composition declined markedly with patch size. The change in bird species composition between forest interiors and edges was similar to the change in community composition between large and small patches (because spec"&amp;"ies had congruent responses to edge and area), but after controlling for edge effects community composition was no longer affected by patch area. Our results show that although secondary forests hold an impoverished bird community, ecological patterns suc"&amp;"h as area and edge effects are similar to those reported for primary forests. Our data provide further evidence that edge effects are the main drivers of area effects in fragmented landscapes.")</f>
        <v>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v>
      </c>
      <c r="C1517" s="24" t="str">
        <f>IFERROR(__xludf.DUMMYFUNCTION("""COMPUTED_VALUE"""),"10.1111/j.1600-0706.2009.18061.x")</f>
        <v>10.1111/j.1600-0706.2009.18061.x</v>
      </c>
      <c r="D1517" s="24" t="str">
        <f>IFERROR(__xludf.DUMMYFUNCTION("""COMPUTED_VALUE"""),"Keck et al")</f>
        <v>Keck et al</v>
      </c>
      <c r="E1517" s="24" t="str">
        <f>IFERROR(__xludf.DUMMYFUNCTION("""COMPUTED_VALUE"""),"WOS:000278036500003")</f>
        <v>WOS:000278036500003</v>
      </c>
      <c r="F1517" s="24" t="str">
        <f>IFERROR(__xludf.DUMMYFUNCTION("""COMPUTED_VALUE"""),"[""ELIGIBLE""]")</f>
        <v>["ELIGIBLE"]</v>
      </c>
    </row>
    <row r="1518">
      <c r="A1518" s="24" t="str">
        <f>IFERROR(__xludf.DUMMYFUNCTION("""COMPUTED_VALUE"""),"Community ecotoxicology:: Invertebrate emergence from Fire Trol 934 contaminated vernal pool and salt marsh sediments under contrasting photoperiod and temperature regimes")</f>
        <v>Community ecotoxicology:: Invertebrate emergence from Fire Trol 934 contaminated vernal pool and salt marsh sediments under contrasting photoperiod and temperature regimes</v>
      </c>
      <c r="B1518" s="24" t="str">
        <f>IFERROR(__xludf.DUMMYFUNCTION("""COMPUTED_VALUE"""),"Fire retardant chemicals are being used increasingly throughout the world to effectively manage wildland fires. The widespread use and high volume of retardant products being applied increase the potential for contamination of temporary wetlands that repr"&amp;"esent critical habitat for numerous species. This study aimed at assessing the emergence response of invertebrates from fire-retardant-contaminated sediments derived from two temporary wetlands, a vernal pool and a salt marsh, which differ distinctly in t"&amp;"heir invertebrate resting egg bank structure. Two application rates (1 and 3 L m(-2)) of the commercially available fire retardant, Fire Trol 934, were used to simulate environmentally realistic contamination scenarios for wetlands situated in Mediterrane"&amp;"an grasslands and shrublands, respectively. Two contrasting emergence conditions (winter versus spring flooding conditions) were simulated to take into account the high inter- and intra-annual variability of pond filling in Mediterranean areas. Results sh"&amp;"owed a decrease in abundance (p &lt; 0.001), taxonomic richness (p &lt; 0.001) and biodiversity based on Shannon-Weaver diversity indices (p &lt; 0.001) in both wetlands and under both emergence conditions with increased retardant application rate. This was due to"&amp;" the loss of chydorids, daphnids, ostracods, and rotifers in the vernal pool, and rotifers, nematodes, protozoa and aquatic fungi in the salt marsh. The observed patterns were similar for many taxa and community metrics at either retardant level irrespect"&amp;"ive of hatching regime, suggesting that the timing of pond filling was generally not an important influence in community response to Fire Trol. A multivariate approach to characterize community structure suggests that wetlands that undergo periodic drying"&amp;" are resilient to perturbations by chemicals and that community responses to anthropogenic stressors may be well within the range of response to natural disturbances. (c) 2006 Elsevier B.V. All rights reserved.")</f>
        <v>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v>
      </c>
      <c r="C1518" s="24" t="str">
        <f>IFERROR(__xludf.DUMMYFUNCTION("""COMPUTED_VALUE"""),"10.1016/j.aquatox.2006.02.030")</f>
        <v>10.1016/j.aquatox.2006.02.030</v>
      </c>
      <c r="D1518" s="24" t="str">
        <f>IFERROR(__xludf.DUMMYFUNCTION("""COMPUTED_VALUE"""),"Keck et al")</f>
        <v>Keck et al</v>
      </c>
      <c r="E1518" s="24" t="str">
        <f>IFERROR(__xludf.DUMMYFUNCTION("""COMPUTED_VALUE"""),"WOS:000238110100007")</f>
        <v>WOS:000238110100007</v>
      </c>
      <c r="F1518" s="24" t="str">
        <f>IFERROR(__xludf.DUMMYFUNCTION("""COMPUTED_VALUE"""),"[""ELIGIBLE""]")</f>
        <v>["ELIGIBLE"]</v>
      </c>
    </row>
    <row r="1519">
      <c r="A1519" s="24" t="str">
        <f>IFERROR(__xludf.DUMMYFUNCTION("""COMPUTED_VALUE"""),"The Effects of Road De-icing Salts on Water Quality and Macroinvertebrates in Australian Alpine Areas")</f>
        <v>The Effects of Road De-icing Salts on Water Quality and Macroinvertebrates in Australian Alpine Areas</v>
      </c>
      <c r="B1519" s="24" t="str">
        <f>IFERROR(__xludf.DUMMYFUNCTION("""COMPUTED_VALUE"""),"The application of road de-icing salts has the potential to salinize fresh waters and degrade habitat for aquatic organisms. In the Australian Alps, the ecological effects of even small salinity increases from de-icing may be different than in North Ameri"&amp;"ca and Europe because of (1) differences in the evolutionary history, and (2) areas with de-icing in Australia are not located in urbanized landscapes where de-icing has been largely studied elsewhere. In this study, we tried to determine the salinity inc"&amp;"reases attributable to de-icing in Australia and the effects of this increase in salinity to stream macroinvertebrates. We observed increased salt concentrations (as measured by continuous measurements of electrical conductivity (EC) and periodic measurem"&amp;"ents of chloride concentrations) in streams near two Australian ski resorts, during the snow seasons (June to September) of 2016 to 2018. The maximum EC observed in streams in salted sites near Perisher, New South Wales, was 390 mu S cm(-1) compared with "&amp;"a maximum of 26.5 mu S cm(-1) at unsalted sites. Lower EC values (i.e., maximum 61.1 mu S cm(-1)) and short durations of salinity increases in streams near Falls Creek, Victoria, were not expected to cause an adverse biological response. Salt storage in t"&amp;"he landscape was evident at salted sites near Perisher where EC was above background levels during periods of the year when no salt was applied to roads. Stream macroinvertebrate community composition differed at sites receiving run-off from road salting "&amp;"activities near Perisher. Abundances of Oligochaeta (worms) (up to 11-fold), Dugesiidae (flat worms) (up to fourfold), and Aphroteniinae (chironomids) (up to 14-fold) increased, whereas Leptophlebiidae (mayflies) decreased by up to 100% compared with non-"&amp;"salted sites. The taxa that were less abundant where de-icing salts were present tended to be the same taxa that toxicity testing revealed to be relatively salt sensitive species. This study demonstrates a causal link between de-icing salts, elevated stre"&amp;"am salinity, and altered macroinvertebrate community composition in streams that received run-off from road de-icing activity in the Australian Alps.")</f>
        <v>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v>
      </c>
      <c r="C1519" s="24" t="str">
        <f>IFERROR(__xludf.DUMMYFUNCTION("""COMPUTED_VALUE"""),"10.1007/s00244-021-00827-1")</f>
        <v>10.1007/s00244-021-00827-1</v>
      </c>
      <c r="D1519" s="24" t="str">
        <f>IFERROR(__xludf.DUMMYFUNCTION("""COMPUTED_VALUE"""),"Keck et al")</f>
        <v>Keck et al</v>
      </c>
      <c r="E1519" s="24" t="str">
        <f>IFERROR(__xludf.DUMMYFUNCTION("""COMPUTED_VALUE"""),"WOS:000641627500001")</f>
        <v>WOS:000641627500001</v>
      </c>
      <c r="F1519" s="24" t="str">
        <f>IFERROR(__xludf.DUMMYFUNCTION("""COMPUTED_VALUE"""),"[""ELIGIBLE""]")</f>
        <v>["ELIGIBLE"]</v>
      </c>
    </row>
    <row r="1520">
      <c r="A1520" s="24" t="str">
        <f>IFERROR(__xludf.DUMMYFUNCTION("""COMPUTED_VALUE"""),"Urban marine ecology in southern California: the ability of riprap structures to serve as rocky intertidal habitat")</f>
        <v>Urban marine ecology in southern California: the ability of riprap structures to serve as rocky intertidal habitat</v>
      </c>
      <c r="B1520" s="24" t="str">
        <f>IFERROR(__xludf.DUMMYFUNCTION("""COMPUTED_VALUE"""),"Increasing human populations along marine coastlines has lead to increasing urbanization of the marine environment. Despite decades of investigations on terrestrial ecosystems, the effect of urbanization on marine life is not well understood. Riprap is th"&amp;"e rocky rubble used to build jetties, breakwaters, and armored shorelines. Roughly 30% of the southern California shoreline supports some form of riprap, while 29% of the shoreline is natural rocky substrate. Astonishingly few studies have investigated th"&amp;"is anthropogenic rocky habitat even though it rivals a natural habitat in area on a regional scale along a coastline that has been extensively studied. In this study, I compared the diversity and community structure of exposed rocky intertidal communities"&amp;" on four riprap and four natural sites in southern California. I ask the following questions: (1) does diversity or community composition differ between intertidal communities on riprap and natural rocky habitats in southern California, (2) if so, which o"&amp;"rganisms contribute to those differences, (3) which physical factors are contributing to these differences, and (4) do riprap habitats support higher abundances of invasive species than natural habitats? On average, riprap and natural rocky habitats in wa"&amp;"ve exposed environments in southern California did not differ from each other in diversity or community composition when considering the entire assemblage. However, when only mobile species were considered, they occurred in greater diversity on natural sh"&amp;"ores. These differences appear to be driven by wave exposure. The presence of invasive species was negligible in both natural and riprap habitats.")</f>
        <v>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v>
      </c>
      <c r="C1520" s="24" t="str">
        <f>IFERROR(__xludf.DUMMYFUNCTION("""COMPUTED_VALUE"""),"10.1007/s00227-009-1130-4")</f>
        <v>10.1007/s00227-009-1130-4</v>
      </c>
      <c r="D1520" s="24" t="str">
        <f>IFERROR(__xludf.DUMMYFUNCTION("""COMPUTED_VALUE"""),"Keck et al")</f>
        <v>Keck et al</v>
      </c>
      <c r="E1520" s="24" t="str">
        <f>IFERROR(__xludf.DUMMYFUNCTION("""COMPUTED_VALUE"""),"WOS:000263829900005")</f>
        <v>WOS:000263829900005</v>
      </c>
      <c r="F1520" s="24" t="str">
        <f>IFERROR(__xludf.DUMMYFUNCTION("""COMPUTED_VALUE"""),"[""ELIGIBLE""]")</f>
        <v>["ELIGIBLE"]</v>
      </c>
    </row>
    <row r="1521">
      <c r="A1521" s="24" t="str">
        <f>IFERROR(__xludf.DUMMYFUNCTION("""COMPUTED_VALUE"""),"Determination of compositional differences of lichens on Pinus brutia in different environmental conditions")</f>
        <v>Determination of compositional differences of lichens on Pinus brutia in different environmental conditions</v>
      </c>
      <c r="B1521" s="24" t="str">
        <f>IFERROR(__xludf.DUMMYFUNCTION("""COMPUTED_VALUE"""),"Aim: Epiphytic lichens are biological indicators, which can give information about the environmental changes of the ecosystem. The differences in richness and community compositions of lichens can indicate the environmental quality of their location. This"&amp;" study was done in order to examine the possible differences in richness and in community composition of lichens that may have occurred in the research area, Kursunlu Waterfall Nature Park and surroundings. Methodology: Kursunlu Waterfall Nature Park and "&amp;"surroundings was divided into 4 sections; natural area near brook, natural pine forest area, planted pine forest area and agricultural greenhouses area. The study was planned to focus on epiphytic lichens living on Pinus brutia Ten. trees. European Guidel"&amp;"ine, which is a standardized method to assess lichen diversity (LDV) on tree bark for monitoring environmental stress, was used for monitoring quality of four different environmental conditions with lichens. In order to determine the differences of lichen"&amp;" community composition of these four conditions, some statistical analyses were performed. Results: Lichen richness of planted pine forest area was found poorer and statistically different than the other areas . In addition, the lichen community compositi"&amp;"on of natural pine forest area was found significantly different than the agricultural greenhouse area and the natural area near brook, partly different than the planted pine forest area. Statistical evaluations indicate that the natural pine forest area "&amp;"had natural or semi-natural habitat characteristics and there was no or less eutrophication in this region. Also it showed that other areas were affected by the presence of human damage and eutrophic pollution load in the environment. This eutrophic pollu"&amp;"tion load was related to non-ecological agriculture applications around the park. Interpretation: This study proves that epiphytic lichens change their community composition by adapting to changes in environmental conditions. Also this study showed that l"&amp;"ichens are strong indicators of environmental quality.")</f>
        <v>Aim: Epiphytic lichens are biological indicators, which can give information about the environmental changes of the ecosystem. The differences in richness and community compositions of lichens can indicate the environmental quality of their location. This study was done in order to examine the possible differences in richness and in community composition of lichens that may have occurred in the research area, Kursunlu Waterfall Nature Park and surroundings. Methodology: Kursunlu Waterfall Nature Park and surroundings was divided into 4 sections; natural area near brook, natural pine forest area, planted pine forest area and agricultural greenhouses area. The study was planned to focus on epiphytic lichens living on Pinus brutia Ten. trees. European Guideline, which is a standardized method to assess lichen diversity (LDV) on tree bark for monitoring environmental stress, was used for monitoring quality of four different environmental conditions with lichens. In order to determine the differences of lichen community composition of these four conditions, some statistical analyses were performed. Results: Lichen richness of planted pine forest area was found poorer and statistically different than the other areas . In addition, the lichen community composition of natural pine forest area was found significantly different than the agricultural greenhouse area and the natural area near brook, partly different than the planted pine forest area. Statistical evaluations indicate that the natural pine forest area had natural or semi-natural habitat characteristics and there was no or less eutrophication in this region. Also it showed that other areas were affected by the presence of human damage and eutrophic pollution load in the environment. This eutrophic pollution load was related to non-ecological agriculture applications around the park. Interpretation: This study proves that epiphytic lichens change their community composition by adapting to changes in environmental conditions. Also this study showed that lichens are strong indicators of environmental quality.</v>
      </c>
      <c r="C1521" s="24" t="str">
        <f>IFERROR(__xludf.DUMMYFUNCTION("""COMPUTED_VALUE"""),"10.22438/jeb/41/4/MRN-1301")</f>
        <v>10.22438/jeb/41/4/MRN-1301</v>
      </c>
      <c r="D1521" s="24" t="str">
        <f>IFERROR(__xludf.DUMMYFUNCTION("""COMPUTED_VALUE"""),"Keck et al")</f>
        <v>Keck et al</v>
      </c>
      <c r="E1521" s="24" t="str">
        <f>IFERROR(__xludf.DUMMYFUNCTION("""COMPUTED_VALUE"""),"WOS:000548278200011")</f>
        <v>WOS:000548278200011</v>
      </c>
      <c r="F1521" s="24" t="str">
        <f>IFERROR(__xludf.DUMMYFUNCTION("""COMPUTED_VALUE"""),"[""ELIGIBLE""]")</f>
        <v>["ELIGIBLE"]</v>
      </c>
    </row>
    <row r="1522">
      <c r="A1522" s="24" t="str">
        <f>IFERROR(__xludf.DUMMYFUNCTION("""COMPUTED_VALUE"""),"Wastewater treatment plants (WWTPs) as a source of sediment contamination by toxic organic pollutants and fecal sterols in a semi-enclosed bay in Korea")</f>
        <v>Wastewater treatment plants (WWTPs) as a source of sediment contamination by toxic organic pollutants and fecal sterols in a semi-enclosed bay in Korea</v>
      </c>
      <c r="B1522" s="24" t="str">
        <f>IFERROR(__xludf.DUMMYFUNCTION("""COMPUTED_VALUE"""),"Toxic organic contaminants and a macrobenthic community were assayed in sediments collected near a wastewater treatment plant (WWTP) outfall to assess the impact of WWTP discharges on an aquatic environment. Average concentrations of toxic organic contami"&amp;"nants in sediments from 20 locations were 96.7 ng TEQ/kg dry matter for PCDD/Fs, 1.84 ng TEQ/kg dry matter for dioxin-like PCBs, 29.1 mu g/kg dry matter for PBDEs, 411 mu g/kg dry matter for nonylphenols, 1021 mu g/kg dry matter for fecal sterols, and 928"&amp;" mu g/kg dry matter for PAHs. Concentrations of all the organic contaminants and fecal sterols varied widely and there was a clear decrease in concentration gradients with increasing distances from the WWTP outfall. This result suggests that WWTP activiti"&amp;"es contribute to contamination by organic chemicals. A survey of benthic organisms showed the dominance of a few polychaete species, indicating a deterioration of the macrobenthic community by the WWTP discharge. Non-parametric multidimensional scaling (M"&amp;"DS) ordination and Spearman correlation analyses showed that organic contamination is associated with the benthic community structure. For polychaete species, the sensitive species for organic contaminants was Paraprionospio pinnata, while contaminant-tol"&amp;"erant species were Spiochaetopterus koreana and Capitella capitata. BIOENV analyses of all locations suggested PCDDs and PCDFs as the major contaminants influencing the structure of the macrobenthic community. The present study highlights that continuous "&amp;"WWTP discharges contribute to severe organic contamination and risks for the benthic community in an aquatic ecosystem. (c) 2008 Elsevier Ltd. All rights reserved.")</f>
        <v>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v>
      </c>
      <c r="C1522" s="24" t="str">
        <f>IFERROR(__xludf.DUMMYFUNCTION("""COMPUTED_VALUE"""),"10.1016/j.chemosphere.2008.07.038")</f>
        <v>10.1016/j.chemosphere.2008.07.038</v>
      </c>
      <c r="D1522" s="24" t="str">
        <f>IFERROR(__xludf.DUMMYFUNCTION("""COMPUTED_VALUE"""),"Keck et al")</f>
        <v>Keck et al</v>
      </c>
      <c r="E1522" s="24" t="str">
        <f>IFERROR(__xludf.DUMMYFUNCTION("""COMPUTED_VALUE"""),"WOS:000260486600003")</f>
        <v>WOS:000260486600003</v>
      </c>
      <c r="F1522" s="24" t="str">
        <f>IFERROR(__xludf.DUMMYFUNCTION("""COMPUTED_VALUE"""),"[""ELIGIBLE""]")</f>
        <v>["ELIGIBLE"]</v>
      </c>
    </row>
    <row r="1523">
      <c r="A1523" s="24" t="str">
        <f>IFERROR(__xludf.DUMMYFUNCTION("""COMPUTED_VALUE"""),"Artificial light at night at the terrestrial-aquatic interface: Effects on predators and fluxes of insect prey")</f>
        <v>Artificial light at night at the terrestrial-aquatic interface: Effects on predators and fluxes of insect prey</v>
      </c>
      <c r="B1523" s="24" t="str">
        <f>IFERROR(__xludf.DUMMYFUNCTION("""COMPUTED_VALUE"""),"The outcomes of species interactions-such as those between predators and prey-increasingly depend on environmental conditions that are modified by human activities. Light is among the most fundamental environmental parameters, and humans have dramatically"&amp;" altered natural light regimes across much of the globe through the addition of artificial light at night (ALAN). The consequences for species interactions, communities and ecosystems are just beginning to be understood. Here we present findings from a re"&amp;"plicated field experiment that simulated over-the-water lighting in the littoral zone of a small lake. We evaluated responses by emergent aquatic insects and terrestrial invertebrate communities, and riparian predators (tetragnathid spiders). On average A"&amp;"LAN plots had 51% more spiders than control plots that were not illuminated. Mean individual spider body mass was greater in ALAN plots relative to controls, an effect that was strongly sex-dependent; mean male body mass was 34% greater in ALAN plots whil"&amp;"e female body mass was 176% greater. The average number of prey items captured in spider webs was 139% greater on ALAN mesocosms, an effect attributed to emergent aquatic insects. Non-metric multidimensional scaling and a multiple response permutation pro"&amp;"cedure revealed significantly different invertebrate communities captured in pan traps positioned in ALAN plots and controls. Control plots had taxonomic-diversity values (as H') that were 58% greater than ALAN plots, and communities that were 83% more-ev"&amp;"en. We attribute these differences to the aquatic family Caenidae which was the dominant family across both light treatments, but was 818% more abundant in ALAN plots. Our findings show that when ALAN is located in close proximity to freshwater it can con"&amp;"centrate fluxes of emergent aquatic insects, and that terrestrial predators in the littoral zone can compound this effect and intercept resource flows, preventing them from entering the terrestrial realm.")</f>
        <v>The outcomes of species interactions-such as those between predators and prey-increasingly depend on environmental conditions that are modified by human activities. Light is among the most fundamental environmental parameters, and humans have dramatically altered natural light regimes across much of the globe through the addition of artificial light at night (ALAN). The consequences for species interactions, communities and ecosystems are just beginning to be understood. Here we present findings from a replicated field experiment that simulated over-the-water lighting in the littoral zone of a small lake. We evaluated responses by emergent aquatic insects and terrestrial invertebrate communities, and riparian predators (tetragnathid spiders). On average ALAN plots had 51% more spiders than control plots that were not illuminated. Mean individual spider body mass was greater in ALAN plots relative to controls, an effect that was strongly sex-dependent; mean male body mass was 34% greater in ALAN plots while female body mass was 176% greater. The average number of prey items captured in spider webs was 139% greater on ALAN mesocosms, an effect attributed to emergent aquatic insects. Non-metric multidimensional scaling and a multiple response permutation procedure revealed significantly different invertebrate communities captured in pan traps positioned in ALAN plots and controls. Control plots had taxonomic-diversity values (as H') that were 58% greater than ALAN plots, and communities that were 83% more-even. We attribute these differences to the aquatic family Caenidae which was the dominant family across both light treatments, but was 818% more abundant in ALAN plots. Our findings show that when ALAN is located in close proximity to freshwater it can concentrate fluxes of emergent aquatic insects, and that terrestrial predators in the littoral zone can compound this effect and intercept resource flows, preventing them from entering the terrestrial realm.</v>
      </c>
      <c r="C1523" s="24" t="str">
        <f>IFERROR(__xludf.DUMMYFUNCTION("""COMPUTED_VALUE"""),"10.1371/journal.pone.0240138")</f>
        <v>10.1371/journal.pone.0240138</v>
      </c>
      <c r="D1523" s="24" t="str">
        <f>IFERROR(__xludf.DUMMYFUNCTION("""COMPUTED_VALUE"""),"Keck et al")</f>
        <v>Keck et al</v>
      </c>
      <c r="E1523" s="24" t="str">
        <f>IFERROR(__xludf.DUMMYFUNCTION("""COMPUTED_VALUE"""),"WOS:000581809800029")</f>
        <v>WOS:000581809800029</v>
      </c>
      <c r="F1523" s="24" t="str">
        <f>IFERROR(__xludf.DUMMYFUNCTION("""COMPUTED_VALUE"""),"[""ELIGIBLE""]")</f>
        <v>["ELIGIBLE"]</v>
      </c>
    </row>
    <row r="1524">
      <c r="A1524" s="24" t="str">
        <f>IFERROR(__xludf.DUMMYFUNCTION("""COMPUTED_VALUE"""),"Nutrient enrichment homogenizes taxonomic and functional diversity of benthic macroinvertebrate assemblages in shallow lakes")</f>
        <v>Nutrient enrichment homogenizes taxonomic and functional diversity of benthic macroinvertebrate assemblages in shallow lakes</v>
      </c>
      <c r="B1524" s="24" t="str">
        <f>IFERROR(__xludf.DUMMYFUNCTION("""COMPUTED_VALUE"""),"Eutrophication alters the trophic dynamics in lakes and may result in biotic homogenization. How nutrient enrichment drives patterns of taxonomic and functional (i.e., trait-based) homogenization of macroinvertebrate assemblages at within-lake (local) and"&amp;" among-lake (regional) scales is, however, not well understood. Taxonomic and functional compositions of macroinvertebrate assemblages in 41 lakes of the middle and lower reaches of the Yangtze River and Huaihe River were analyzed at within-lake and among"&amp;"-lake scales. Our results indicated that there was a significant difference in macroinvertebrate assemblages among lakes under different trophic status, and that total phosphorus was the major environmental factor that regulated both taxonomic and functio"&amp;"nal beta diversity of macroinvertebrate assemblages. That the abundances of pollution-tolerant species (e.g., Limnodrilus hoffmeisteri and Microchironomus tabarui) increased with trophic state contributed the most to among-lake dissimilarity. Functional b"&amp;"eta diversity was significantly positively correlated with taxonomic beta diversity, while functional beta diversity was on average lower than taxonomic beta diversity. A combination of univariate and multivariate techniques revealed that nutrient enrichm"&amp;"ent homogenized taxonomic and functional diversity of benthic macroinvertebrate assemblages in shallow lakes at within-lake and among-lake scales, and that there was an overall trend toward taxonomic homogenization that exceeded the trend of functional ho"&amp;"mogenization. Thus, taxonomic and functional compositions should be considered simultaneously to improve understanding of the response of aquatic communities to anthropogenic disturbance, as the loss and gain of species may be influenced by species-specif"&amp;"ic features, and functional composition may exhibit a relatively high correspondence with changes in environmental conditions.")</f>
        <v>Eutrophication alters the trophic dynamics in lakes and may result in biotic homogenization. How nutrient enrichment drives patterns of taxonomic and functional (i.e., trait-based) homogenization of macroinvertebrate assemblages at within-lake (local) and among-lake (regional) scales is, however, not well understood. Taxonomic and functional compositions of macroinvertebrate assemblages in 41 lakes of the middle and lower reaches of the Yangtze River and Huaihe River were analyzed at within-lake and among-lake scales. Our results indicated that there was a significant difference in macroinvertebrate assemblages among lakes under different trophic status, and that total phosphorus was the major environmental factor that regulated both taxonomic and functional beta diversity of macroinvertebrate assemblages. That the abundances of pollution-tolerant species (e.g., Limnodrilus hoffmeisteri and Microchironomus tabarui) increased with trophic state contributed the most to among-lake dissimilarity. Functional beta diversity was significantly positively correlated with taxonomic beta diversity, while functional beta diversity was on average lower than taxonomic beta diversity. A combination of univariate and multivariate techniques revealed that nutrient enrichment homogenized taxonomic and functional diversity of benthic macroinvertebrate assemblages in shallow lakes at within-lake and among-lake scales, and that there was an overall trend toward taxonomic homogenization that exceeded the trend of functional homogenization. Thus, taxonomic and functional compositions should be considered simultaneously to improve understanding of the response of aquatic communities to anthropogenic disturbance, as the loss and gain of species may be influenced by species-specific features, and functional composition may exhibit a relatively high correspondence with changes in environmental conditions.</v>
      </c>
      <c r="C1524" s="24" t="str">
        <f>IFERROR(__xludf.DUMMYFUNCTION("""COMPUTED_VALUE"""),"10.1002/lno.11096")</f>
        <v>10.1002/lno.11096</v>
      </c>
      <c r="D1524" s="24" t="str">
        <f>IFERROR(__xludf.DUMMYFUNCTION("""COMPUTED_VALUE"""),"Keck et al")</f>
        <v>Keck et al</v>
      </c>
      <c r="E1524" s="24" t="str">
        <f>IFERROR(__xludf.DUMMYFUNCTION("""COMPUTED_VALUE"""),"WOS:000467593600013")</f>
        <v>WOS:000467593600013</v>
      </c>
      <c r="F1524" s="24" t="str">
        <f>IFERROR(__xludf.DUMMYFUNCTION("""COMPUTED_VALUE"""),"[""ELIGIBLE""]")</f>
        <v>["ELIGIBLE"]</v>
      </c>
    </row>
    <row r="1525">
      <c r="A1525" s="24" t="str">
        <f>IFERROR(__xludf.DUMMYFUNCTION("""COMPUTED_VALUE"""),"Impacts of traffic noise on anuran and bird communities")</f>
        <v>Impacts of traffic noise on anuran and bird communities</v>
      </c>
      <c r="B1525" s="24" t="str">
        <f>IFERROR(__xludf.DUMMYFUNCTION("""COMPUTED_VALUE"""),"Anurans and birds rely on sound for a number of social behaviors. Species that use roadside habitats are exposed to traffic noise that can mask important social signals and directly affect the community diversity and composition. We evaluate the impact of"&amp;" traffic noise on anuran and bird species richness, species occurrence, and composition in Puerto Rico, where there is a high density of highways and cars that generate high levels of noise pollution. We compared paired forest sites near (100 m, n = 20, d"&amp;"B &gt; 60) and far (&gt; 300 m, n = 20, dB &lt; 60) from highways, with similar vegetation structure, but different levels of noise. We found that the anuran community was not affected by traffic noise. In contrast, bird species richness and occurrence were signif"&amp;"icantly lower in sites near the highway, and bird species composition also varied significantly. Bird species with low-frequency songs were only detected in sites far from highways. The differences in the ecology and communication behavior between anurans"&amp;" and birds could explain these results. Anurans mainly call at night, when traffic activity was low. In contrast, bird singing activity occurs during the day and overlaps with the high levels of traffic noise. In addition, in natural habitats, Puerto Rica"&amp;"n anurans occur at high densities and form noisy choruses (&gt; 80 dB), which may allow them to tolerate high levels of anthropogenic noise.")</f>
        <v>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v>
      </c>
      <c r="C1525" s="24" t="str">
        <f>IFERROR(__xludf.DUMMYFUNCTION("""COMPUTED_VALUE"""),"10.1007/s11252-011-0158-7")</f>
        <v>10.1007/s11252-011-0158-7</v>
      </c>
      <c r="D1525" s="24" t="str">
        <f>IFERROR(__xludf.DUMMYFUNCTION("""COMPUTED_VALUE"""),"Keck et al")</f>
        <v>Keck et al</v>
      </c>
      <c r="E1525" s="24" t="str">
        <f>IFERROR(__xludf.DUMMYFUNCTION("""COMPUTED_VALUE"""),"WOS:000294217600007")</f>
        <v>WOS:000294217600007</v>
      </c>
      <c r="F1525" s="24" t="str">
        <f>IFERROR(__xludf.DUMMYFUNCTION("""COMPUTED_VALUE"""),"[""ELIGIBLE""]")</f>
        <v>["ELIGIBLE"]</v>
      </c>
    </row>
    <row r="1526">
      <c r="A1526" s="24" t="str">
        <f>IFERROR(__xludf.DUMMYFUNCTION("""COMPUTED_VALUE"""),"Exploring the allochthonous pollution influence on bacterial community and co-occurrence dynamics of River Ganga water through 16S rRNA-tagged amplicon metagenome")</f>
        <v>Exploring the allochthonous pollution influence on bacterial community and co-occurrence dynamics of River Ganga water through 16S rRNA-tagged amplicon metagenome</v>
      </c>
      <c r="B1526" s="24" t="str">
        <f>IFERROR(__xludf.DUMMYFUNCTION("""COMPUTED_VALUE"""),"River Ganga is one of the largest and most sacred rivers of India. This river is largely affected by anthropogenic activities causing significant increase in water pollution. The impact of drains discharging polluted water on the bacterial community dynam"&amp;"ics in the river remains unexplored. To elucidate this, the targeted 16S rRNA V3-V4 variable region amplicon sequencing and bioinformatic analysis were performed using water from upstream, drain, and downstream of river Ganga. Analysis revealed significan"&amp;"t difference in relative abundances of bacterial communities. The increase in bacterial abundance and alpha diversity was detected in the downstream compared to the upstream. Environmental factors were found significantly different between upstream and do"&amp;"wnstream water. At the phyla level, highly abundant taxa such as Proteobacteria, Actinobacteria, Planctomycetes, Bacteroidetes, and Verrucomicrobia were observed. Bacterial genera like Prevotella, Bacteroides, Blautia, and Faecalibacterium (fecal indicato"&amp;"r) had higher abundance in the downstream site. Network co-occurrence revealed that bacterial communities have a modular profile with reduced interaction in drain and downstream water. The network of co-occurring bacterial communities consists of 283 node"&amp;"s with edge connectivity of 6900, 7074, and 5294 in upstream, drain, and downstream samples, respectively. Upstream communities exhibited the highest positive interaction followed by the drain and the downstream sites. Additionally, highly abundant pathog"&amp;"enic species such as Acinetobacter baumannii and Prevotella copri were also detected in all samples. This study suggests the drain to be allochthonous pollution vector that significantly contributes to bacterial community enrichment. From the results of t"&amp;"his study, it is apparent that the lotic water may be used as the ecological reference to understand and monitor the variations in the bacterial communities and their co-occurrence dynamics in the fresh water ecosystems.")</f>
        <v>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v>
      </c>
      <c r="C1526" s="24" t="str">
        <f>IFERROR(__xludf.DUMMYFUNCTION("""COMPUTED_VALUE"""),"10.1007/s11356-021-12342-w")</f>
        <v>10.1007/s11356-021-12342-w</v>
      </c>
      <c r="D1526" s="24" t="str">
        <f>IFERROR(__xludf.DUMMYFUNCTION("""COMPUTED_VALUE"""),"Keck et al")</f>
        <v>Keck et al</v>
      </c>
      <c r="E1526" s="24" t="str">
        <f>IFERROR(__xludf.DUMMYFUNCTION("""COMPUTED_VALUE"""),"WOS:000611956800010")</f>
        <v>WOS:000611956800010</v>
      </c>
      <c r="F1526" s="24" t="str">
        <f>IFERROR(__xludf.DUMMYFUNCTION("""COMPUTED_VALUE"""),"[""ELIGIBLE""]")</f>
        <v>["ELIGIBLE"]</v>
      </c>
    </row>
    <row r="1527">
      <c r="A1527" s="24" t="str">
        <f>IFERROR(__xludf.DUMMYFUNCTION("""COMPUTED_VALUE"""),"Ecotoxic response of nematodes to ivermectin, a potential anti-COVID-19 drug treatment")</f>
        <v>Ecotoxic response of nematodes to ivermectin, a potential anti-COVID-19 drug treatment</v>
      </c>
      <c r="B1527" s="24" t="str">
        <f>IFERROR(__xludf.DUMMYFUNCTION("""COMPUTED_VALUE"""),"At the end of March 2020, ivermectin was confirmed as a drug for COVID-19 treatment. A significant amount of ivermectin could deposit into sediments of the semi-closed Mediterranean Sea, where three European COVID-19 epicenters are located: Italy, Spain, "&amp;"and France. Meiobenthic nematodes were exposed to three ivermectin doses (1.8 ng.g(-1), 9 ng.g(-1), and 18 ng.g(-1)) for 10 days. Ivermectin caused a great reduction in abundance. However, the diversity indices decreased only at high doses. Ivermectin dis"&amp;"advantaged the 1B-Cr-Id functional type (non-selective deposit feeders and nematodes with circular or indistinct amphids) and benefited the 2A-REL-Sp type (epistrate feeders and nematodes with rounded or elongated loop amphids). Thus, Trophic Diversity an"&amp;"d Amphideal Diversity index values increased with sedimentary ivermectin enrichment. Large amphideal foveas were more efficient for 2A-REL-Sp nematodes to avoid ivermectin. The responses of the functional type 2A-REL-Sp and corresponding taxa predict post"&amp;"-COVID-19 environmental concerns and the bioaccumulation of ivermectin in seafoods.")</f>
        <v>At the end of March 2020, ivermectin was confirmed as a drug for COVID-19 treatment. A significant amount of ivermectin could deposit into sediments of the semi-closed Mediterranean Sea, where three European COVID-19 epicenters are located: Italy, Spain, and France. Meiobenthic nematodes were exposed to three ivermectin doses (1.8 ng.g(-1), 9 ng.g(-1), and 18 ng.g(-1)) for 10 days. Ivermectin caused a great reduction in abundance. However, the diversity indices decreased only at high doses. Ivermectin disadvantaged the 1B-Cr-Id functional type (non-selective deposit feeders and nematodes with circular or indistinct amphids) and benefited the 2A-REL-Sp type (epistrate feeders and nematodes with rounded or elongated loop amphids). Thus, Trophic Diversity and Amphideal Diversity index values increased with sedimentary ivermectin enrichment. Large amphideal foveas were more efficient for 2A-REL-Sp nematodes to avoid ivermectin. The responses of the functional type 2A-REL-Sp and corresponding taxa predict post-COVID-19 environmental concerns and the bioaccumulation of ivermectin in seafoods.</v>
      </c>
      <c r="C1527" s="24" t="str">
        <f>IFERROR(__xludf.DUMMYFUNCTION("""COMPUTED_VALUE"""),"10.1016/j.marpolbul.2020.111375")</f>
        <v>10.1016/j.marpolbul.2020.111375</v>
      </c>
      <c r="D1527" s="24" t="str">
        <f>IFERROR(__xludf.DUMMYFUNCTION("""COMPUTED_VALUE"""),"Keck et al")</f>
        <v>Keck et al</v>
      </c>
      <c r="E1527" s="24" t="str">
        <f>IFERROR(__xludf.DUMMYFUNCTION("""COMPUTED_VALUE"""),"WOS:000548531100021")</f>
        <v>WOS:000548531100021</v>
      </c>
      <c r="F1527" s="24" t="str">
        <f>IFERROR(__xludf.DUMMYFUNCTION("""COMPUTED_VALUE"""),"[""ELIGIBLE""]")</f>
        <v>["ELIGIBLE"]</v>
      </c>
    </row>
    <row r="1528">
      <c r="A1528" s="24" t="str">
        <f>IFERROR(__xludf.DUMMYFUNCTION("""COMPUTED_VALUE"""),"Swine farming elevated the proliferation of Acinetobacter with the prevalence of antibiotic resistance genes in the groundwater")</f>
        <v>Swine farming elevated the proliferation of Acinetobacter with the prevalence of antibiotic resistance genes in the groundwater</v>
      </c>
      <c r="B1528" s="24" t="str">
        <f>IFERROR(__xludf.DUMMYFUNCTION("""COMPUTED_VALUE"""),"Swine farming generates a large amount of wastes containing various contaminants, resulting in environmental contamination and human health problems. Here we investigated the contamination profiles of antibiotics and antibiotic resistance genes (ARGs) as "&amp;"well as microbial community in groundwater of the two villages with or without swine farms, and then assessed the human exposure risks of antibiotics, ARGs and indicator bacteria through drinking groundwater. The results showed that swine farming could le"&amp;"ad to enhanced concentration levels of various veterinary antibiotics and ARGs in the groundwater in comparison to the reference village without swine farming. The microbial diversity of groundwater was significantly decreased with predominance of conditi"&amp;"onal pathogens Acinetobacter (up to 90%) in some wells of the swine farming village. Meanwhile, the abundance of Acinetobacter was significantly correlated to bacterial abundance, ARGs and integrons. The local residents could ingest various antibiotic res"&amp;"idues and ARGs as well as pathogens, with daily intake of Acinetobacter up to approximately 10 billion CFU/resident through drinking groundwater contaminated by swine farming. The findings from this study suggest potential health risks of changing gut mic"&amp;"robial community and resistome by drinking contaminated groundwater.")</f>
        <v>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v>
      </c>
      <c r="C1528" s="24" t="str">
        <f>IFERROR(__xludf.DUMMYFUNCTION("""COMPUTED_VALUE"""),"10.1016/j.envint.2020.105484")</f>
        <v>10.1016/j.envint.2020.105484</v>
      </c>
      <c r="D1528" s="24" t="str">
        <f>IFERROR(__xludf.DUMMYFUNCTION("""COMPUTED_VALUE"""),"Keck et al")</f>
        <v>Keck et al</v>
      </c>
      <c r="E1528" s="24" t="str">
        <f>IFERROR(__xludf.DUMMYFUNCTION("""COMPUTED_VALUE"""),"WOS:000512533700064")</f>
        <v>WOS:000512533700064</v>
      </c>
      <c r="F1528" s="24" t="str">
        <f>IFERROR(__xludf.DUMMYFUNCTION("""COMPUTED_VALUE"""),"[""ELIGIBLE""]")</f>
        <v>["ELIGIBLE"]</v>
      </c>
    </row>
    <row r="1529">
      <c r="A1529" s="24" t="str">
        <f>IFERROR(__xludf.DUMMYFUNCTION("""COMPUTED_VALUE"""),"Nematode biomass and allometric attributes as indicators of environmental quality in a Mediterranean harbour (Ligurian Sea, Italy)")</f>
        <v>Nematode biomass and allometric attributes as indicators of environmental quality in a Mediterranean harbour (Ligurian Sea, Italy)</v>
      </c>
      <c r="B1529" s="24" t="str">
        <f>IFERROR(__xludf.DUMMYFUNCTION("""COMPUTED_VALUE"""),"Nematode biomass and allometric attributes (size spectra, body length and width, morphotypes) were measured and related to the environmental quality of sediments of the Genoa-Voltri commercial harbour (Ligurian Sea, NW Mediterranean) to investigate their "&amp;"possible use as ecological indicators. The sediment quality was defined by measuring the level of organic enrichment (quantity and biochemical composition of sedimentary organic matter) and oxygen stress (redox potential). Nematode biomass spectra (NBS) p"&amp;"roved to be extremely valuable in determining differences in the environmental quality of sediments on a hundred-metre spatial scale. High peaks of the NBS were observed in the more organic-rich and oxygen-stressed stations probably in relation to a lower"&amp;" diversity of the nematode communities in these stations, with the predominance of tolerant genera such as Paracomesoma and Sabatieria. Among allometric variables, the length was found to be negatively correlated with oxygen concentrations and positively "&amp;"with TOM percentages, whilst the morphotype length/width ratio (L/W) resulted negatively related to oxygen concentrations and organic matter quality (protein:carbohydrate ratio), suggesting that these allometric attributes represent indicators of the func"&amp;"tional adaptation of nematodes to the changing environmental conditions. We suggest that in contrast to time-consuming and expertise-requiring nematode taxonomic analysis, biomass and allometric attributes analysis can provide a simpler but comparable too"&amp;"l to assess sediment quality and environmental heterogeneity of harbour ecosystems. (C) 2013 Elsevier Ltd. All rights reserved.")</f>
        <v>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v>
      </c>
      <c r="C1529" s="24" t="str">
        <f>IFERROR(__xludf.DUMMYFUNCTION("""COMPUTED_VALUE"""),"10.1016/j.ecolind.2013.01.034")</f>
        <v>10.1016/j.ecolind.2013.01.034</v>
      </c>
      <c r="D1529" s="24" t="str">
        <f>IFERROR(__xludf.DUMMYFUNCTION("""COMPUTED_VALUE"""),"Keck et al")</f>
        <v>Keck et al</v>
      </c>
      <c r="E1529" s="24" t="str">
        <f>IFERROR(__xludf.DUMMYFUNCTION("""COMPUTED_VALUE"""),"WOS:000318191800011")</f>
        <v>WOS:000318191800011</v>
      </c>
      <c r="F1529" s="24" t="str">
        <f>IFERROR(__xludf.DUMMYFUNCTION("""COMPUTED_VALUE"""),"[""ELIGIBLE""]")</f>
        <v>["ELIGIBLE"]</v>
      </c>
    </row>
    <row r="1530">
      <c r="A1530" s="24" t="str">
        <f>IFERROR(__xludf.DUMMYFUNCTION("""COMPUTED_VALUE"""),"Microplastics negatively affect soil fauna but stimulate microbial activity: insights from a field-based microplastic addition experiment")</f>
        <v>Microplastics negatively affect soil fauna but stimulate microbial activity: insights from a field-based microplastic addition experiment</v>
      </c>
      <c r="B1530" s="24" t="str">
        <f>IFERROR(__xludf.DUMMYFUNCTION("""COMPUTED_VALUE"""),"Microplastics are recognized as an emerging contaminant worldwide. Although microplastics have been shown to strongly affect organisms in aquatic environments, less is known about whether and how microplastics can affect different taxa within a soil commu"&amp;"nity, and it is unclear whether these effects can cascade through soil food webs. By conducting a microplastic manipulation experiment, i.e. adding low-density polyethylene fragments in the field, we found that microplastic addition significantly affected"&amp;" the composition and abundance of microarthropod and nematode communities. Contrary to soil fauna, we found only small effects of microplastics on the biomass and structure of soil microbial communities. Nevertheless, structural equation modelling reveale"&amp;"d that the effects of microplastics strongly cascade through the soil food webs, leading to the modification of microbial functioning with further potential consequences on soil carbon and nutrient cycling. Our results highlight that taking into account t"&amp;"he effects of microplastics at different trophic levels is important to elucidate the mechanisms underlying the ecological impacts of microplastic pollution on soil functioning.")</f>
        <v>Microplastics are recognized as an emerging contaminant worldwide. Although microplastics have been shown to strongly affect organisms in aquatic environments, less is known about whether and how microplastics can affect different taxa within a soil community, and it is unclear whether these effects can cascade through soil food webs. By conducting a microplastic manipulation experiment, i.e. adding low-density polyethylene fragments in the field, we found that microplastic addition significantly affected the composition and abundance of microarthropod and nematode communities. Contrary to soil fauna, we found only small effects of microplastics on the biomass and structure of soil microbial communities. Nevertheless, structural equation modelling revealed that the effects of microplastics strongly cascade through the soil food webs, leading to the modification of microbial functioning with further potential consequences on soil carbon and nutrient cycling. Our results highlight that taking into account the effects of microplastics at different trophic levels is important to elucidate the mechanisms underlying the ecological impacts of microplastic pollution on soil functioning.</v>
      </c>
      <c r="C1530" s="24" t="str">
        <f>IFERROR(__xludf.DUMMYFUNCTION("""COMPUTED_VALUE"""),"10.1098/rspb.2020.1268")</f>
        <v>10.1098/rspb.2020.1268</v>
      </c>
      <c r="D1530" s="24" t="str">
        <f>IFERROR(__xludf.DUMMYFUNCTION("""COMPUTED_VALUE"""),"Keck et al")</f>
        <v>Keck et al</v>
      </c>
      <c r="E1530" s="24" t="str">
        <f>IFERROR(__xludf.DUMMYFUNCTION("""COMPUTED_VALUE"""),"WOS:000570238200002")</f>
        <v>WOS:000570238200002</v>
      </c>
      <c r="F1530" s="24" t="str">
        <f>IFERROR(__xludf.DUMMYFUNCTION("""COMPUTED_VALUE"""),"[""ELIGIBLE""]")</f>
        <v>["ELIGIBLE"]</v>
      </c>
    </row>
    <row r="1531">
      <c r="A1531" s="24" t="str">
        <f>IFERROR(__xludf.DUMMYFUNCTION("""COMPUTED_VALUE"""),"Changes in spider diversity through the growth cycle of pine plantations in the semi-deciduous Atlantic forest: The role of prey availability and abiotic conditions")</f>
        <v>Changes in spider diversity through the growth cycle of pine plantations in the semi-deciduous Atlantic forest: The role of prey availability and abiotic conditions</v>
      </c>
      <c r="B1531" s="24" t="str">
        <f>IFERROR(__xludf.DUMMYFUNCTION("""COMPUTED_VALUE"""),"The replacement of native forests by tree plantations affects the diversity of biological communities, particularly in highly diverse tropical and subtropical ecosystems such as the semi-deciduous Atlantic forest. Previous studies in this ecosystem have f"&amp;"ocused on vertebrates, while only a few studies have been performed on the relationship between spiders and pine plantations. We aimed to estimate changes in spider richness and species composition over the course of a pine plantation forestry cycle of 15"&amp;" years. We expected that the increase in environmental similarity (vegetation, prey availability) between native forest and tree plantations through the plantation growth cycle would promote its use by native spider species. We used six collection methods"&amp;" to characterize the spider assemblages and their potential prey in five replicates of native forest and pine plantations of three different ages representing the forest cycle (1-2, 5-6, 10-11 years old). Additionally, we described vegetation structure an"&amp;"d recorded ground temperature and humidity during the sampling period. Analyses were carried out combining spiders from all sampling methods and independently on each vertical stratum. As expected, spider richness increased and the dissimilarity in relati"&amp;"on to the native forest spider community decreased through the growth cycle of the pine plantation, associated with an increase in potential prey abundance and richness (but not vegetation structure). The response of spiders on each stratum showed interes"&amp;"ting trends; opposite to the general pattern, in young plantations the ground strata exhibited a rich and distinctive spider assemblage while herbaceous strata showed similar diversity (richness and species composition) in all three plantation ages. Our r"&amp;"esults showed a rapid increase in spider richness in the first 6-7 years after plantation and a subsequent stabilization. Also, the proportion of native species in plantations increased from 6% in the first years to 34% and then remained constant until cu"&amp;"tting age (11-12 years). Differences in species composition were mainly due to both differences in richness and species composition in young plantations, while in middle-aged and mature plantations it was mainly due to species replacement. The increase in"&amp;" prey abundance (and probably the increase in vegetation complexity and the decrease of extreme microclimatic conditions) through the plantation cycle increase the suitability for native forest species. However, a deeper understanding of the ecological an"&amp;"d physiological requirements of spiders is necessary to improve the ability of tree plantations for native diversity.")</f>
        <v>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v>
      </c>
      <c r="C1531" s="24" t="str">
        <f>IFERROR(__xludf.DUMMYFUNCTION("""COMPUTED_VALUE"""),"10.1016/j.foreco.2018.03.025")</f>
        <v>10.1016/j.foreco.2018.03.025</v>
      </c>
      <c r="D1531" s="24" t="str">
        <f>IFERROR(__xludf.DUMMYFUNCTION("""COMPUTED_VALUE"""),"Keck et al")</f>
        <v>Keck et al</v>
      </c>
      <c r="E1531" s="24" t="str">
        <f>IFERROR(__xludf.DUMMYFUNCTION("""COMPUTED_VALUE"""),"WOS:000437967900050")</f>
        <v>WOS:000437967900050</v>
      </c>
      <c r="F1531" s="24" t="str">
        <f>IFERROR(__xludf.DUMMYFUNCTION("""COMPUTED_VALUE"""),"[""ELIGIBLE""]")</f>
        <v>["ELIGIBLE"]</v>
      </c>
    </row>
    <row r="1532">
      <c r="A1532" s="24" t="str">
        <f>IFERROR(__xludf.DUMMYFUNCTION("""COMPUTED_VALUE"""),"Habitat conversion affects beta diversity in frugivorous butterfly assemblages")</f>
        <v>Habitat conversion affects beta diversity in frugivorous butterfly assemblages</v>
      </c>
      <c r="B1532" s="24" t="str">
        <f>IFERROR(__xludf.DUMMYFUNCTION("""COMPUTED_VALUE"""),"Tropical dry forests are diverse ecosystems that are globally threatened but are rarely protected. The main threat to this habitat is conversion for agricultural use. Here we evaluate the effects of environmental conversion, comparing patterns of beta div"&amp;"ersity of butterflies in unconverted dry forest ecosystems (protected areas) and in agroecosystems (sugarcane and pasture). Butterflies were collected for 720 traps/day in 2018, using baited traps. Contrary to expectations, temporal beta diversity in suga"&amp;"rcane was higher than in forests. Nevertheless, the community in sugarcane contained mainly generalist species and its temporal dissimilarity was driven mainly by differences in species abundance. As expected, the spatial beta diversity between forest eco"&amp;"systems and agroecosystems was high. Environmental conversion led to species loss, affecting mainly specialist species, which are more restricted to forest habitats, and resulted in a high degree of nesting of communities in agroecosystems. Our results em"&amp;"phasize the conservation value of protected natural areas and the importance of maintaining such areas as an essential strategy for conserving biodiversity.")</f>
        <v>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v>
      </c>
      <c r="C1532" s="24" t="str">
        <f>IFERROR(__xludf.DUMMYFUNCTION("""COMPUTED_VALUE"""),"10.1080/01650521.2019.1710335")</f>
        <v>10.1080/01650521.2019.1710335</v>
      </c>
      <c r="D1532" s="24" t="str">
        <f>IFERROR(__xludf.DUMMYFUNCTION("""COMPUTED_VALUE"""),"Keck et al")</f>
        <v>Keck et al</v>
      </c>
      <c r="E1532" s="24" t="str">
        <f>IFERROR(__xludf.DUMMYFUNCTION("""COMPUTED_VALUE"""),"WOS:000509445400001")</f>
        <v>WOS:000509445400001</v>
      </c>
      <c r="F1532" s="24" t="str">
        <f>IFERROR(__xludf.DUMMYFUNCTION("""COMPUTED_VALUE"""),"[""ELIGIBLE""]")</f>
        <v>["ELIGIBLE"]</v>
      </c>
    </row>
    <row r="1533">
      <c r="A1533" s="24" t="str">
        <f>IFERROR(__xludf.DUMMYFUNCTION("""COMPUTED_VALUE"""),"Effects of antimony contamination on bioaccumulation and gut bacterial community of earthworm Eisenia fetida")</f>
        <v>Effects of antimony contamination on bioaccumulation and gut bacterial community of earthworm Eisenia fetida</v>
      </c>
      <c r="B1533" s="24" t="str">
        <f>IFERROR(__xludf.DUMMYFUNCTION("""COMPUTED_VALUE"""),"Antimony (Sb) contamination has brought great environmental problems to the surrounding soils. However, few studies focused on the response of bacterial communities in earthworm gut to Sb. Eisenia fetida was cultured in four soils with Sb contents (5,25,5"&amp;"0,100 mg.kg(-1)) to investigate the distribution of Sb species in earthworm gut and the response mechanism of bacterial communities to Sb contamination. The results showed that Sb accumulated in the gut and tissues of earthworms, and the mortality of eart"&amp;"hworms showed a dose-response relationship with the increase of Sb content. Sb(III) and Sbexe were the major species in gut, whereas Sb(V) and Sbsrp were predominant in surrounding soil. There were significant differences in bacterial diversity between ea"&amp;"rthworm gut and soil, but there was no significant between the two with different Sb content. The network constructed by gut bacterial community of earthworm was less stable and more sensitive to Sb species than that in soil. Sb(III) had the greatest infl"&amp;"uence on the gut bacterial community of earthworm, which not only directly affected the community through Xanthomonadaceae, Rhodomicrobiaceae and Anaerolineaceae, but also indirectly influenced through Chthoniobacteraceae. This study fills a research gap "&amp;"on the effect of Sb contamination on the gut bacterial community of earthworm.")</f>
        <v>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v>
      </c>
      <c r="C1533" s="24" t="str">
        <f>IFERROR(__xludf.DUMMYFUNCTION("""COMPUTED_VALUE"""),"10.1016/j.jhazmat.2021.126110")</f>
        <v>10.1016/j.jhazmat.2021.126110</v>
      </c>
      <c r="D1533" s="24" t="str">
        <f>IFERROR(__xludf.DUMMYFUNCTION("""COMPUTED_VALUE"""),"Keck et al")</f>
        <v>Keck et al</v>
      </c>
      <c r="E1533" s="24" t="str">
        <f>IFERROR(__xludf.DUMMYFUNCTION("""COMPUTED_VALUE"""),"WOS:000664769600006")</f>
        <v>WOS:000664769600006</v>
      </c>
      <c r="F1533" s="24" t="str">
        <f>IFERROR(__xludf.DUMMYFUNCTION("""COMPUTED_VALUE"""),"[""ELIGIBLE""]")</f>
        <v>["ELIGIBLE"]</v>
      </c>
    </row>
    <row r="1534">
      <c r="A1534" s="24" t="str">
        <f>IFERROR(__xludf.DUMMYFUNCTION("""COMPUTED_VALUE"""),"Follow the forest: Slow resilience of West African rainforest frog assemblages after selective logging")</f>
        <v>Follow the forest: Slow resilience of West African rainforest frog assemblages after selective logging</v>
      </c>
      <c r="B1534" s="24" t="str">
        <f>IFERROR(__xludf.DUMMYFUNCTION("""COMPUTED_VALUE"""),"Assessing resilience of ecological communities, the ability of species assemblages to return to a previous state following disturbance, is an essential task when designing biodiversity friendly concepts for silvicultural management regimes. However, ecolo"&amp;"gical communities may demonstrate resilience only after long time periods, and long-term data, collected on permanent study sites within standardized sampling frameworks, are scarce. We assessed the resilience of amphibian assemblages to disturbance via s"&amp;"elective logging within the largest remaining rainforest in Ivory Coast, the Tai National Park. We analyzed extensive amphibian and habitat data obtained during two major assessment periods &gt; 15 years apart (period P1 = in 2000, period P2 = in 2016-2017) "&amp;"and spanning 45 years post-logging recovery (period P1 = 30 years post-logging). We revisited identical sites and used identical, standardized methodology in both study periods. Forest structure in formerly selectively logged sites slowly recovered toward"&amp;"s old growth forest structure over the course of 45 years, with most visible changes occurring between P1 and P2. While species richness and diversity in both old growth and secondary forests remained largely unchanged across the study periods, frog assem"&amp;"blage composition in formerly disturbed sites followed the forest recovery process. Yet, their composition was still distinctly different from old growth forest assemblages. The different levels of resilience over time indicate that the slowest organisms "&amp;"in our system (forest trees) set the pace for the recovery of associated taxa (frogs). Effective post-harvesting restoration schemes need to incorporate these delayed response times. Thus, significantly longer felling cycles than those commonly applied in"&amp;" regular harvesting schemes are needed if the goal is to conserve and restore original forest diversity in logged forest ecosystems.")</f>
        <v>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v>
      </c>
      <c r="C1534" s="24" t="str">
        <f>IFERROR(__xludf.DUMMYFUNCTION("""COMPUTED_VALUE"""),"10.1016/j.foreco.2021.119489")</f>
        <v>10.1016/j.foreco.2021.119489</v>
      </c>
      <c r="D1534" s="24" t="str">
        <f>IFERROR(__xludf.DUMMYFUNCTION("""COMPUTED_VALUE"""),"Keck et al")</f>
        <v>Keck et al</v>
      </c>
      <c r="E1534" s="24" t="str">
        <f>IFERROR(__xludf.DUMMYFUNCTION("""COMPUTED_VALUE"""),"WOS:000685082000007")</f>
        <v>WOS:000685082000007</v>
      </c>
      <c r="F1534" s="24" t="str">
        <f>IFERROR(__xludf.DUMMYFUNCTION("""COMPUTED_VALUE"""),"[""ELIGIBLE""]")</f>
        <v>["ELIGIBLE"]</v>
      </c>
    </row>
    <row r="1535">
      <c r="A1535" s="24" t="str">
        <f>IFERROR(__xludf.DUMMYFUNCTION("""COMPUTED_VALUE"""),"Species-specific effects of arsenic on the soil collembolan gut microbiota")</f>
        <v>Species-specific effects of arsenic on the soil collembolan gut microbiota</v>
      </c>
      <c r="B1535" s="24" t="str">
        <f>IFERROR(__xludf.DUMMYFUNCTION("""COMPUTED_VALUE"""),"It is well established that arsenic (As) pollution has a severe threat to food security and soil non-target organisms, however, its influences on soil fauna gut microbiota are poorly understood. The gut microbiota of soil fauna play an important role in h"&amp;"ost health and nutrient cycling. Here, we used dietary exposure to investigate the effects of As on the mortality and gut microbiota of two model soil collembolans (Folsomia candida and Onychiurus yodai) and determine the accumulation of As in collembolan"&amp;" body tissues. The results showed that, although As exposure did not induce the mortality of the two species, dose dependence of As accumulation was indeed detected in their body tissues. Oral As exposure (500 mu g g(-1) yeast) significantly altered the c"&amp;"ommunity structure (P &lt; 0.05) of F. candida gut microbiota and reduced its diversity (by more than 20%; P &lt; 0.05) compared to the control; however, no significant effects were observed in O. yodai gut microbiota. The two collembolan species possess signif"&amp;"icantly different gut microbiota (P &lt; 0.05), which may partly explain the differences of the two collembolan gut microbiota response to As exposure. We further found that the genera Ochrobactrum, Geobacter and Staphylococcus were sensitive to As exposure "&amp;"in F. candida (P &lt; 0.05), but these bacteria were low abundance and not altered in O. yodai. Moreover, the relative abundance of these bacteria was significantly correlated with As bioaccumulation in F. candida body tissues (P &lt; 0.05, R-2 &gt; 0.6). Higher A"&amp;"s bioaccumulation factor was also found in O. yodai body tissues compared to the F. candida. These results indicate that collembolan gut microbiota present a species-specific response to As and may be a more sensitive indicator than the mortality of colle"&amp;"mbolan.")</f>
        <v>It is well established that arsenic (As) pollution has a severe threat to food security and soil non-target organisms, however, its influences on soil fauna gut microbiota are poorly understood. The gut microbiota of soil fauna play an important role in host health and nutrient cycling. Here, we used dietary exposure to investigate the effects of As on the mortality and gut microbiota of two model soil collembolans (Folsomia candida and Onychiurus yodai) and determine the accumulation of As in collembolan body tissues. The results showed that, although As exposure did not induce the mortality of the two species, dose dependence of As accumulation was indeed detected in their body tissues. Oral As exposure (500 mu g g(-1) yeast) significantly altered the community structure (P &lt; 0.05) of F. candida gut microbiota and reduced its diversity (by more than 20%; P &lt; 0.05) compared to the control; however, no significant effects were observed in O. yodai gut microbiota. The two collembolan species possess significantly different gut microbiota (P &lt; 0.05), which may partly explain the differences of the two collembolan gut microbiota response to As exposure. We further found that the genera Ochrobactrum, Geobacter and Staphylococcus were sensitive to As exposure in F. candida (P &lt; 0.05), but these bacteria were low abundance and not altered in O. yodai. Moreover, the relative abundance of these bacteria was significantly correlated with As bioaccumulation in F. candida body tissues (P &lt; 0.05, R-2 &gt; 0.6). Higher As bioaccumulation factor was also found in O. yodai body tissues compared to the F. candida. These results indicate that collembolan gut microbiota present a species-specific response to As and may be a more sensitive indicator than the mortality of collembolan.</v>
      </c>
      <c r="C1535" s="24" t="str">
        <f>IFERROR(__xludf.DUMMYFUNCTION("""COMPUTED_VALUE"""),"10.1016/j.ecoenv.2019.109538")</f>
        <v>10.1016/j.ecoenv.2019.109538</v>
      </c>
      <c r="D1535" s="24" t="str">
        <f>IFERROR(__xludf.DUMMYFUNCTION("""COMPUTED_VALUE"""),"Keck et al")</f>
        <v>Keck et al</v>
      </c>
      <c r="E1535" s="24" t="str">
        <f>IFERROR(__xludf.DUMMYFUNCTION("""COMPUTED_VALUE"""),"WOS:000487178000015")</f>
        <v>WOS:000487178000015</v>
      </c>
      <c r="F1535" s="24" t="str">
        <f>IFERROR(__xludf.DUMMYFUNCTION("""COMPUTED_VALUE"""),"[""ELIGIBLE""]")</f>
        <v>["ELIGIBLE"]</v>
      </c>
    </row>
    <row r="1536">
      <c r="A1536" s="24" t="str">
        <f>IFERROR(__xludf.DUMMYFUNCTION("""COMPUTED_VALUE"""),"How do beetle assemblages respond to cyclonic disturbance of a fragmented tropical rainforest landscape?")</f>
        <v>How do beetle assemblages respond to cyclonic disturbance of a fragmented tropical rainforest landscape?</v>
      </c>
      <c r="B1536" s="24" t="str">
        <f>IFERROR(__xludf.DUMMYFUNCTION("""COMPUTED_VALUE"""),"There are surprisingly few studies documenting effects of tropical cyclones (including hurricanes and typhoons) on rainforest animals, and especially insects, considering that many tropical forests are frequently affected by cyclonic disturbance. Conseque"&amp;"ntly, we sampled a beetle assemblage inhabiting 18 upland rainforest sites in a fragmented landscape in north-eastern Queensland, Australia, using a standardised sampling protocol in 2002 and again 12 months after the passage of Severe Tropical Cyclone La"&amp;"rry (March 2006). The spatial configuration of sites allowed us to test if the effects of a cyclone and those from fragmentation interact. From all insect samples we extracted 12,568 beetles of 382 species from ten families. Beetle species composition was"&amp;" significantly different pre-and post-cyclone although the magnitude of faunal change was not large with 205 species, representing 96% of all individuals, present in both sampling events. Sites with the greatest changes to structure had the greatest chang"&amp;"es in species composition. At the site level, increases in woody debris and wood-feeding beetle (Scolytinae) counts were significantly correlated but changes in the percent of ground vegetation were not mirrored by changes in the abundance of foliage-feed"&amp;"ing beetles (Chrysomelidae). The overall direction of beetle assemblage change was consistent with increasing aridity, presumably caused by the loss of canopy cover. Sites with the greatest canopy loss had the strongest changes in the proportion of specie"&amp;"s previously identified in the pre-cyclone study as preferring arid or moist rainforest environments. The magnitude of fragmentation effects was virtually unaltered by the passage of Cyclone Larry. We postulate that in the short-term the effects of cyclon"&amp;"ic disturbance and forest fragmentation both reduce the extent of moist, interior habitat.")</f>
        <v>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v>
      </c>
      <c r="C1536" s="24" t="str">
        <f>IFERROR(__xludf.DUMMYFUNCTION("""COMPUTED_VALUE"""),"10.1007/s00442-009-1399-5")</f>
        <v>10.1007/s00442-009-1399-5</v>
      </c>
      <c r="D1536" s="24" t="str">
        <f>IFERROR(__xludf.DUMMYFUNCTION("""COMPUTED_VALUE"""),"Keck et al")</f>
        <v>Keck et al</v>
      </c>
      <c r="E1536" s="24" t="str">
        <f>IFERROR(__xludf.DUMMYFUNCTION("""COMPUTED_VALUE"""),"WOS:000269010300014")</f>
        <v>WOS:000269010300014</v>
      </c>
      <c r="F1536" s="24" t="str">
        <f>IFERROR(__xludf.DUMMYFUNCTION("""COMPUTED_VALUE"""),"[""ELIGIBLE""]")</f>
        <v>["ELIGIBLE"]</v>
      </c>
    </row>
    <row r="1537">
      <c r="A1537" s="24" t="str">
        <f>IFERROR(__xludf.DUMMYFUNCTION("""COMPUTED_VALUE"""),"Bryoid Layer Response to Soil Disturbance by Fuel Reduction Treatments in a Dry Conifer Forest")</f>
        <v>Bryoid Layer Response to Soil Disturbance by Fuel Reduction Treatments in a Dry Conifer Forest</v>
      </c>
      <c r="B1537" s="24" t="str">
        <f>IFERROR(__xludf.DUMMYFUNCTION("""COMPUTED_VALUE"""),"We investigated the response of the bryoid layer, bryophyte and lichen communities on the soil surface, three years after fuel reduction treatment (logging and burning) in the central Blue Mountains of eastern Oregon. Both treatment and control areas had "&amp;"been decimated by spruce budworm and drought before the fuel reduction treatments. Treatments reduced overstory and understory woody vegetation, litter, and coarse woody debris and disturbed the soil surface. In the untreated stands minor local disturbanc"&amp;"es had created bare mineral soil over about 1% of the ground area, about half of that was from burrowing rodents. Fuel reduction treatments disturbed an additional 23% of the ground area, beyond the 1% disturbed in untreated sites. Over half of the recent"&amp;"ly disturbed treatment areas had been colonized by pioneering short mosses. Bare soil from rodent disturbances covered about 10 times more area in treated sites than in untreated sites, increasing from 0.4% to 5.5% cover. The bryoid layer responded to the"&amp;" treatments by changes in species composition, rather than species richness. Treated areas had more cover of small acrocarpous pioneer bryophytes (i.e., Funaria hygrometrica, Ceratodon purpureus, and especially Bryum caespiticium), whereas cover of larger"&amp;" pleurocarps, such as Brachythecium and Rhytidiadelphus was reduced by soil disturbance. We infer that pioneer bryophytes perform a valuable ecosystem service in these dry forests by rapidly colonizing and stabilizing the soil surface, reducing its vulner"&amp;"ability to erosion by wind and water.")</f>
        <v>We investigated the response of the bryoid layer, bryophyte and lichen communities on the soil surface, three years after fuel reduction treatment (logging and burning) in the central Blue Mountains of eastern Oregon. Both treatment and control areas had been decimated by spruce budworm and drought before the fuel reduction treatments. Treatments reduced overstory and understory woody vegetation, litter, and coarse woody debris and disturbed the soil surface. In the untreated stands minor local disturbances had created bare mineral soil over about 1% of the ground area, about half of that was from burrowing rodents. Fuel reduction treatments disturbed an additional 23% of the ground area, beyond the 1% disturbed in untreated sites. Over half of the recently disturbed treatment areas had been colonized by pioneering short mosses. Bare soil from rodent disturbances covered about 10 times more area in treated sites than in untreated sites, increasing from 0.4% to 5.5% cover. The bryoid layer responded to the treatments by changes in species composition, rather than species richness. Treated areas had more cover of small acrocarpous pioneer bryophytes (i.e., Funaria hygrometrica, Ceratodon purpureus, and especially Bryum caespiticium), whereas cover of larger pleurocarps, such as Brachythecium and Rhytidiadelphus was reduced by soil disturbance. We infer that pioneer bryophytes perform a valuable ecosystem service in these dry forests by rapidly colonizing and stabilizing the soil surface, reducing its vulnerability to erosion by wind and water.</v>
      </c>
      <c r="C1537" s="24" t="str">
        <f>IFERROR(__xludf.DUMMYFUNCTION("""COMPUTED_VALUE"""),"10.1639/0007-2745-113.2.235")</f>
        <v>10.1639/0007-2745-113.2.235</v>
      </c>
      <c r="D1537" s="24" t="str">
        <f>IFERROR(__xludf.DUMMYFUNCTION("""COMPUTED_VALUE"""),"Keck et al")</f>
        <v>Keck et al</v>
      </c>
      <c r="E1537" s="24" t="str">
        <f>IFERROR(__xludf.DUMMYFUNCTION("""COMPUTED_VALUE"""),"WOS:000279869600002")</f>
        <v>WOS:000279869600002</v>
      </c>
      <c r="F1537" s="24" t="str">
        <f>IFERROR(__xludf.DUMMYFUNCTION("""COMPUTED_VALUE"""),"[""ELIGIBLE""]")</f>
        <v>["ELIGIBLE"]</v>
      </c>
    </row>
    <row r="1538">
      <c r="A1538" s="24" t="str">
        <f>IFERROR(__xludf.DUMMYFUNCTION("""COMPUTED_VALUE"""),"Phosphorus availability modulates the toxic effect of silver on aquatic fungi and leaf litter decomposition")</f>
        <v>Phosphorus availability modulates the toxic effect of silver on aquatic fungi and leaf litter decomposition</v>
      </c>
      <c r="B1538" s="24" t="str">
        <f>IFERROR(__xludf.DUMMYFUNCTION("""COMPUTED_VALUE"""),"The functioning of forested headwater streams is intimately linked to the decomposition of leaf litter by decomposers, mainly aquatic hyphomycetes, which enables the transfer of allochthonous carbon to higher trophic levels. Evaluation of this process is "&amp;"being increasingly used as an indicator of ecosystem health and ecological integrity. Yet, even though the individual impacts of contaminants and nutrient availability on decomposition have been well studied, the understanding of their combined effects re"&amp;"mains limited. In the current study, we investigated whether the toxic effects of a reemerging contaminant, silver (Ag), on leaf litter decomposition could be partly overcome in situations where microorganisms were benefitting from high phosphorus (P) ava"&amp;"ilability, the latter being a key chemical element that often limits detritus decomposition. We also investigated whether these interactive effects were mediated by changes in the structure of the aquatic hyphomycete community. To verify these hypotheses,"&amp;" leaf litter decomposition by a consortium of ten aquatic hyphomycete species was followed in a microcosm experiment combining five Ag contamination levels and three P concentrations. Indirect effects of Ag and P on the consumption of leaf litter by the d"&amp;"etritivorous crustacean, Gammarus fossarum, were also evaluated. Ag significantly reduced decomposition but only at the highest concentration tested, independently of P level. By contrast, P and Ag interactively affected fungal biomass. Both P level and A"&amp;"g concentrations shaped microbial communities without significantly affecting the overall species richness. Finally, the levels of P and Ag interacted significantly on G. fossarum feeding rates, high [Ag] reducing litter consumption and low P availability"&amp;" tending to intensify the feeding rate. Given the high level of contaminant needed to impair the decomposition process, it is unlikely that a direct effect of Ag on leaf litter decomposition could be observed in situ. However, subtle Ag effects in relatio"&amp;"n to nutrient levels in ecosystems could be expected. In particular, owing to higher consumption of low P leaf litter, shredding invertebrates could increase the ingestion of contaminated resources, which could, in turn, represent an important threat to h"&amp;"eadwater stream ecosystems. (C) 2013 Elsevier B.V. All rights reserved.")</f>
        <v>The functioning of forested headwater streams is intimately linked to the decomposition of leaf litter by decomposers, mainly aquatic hyphomycetes, which enables the transfer of allochthonous carbon to higher trophic levels. Evaluation of this process is being increasingly used as an indicator of ecosystem health and ecological integrity. Yet, even though the individual impacts of contaminants and nutrient availability on decomposition have been well studied, the understanding of their combined effects remains limited. In the current study, we investigated whether the toxic effects of a reemerging contaminant, silver (Ag), on leaf litter decomposition could be partly overcome in situations where microorganisms were benefitting from high phosphorus (P) availability, the latter being a key chemical element that often limits detritus decomposition. We also investigated whether these interactive effects were mediated by changes in the structure of the aquatic hyphomycete community. To verify these hypotheses, leaf litter decomposition by a consortium of ten aquatic hyphomycete species was followed in a microcosm experiment combining five Ag contamination levels and three P concentrations. Indirect effects of Ag and P on the consumption of leaf litter by the detritivorous crustacean, Gammarus fossarum, were also evaluated. Ag significantly reduced decomposition but only at the highest concentration tested, independently of P level. By contrast, P and Ag interactively affected fungal biomass. Both P level and Ag concentrations shaped microbial communities without significantly affecting the overall species richness. Finally, the levels of P and Ag interacted significantly on G. fossarum feeding rates, high [Ag] reducing litter consumption and low P availability tending to intensify the feeding rate. Given the high level of contaminant needed to impair the decomposition process, it is unlikely that a direct effect of Ag on leaf litter decomposition could be observed in situ. However, subtle Ag effects in relation to nutrient levels in ecosystems could be expected. In particular, owing to higher consumption of low P leaf litter, shredding invertebrates could increase the ingestion of contaminated resources, which could, in turn, represent an important threat to headwater stream ecosystems. (C) 2013 Elsevier B.V. All rights reserved.</v>
      </c>
      <c r="C1538" s="24" t="str">
        <f>IFERROR(__xludf.DUMMYFUNCTION("""COMPUTED_VALUE"""),"10.1016/j.aquatox.2013.10.001")</f>
        <v>10.1016/j.aquatox.2013.10.001</v>
      </c>
      <c r="D1538" s="24" t="str">
        <f>IFERROR(__xludf.DUMMYFUNCTION("""COMPUTED_VALUE"""),"Keck et al")</f>
        <v>Keck et al</v>
      </c>
      <c r="E1538" s="24" t="str">
        <f>IFERROR(__xludf.DUMMYFUNCTION("""COMPUTED_VALUE"""),"WOS:000330817200021")</f>
        <v>WOS:000330817200021</v>
      </c>
      <c r="F1538" s="24" t="str">
        <f>IFERROR(__xludf.DUMMYFUNCTION("""COMPUTED_VALUE"""),"[""ELIGIBLE""]")</f>
        <v>["ELIGIBLE"]</v>
      </c>
    </row>
    <row r="1539">
      <c r="A1539" s="24" t="str">
        <f>IFERROR(__xludf.DUMMYFUNCTION("""COMPUTED_VALUE"""),"Short-term exposure to norfloxacin induces oxidative stress, neurotoxicity and microbiota alteration in juvenile large yellow croaker Pseudosciaena crocea")</f>
        <v>Short-term exposure to norfloxacin induces oxidative stress, neurotoxicity and microbiota alteration in juvenile large yellow croaker Pseudosciaena crocea</v>
      </c>
      <c r="B1539" s="24" t="str">
        <f>IFERROR(__xludf.DUMMYFUNCTION("""COMPUTED_VALUE"""),"In recent years, antibiotics have been widely detected in coastal waters of China, which raising concerns for coastal biodiversity and aquaculture. This study evaluated the effects of short-term exposure of norfloxacin (NOR) on oxidative stress and intest"&amp;"inal health of the large yellow croaker Pseudosciaena crocea. Juvenile fish were exposed to four concentrations of NOR (0.1, 10, 100 and 1000 mu g/L) for 14 days. The results showed that NOR inhibited growth and threatened the survival of juveniles. Accor"&amp;"ding to the changes of intestinal microbiota, we found that NOR led to a significant decrease in intestinal microbiota diversity, with the decreased relative abundance of Proteobacteria, but the increased Tenericutes. From the perspective of microbial fun"&amp;"ction, NOR inhibited metabolism, cellular defence mechanism and information transduction process. In terms of biochemical indicators, NOR caused an increase in malondialdehyde (MDA) level and inhibited superoxide dismutase (SOD) and acetyl cholinesterase "&amp;"(AChE) activities. Catalase (CAT) activity was activated at low concentration but significantly inhibited at high concentration of NOR. Moreover, there was a high correlation between change in biochemical indicators and change in the microbial community. "&amp;"Overall, environmentally relevant concentrations (0.1 mu g/L) and high concentrations (10, 100 and 1000 mu g/L) of NOR have negative effects on the defence function and intestinal health of large yellow croaker juveniles. (c) 2020 Elsevier Ltd. All rights"&amp;" reserved.")</f>
        <v>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v>
      </c>
      <c r="C1539" s="24" t="str">
        <f>IFERROR(__xludf.DUMMYFUNCTION("""COMPUTED_VALUE"""),"10.1016/j.envpol.2020.115397")</f>
        <v>10.1016/j.envpol.2020.115397</v>
      </c>
      <c r="D1539" s="24" t="str">
        <f>IFERROR(__xludf.DUMMYFUNCTION("""COMPUTED_VALUE"""),"Keck et al")</f>
        <v>Keck et al</v>
      </c>
      <c r="E1539" s="24" t="str">
        <f>IFERROR(__xludf.DUMMYFUNCTION("""COMPUTED_VALUE"""),"WOS:000593966000012")</f>
        <v>WOS:000593966000012</v>
      </c>
      <c r="F1539" s="24" t="str">
        <f>IFERROR(__xludf.DUMMYFUNCTION("""COMPUTED_VALUE"""),"[""ELIGIBLE""]")</f>
        <v>["ELIGIBLE"]</v>
      </c>
    </row>
    <row r="1540">
      <c r="A1540" s="24" t="str">
        <f>IFERROR(__xludf.DUMMYFUNCTION("""COMPUTED_VALUE"""),"Urbanization as a driver of taxonomic, functional, and phylogenetic diversity losses in bird communities")</f>
        <v>Urbanization as a driver of taxonomic, functional, and phylogenetic diversity losses in bird communities</v>
      </c>
      <c r="B1540" s="24" t="str">
        <f>IFERROR(__xludf.DUMMYFUNCTION("""COMPUTED_VALUE"""),"Urbanization is one of the most important threats to biodiversity worldwide, as it drives declines in species diversity, functional diversity, and phylogenetic diversity and increases functional redundancy among species. We estimated taxonomic, functional"&amp;", and phylogenetic diversities, as well as the abundance of several functional groups, in bird communities from a town in east-central Argentina in 1985-1986 and 30 years after (2015-2016). In 1985-1986, we found that taxonomic diversity (abundance, speci"&amp;"es richness, and alpha diversity), functional richness, and basal phylogenetic diversity were negatively related to building cover, whereas terminal phylogenetic diversity showed a positive relationship with building cover. Moreover, the abundance of spec"&amp;"ialized functional groups (ground, aerial, and foliage insectivores; nectarivores/insectivores; ground/canopy and ground granivores) decreased with increased building cover, whereas the reverse pattern for the abundance of generalists (medium-sized/large "&amp;"and small omnivores) was found. In 2015-2016, by contrast, taxonomic, functional, and phylogenetic diversities were not related to building cover. Our results not only support the hypothesis that urbanization affects the potential number of ecosystem func"&amp;"tions, but also that this relationship may change through time. Given the accelerated rate of urbanization worldwide, an integrative approach between different facets of biodiversity is promoted to gain insight into the response of bird communities in urb"&amp;"an environments.")</f>
        <v>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v>
      </c>
      <c r="C1540" s="24" t="str">
        <f>IFERROR(__xludf.DUMMYFUNCTION("""COMPUTED_VALUE"""),"10.1139/cjz-2018-0008")</f>
        <v>10.1139/cjz-2018-0008</v>
      </c>
      <c r="D1540" s="24" t="str">
        <f>IFERROR(__xludf.DUMMYFUNCTION("""COMPUTED_VALUE"""),"Keck et al")</f>
        <v>Keck et al</v>
      </c>
      <c r="E1540" s="24" t="str">
        <f>IFERROR(__xludf.DUMMYFUNCTION("""COMPUTED_VALUE"""),"WOS:000446903100006")</f>
        <v>WOS:000446903100006</v>
      </c>
      <c r="F1540" s="24" t="str">
        <f>IFERROR(__xludf.DUMMYFUNCTION("""COMPUTED_VALUE"""),"[""ELIGIBLE""]")</f>
        <v>["ELIGIBLE"]</v>
      </c>
    </row>
    <row r="1541">
      <c r="A1541" s="24" t="str">
        <f>IFERROR(__xludf.DUMMYFUNCTION("""COMPUTED_VALUE"""),"Differences in the Effects of Selective Logging on Amphibian Assemblages in Three West African Forest Types")</f>
        <v>Differences in the Effects of Selective Logging on Amphibian Assemblages in Three West African Forest Types</v>
      </c>
      <c r="B1541" s="24" t="str">
        <f>IFERROR(__xludf.DUMMYFUNCTION("""COMPUTED_VALUE"""),"Making generalizations about the impact of commercial selective logging on biodiversity has so far remained elusive. Species responses to logging depend on a number of factors, many of which have not been studied in detail. These factors may include the n"&amp;"atural forest conditions (forest types) under which logging impacts are investigated; but this question has so far remained unexamined. In a large-scale replicate study we aimed at clarifying the relationship between logging and forest types on leaf litte"&amp;"r frogs. We contrast three distinct and naturally occurring forest types, including wet evergreen, moist evergreen and semi-deciduous forests. Selectively logged sites were compared with primary forest sites for each forest type. We found that the respons"&amp;"e of frog communities to logging varies in different forest types. In the wet evergreen forest, richness was higher in logged forest than primary forest, while diversity measures were not different between logged and primary forest habitats. In the moist "&amp;"evergreen, richness and diversity were higher in selectively logged areas compared with primary forest habitats. In the semi-deciduous, logged forests were characterized by drastic loss of forest specialists, reduced richness, and diversity. These results"&amp;" indicate that the net effect of logging varies with respect to forest type. Forest types that are characterized by adverse climatic conditions (i.e., low rainfall and protracted dry seasons) are more likely to produce negative effects on leaf litter anur"&amp;"an communities. For comparisons of the impact of logging on species to be effective, future research must endeavor to include details of forest type.")</f>
        <v>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v>
      </c>
      <c r="C1541" s="24" t="str">
        <f>IFERROR(__xludf.DUMMYFUNCTION("""COMPUTED_VALUE"""),"10.1111/j.1744-7429.2012.00887.x")</f>
        <v>10.1111/j.1744-7429.2012.00887.x</v>
      </c>
      <c r="D1541" s="24" t="str">
        <f>IFERROR(__xludf.DUMMYFUNCTION("""COMPUTED_VALUE"""),"Keck et al")</f>
        <v>Keck et al</v>
      </c>
      <c r="E1541" s="24" t="str">
        <f>IFERROR(__xludf.DUMMYFUNCTION("""COMPUTED_VALUE"""),"WOS:000312993900012")</f>
        <v>WOS:000312993900012</v>
      </c>
      <c r="F1541" s="24" t="str">
        <f>IFERROR(__xludf.DUMMYFUNCTION("""COMPUTED_VALUE"""),"[""ELIGIBLE""]")</f>
        <v>["ELIGIBLE"]</v>
      </c>
    </row>
    <row r="1542">
      <c r="A1542" s="24" t="str">
        <f>IFERROR(__xludf.DUMMYFUNCTION("""COMPUTED_VALUE"""),"The effect of long-term brine discharge from desalination plants on benthic foraminifera")</f>
        <v>The effect of long-term brine discharge from desalination plants on benthic foraminifera</v>
      </c>
      <c r="B1542" s="24" t="str">
        <f>IFERROR(__xludf.DUMMYFUNCTION("""COMPUTED_VALUE"""),"Desalination plants along the Mediterranean Israeli coastline currently provide similar to 587 million m(3) drinking water/year, and their production is planned to increase gradually. Production of drinking water is accompanied by a nearly equivalent volu"&amp;"me of brine discharge with a salinity of similar to 80 that is twice the normal, which can potentially impact marine ecosystems. The goal of this study was to examine whether benthic foraminifera, a known sensitive marine bio-indicator, are affected by th"&amp;"is brine-discharge. For that, we investigated the seasonal and cumulative effect of brine discharges of three operating desalination facilities along the Israeli coast. Those facilities are located in Ashkelon, Hadera, and Sorek. The brine-discharge in th"&amp;"e first two desalination plants is associated with thermal pollution, while the Sorek facility entails increased salinity but no thermal pollution. In four seasonal cruises during one year, we collected surface sediment samples in triplicates by grabs fro"&amp;"m the outfall (near the discharge site), and from a non-impacted control station adjacent to each study site. Our results highlight that the most robust responses were observed at two out of three desalination shallow sites (Ashkelon and Hadera), where th"&amp;"e brine was discharged directly from a coastal outfall and was accompanied with thermal pollution from the nearby power plants. The total foraminiferal abundance and diversity were, generally, lower near the outfalls, and increased towards the control sta"&amp;"tions. Moreover, changes in the relative abundances of selected species indicate their sensitivity to the brine discharge. The most noticeable response to exclusively elevated salinity was detected at Sorek discharge site, where we observed a sharp declin"&amp;"e in organic-cemented agglutinated benthic foraminifera, suggesting that these are particularly sensitive to elevated salinity. The herein study contribute new insights into the effect of brine discharge from desalination plants, on benthic foraminifera, "&amp;"and propose a scientifically-based ecological monitoring tool that can help stakeholders.")</f>
        <v>Desalination plants along the Mediterranean Israeli coastline currently provide similar to 587 million m(3) drinking water/year, and their production is planned to increase gradually. Production of drinking water is accompanied by a nearly equivalent volume of brine discharge with a salinity of similar to 80 that is twice the normal, which can potentially impact marine ecosystems. The goal of this study was to examine whether benthic foraminifera, a known sensitive marine bio-indicator, are affected by this brine-discharge. For that, we investigated the seasonal and cumulative effect of brine discharges of three operating desalination facilities along the Israeli coast. Those facilities are located in Ashkelon, Hadera, and Sorek. The brine-discharge in the first two desalination plants is associated with thermal pollution, while the Sorek facility entails increased salinity but no thermal pollution. In four seasonal cruises during one year, we collected surface sediment samples in triplicates by grabs from the outfall (near the discharge site), and from a non-impacted control station adjacent to each study site. Our results highlight that the most robust responses were observed at two out of three desalination shallow sites (Ashkelon and Hadera), where the brine was discharged directly from a coastal outfall and was accompanied with thermal pollution from the nearby power plants. The total foraminiferal abundance and diversity were, generally, lower near the outfalls, and increased towards the control stations. Moreover, changes in the relative abundances of selected species indicate their sensitivity to the brine discharge. The most noticeable response to exclusively elevated salinity was detected at Sorek discharge site, where we observed a sharp decline in organic-cemented agglutinated benthic foraminifera, suggesting that these are particularly sensitive to elevated salinity. The herein study contribute new insights into the effect of brine discharge from desalination plants, on benthic foraminifera, and propose a scientifically-based ecological monitoring tool that can help stakeholders.</v>
      </c>
      <c r="C1542" s="24" t="str">
        <f>IFERROR(__xludf.DUMMYFUNCTION("""COMPUTED_VALUE"""),"10.1371/journal.pone.0227589")</f>
        <v>10.1371/journal.pone.0227589</v>
      </c>
      <c r="D1542" s="24" t="str">
        <f>IFERROR(__xludf.DUMMYFUNCTION("""COMPUTED_VALUE"""),"Keck et al")</f>
        <v>Keck et al</v>
      </c>
      <c r="E1542" s="24" t="str">
        <f>IFERROR(__xludf.DUMMYFUNCTION("""COMPUTED_VALUE"""),"WOS:000534354100033")</f>
        <v>WOS:000534354100033</v>
      </c>
      <c r="F1542" s="24" t="str">
        <f>IFERROR(__xludf.DUMMYFUNCTION("""COMPUTED_VALUE"""),"[""ELIGIBLE""]")</f>
        <v>["ELIGIBLE"]</v>
      </c>
    </row>
    <row r="1543">
      <c r="A1543" s="24" t="str">
        <f>IFERROR(__xludf.DUMMYFUNCTION("""COMPUTED_VALUE"""),"Tree diversity across different tropical agricultural land use types")</f>
        <v>Tree diversity across different tropical agricultural land use types</v>
      </c>
      <c r="B1543" s="24" t="str">
        <f>IFERROR(__xludf.DUMMYFUNCTION("""COMPUTED_VALUE"""),"A recent trend in conservation biology is not only to focus on protected areas of natural vegetation but also on the management of agricultural landscapes, since these landscapes are considered to be-of vital importance for overall landscape biodiversity "&amp;"both through the opportunity for species to thrive there and as conduits for inter-patch dispersal. Since trees are considered to be key structures to enhance biodiversity in agricultural landscapes, we need to understand what factors regulate their occur"&amp;"rences. Farmers choices will decide the composition of land-uses and the associated densities and composition of trees. We compared tree density and tree species composition across eight different land use types replicated in ten agricultural landscapes i"&amp;"n relatively humid climates of mid-altitudes (1500-2500 m asl) in Ethiopia. In each landscape five transects of 1 km divided into 50 plots of 20 x 20 m were surveyed for woody plants. Annual crop plots had a low tree density (of trees &gt;10 cm DBH) (6 per h"&amp;"a), but since it generally was the most abundant land use type altogether, many tree species were still found there (4-29 per transect in the different landscapes). Most tree species had their highest relative occurrence in the perenial crops land-use typ"&amp;"e and among the different perenial crop types, plots with coffee were more species rich than plots with khat (Catha edulis) (a stimulant crop increasing in frequency); plots with Eucalyptus trees were intermediate. A few species were more associated with "&amp;"grazing areas and homegardens indicating that a combination of land-uses enhances the overall species diversity in these agricultural landscapes. However, if the trend of increasing areas of khat and Eucalyptus would lead to decreases in shade coffee ther"&amp;"e is a risk for severe erosion of tree density and species richness across these landscapes with cascading effects on associated biodiversity. (C) 2017 Elsevier B.V. All rights reserved.")</f>
        <v>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v>
      </c>
      <c r="C1543" s="24" t="str">
        <f>IFERROR(__xludf.DUMMYFUNCTION("""COMPUTED_VALUE"""),"10.1016/j.agee.2017.01.042")</f>
        <v>10.1016/j.agee.2017.01.042</v>
      </c>
      <c r="D1543" s="24" t="str">
        <f>IFERROR(__xludf.DUMMYFUNCTION("""COMPUTED_VALUE"""),"Keck et al")</f>
        <v>Keck et al</v>
      </c>
      <c r="E1543" s="24" t="str">
        <f>IFERROR(__xludf.DUMMYFUNCTION("""COMPUTED_VALUE"""),"WOS:000398645900010")</f>
        <v>WOS:000398645900010</v>
      </c>
      <c r="F1543" s="24" t="str">
        <f>IFERROR(__xludf.DUMMYFUNCTION("""COMPUTED_VALUE"""),"[""ELIGIBLE""]")</f>
        <v>["ELIGIBLE"]</v>
      </c>
    </row>
    <row r="1544">
      <c r="A1544" s="24" t="str">
        <f>IFERROR(__xludf.DUMMYFUNCTION("""COMPUTED_VALUE"""),"Post-fire logging produces minimal persistent impacts on understory vegetation in northeastern Oregon, USA")</f>
        <v>Post-fire logging produces minimal persistent impacts on understory vegetation in northeastern Oregon, USA</v>
      </c>
      <c r="B1544" s="24" t="str">
        <f>IFERROR(__xludf.DUMMYFUNCTION("""COMPUTED_VALUE"""),"Post-fire forest management commonly requires accepting some negative ecological impacts from management activities in order to achieve management objectives. Managers need to know, however, whether ecological impacts from post-fire management activities "&amp;"are transient or cause long-term ecosystem degradation. We studied the long-term response of understory vegetation to two post-fire logging treatments- commercial salvage logging with and without additional fuel reduction logging- on a long-term post-fire"&amp;" logging experiment in northeastern Oregon, USA. We sampled understory plant cover and species diversity on 10-11 sampling plots within each of nine experimental treatment units to see if post-fire logging treatments produced any lasting effects on unders"&amp;"tory plant cover, species diversity, community composition, or exotic species cover. Post-fire logging treatments produced no significant effects on understory vegetation cover, diversity, or community composition 15 years after treatment. We found no sig"&amp;"nificant treatment effects on graminoid, forb, woody plant, or exotic plant cover and species richness, and differences among treatment means were generally small. Differences in treatment means were larger at the individual species level, but were only s"&amp;"tatistically significant for one native grass, California brome (Bromus carinatus), which responded differently to the two logging treatments. Multivariate analysis of understory plant communities across 91 sample plots found two major gradients in unders"&amp;"tory plant community composition, one correlated with regenerating forest (sapling) density and one correlated with residual overstory tree density, suggesting that initial fire severity (tree mortality) and post-fire regeneration may have greater long-te"&amp;"rm impacts on post-fire understory vegetation than post-fire logging. This study demonstrates that understory vegetation can be resilient to post-fire logging, particularly when best management practices, like logging over snow, are used to limit damage t"&amp;"o soils and understory vegetation. Further research is needed to establish the generality of our results and to identify sources of variability in understory plant community responses to wildfire and post fire logging. If further research confirms our fin"&amp;"dings, post-fire logging debates will be able to focus more on how to mitigate short-term disturbance impacts and manage fire-killed trees to meet wildlife habitat, fuel reduction, and economic objectives, and less on concerns over long-term ecosystem deg"&amp;"radation. Published by Elsevier B.V.")</f>
        <v>Post-fire forest management commonly requires accepting some negative ecological impacts from management activities in order to achieve management objectives. Managers need to know, however, whether ecological impacts from post-fire management activities are transient or cause long-term ecosystem degradation. We studied the long-term response of understory vegetation to two post-fire logging treatments- commercial salvage logging with and without additional fuel reduction logging- on a long-term post-fire logging experiment in northeastern Oregon, USA. We sampled understory plant cover and species diversity on 10-11 sampling plots within each of nine experimental treatment units to see if post-fire logging treatments produced any lasting effects on understory plant cover, species diversity, community composition, or exotic species cover. Post-fire logging treatments produced no significant effects on understory vegetation cover, diversity, or community composition 15 years after treatment. We found no significant treatment effects on graminoid, forb, woody plant, or exotic plant cover and species richness, and differences among treatment means were generally small. Differences in treatment means were larger at the individual species level, but were only statistically significant for one native grass, California brome (Bromus carinatus), which responded differently to the two logging treatments. Multivariate analysis of understory plant communities across 91 sample plots found two major gradients in understory plant community composition, one correlated with regenerating forest (sapling) density and one correlated with residual overstory tree density, suggesting that initial fire severity (tree mortality) and post-fire regeneration may have greater long-term impacts on post-fire understory vegetation than post-fire logging. This study demonstrates that understory vegetation can be resilient to post-fire logging, particularly when best management practices, like logging over snow, are used to limit damage to soils and understory vegetation. Further research is needed to establish the generality of our results and to identify sources of variability in understory plant community responses to wildfire and post fire logging. If further research confirms our findings, post-fire logging debates will be able to focus more on how to mitigate short-term disturbance impacts and manage fire-killed trees to meet wildlife habitat, fuel reduction, and economic objectives, and less on concerns over long-term ecosystem degradation. Published by Elsevier B.V.</v>
      </c>
      <c r="C1544" s="24" t="str">
        <f>IFERROR(__xludf.DUMMYFUNCTION("""COMPUTED_VALUE"""),"10.1016/j.foreco.2016.04.004")</f>
        <v>10.1016/j.foreco.2016.04.004</v>
      </c>
      <c r="D1544" s="24" t="str">
        <f>IFERROR(__xludf.DUMMYFUNCTION("""COMPUTED_VALUE"""),"Keck et al")</f>
        <v>Keck et al</v>
      </c>
      <c r="E1544" s="24" t="str">
        <f>IFERROR(__xludf.DUMMYFUNCTION("""COMPUTED_VALUE"""),"WOS:000375164100006")</f>
        <v>WOS:000375164100006</v>
      </c>
      <c r="F1544" s="24" t="str">
        <f>IFERROR(__xludf.DUMMYFUNCTION("""COMPUTED_VALUE"""),"[""ELIGIBLE""]")</f>
        <v>["ELIGIBLE"]</v>
      </c>
    </row>
    <row r="1545">
      <c r="A1545" s="24" t="str">
        <f>IFERROR(__xludf.DUMMYFUNCTION("""COMPUTED_VALUE"""),"The Relative Effects of Willow Invasion, Willow Control and Hydrology on Wetland Zooplankton Assemblages")</f>
        <v>The Relative Effects of Willow Invasion, Willow Control and Hydrology on Wetland Zooplankton Assemblages</v>
      </c>
      <c r="B1545" s="24" t="str">
        <f>IFERROR(__xludf.DUMMYFUNCTION("""COMPUTED_VALUE"""),"Few studies have examined zooplankton assemblages associated with grey willow (Salix cinerea) invasions in wetlands. Our aim was to quantitatively examine zooplankton composition amongS. cinereastands within the South Taupo Wetland, New Zealand, to determ"&amp;"ine whether these assemblages are affected by willow growth and willow control treatment using the herbicide metsulfuron (C14H15N5O6S). Alternatively, we examined whether wetland hydrology had an over-riding influence. Sampling was performed on three occa"&amp;"sions (late-summer, mid-winter, and early-summer). Using Multidimensional Scaling and ANOSIM, we found no significant differences in zooplankton composition or environmental variables among native vegetation, live and deadS. cinereasites, except for a dif"&amp;"ference in willow canopy density between late summer and winter. However, zooplankton composition differed on either side of a sand bar, suggesting areas separated by this barrier functioned independently. Overall, we found zooplankton communities to be r"&amp;"egulated more by wetland hydrology than by willow presence. A limited willow effect was possibly due to the wetland being at an early stage of invasion, representing stand-alone individuals, with a continuous canopy not yet having formed. Alternatively, w"&amp;"illows have lesser effects on invertebrates in wetlands than in streams. Ground control treatment ofS. cinereausing metsulfuron had no apparent impact.")</f>
        <v>Few studies have examined zooplankton assemblages associated with grey willow (Salix cinerea) invasions in wetlands. Our aim was to quantitatively examine zooplankton composition amongS. cinereastands within the South Taupo Wetland, New Zealand, to determine whether these assemblages are affected by willow growth and willow control treatment using the herbicide metsulfuron (C14H15N5O6S). Alternatively, we examined whether wetland hydrology had an over-riding influence. Sampling was performed on three occasions (late-summer, mid-winter, and early-summer). Using Multidimensional Scaling and ANOSIM, we found no significant differences in zooplankton composition or environmental variables among native vegetation, live and deadS. cinereasites, except for a difference in willow canopy density between late summer and winter. However, zooplankton composition differed on either side of a sand bar, suggesting areas separated by this barrier functioned independently. Overall, we found zooplankton communities to be regulated more by wetland hydrology than by willow presence. A limited willow effect was possibly due to the wetland being at an early stage of invasion, representing stand-alone individuals, with a continuous canopy not yet having formed. Alternatively, willows have lesser effects on invertebrates in wetlands than in streams. Ground control treatment ofS. cinereausing metsulfuron had no apparent impact.</v>
      </c>
      <c r="C1545" s="24" t="str">
        <f>IFERROR(__xludf.DUMMYFUNCTION("""COMPUTED_VALUE"""),"10.1007/s13157-020-01359-5")</f>
        <v>10.1007/s13157-020-01359-5</v>
      </c>
      <c r="D1545" s="24" t="str">
        <f>IFERROR(__xludf.DUMMYFUNCTION("""COMPUTED_VALUE"""),"Keck et al")</f>
        <v>Keck et al</v>
      </c>
      <c r="E1545" s="24" t="str">
        <f>IFERROR(__xludf.DUMMYFUNCTION("""COMPUTED_VALUE"""),"WOS:000566053400002")</f>
        <v>WOS:000566053400002</v>
      </c>
      <c r="F1545" s="24" t="str">
        <f>IFERROR(__xludf.DUMMYFUNCTION("""COMPUTED_VALUE"""),"[""ELIGIBLE""]")</f>
        <v>["ELIGIBLE"]</v>
      </c>
    </row>
    <row r="1546">
      <c r="A1546" s="24" t="str">
        <f>IFERROR(__xludf.DUMMYFUNCTION("""COMPUTED_VALUE"""),"The effects of Bidens alba invasion on soil bacterial communities across different coastal ecosystem land-use types in southern China")</f>
        <v>The effects of Bidens alba invasion on soil bacterial communities across different coastal ecosystem land-use types in southern China</v>
      </c>
      <c r="B1546" s="24" t="str">
        <f>IFERROR(__xludf.DUMMYFUNCTION("""COMPUTED_VALUE"""),"Environments in both biotic and abiotic ecosystems have been affected by the colonization of non-native flora. In this study, we examined the effect of Bidens alba invasion on different land-use types along a coastline in southern China. Bacterial communi"&amp;"ties in each site were determined using 16S rDNA sequencing, and soil physicochemical properties were analyzed using standard methods. Although our results indicated that B. alba invasion did not have a significant effect on the alpha diversity of bacteri"&amp;"a, it caused significant differences in soil bacterial community composition between invaded and uninvaded soil across different land-use types. Beta diversity and several physicochemical properties in forest, orchard and waterfront environments were reco"&amp;"rded to be more susceptible to B. alba invasion. A high proportion of the variation of bacterial communities can be explained by a combination of environmental variables, indicating that environmental selection rather than plant invasion is a more effecti"&amp;"ve process in coastal microbial assemblages. By comparing topological roles of shared OTUs among invaded and uninvaded soil, keystone taxa in invaded soil were identified. Acidobacteria was the major phyla involved in the invasive process which could be d"&amp;"riven by environmental selection. How key phyla react in our experiment should be verified by further studies.")</f>
        <v>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v>
      </c>
      <c r="C1546" s="24" t="str">
        <f>IFERROR(__xludf.DUMMYFUNCTION("""COMPUTED_VALUE"""),"10.1371/journal.pone.0238478")</f>
        <v>10.1371/journal.pone.0238478</v>
      </c>
      <c r="D1546" s="24" t="str">
        <f>IFERROR(__xludf.DUMMYFUNCTION("""COMPUTED_VALUE"""),"Keck et al")</f>
        <v>Keck et al</v>
      </c>
      <c r="E1546" s="24" t="str">
        <f>IFERROR(__xludf.DUMMYFUNCTION("""COMPUTED_VALUE"""),"WOS:000588374000022")</f>
        <v>WOS:000588374000022</v>
      </c>
      <c r="F1546" s="24" t="str">
        <f>IFERROR(__xludf.DUMMYFUNCTION("""COMPUTED_VALUE"""),"[""ELIGIBLE""]")</f>
        <v>["ELIGIBLE"]</v>
      </c>
    </row>
    <row r="1547">
      <c r="A1547" s="24" t="str">
        <f>IFERROR(__xludf.DUMMYFUNCTION("""COMPUTED_VALUE"""),"Microbial communities are sensitive indicators for freshwater sediment copper contamination")</f>
        <v>Microbial communities are sensitive indicators for freshwater sediment copper contamination</v>
      </c>
      <c r="B1547" s="24" t="str">
        <f>IFERROR(__xludf.DUMMYFUNCTION("""COMPUTED_VALUE"""),"Anthropogenic activities, such as mining and agriculture, have resulted in many freshwater systems having elevated concentrations of copper. Despite the prevalence of this contamination, and the vital ecological function of prokaryotes, just three studies"&amp;" have investigated prokaryote community responses to copper concentration in freshwater sediments. To address this, the current study investigated these communities in outdoor mesocosms spiked with varying copper concentrations. We profiled the prokaryoti"&amp;"c communities at the taxonomic level, using next-generation high-throughput sequencing techniques, as well as their function, using baiting with leaf analogues, and Biolog Ecoplates for community level physiological profiling. Sediments containing just 46"&amp;" mg kg(-1) of copper, had distinctly different microbial communities compared with controls, as determined by both DNA and RNA 16S ribosomal RNA gene (rRNA) profiling. In addition to this, sediment communities displayed a greatly reduced utilisation of ca"&amp;"rbon substrates under elevated copper, while the communities recruited onto leaf analogues were also disparate from those of control ponds. Given the vital role of prokaryotes in ecosystem processes, including carbon cycling, these changes are potentially"&amp;" of great ecological relevance, and are seen to occur well below the 'low risk' sediment quality guideline values (SQGV) used by regulatory bodies internationally. (C) 2019 Elsevier Ltd. All rights reserved.")</f>
        <v>Anthropogenic activities, such as mining and agriculture, have resulted in many freshwater systems having elevated concentrations of copper. Despite the prevalence of this contamination, and the vital ecological function of prokaryotes, just three studies have investigated prokaryote community responses to copper concentration in freshwater sediments. To address this, the current study investigated these communities in outdoor mesocosms spiked with varying copper concentrations. We profiled the prokaryotic communities at the taxonomic level, using next-generation high-throughput sequencing techniques, as well as their function, using baiting with leaf analogues, and Biolog Ecoplates for community level physiological profiling. Sediments containing just 46 mg kg(-1) of copper, had distinctly different microbial communities compared with controls, as determined by both DNA and RNA 16S ribosomal RNA gene (rRNA) profiling. In addition to this, sediment communities displayed a greatly reduced utilisation of carbon substrates under elevated copper, while the communities recruited onto leaf analogues were also disparate from those of control ponds. Given the vital role of prokaryotes in ecosystem processes, including carbon cycling, these changes are potentially of great ecological relevance, and are seen to occur well below the 'low risk' sediment quality guideline values (SQGV) used by regulatory bodies internationally. (C) 2019 Elsevier Ltd. All rights reserved.</v>
      </c>
      <c r="C1547" s="24" t="str">
        <f>IFERROR(__xludf.DUMMYFUNCTION("""COMPUTED_VALUE"""),"10.1016/j.envpol.2019.01.104")</f>
        <v>10.1016/j.envpol.2019.01.104</v>
      </c>
      <c r="D1547" s="24" t="str">
        <f>IFERROR(__xludf.DUMMYFUNCTION("""COMPUTED_VALUE"""),"Keck et al")</f>
        <v>Keck et al</v>
      </c>
      <c r="E1547" s="24" t="str">
        <f>IFERROR(__xludf.DUMMYFUNCTION("""COMPUTED_VALUE"""),"WOS:000460844800111")</f>
        <v>WOS:000460844800111</v>
      </c>
      <c r="F1547" s="24" t="str">
        <f>IFERROR(__xludf.DUMMYFUNCTION("""COMPUTED_VALUE"""),"[""ELIGIBLE""]")</f>
        <v>["ELIGIBLE"]</v>
      </c>
    </row>
    <row r="1548">
      <c r="A1548" s="24" t="str">
        <f>IFERROR(__xludf.DUMMYFUNCTION("""COMPUTED_VALUE"""),"Effects of environmentally relevant concentrations of mixtures of TiO2, ZnO and Ag ENPs on a river bacterial community")</f>
        <v>Effects of environmentally relevant concentrations of mixtures of TiO2, ZnO and Ag ENPs on a river bacterial community</v>
      </c>
      <c r="B1548" s="24" t="str">
        <f>IFERROR(__xludf.DUMMYFUNCTION("""COMPUTED_VALUE"""),"Effluent from wastewater treatment plants contains a wide variety of engineered nanoparticles (ENPs) released from different sources. Although single type ENPs have been studied extensively with respect to their environmental impact, ENPs in mixed forms h"&amp;"ave not been investigated much at environmentally relevant concentrations. This study was designed to test the effect of mixed ENPs at three combinations and concentrations on an aquatic bacterial community. After mixing artificial treated wastewater with"&amp;" river water and exposing the microbial community to ENPs for three days, the ENPs were characterized by SP-ICP-MS. Results from this study showed that: 1) the size distribution of Ti and Zn at the beginning and end of the experiment did not vary much amo"&amp;"ng all tested conditions. For Ag, the most frequent size increased more than 2-fold when the highest Ag ENPs were added; 2) particle concentrations of ENPs generally correlated positively with added concentrations; 3) dissolved Zn and Ag increased signifi"&amp;"cantly as a result of spike; and 4) the bacterial community structure was shifted significantly as a consequence of ENPs' addition. With the dominant population being suppressed, the community exposed to ENPs became more diverse and even. Surprisingly, fu"&amp;"rther increase of the doses of the three ENPs did not bring significant change to the microbial community. These results revealed that ENPs could bring significant impacts to prokaryotes even at low concentrations. But these impacts do not necessarily cor"&amp;"relate positively with doses. Published by Elsevier Ltd.")</f>
        <v>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v>
      </c>
      <c r="C1548" s="24" t="str">
        <f>IFERROR(__xludf.DUMMYFUNCTION("""COMPUTED_VALUE"""),"10.1016/j.chemosphere.2019.05.110")</f>
        <v>10.1016/j.chemosphere.2019.05.110</v>
      </c>
      <c r="D1548" s="24" t="str">
        <f>IFERROR(__xludf.DUMMYFUNCTION("""COMPUTED_VALUE"""),"Keck et al")</f>
        <v>Keck et al</v>
      </c>
      <c r="E1548" s="24" t="str">
        <f>IFERROR(__xludf.DUMMYFUNCTION("""COMPUTED_VALUE"""),"WOS:000471736000060")</f>
        <v>WOS:000471736000060</v>
      </c>
      <c r="F1548" s="24" t="str">
        <f>IFERROR(__xludf.DUMMYFUNCTION("""COMPUTED_VALUE"""),"[""ELIGIBLE""]")</f>
        <v>["ELIGIBLE"]</v>
      </c>
    </row>
    <row r="1549">
      <c r="A1549" s="24" t="str">
        <f>IFERROR(__xludf.DUMMYFUNCTION("""COMPUTED_VALUE"""),"Artificial lighting at night alters aquatic-riparian invertebrate food webs")</f>
        <v>Artificial lighting at night alters aquatic-riparian invertebrate food webs</v>
      </c>
      <c r="B1549" s="24" t="str">
        <f>IFERROR(__xludf.DUMMYFUNCTION("""COMPUTED_VALUE"""),"Artificial lighting at night (ALAN) is a global phenomenon that can be detrimental to organisms at individual and population levels, yet potential consequences for communities and ecosystem functions are less resolved. Riparian systems may be particularly"&amp;" vulnerable to ALAN. We investigated the impacts of ALAN on invertebrate community composition and food web characteristics for linked aquatic-terrestrial ecosystems. We focused on food chain length (FCL), a central property of ecological communities that"&amp;" can influence their structure, function, and stability; and the contribution of aquatically derived energy (i.e., nutritional subsidies originating from stream periphyton). We collected terrestrial arthropods and emergent aquatic insects from a suite of "&amp;"stream and wetland sites in Columbus, Ohio, USA. Stable isotopes of carbon (C-13) and nitrogen (N-15) were used to infer FCL and contribution of aquatically derived energy. We found that moderate-to-high levels of ALAN altered invertebrate community compo"&amp;"sition, favoring primarily predators and detritivores. Impacts of ALAN, however, were very taxon specific as illustrated, for example, by the negative impact of ALAN on the abundance of orb-web spiders belonging to the families Tetragnathidae and Araneida"&amp;"e: key invertebrate riparian predators. Most notably, we observed decreases in both invertebrate FCL and reliance on aquatically derived energy under ALAN (although aquatic energetic contributions appeared to increase again at higher levels of ALAN), in a"&amp;"ddition to shifts in the timing of reciprocal nutritional subsidies. Our study demonstrates that ALAN can alter the flows of energy between aquatic and terrestrial systems, thereby representing an environmental perturbation that can cross ecosystem bounda"&amp;"ries. Given projections for global increases in ALAN, both in terms of coverage and intensity, these results have broad implications for stream ecosystem structure and function.")</f>
        <v>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v>
      </c>
      <c r="C1549" s="24" t="str">
        <f>IFERROR(__xludf.DUMMYFUNCTION("""COMPUTED_VALUE"""),"10.1002/eap.1821")</f>
        <v>10.1002/eap.1821</v>
      </c>
      <c r="D1549" s="24" t="str">
        <f>IFERROR(__xludf.DUMMYFUNCTION("""COMPUTED_VALUE"""),"Keck et al")</f>
        <v>Keck et al</v>
      </c>
      <c r="E1549" s="24" t="str">
        <f>IFERROR(__xludf.DUMMYFUNCTION("""COMPUTED_VALUE"""),"WOS:000454685500010")</f>
        <v>WOS:000454685500010</v>
      </c>
      <c r="F1549" s="24" t="str">
        <f>IFERROR(__xludf.DUMMYFUNCTION("""COMPUTED_VALUE"""),"[""ELIGIBLE""]")</f>
        <v>["ELIGIBLE"]</v>
      </c>
    </row>
    <row r="1550">
      <c r="A1550" s="24" t="str">
        <f>IFERROR(__xludf.DUMMYFUNCTION("""COMPUTED_VALUE"""),"Cascading effects on bacterial communities: cattle grazing causes a shift in the microbiome of a herbivorous caterpillar")</f>
        <v>Cascading effects on bacterial communities: cattle grazing causes a shift in the microbiome of a herbivorous caterpillar</v>
      </c>
      <c r="B1550" s="24" t="str">
        <f>IFERROR(__xludf.DUMMYFUNCTION("""COMPUTED_VALUE"""),"Large mammalian herbivores greatly influence the functioning of grassland ecosystems. Through plant consumption, excreta, and trampling, they modify biodiversity, nutrient cycling, and soil properties. Grazing mammals can also alter soil and rhizosphere b"&amp;"acterial communities, but their effect on the microbiome of other animals in the habitat (i.e., insects) is unknown. Using an experimental field approach and Illumina MiSeq 16S rRNA gene sequencing, we analyzed the influence of cattle grazing on the micro"&amp;"bial community of spring webworm caterpillars, Ocnogyna loewii. Our experimental setup included replicated grazed and non-grazed paddocks from which caterpillars were collected twice (first-second and fourth-fifth instar). The caterpillars' microbiome is "&amp;"composed mostly of Proteobacteria and Firmicutes, and contains a potential symbiont from the genus Carnobacterium (55% of reads). We found that grazing significantly altered the microbiome composition of late instar caterpillars, probably through changes "&amp;"in diet (plant) composition and availability. Furthermore, the microbiome composition of early instar caterpillars significantly differed from late instar caterpillars in 221 OTUs (58 genera). Pseudomonas and Acinetobacter were dominant in early instars, "&amp;"while Carnobacterium and Acinetobacter were dominant in late instars. This study provides new ecological perspectives on the cascading effects mammalian herbivores may have on the microbiome of other animals in their shared habitat.")</f>
        <v>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v>
      </c>
      <c r="C1550" s="24" t="str">
        <f>IFERROR(__xludf.DUMMYFUNCTION("""COMPUTED_VALUE"""),"10.1038/s41396-018-0102-4")</f>
        <v>10.1038/s41396-018-0102-4</v>
      </c>
      <c r="D1550" s="24" t="str">
        <f>IFERROR(__xludf.DUMMYFUNCTION("""COMPUTED_VALUE"""),"Keck et al")</f>
        <v>Keck et al</v>
      </c>
      <c r="E1550" s="24" t="str">
        <f>IFERROR(__xludf.DUMMYFUNCTION("""COMPUTED_VALUE"""),"WOS:000441575100008")</f>
        <v>WOS:000441575100008</v>
      </c>
      <c r="F1550" s="24" t="str">
        <f>IFERROR(__xludf.DUMMYFUNCTION("""COMPUTED_VALUE"""),"[""ELIGIBLE""]")</f>
        <v>["ELIGIBLE"]</v>
      </c>
    </row>
    <row r="1551">
      <c r="A1551" s="24" t="str">
        <f>IFERROR(__xludf.DUMMYFUNCTION("""COMPUTED_VALUE"""),"The Structure of Riparian Vegetation in Agricultural Landscapes Influences Spider Communities and Aquatic-Terrestrial Linkages")</f>
        <v>The Structure of Riparian Vegetation in Agricultural Landscapes Influences Spider Communities and Aquatic-Terrestrial Linkages</v>
      </c>
      <c r="B1551" s="24" t="str">
        <f>IFERROR(__xludf.DUMMYFUNCTION("""COMPUTED_VALUE"""),"Riparian habitats are important ecotones connecting aquatic and terrestrial ecosystems, but are often highly degraded by human activities. Riparian buffers might help support impacted riparian communities, and improve trophic connectivity. We sampled spid"&amp;"er communities from riparian habitats in an agricultural catchment, and analyzed their polyunsaturated fatty acid (PUFA) content to quantify trophic connectivity. Specific PUFAs are exclusively produced by stream algae, and thus are used to track uptake o"&amp;"f aquatic resources by terrestrial consumers. Riparian spiders were collected from 10 site pairs situated along agricultural streams, and from five forest sites (25 sites total). Each agricultural site pair comprised an unshaded site with predominantly he"&amp;"rbaceous vegetation cover, and a second with a woody riparian buffer. Spider communities differed between site types, with web-building spiders dominating woody buffered sites and free-living spiders associated with more open habitats. PUFA concentrations"&amp;" were greatest overall in free-living spiders, but there was also evidence for increased PUFA uptake by some spider groups when a woody riparian buffer was present. Our results reveal the different roles of open and wooded riparian habitats in supporting "&amp;"terrestrial consumers and aquatic-terrestrial connectivity, and highlight the value of incorporating patches of woody vegetation within riparian networks in highly modified landscapes.")</f>
        <v>Riparian habitats are important ecotones connecting aquatic and terrestrial ecosystems, but are often highly degraded by human activities. Riparian buffers might help support impacted riparian communities, and improve trophic connectivity. We sampled spider communities from riparian habitats in an agricultural catchment, and analyzed their polyunsaturated fatty acid (PUFA) content to quantify trophic connectivity. Specific PUFAs are exclusively produced by stream algae, and thus are used to track uptake of aquatic resources by terrestrial consumers. Riparian spiders were collected from 10 site pairs situated along agricultural streams, and from five forest sites (25 sites total). Each agricultural site pair comprised an unshaded site with predominantly herbaceous vegetation cover, and a second with a woody riparian buffer. Spider communities differed between site types, with web-building spiders dominating woody buffered sites and free-living spiders associated with more open habitats. PUFA concentrations were greatest overall in free-living spiders, but there was also evidence for increased PUFA uptake by some spider groups when a woody riparian buffer was present. Our results reveal the different roles of open and wooded riparian habitats in supporting terrestrial consumers and aquatic-terrestrial connectivity, and highlight the value of incorporating patches of woody vegetation within riparian networks in highly modified landscapes.</v>
      </c>
      <c r="C1551" s="24" t="str">
        <f>IFERROR(__xludf.DUMMYFUNCTION("""COMPUTED_VALUE"""),"10.3390/w12102855")</f>
        <v>10.3390/w12102855</v>
      </c>
      <c r="D1551" s="24" t="str">
        <f>IFERROR(__xludf.DUMMYFUNCTION("""COMPUTED_VALUE"""),"Keck et al")</f>
        <v>Keck et al</v>
      </c>
      <c r="E1551" s="24" t="str">
        <f>IFERROR(__xludf.DUMMYFUNCTION("""COMPUTED_VALUE"""),"WOS:000586967400001")</f>
        <v>WOS:000586967400001</v>
      </c>
      <c r="F1551" s="24" t="str">
        <f>IFERROR(__xludf.DUMMYFUNCTION("""COMPUTED_VALUE"""),"[""ELIGIBLE""]")</f>
        <v>["ELIGIBLE"]</v>
      </c>
    </row>
    <row r="1552">
      <c r="A1552" s="24" t="str">
        <f>IFERROR(__xludf.DUMMYFUNCTION("""COMPUTED_VALUE"""),"Influence of sugarcane growth stages on bird diversity and community structure in an agricultural-savanna environment")</f>
        <v>Influence of sugarcane growth stages on bird diversity and community structure in an agricultural-savanna environment</v>
      </c>
      <c r="B1552" s="24" t="str">
        <f>IFERROR(__xludf.DUMMYFUNCTION("""COMPUTED_VALUE"""),"Agricultural intensification is a threat to terrestrial ecosystems around the world. Agricultural areas, especially monocultures, create homogenous landscapes for wildlife. However, certain crops, such as sugarcane, are harvested in phases, creating a mos"&amp;"aic of fields in different stages of growth. We investigated changes in avian communities across four different sugarcane growth stages: emerging, short, medium and tall sugarcane, as well as control sites that represented native savanna habitat in northe"&amp;"ast Eswatini prior to conversion to agriculture. In total, we sampled nine sites in sugarcane fields (at different growth stages) and three in native savanna. We conducted bird counts at 5-week intervals along 200m line transects over both the breeding an"&amp;"d non-breeding seasons. We recorded a total of 124 bird species belonging to 58 families. Bird species richness and diversity were higher in savannas compared to any stages of growth in sugarcane. In contrast, functional beta diversity and uniqueness were"&amp;" higher in sugarcane than in savanna. Community composition was also different between the two land-uses. While there was overlap in bird species composition between different sugarcane growth stages, there was high beta diversity and high turnover betwee"&amp;"n sites, indicative of the high temporal and spatial variability in bird communities in sugarcane fields. We demonstrated that the spatial and temporal variability created by the different growth stages of sugarcane promotes the occurrence of species with"&amp;" different traits, which may contribute to ecosystem functioning and promote the conservation of bird species as sugarcane fields can provide resource complementation for species with different needs.")</f>
        <v>Agricultural intensification is a threat to terrestrial ecosystems around the world. Agricultural areas, especially monocultures, create homogenous landscapes for wildlife. However, certain crops, such as sugarcane, are harvested in phases, creating a mosaic of fields in different stages of growth. We investigated changes in avian communities across four different sugarcane growth stages: emerging, short, medium and tall sugarcane, as well as control sites that represented native savanna habitat in northeast Eswatini prior to conversion to agriculture. In total, we sampled nine sites in sugarcane fields (at different growth stages) and three in native savanna. We conducted bird counts at 5-week intervals along 200m line transects over both the breeding and non-breeding seasons. We recorded a total of 124 bird species belonging to 58 families. Bird species richness and diversity were higher in savannas compared to any stages of growth in sugarcane. In contrast, functional beta diversity and uniqueness were higher in sugarcane than in savanna. Community composition was also different between the two land-uses. While there was overlap in bird species composition between different sugarcane growth stages, there was high beta diversity and high turnover between sites, indicative of the high temporal and spatial variability in bird communities in sugarcane fields. We demonstrated that the spatial and temporal variability created by the different growth stages of sugarcane promotes the occurrence of species with different traits, which may contribute to ecosystem functioning and promote the conservation of bird species as sugarcane fields can provide resource complementation for species with different needs.</v>
      </c>
      <c r="C1552" s="24" t="str">
        <f>IFERROR(__xludf.DUMMYFUNCTION("""COMPUTED_VALUE"""),"10.1016/j.heliyon.2021.e06563")</f>
        <v>10.1016/j.heliyon.2021.e06563</v>
      </c>
      <c r="D1552" s="24" t="str">
        <f>IFERROR(__xludf.DUMMYFUNCTION("""COMPUTED_VALUE"""),"Keck et al")</f>
        <v>Keck et al</v>
      </c>
      <c r="E1552" s="24" t="str">
        <f>IFERROR(__xludf.DUMMYFUNCTION("""COMPUTED_VALUE"""),"WOS:000637861400022")</f>
        <v>WOS:000637861400022</v>
      </c>
      <c r="F1552" s="24" t="str">
        <f>IFERROR(__xludf.DUMMYFUNCTION("""COMPUTED_VALUE"""),"[""ELIGIBLE""]")</f>
        <v>["ELIGIBLE"]</v>
      </c>
    </row>
    <row r="1553">
      <c r="A1553" s="24" t="str">
        <f>IFERROR(__xludf.DUMMYFUNCTION("""COMPUTED_VALUE"""),"Wastewater constituents impact biofilm microbial community in receiving streams")</f>
        <v>Wastewater constituents impact biofilm microbial community in receiving streams</v>
      </c>
      <c r="B1553" s="24" t="str">
        <f>IFERROR(__xludf.DUMMYFUNCTION("""COMPUTED_VALUE"""),"Microbial life in natural biofilms is dominated by prokaryotes and microscopic eukaryotes living in dense association. In stream ecosystems, microbial biofilms influence primary production, elemental cycles, food web interactions as well as water quality."&amp;" Understanding how biofilm communities respond to anthropogenic impacts, such as wastewater treatment plant (WWTP) effluent, is important given the key role of biofilms in stream ecosystem function. Here, we implemented 16S and 18S rRNA gene sequencing of"&amp;" stream biofilms upstream (US) and downstream (DS) of WWTP effluents in four Swiss streams to test how bacterial and eukaryotic communities respond to wastewater constituents. Stream biofilm composition was strongly affected by geographic location - parti"&amp;"cularly for bacteria. However, the abundance of certain microbial community members was related to micropollutants in the wastewater - among bacteria, micropollutant-associated members were found e.g. in Alphaproteobacteria, and among eukaryotes e.g. in B"&amp;"acillariophyta (algal diatoms). This study corroborates several previously characterized responses (e.g. as seen in diatoms), but also reveals previously unknown community responses - such as seen in Alphaproteobacteria. This study advances our understand"&amp;"ing of the ecological impact of the current wastewater treatment practices and provides information about potential new marker organisms to assess ecological change in stream biofilms. (c) 2021 The Authors. Published by Elsevier B.V. This is an open acces"&amp;"s article under the CC BY license (http:// creativecommons.org/licenses/by/4.0/).")</f>
        <v>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v>
      </c>
      <c r="C1553" s="24" t="str">
        <f>IFERROR(__xludf.DUMMYFUNCTION("""COMPUTED_VALUE"""),"10.1016/j.scitotenv.2021.151080")</f>
        <v>10.1016/j.scitotenv.2021.151080</v>
      </c>
      <c r="D1553" s="24" t="str">
        <f>IFERROR(__xludf.DUMMYFUNCTION("""COMPUTED_VALUE"""),"Keck et al")</f>
        <v>Keck et al</v>
      </c>
      <c r="E1553" s="24" t="str">
        <f>IFERROR(__xludf.DUMMYFUNCTION("""COMPUTED_VALUE"""),"WOS:000740208500002")</f>
        <v>WOS:000740208500002</v>
      </c>
      <c r="F1553" s="24" t="str">
        <f>IFERROR(__xludf.DUMMYFUNCTION("""COMPUTED_VALUE"""),"[""ELIGIBLE""]")</f>
        <v>["ELIGIBLE"]</v>
      </c>
    </row>
    <row r="1554">
      <c r="A1554" s="24" t="str">
        <f>IFERROR(__xludf.DUMMYFUNCTION("""COMPUTED_VALUE"""),"Temporal variability in soil microbial communities across land-use types")</f>
        <v>Temporal variability in soil microbial communities across land-use types</v>
      </c>
      <c r="B1554" s="24" t="str">
        <f>IFERROR(__xludf.DUMMYFUNCTION("""COMPUTED_VALUE"""),"Although numerous studies have investigated changes in soil microbial communities across space, questions about the temporal variability in these communities and how this variability compares across soils have received far less attention. We collected soi"&amp;"ls on a monthly basis (May to November) from replicated plots representing three land-use types (conventional and reduced-input row crop agricultural plots and early successional grasslands) maintained at a research site in Michigan, USA. Using barcoded p"&amp;"yrosequencing of the 16S rRNA gene, we found that the agricultural and early successional land uses harbored unique soil bacterial communities that exhibited distinct temporal patterns. alpha-Diversity, the numbers of taxa or lineages, was significantly i"&amp;"nfluenced by the sampling month with the temporal variability in alpha-diversity exceeding the variability between land-use types. In contrast, differences in community composition across land-use types were reasonably constant across the 7-month period, "&amp;"suggesting that the time of sampling is less important when assessing beta-diversity patterns. Communities in the agricultural soils were most variable over time and the changes were significantly correlated with soil moisture and temperature. Temporal sh"&amp;"ifts in bacterial community composition within the successional grassland plots were less predictable and are likely a product of complex interactions between the soil environment and the more diverse plant community. Temporal variability needs to be care"&amp;"fully assessed when comparing microbial diversity across soil types and the temporal patterns in microbial community structure can not necessarily be generalized across land uses, even if those soils are exposed to the same climatic conditions.")</f>
        <v>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v>
      </c>
      <c r="C1554" s="24" t="str">
        <f>IFERROR(__xludf.DUMMYFUNCTION("""COMPUTED_VALUE"""),"10.1038/ismej.2013.50")</f>
        <v>10.1038/ismej.2013.50</v>
      </c>
      <c r="D1554" s="24" t="str">
        <f>IFERROR(__xludf.DUMMYFUNCTION("""COMPUTED_VALUE"""),"Keck et al")</f>
        <v>Keck et al</v>
      </c>
      <c r="E1554" s="24" t="str">
        <f>IFERROR(__xludf.DUMMYFUNCTION("""COMPUTED_VALUE"""),"WOS:000322119600016")</f>
        <v>WOS:000322119600016</v>
      </c>
      <c r="F1554" s="24" t="str">
        <f>IFERROR(__xludf.DUMMYFUNCTION("""COMPUTED_VALUE"""),"[""ELIGIBLE""]")</f>
        <v>["ELIGIBLE"]</v>
      </c>
    </row>
    <row r="1555">
      <c r="A1555" s="24" t="str">
        <f>IFERROR(__xludf.DUMMYFUNCTION("""COMPUTED_VALUE"""),"Restructuring of a meiobenthic assemblage after sediment contamination with an antibacterial compound: Case study of ciprofloxacin")</f>
        <v>Restructuring of a meiobenthic assemblage after sediment contamination with an antibacterial compound: Case study of ciprofloxacin</v>
      </c>
      <c r="B1555" s="24" t="str">
        <f>IFERROR(__xludf.DUMMYFUNCTION("""COMPUTED_VALUE"""),"A microcosm experiment was conducted to evaluate the impacts of the fluoroquinolone antibiotic ciprofloxacin on meiobenthic taxa abundance, nematode genus structure, and functional trait parameters. Sediment samples were experimentally enriched with four "&amp;"different doses of ciprofloxacin [D1 (50 ppm Dry weight 'DW'), D2 (100 ppm DW), D3 (200 ppm DW), and D4 (500 ppm DW)] and were then compared with non-enriched sediments (controls). After one month of exposure, the data showed that ciprofloxacin had altere"&amp;"d the meiofaunal taxa abundance. A change in the structure of nematofaunal genera was observed, particularly with the highest dose (D4), which was characterized by the lowest taxonomic diversity. The SIMPER analysis revealed that the average dissimilarity"&amp;" between nematode communities increased with increasing doses of ciprofloxacin. Two dimensional (2D) non-metric multidimensional scaling (nMDS) plots and relative abundances of functional groups of nematode genus assemblages revealed that all functional t"&amp;"rait abundances were affected, particularly with the highest dose. However, only the amphid shape and feeding group functions showed a clear distribution separation between the control and ciprofloxacin treatments. The nMDS second-stage ordination of inte"&amp;"r-matrix rank correlations for matrices including genus and functional traits showed that the tail shape was the closest functional trait to the generic distribution. Thus, only the curves of cumulative dominance related to the tail shape mirrored discern"&amp;"ibly the sedimentary concentrations in ciprofloxacin.")</f>
        <v>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v>
      </c>
      <c r="C1555" s="24" t="str">
        <f>IFERROR(__xludf.DUMMYFUNCTION("""COMPUTED_VALUE"""),"10.1016/j.ecoenv.2020.111084")</f>
        <v>10.1016/j.ecoenv.2020.111084</v>
      </c>
      <c r="D1555" s="24" t="str">
        <f>IFERROR(__xludf.DUMMYFUNCTION("""COMPUTED_VALUE"""),"Keck et al")</f>
        <v>Keck et al</v>
      </c>
      <c r="E1555" s="24" t="str">
        <f>IFERROR(__xludf.DUMMYFUNCTION("""COMPUTED_VALUE"""),"WOS:000582219300004")</f>
        <v>WOS:000582219300004</v>
      </c>
      <c r="F1555" s="24" t="str">
        <f>IFERROR(__xludf.DUMMYFUNCTION("""COMPUTED_VALUE"""),"[""ELIGIBLE""]")</f>
        <v>["ELIGIBLE"]</v>
      </c>
    </row>
    <row r="1556">
      <c r="A1556" s="24" t="str">
        <f>IFERROR(__xludf.DUMMYFUNCTION("""COMPUTED_VALUE"""),"Gut microbiome alterations in the crustacean Pacifastacus leniusculus exposed to environmental concentrations of antibiotics and effects on susceptibility to bacteria challenges*")</f>
        <v>Gut microbiome alterations in the crustacean Pacifastacus leniusculus exposed to environmental concentrations of antibiotics and effects on susceptibility to bacteria challenges*</v>
      </c>
      <c r="B1556" s="24" t="str">
        <f>IFERROR(__xludf.DUMMYFUNCTION("""COMPUTED_VALUE"""),"Gut-associated microbiota in crustaceans are recognized as a key element for maintaining homeostasis and health in the animal. Since the richness of these microbial communities is strongly influenced by the local environment, especially in aquatic organis"&amp;"ms, it is important to address to what extent environmental variations can affect these communities. In the present study, we used high-throughput 16S rRNA sequencing technology to study the composition of gut-associated microbiota of the crayfish Pacifas"&amp;"tacus leniusculus after exposure to environmentally-relevant concentrations of an antibiotic, namely sulfamethoxazole. Also, we examined if alterations of microbiota caused by environmentally-relevant concentrations of this antibiotic affected the host su"&amp;"sceptibility to bacterial diseases, including Vibrio species. As a result, we found high individual variability of bacterial abundance and composition in the intestinal microbiome of crayfish, in both antibiotic-exposed and antibiotic-free crayfish. Howev"&amp;"er, an increase of chitinolytic bacteria including Vibrio spp. was detected in some animals exposed to the antibiotic. Moreover, when crayfish susceptibility to bacterial infections was tested, the antibiotic-exposed crayfish survived longer than the cont"&amp;"rol crayfish group. This study represents the first approach for investigating the interplay between crayfish and intestinal bacteria during antibiotic-pollution scenarios. Results herein should be considered by scientists before planning experiments unde"&amp;"r laboratory conditions, especially to study environmental effects on aquatic animals' intestinal health and immune status.")</f>
        <v>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v>
      </c>
      <c r="C1556" s="24" t="str">
        <f>IFERROR(__xludf.DUMMYFUNCTION("""COMPUTED_VALUE"""),"10.1016/j.dci.2021.104181")</f>
        <v>10.1016/j.dci.2021.104181</v>
      </c>
      <c r="D1556" s="24" t="str">
        <f>IFERROR(__xludf.DUMMYFUNCTION("""COMPUTED_VALUE"""),"Keck et al")</f>
        <v>Keck et al</v>
      </c>
      <c r="E1556" s="24" t="str">
        <f>IFERROR(__xludf.DUMMYFUNCTION("""COMPUTED_VALUE"""),"WOS:000703565600003")</f>
        <v>WOS:000703565600003</v>
      </c>
      <c r="F1556" s="24" t="str">
        <f>IFERROR(__xludf.DUMMYFUNCTION("""COMPUTED_VALUE"""),"[""ELIGIBLE""]")</f>
        <v>["ELIGIBLE"]</v>
      </c>
    </row>
    <row r="1557">
      <c r="A1557" s="24" t="str">
        <f>IFERROR(__xludf.DUMMYFUNCTION("""COMPUTED_VALUE"""),"Variation in reef fish and invertebrate communities with level of protection from fishing across the Eastern Tropical Pacific seascape")</f>
        <v>Variation in reef fish and invertebrate communities with level of protection from fishing across the Eastern Tropical Pacific seascape</v>
      </c>
      <c r="B1557" s="24" t="str">
        <f>IFERROR(__xludf.DUMMYFUNCTION("""COMPUTED_VALUE"""),"Aim To quantify general differences in reef community structure between well-enforced and poorly enforced marine protected areas (MPAs) and fished sites across the Eastern Tropical Pacific (ETP) regional seascape Location The Pacific continental margin an"&amp;"d oceanic islands of Costa Rica, Panama, Colombia and Ecuador, including World Heritage sites at Galapagos, Coiba, Cocos and Malpelo Methods Densities of reef fishes, mobile and sessile invertebrates, and macroalgae were quantified using underwater visual"&amp;" surveys at 136 'no-take' and 54 openly fished sites associated with seven large MPAs that encompassed a range of management strategies. Spatial variation inmultivariate and univariate community metrics was related to three levels of fishing pressure (hig"&amp;"h-protection MPAs, limited-protection MPAs, fishing zones) for both continental and oceanic reefs. Results High-protection MPAs possessed a much greater biomass of higher carnivorous fishes, lower densities of asteroids and Eucidaris spp. urchins, and hig"&amp;"her coral cover than limited-protection MPAs and fished zones. These results were generally consistent with the hypothesis that overfishing of predatory fishes within the ETP has led to increased densities of habitat-modifying macroinvertebrates, which ha"&amp;"s contributed to regional declines in coral cover. Major differences in ecological patterns were also evident between continental and oceanic biogeographic provinces. Main conclusions Fishing down the food web, with associated trophic cascades, has occurr"&amp;"ed to a greater extent along the continental coast than off oceanic islands. Poorly enforced MPAs generate food")</f>
        <v>Aim To quantify general differences in reef community structure between well-enforced and poorly enforced marine protected areas (MPAs) and fished sites across the Eastern Tropical Pacific (ETP) regional seascape Location The Pacific continental margin and oceanic islands of Costa Rica, Panama, Colombia and Ecuador, including World Heritage sites at Galapagos, Coiba, Cocos and Malpelo Methods Densities of reef fishes, mobile and sessile invertebrates, and macroalgae were quantified using underwater visual surveys at 136 'no-take' and 54 openly fished sites associated with seven large MPAs that encompassed a range of management strategies. Spatial variation inmultivariate and univariate community metrics was related to three levels of fishing pressure (high-protection MPAs, limited-protection MPAs, fishing zones) for both continental and oceanic reefs. Results High-protection MPAs possessed a much greater biomass of higher carnivorous fishes, lower densities of asteroids and Eucidaris spp. urchins, and higher coral cover than limited-protection MPAs and fished zones. These results were generally consistent with the hypothesis that overfishing of predatory fishes within the ETP has led to increased densities of habitat-modifying macroinvertebrates, which has contributed to regional declines in coral cover. Major differences in ecological patterns were also evident between continental and oceanic biogeographic provinces. Main conclusions Fishing down the food web, with associated trophic cascades, has occurred to a greater extent along the continental coast than off oceanic islands. Poorly enforced MPAs generate food</v>
      </c>
      <c r="C1557" s="24" t="str">
        <f>IFERROR(__xludf.DUMMYFUNCTION("""COMPUTED_VALUE"""),"10.1111/j.1466-8238.2010.00642.x")</f>
        <v>10.1111/j.1466-8238.2010.00642.x</v>
      </c>
      <c r="D1557" s="24" t="str">
        <f>IFERROR(__xludf.DUMMYFUNCTION("""COMPUTED_VALUE"""),"Keck et al")</f>
        <v>Keck et al</v>
      </c>
      <c r="E1557" s="24" t="str">
        <f>IFERROR(__xludf.DUMMYFUNCTION("""COMPUTED_VALUE"""),"WOS:000293701300008")</f>
        <v>WOS:000293701300008</v>
      </c>
      <c r="F1557" s="24" t="str">
        <f>IFERROR(__xludf.DUMMYFUNCTION("""COMPUTED_VALUE"""),"[""ELIGIBLE""]")</f>
        <v>["ELIGIBLE"]</v>
      </c>
    </row>
    <row r="1558">
      <c r="A1558" s="24" t="str">
        <f>IFERROR(__xludf.DUMMYFUNCTION("""COMPUTED_VALUE"""),"Does artificial light at night change the impact of silver nanoparticles on microbial decomposers and leaf litter decomposition in streams?")</f>
        <v>Does artificial light at night change the impact of silver nanoparticles on microbial decomposers and leaf litter decomposition in streams?</v>
      </c>
      <c r="B1558" s="24" t="str">
        <f>IFERROR(__xludf.DUMMYFUNCTION("""COMPUTED_VALUE"""),"The toxic effects of silver nanoparticles (AgNP) to aquatic species and ecosystem processes have been the focus of increasing research in ecology, but their effects under different environmental stressors, such as the ongoing anthropogenic artificial ligh"&amp;"t at night (ALAN) which can cause a series of ecological effects and will potentially interact with other stressors, remain poorly understood. Here, we aimed to assess the combined effects of AgNP and ALAN on the activities and community structure of fung"&amp;"i and bacteria associated to plant litter in a stream. The results showed that ALAN not only led to changes in the average hydrodynamic diameter,.-potential and dissolved concentration of AgNP but also inhibited the enzyme activities of leucine-aminopepti"&amp;"dase (LAP), polyphenol oxidase (PPO) and peroxidase (PER) associated with microbes involved in litter decomposition. The negative effect of AgNP on the decomposition of Pterocarya stenoptera leaf litter was alleviated by ALAN owing to the reduction of the"&amp;" Ag+ concentration in the microcosm and of the lignin content of the leaf litter in the A-AgNP treatments, the enhancement of beta-glucosidase (beta-G) activities and the increase in microbial biomass. The effect of ALAN alone or combined with AgNP or AgN"&amp;"O3 on the taxonomic composition of fungi was much greater than that on bacteria. Linear discriminant analysis effect size (LEfSe) demonstrated that each treatment had its own fungal and bacterial indicator taxa, from the phylum to genus levels, indicating"&amp;" that the microbial communities associated with litter decomposition can change their constituent taxa to cope with different stressors. These results reveal that ALAN can decrease the toxicity of AgNP and highlight the importance of considering ALAN duri"&amp;"ng the assessment of the risk posed by nanoparticles to freshwater biota and ecosystem processes.")</f>
        <v>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v>
      </c>
      <c r="C1558" s="24" t="str">
        <f>IFERROR(__xludf.DUMMYFUNCTION("""COMPUTED_VALUE"""),"10.1039/c9en00081j")</f>
        <v>10.1039/c9en00081j</v>
      </c>
      <c r="D1558" s="24" t="str">
        <f>IFERROR(__xludf.DUMMYFUNCTION("""COMPUTED_VALUE"""),"Keck et al")</f>
        <v>Keck et al</v>
      </c>
      <c r="E1558" s="24" t="str">
        <f>IFERROR(__xludf.DUMMYFUNCTION("""COMPUTED_VALUE"""),"WOS:000471722600026")</f>
        <v>WOS:000471722600026</v>
      </c>
      <c r="F1558" s="24" t="str">
        <f>IFERROR(__xludf.DUMMYFUNCTION("""COMPUTED_VALUE"""),"[""ELIGIBLE""]")</f>
        <v>["ELIGIBLE"]</v>
      </c>
    </row>
    <row r="1559">
      <c r="A1559" s="24" t="str">
        <f>IFERROR(__xludf.DUMMYFUNCTION("""COMPUTED_VALUE"""),"Anthropogenic land-use impacts on the size structure of macroinvertebrate assemblages are jointly modulated by local conditions and spatial processes")</f>
        <v>Anthropogenic land-use impacts on the size structure of macroinvertebrate assemblages are jointly modulated by local conditions and spatial processes</v>
      </c>
      <c r="B1559" s="24" t="str">
        <f>IFERROR(__xludf.DUMMYFUNCTION("""COMPUTED_VALUE"""),"Body size descriptors and associated resemblance measurements may provide useful tools for forecasting ecological responses to increasing anthropogenic land-use disturbances. Yet, the influences of agriculture and urbanisation on the size structure of bio"&amp;"tic assemblages have seldom been investigated in running waters. Using a comprehensive dataset on stream macroinvertebrates from 21 river basins across Western Finland, we assessed whether the structure of assemblages via changes in taxonomic composition "&amp;"and body size distributions responded predictably to anthropogenic land-use impacts. Specifically, we applied a combination of resemblance measurements based on cumulative abundance profiles and spatially constrained null models to understand faunal impai"&amp;"rment by agricultural and urban development, and the most likely mechanisms underlying the observed shifts in assemblage size structure. Anthropogenically impacted stream sites showed less variation in assemblage composition and size distributions compare"&amp;"d with least-disturbed sites, with strong declines in internal variation also occurring for the transition from near-pristine to moderately impacted landscapes. These results were consistent whether based on species-level or genus-level data. Variation in"&amp;" assemblage size structure seemed to be more predictable than taxonomic composition, supporting the notion that resemblance measurements based on body size distributions can represent an improvement to more traditional approaches based on taxonomic identi"&amp;"ties alone. In addition, we showed that macroinvertebrate assemblages resulted from effects of land-use degradation mediated through local conditions and spurious spatial structures in the distribution of anthropogenic activities across the landscape. Ove"&amp;"rall, our findings suggest that existing water policies and agri-environment schemes should be guided not only by understanding the individual effects of agricultural and urban development on taxonomic composition at a given stream site. Rather, we should"&amp;" also acknowledge the size structure of stream assemblages and whether concomitant changes in local conditions and the non-random distribution of human infrastructures are likely to mitigate or accelerate these effects.")</f>
        <v>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v>
      </c>
      <c r="C1559" s="24" t="str">
        <f>IFERROR(__xludf.DUMMYFUNCTION("""COMPUTED_VALUE"""),"10.1016/j.envres.2021.112055")</f>
        <v>10.1016/j.envres.2021.112055</v>
      </c>
      <c r="D1559" s="24" t="str">
        <f>IFERROR(__xludf.DUMMYFUNCTION("""COMPUTED_VALUE"""),"Keck et al")</f>
        <v>Keck et al</v>
      </c>
      <c r="E1559" s="24" t="str">
        <f>IFERROR(__xludf.DUMMYFUNCTION("""COMPUTED_VALUE"""),"WOS:000704721000002")</f>
        <v>WOS:000704721000002</v>
      </c>
      <c r="F1559" s="24" t="str">
        <f>IFERROR(__xludf.DUMMYFUNCTION("""COMPUTED_VALUE"""),"[""ELIGIBLE""]")</f>
        <v>["ELIGIBLE"]</v>
      </c>
    </row>
    <row r="1560">
      <c r="A1560" s="24" t="str">
        <f>IFERROR(__xludf.DUMMYFUNCTION("""COMPUTED_VALUE"""),"Long-Term Effects of Copper Nanopesticides on Soil and Sediment Community Diversity in Two Outdoor Mesocosm Experiments")</f>
        <v>Long-Term Effects of Copper Nanopesticides on Soil and Sediment Community Diversity in Two Outdoor Mesocosm Experiments</v>
      </c>
      <c r="B1560" s="24" t="str">
        <f>IFERROR(__xludf.DUMMYFUNCTION("""COMPUTED_VALUE"""),"The use of novel pesticides containing nanomaterials (nanopesticides) is growing and is considered a promising approach to reduce the impacts of agriculture on the environment and human health. However, the environmental effects of these novel agrochemica"&amp;"ls are not fully characterized, and more research is needed to determine the benefits and risks they confer. Here, we assessed the impacts of repeated exposures to a Cu(OH)2 nanopesticide on the soil and sediment biodiversity of target (terrestrial) and n"&amp;"ontarget (wetland) ecosystems by performing long-term outdoor mesocosm experiments. As pesticides are often used concomitantly with other agrochemicals, we also tested for interactive effects between nanopesticide exposure and fertilization treatments in "&amp;"both ecosystems. We used high-throughput sequencing on three marker genes to characterize effects on bacterial, fungal, and total eukaryotic community structure and diversity. Interestingly, we found limited effects of nanopesticide exposure on the terres"&amp;"trial soil communities. Conversely, we found significant shifts in the sediment communities of the wetland mesocosms, especially for eukaryotes (protists, fungi, and algae). In the absence of fertilization, fungal and total eukaryotic community compositio"&amp;"ns exposed to nanopesticides for long periods of time were distinct from unexposed communities. We identified 60 taxa that were significantly affected by nanopesticide exposure, most of which were microeukaryotes affiliated to cercozoans, Gastrotricha, or"&amp;" unicellular algal taxa. Our study suggests that this nanopesticide has limited effects on the soil biodiversity of a target terrestrial agroecosystem, while nontarget aquatic communities are more sensitive, particularly among protists which are not targe"&amp;"ted by this bactericide/fungicide.")</f>
        <v>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v>
      </c>
      <c r="C1560" s="24" t="str">
        <f>IFERROR(__xludf.DUMMYFUNCTION("""COMPUTED_VALUE"""),"10.1021/acs.est.0c00510")</f>
        <v>10.1021/acs.est.0c00510</v>
      </c>
      <c r="D1560" s="24" t="str">
        <f>IFERROR(__xludf.DUMMYFUNCTION("""COMPUTED_VALUE"""),"Keck et al")</f>
        <v>Keck et al</v>
      </c>
      <c r="E1560" s="24" t="str">
        <f>IFERROR(__xludf.DUMMYFUNCTION("""COMPUTED_VALUE"""),"WOS:000555003500041")</f>
        <v>WOS:000555003500041</v>
      </c>
      <c r="F1560" s="24" t="str">
        <f>IFERROR(__xludf.DUMMYFUNCTION("""COMPUTED_VALUE"""),"[""ELIGIBLE""]")</f>
        <v>["ELIGIBLE"]</v>
      </c>
    </row>
    <row r="1561">
      <c r="A1561" s="24" t="str">
        <f>IFERROR(__xludf.DUMMYFUNCTION("""COMPUTED_VALUE"""),"Landscape Visual Quality and Meiofauna Biodiversity on Sandy Beaches")</f>
        <v>Landscape Visual Quality and Meiofauna Biodiversity on Sandy Beaches</v>
      </c>
      <c r="B1561" s="24" t="str">
        <f>IFERROR(__xludf.DUMMYFUNCTION("""COMPUTED_VALUE"""),"Sandy beaches are central economic assets, attracting more recreational users than other coastal ecosystems. However, urbanization and landscape modification can compromise both the functional integrity and the attractiveness of beach ecosystems. Our stud"&amp;"y aimed at investigating the relationship between sandy beach artificialization and the landscape perception by the users, and between sandy beach visual attractiveness and biodiversity. We conducted visual and biodiversity assessments of urbanized and se"&amp;"miurbanized sandy beaches in Brazil and Uruguay. We specifically examined meiofauna as an indicator of biodiversity. We hypothesized that urbanization of sandy beaches results in a higher number of landscape detractors that negatively affect user evaluati"&amp;"on, and that lower-rated beach units support lower levels of biodiversity. We found that urbanized beach units were rated lower than semiurbanized units, indicating that visual quality was sensitive to human interventions. Our expectations regarding the r"&amp;"elationship between landscape perception and biodiversity were only partially met; only few structural and functional descriptors of meiofauna assemblages differed among classes of visual quality. However, lower-rated beach units exhibited signs of lower "&amp;"environmental quality, indicated by higher oligochaete densities and significant differences in meiofauna structure. We conclude that managing sandy beaches needs to advance beyond assessment of aesthetic parameters to also include the structure and funct"&amp;"ion of beach ecosystems. Use of such supporting tools for managing sandy beaches is particularly important in view of sea level rise and increasing coastal development.")</f>
        <v>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v>
      </c>
      <c r="C1561" s="24" t="str">
        <f>IFERROR(__xludf.DUMMYFUNCTION("""COMPUTED_VALUE"""),"10.1007/s00267-016-0735-x")</f>
        <v>10.1007/s00267-016-0735-x</v>
      </c>
      <c r="D1561" s="24" t="str">
        <f>IFERROR(__xludf.DUMMYFUNCTION("""COMPUTED_VALUE"""),"Keck et al")</f>
        <v>Keck et al</v>
      </c>
      <c r="E1561" s="24" t="str">
        <f>IFERROR(__xludf.DUMMYFUNCTION("""COMPUTED_VALUE"""),"WOS:000384420900009")</f>
        <v>WOS:000384420900009</v>
      </c>
      <c r="F1561" s="24" t="str">
        <f>IFERROR(__xludf.DUMMYFUNCTION("""COMPUTED_VALUE"""),"[""ELIGIBLE""]")</f>
        <v>["ELIGIBLE"]</v>
      </c>
    </row>
    <row r="1562">
      <c r="A1562" s="24" t="str">
        <f>IFERROR(__xludf.DUMMYFUNCTION("""COMPUTED_VALUE"""),"Using meiobenthic taxa, nematofauna biological traits, and bacterial abundance to assess the effects of the polybrominated diphenyl ethers compound: Case study of tetrabromo diphenyl ether BDE-47")</f>
        <v>Using meiobenthic taxa, nematofauna biological traits, and bacterial abundance to assess the effects of the polybrominated diphenyl ethers compound: Case study of tetrabromo diphenyl ether BDE-47</v>
      </c>
      <c r="B1562" s="24" t="str">
        <f>IFERROR(__xludf.DUMMYFUNCTION("""COMPUTED_VALUE"""),"Trophic web structuring in aquatic sediments is dependent on the biological interactions between metazoans andmicrobial communities. The presence of pollutants in these biotas can therefore impact the meiofauna structure via the modification of the microb"&amp;"ial communities. The current study examined in a laboratory bioassay the response of meiobenthic communities, particularly marine nematode taxa from the Bizerte Lagoon to the effect of the most detected polybrominated diphenyl ether in this aquatic enviro"&amp;"nment, BDE-47. Four doses [D1 (2.5 ppb Dry weight (DW)), D2 (25 ppb DW), D3 (50 ppb DW), and D4 (100 ppb DW)] were gradually applied and sedimentmicrocosmswere incubated for 30 days in the presence or absence ofmeiofauna. Our results show that BDE-47-enri"&amp;"ched sediments decreased the meiofaunal taxa and bacterial abundance. A lower taxonomic diversity of the nematodes' general structure was observed with all doses used. The numerical analysis of the two dimensional (2D) non-metric multidimensional scaling "&amp;"(nMDS) plots and the evolution of the relative abundances of each functional group of nematode genus assemblages revealed that the abundance of all biological traits was modified. Nevertheless, only three of the functional traits, adult length, feeding gr"&amp;"oup, and amphid shape, showed a clear difference between the control and the treated microcosms. The similarity percentage analysis (SIMPER) revealed that the average dissimilarity between nematode genera communities and biological traits increasedwith BD"&amp;"E-47-enriched sediments. The nMDS second-stage ordination of inter-matrix rank correlations for matrices including genera and biological traits showed that the amphid shape was the functional trait closest to the generic distribution. Finally, the Princip"&amp;"al Component Analysis (PCA) for the nematode biological traits and bacteria indicated a positive correlation of these microbes with the functional groups [1A, Cr, and ef], and a negative correlation only with the cla-type tail shape. (C) 2021 Published by"&amp;" Elsevier B.V.")</f>
        <v>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v>
      </c>
      <c r="C1562" s="24" t="str">
        <f>IFERROR(__xludf.DUMMYFUNCTION("""COMPUTED_VALUE"""),"10.1016/j.scitotenv.2021.145251")</f>
        <v>10.1016/j.scitotenv.2021.145251</v>
      </c>
      <c r="D1562" s="24" t="str">
        <f>IFERROR(__xludf.DUMMYFUNCTION("""COMPUTED_VALUE"""),"Keck et al")</f>
        <v>Keck et al</v>
      </c>
      <c r="E1562" s="24" t="str">
        <f>IFERROR(__xludf.DUMMYFUNCTION("""COMPUTED_VALUE"""),"WOS:000627896100079")</f>
        <v>WOS:000627896100079</v>
      </c>
      <c r="F1562" s="24" t="str">
        <f>IFERROR(__xludf.DUMMYFUNCTION("""COMPUTED_VALUE"""),"[""ELIGIBLE""]")</f>
        <v>["ELIGIBLE"]</v>
      </c>
    </row>
    <row r="1563">
      <c r="A1563" s="24" t="str">
        <f>IFERROR(__xludf.DUMMYFUNCTION("""COMPUTED_VALUE"""),"Distribution of carabid beetles among 40-year-old regenerating plantations and 100-year-old naturally regenerated forests in Southwestern China")</f>
        <v>Distribution of carabid beetles among 40-year-old regenerating plantations and 100-year-old naturally regenerated forests in Southwestern China</v>
      </c>
      <c r="B1563" s="24" t="str">
        <f>IFERROR(__xludf.DUMMYFUNCTION("""COMPUTED_VALUE"""),"Effects of reforestation by native tree species on species assemblages of carabid beetles were studied between 40-year-old regenerating plantations and 100-year naturally regenerated forests in Southwestern China. Two old naturally regenerated forest type"&amp;"s (ca. 100 years old) were chosen: hemlock-spruce forests (Tsuga chinensis and Picea brachytyla) and birch forests (Betula albo-sinensis). Three young regenerating forest types (ca. 40 years old), including spruce plantations (P. brachytyla), larch planta"&amp;"tions (Larix kaempferi and Larix mastersian), and natural broad-leaved forests, were established after the logging of the old naturally regenerated forests. Using pitfall traps, we compared the distribution of carabid beetles in the five forest types. Thr"&amp;"ee replicated plots for each forest type were chosen, and each plot was investigated with four trap sites twice each month during the growing season (May to October) in 2004. Our results showed that species richness and abundance were significantly higher"&amp;" in the young regenerating forests than in the old naturally regenerated forests. Analysis of complementarity in carabid species lists across the forest ages and types showed that the old naturally regenerated birch forests had the lowest similarity with "&amp;"the young regenerating larch plantations, and the highest similarity was shown between the two young regenerating plantations. Although PCoA ordination grouped the carabid assemblages according to forest type and forest age, the overall similarity among a"&amp;"ll forest types was high. Moreover, quantitative character species analysis did not detect significant species associated with forest types and ages. Based on the specificity and fidelity, most carabid species were abundant in all habitats, and only a few"&amp;" species were restricted in one or two forest types. Multiple linear regression between the species richness, abundance and Shannon diversity of carabids and of five environmental variables showed that the cover of canopy and herbaceous layer, and the dep"&amp;"th of leaf litter had significant effects in determining richness, abundance and diversity of carabid beetles. Thus, the young regenerating forests at the mature stage could provide an appropriate habitat for most forest species of carabids survived in ad"&amp;"jacent old naturally regenerated forests and might replace the role in part of the old-growth forests in sustaining the diversity of carabid assemblages. But some species are still restricted in old naturally regenerated forests, so in order to protect th"&amp;"e diversity of carabid assemblages, it is necessary to sustain the intact old naturally regenerated forests when reforesting with some native tree species following natural succession. (c) 2008 Elsevier B.V. All rights reserved.")</f>
        <v>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v>
      </c>
      <c r="C1563" s="24" t="str">
        <f>IFERROR(__xludf.DUMMYFUNCTION("""COMPUTED_VALUE"""),"10.1016/j.foreco.2008.01.019")</f>
        <v>10.1016/j.foreco.2008.01.019</v>
      </c>
      <c r="D1563" s="24" t="str">
        <f>IFERROR(__xludf.DUMMYFUNCTION("""COMPUTED_VALUE"""),"Keck et al")</f>
        <v>Keck et al</v>
      </c>
      <c r="E1563" s="24" t="str">
        <f>IFERROR(__xludf.DUMMYFUNCTION("""COMPUTED_VALUE"""),"WOS:000256143900056")</f>
        <v>WOS:000256143900056</v>
      </c>
      <c r="F1563" s="24" t="str">
        <f>IFERROR(__xludf.DUMMYFUNCTION("""COMPUTED_VALUE"""),"[""ELIGIBLE""]")</f>
        <v>["ELIGIBLE"]</v>
      </c>
    </row>
    <row r="1564">
      <c r="A1564" s="24" t="str">
        <f>IFERROR(__xludf.DUMMYFUNCTION("""COMPUTED_VALUE"""),"A practical application of reduced-copper antifouling paint in marine biological research")</f>
        <v>A practical application of reduced-copper antifouling paint in marine biological research</v>
      </c>
      <c r="B1564" s="24" t="str">
        <f>IFERROR(__xludf.DUMMYFUNCTION("""COMPUTED_VALUE"""),"Biofouling of experimental cages and other field apparatuses can be problematic for scientists and has traditionally been addressed using frequent manual removal (e.g., scraping, scrubbing). Recent environmental restrictions and legislative changes have d"&amp;"riven the development of less hazardous antifouling products, making antifouling paint a potential alternative option to manual removal. Consequently, the viability of using these newly developed products as a replacement for the manual cleamng of exclusi"&amp;"on cages was experimentally investigated. There were six treatments tested, comprising three with settlement tiles in experimental cages coated with antifouling paint, two with settlement tiles in unpainted experimental cages, and one cage-free suspended "&amp;"tile. The three antifouling treatments comprised two reduced-copper paints (21% Cu2O and 40% Cu2O) and one copper-free, Econea (TM)-based paint (labeled ecofriendly). Antifouling paints were assessed for performance of preventing fouling of the cages and "&amp;"whether they elicited local effects on settlement tiles contained within them. All three paints performed well to reduce fouling of the cages during the initial six weeks of the experiment, but the efficacy of ecofriendly paint began to decrease during an"&amp;" extended deployment that lasted 14 weeks. The macro-community composition, biomass, and percent cover of settled organism on tiles within cages treated with copper based paints (21% and 40% concentrations) were indistinguishable from tiles within the man"&amp;"ually scrubbed cages. In contrast, settlement to tiles from the ecofriendly treatment was different in composition of macro-community and lower in biomass, suggesting the presence of local effects and therefore rendering it unsuitable for use in settlemen"&amp;"t experiments. The results of this study suggest that reduced-copper paints have the potential to serve as an alternative to manual maintenance, which may be useful for deployments in locations that are difficult to access on a frequent schedule.")</f>
        <v>Biofouling of experimental cages and other field apparatuses can be problematic for scientists and has traditionally been addressed using frequent manual removal (e.g., scraping, scrubbing). Recent environmental restrictions and legislative changes have driven the development of less hazardous antifouling products, making antifouling paint a potential alternative option to manual removal. Consequently, the viability of using these newly developed products as a replacement for the manual cleamng of exclusion cages was experimentally investigated. There were six treatments tested, comprising three with settlement tiles in experimental cages coated with antifouling paint, two with settlement tiles in unpainted experimental cages, and one cage-free suspended tile. The three antifouling treatments comprised two reduced-copper paints (21% Cu2O and 40% Cu2O) and one copper-free, Econea (TM)-based paint (labeled ecofriendly). Antifouling paints were assessed for performance of preventing fouling of the cages and whether they elicited local effects on settlement tiles contained within them. All three paints performed well to reduce fouling of the cages during the initial six weeks of the experiment, but the efficacy of ecofriendly paint began to decrease during an extended deployment that lasted 14 weeks. The macro-community composition, biomass, and percent cover of settled organism on tiles within cages treated with copper based paints (21% and 40% concentrations) were indistinguishable from tiles within the manually scrubbed cages. In contrast, settlement to tiles from the ecofriendly treatment was different in composition of macro-community and lower in biomass, suggesting the presence of local effects and therefore rendering it unsuitable for use in settlement experiments. The results of this study suggest that reduced-copper paints have the potential to serve as an alternative to manual maintenance, which may be useful for deployments in locations that are difficult to access on a frequent schedule.</v>
      </c>
      <c r="C1564" s="24" t="str">
        <f>IFERROR(__xludf.DUMMYFUNCTION("""COMPUTED_VALUE"""),"10.7717/peerj.2213")</f>
        <v>10.7717/peerj.2213</v>
      </c>
      <c r="D1564" s="24" t="str">
        <f>IFERROR(__xludf.DUMMYFUNCTION("""COMPUTED_VALUE"""),"Keck et al")</f>
        <v>Keck et al</v>
      </c>
      <c r="E1564" s="24" t="str">
        <f>IFERROR(__xludf.DUMMYFUNCTION("""COMPUTED_VALUE"""),"WOS:000380069700007")</f>
        <v>WOS:000380069700007</v>
      </c>
      <c r="F1564" s="24" t="str">
        <f>IFERROR(__xludf.DUMMYFUNCTION("""COMPUTED_VALUE"""),"[""ELIGIBLE""]")</f>
        <v>["ELIGIBLE"]</v>
      </c>
    </row>
    <row r="1565">
      <c r="A1565" s="24" t="str">
        <f>IFERROR(__xludf.DUMMYFUNCTION("""COMPUTED_VALUE"""),"Romans Shape Today's Vegetation and Soils: Two Millennia of Land-Use Legacy Dynamics in Mediterranean Grasslands")</f>
        <v>Romans Shape Today's Vegetation and Soils: Two Millennia of Land-Use Legacy Dynamics in Mediterranean Grasslands</v>
      </c>
      <c r="B1565" s="24" t="str">
        <f>IFERROR(__xludf.DUMMYFUNCTION("""COMPUTED_VALUE"""),"Archeological investigations in one of the most species-rich French Mediterranean dry grasslands (La Crau, Southern France) revealed a dense network of ancient sheep corrals dating from Roman to modern times. By analyzing soil chemistry and vegetation acr"&amp;"oss abandonment dates spanning two millennia, we bring to light a persisting signature of Roman, eighteenth century and modern corrals on present-day ecosystems. Community composition and species-richness reflect time after abandonment of sheep stables an"&amp;"d are linked to long-term persistence of eutrophication from historical sheep concentrations. Our data highlight changes in vegetation that persist two millennia after human impacts ceased. Small-scale pastoral legacies from Roman times continue to have s"&amp;"ignificant impacts on present-day herbaceous plant communities. Our findings point to a need for greater consideration of persisting eutrophication in dry grasslands and of the conservation value of these long-term legacies.")</f>
        <v>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v>
      </c>
      <c r="C1565" s="24" t="str">
        <f>IFERROR(__xludf.DUMMYFUNCTION("""COMPUTED_VALUE"""),"10.1007/s10021-020-00581-w")</f>
        <v>10.1007/s10021-020-00581-w</v>
      </c>
      <c r="D1565" s="24" t="str">
        <f>IFERROR(__xludf.DUMMYFUNCTION("""COMPUTED_VALUE"""),"Keck et al")</f>
        <v>Keck et al</v>
      </c>
      <c r="E1565" s="24" t="str">
        <f>IFERROR(__xludf.DUMMYFUNCTION("""COMPUTED_VALUE"""),"WOS:000588605500001")</f>
        <v>WOS:000588605500001</v>
      </c>
      <c r="F1565" s="24" t="str">
        <f>IFERROR(__xludf.DUMMYFUNCTION("""COMPUTED_VALUE"""),"[""ELIGIBLE""]")</f>
        <v>["ELIGIBLE"]</v>
      </c>
    </row>
    <row r="1566">
      <c r="A1566" s="24" t="str">
        <f>IFERROR(__xludf.DUMMYFUNCTION("""COMPUTED_VALUE"""),"Changes in benthic macroinvertebrate communities in upper catchment streams across a gradient of catchment forest operation history")</f>
        <v>Changes in benthic macroinvertebrate communities in upper catchment streams across a gradient of catchment forest operation history</v>
      </c>
      <c r="B1566" s="24" t="str">
        <f>IFERROR(__xludf.DUMMYFUNCTION("""COMPUTED_VALUE"""),"The effects of forest harvesting on wet eucalypt forest stream macroinvertebrates were examined in Tasmania, Australia. Sites were selected in second to fourth order streams across a gradient of catchment forest harvesting history and in paired reference "&amp;"catchments. Historical data for every forest parcel (coupe) were obtained for each catchment, detailing forest operational type, area and year of operation, length of roads and number of stream road crossings. We observed Substantial differences in macroi"&amp;"nvertebrate community composition and abundance across the 14 site pairs. We observed higher abundances of orthoclad midges, Leptophlebiid mayflies and Elmid and Scirtid beetles, and reduced abundances of worms and Notonemourid stoneflies at forestry test"&amp;" sites, than at their paired reference sites. A consistent shift in Community composition was observed for 12 of the 14 site pairs. This was accompanied by a shift in functional feeding group representation away from shredders at test compared to referenc"&amp;"e sites. Community compositional similarity was Substantially higher between test than reference sites, with a reduction in community diversity among streams due to a history of upstream forestry. Community dissimilarity between paired test and reference "&amp;"sites was negatively correlated with the average parcel age and time since initial harvesting. We observed declines in abundance with increasing average coupe age of the mayfly family Leptophlebiidae and midge sub-family Chironominae at test sites relativ"&amp;"e to reference sites. Time since initial disturbance and the number of road crossings jointly accounted for 52% of the variance in paired-site Bray-Curtis dissimilarity values, with both variables negatively correlated with dissimilarity. We observed a sh"&amp;"ift related to catchment forestry disturbance in macroinvertebrate community composition away from taxa typical of south-east Australian 'depositional' headwater stream environments to greater representation of taxa characteristic of higher power, more 'e"&amp;"rosional' stream reaches. This support the hypothesis of a transition from predominantly degradational responses to forest harvesting operations (in the geomorphological sense) in headwater streams toward transient 'aggradational' effects further downstre"&amp;"am with concomitant biological responses. (C) 2009 Elsevier B.V. All rights reserved.")</f>
        <v>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v>
      </c>
      <c r="C1566" s="24" t="str">
        <f>IFERROR(__xludf.DUMMYFUNCTION("""COMPUTED_VALUE"""),"10.1016/j.foreco.2009.02.029")</f>
        <v>10.1016/j.foreco.2009.02.029</v>
      </c>
      <c r="D1566" s="24" t="str">
        <f>IFERROR(__xludf.DUMMYFUNCTION("""COMPUTED_VALUE"""),"Keck et al")</f>
        <v>Keck et al</v>
      </c>
      <c r="E1566" s="24" t="str">
        <f>IFERROR(__xludf.DUMMYFUNCTION("""COMPUTED_VALUE"""),"WOS:000265906500025")</f>
        <v>WOS:000265906500025</v>
      </c>
      <c r="F1566" s="24" t="str">
        <f>IFERROR(__xludf.DUMMYFUNCTION("""COMPUTED_VALUE"""),"[""ELIGIBLE""]")</f>
        <v>["ELIGIBLE"]</v>
      </c>
    </row>
    <row r="1567">
      <c r="A1567" s="24" t="str">
        <f>IFERROR(__xludf.DUMMYFUNCTION("""COMPUTED_VALUE"""),"Responses of microbial community from tropical pristine coastal soil to crude oil contamination")</f>
        <v>Responses of microbial community from tropical pristine coastal soil to crude oil contamination</v>
      </c>
      <c r="B1567" s="24" t="str">
        <f>IFERROR(__xludf.DUMMYFUNCTION("""COMPUTED_VALUE"""),"Brazilian offshore crude oil exploration has increased after the discovery of new reservoirs in the region known as pre-sal, in a depth of 7.000 m under the water surface. Oceanic islands near these areas represent sensitive environments, where changes in"&amp;" microbial communities due oil contamination could stand for the loss of metabolic functions, with catastrophic effects to the soil services provided from these locations. This work aimed to evaluate the effect of petroleum contamination on microbial comm"&amp;"unity shifts (Archaea, Bacteria and Fungi) from Trindade Island coastal soils. Microcosms were assembled and divided in two treatments, control and contaminated (weathered crude oil at the concentration of 30 g kg(-1)), in triplicate. Soils were incubated"&amp;" for 38 days, with CO2 measurements every four hours. After incubation, the total DNA was extracted, purified and submitted for target sequencing of 16S rDNA, for Bacteria and Archaea domains and Fungal ITS1 region, using the Illumina MiSeq platform. Thre"&amp;"e days after contamination, the CO2 emission rate peaked at more than 20x the control and the emissions remained higher during the whole incubation period. Microbial alpha-diversity was reduced for contaminated-samples. Fungal relative abundance of contam"&amp;"inated samples was reduced to almost 40% of the total observed species. Taxonomy comparisons showed rise of the Actinobacteria phylum, shifts in several Proteobacteria classes and reduction of the Archaea class Nitrososphaerales. This is the first effort "&amp;"in acquiring knowledge concerning the effect of crude oil contamination in soils of a Brazilian oceanic island. This information is important to guide any future bioremediation strategy that can be required.")</f>
        <v>Brazilian offshore crude oil exploration has increased after the discovery of new reservoirs in the region known as pre-sal, in a depth of 7.000 m under the water surface. Oceanic islands near these areas represent sensitive environments, where changes in microbial communities due oil contamination could stand for the loss of metabolic functions, with catastrophic effects to the soil services provided from these locations. This work aimed to evaluate the effect of petroleum contamination on microbial community shifts (Archaea, Bacteria and Fungi) from Trindade Island coastal soils. Microcosms were assembled and divided in two treatments, control and contaminated (weathered crude oil at the concentration of 30 g kg(-1)), in triplicate. Soils were incubated for 38 days, with CO2 measurements every four hours. After incubation, the total DNA was extracted, purified and submitted for target sequencing of 16S rDNA, for Bacteria and Archaea domains and Fungal ITS1 region, using the Illumina MiSeq platform. Three days after contamination, the CO2 emission rate peaked at more than 20x the control and the emissions remained higher during the whole incubation period. Microbial alpha-diversity was reduced for contaminated-samples. Fungal relative abundance of contaminated samples was reduced to almost 40% of the total observed species. Taxonomy comparisons showed rise of the Actinobacteria phylum, shifts in several Proteobacteria classes and reduction of the Archaea class Nitrososphaerales. This is the first effort in acquiring knowledge concerning the effect of crude oil contamination in soils of a Brazilian oceanic island. This information is important to guide any future bioremediation strategy that can be required.</v>
      </c>
      <c r="C1567" s="24" t="str">
        <f>IFERROR(__xludf.DUMMYFUNCTION("""COMPUTED_VALUE"""),"10.7717/peerj.1733")</f>
        <v>10.7717/peerj.1733</v>
      </c>
      <c r="D1567" s="24" t="str">
        <f>IFERROR(__xludf.DUMMYFUNCTION("""COMPUTED_VALUE"""),"Keck et al")</f>
        <v>Keck et al</v>
      </c>
      <c r="E1567" s="24" t="str">
        <f>IFERROR(__xludf.DUMMYFUNCTION("""COMPUTED_VALUE"""),"WOS:000370984200012")</f>
        <v>WOS:000370984200012</v>
      </c>
      <c r="F1567" s="24" t="str">
        <f>IFERROR(__xludf.DUMMYFUNCTION("""COMPUTED_VALUE"""),"[""ELIGIBLE""]")</f>
        <v>["ELIGIBLE"]</v>
      </c>
    </row>
    <row r="1568">
      <c r="A1568" s="24" t="str">
        <f>IFERROR(__xludf.DUMMYFUNCTION("""COMPUTED_VALUE"""),"Dynamics of soil properties and fungal community structure in continuous-cropped alfalfa fields in Northeast China")</f>
        <v>Dynamics of soil properties and fungal community structure in continuous-cropped alfalfa fields in Northeast China</v>
      </c>
      <c r="B1568" s="24" t="str">
        <f>IFERROR(__xludf.DUMMYFUNCTION("""COMPUTED_VALUE"""),"To compensate for the seasonal imbalance between livestock and forage yield in the cold region of Northeast China, alfalfa (Medicago sativa L.) continuous cropping has been widely employed in animal husbandry. However, the effects of continuous cropping o"&amp;"f alfalfa on soil properties, including physical, chemical and biological properties, are poorly understood. In this study, we investigated the soil properties and fungal community composition of alfalfa fields under continuous cropping for different time"&amp;" periods (i.e., 1, 2, 6, 9, 12, 13 and 35 years). The results showed that soil moisture, total C, total N, NO3--N and available K content decreased at less than 10 years of continuous cropping and then increased at more than 10 years of continuous croppin"&amp;"g, but soil total P and available P content showed the opposite tendency. The soil fungal community composition determined using Illumina Miseq sequencing showed that continuous cropping increased the fungal alpha diversity and changed the fungal communit"&amp;"y structure. The relative abundances of Guehomyces and Chaetomium decreased, but the relative abundances of Phaeomycocentrospora and Paecilomyces increased with continuous cropping time. In addition, continuous cropping of alfalfa increased the relative a"&amp;"bundances of some plant pathogens, such as Haematonectria haematococca and Cyphellophora sp. Soil total P and available P content were important soil factors affecting the soil fungal community diversity, fungal community structure and the relative abunda"&amp;"nces of specific fungi in this alfalfa continuous cropping system.")</f>
        <v>To compensate for the seasonal imbalance between livestock and forage yield in the cold region of Northeast China, alfalfa (Medicago sativa L.) continuous cropping has been widely employed in animal husbandry. However, the effects of continuous cropping of alfalfa on soil properties, including physical, chemical and biological properties, are poorly understood. In this study, we investigated the soil properties and fungal community composition of alfalfa fields under continuous cropping for different time periods (i.e., 1, 2, 6, 9, 12, 13 and 35 years). The results showed that soil moisture, total C, total N, NO3--N and available K content decreased at less than 10 years of continuous cropping and then increased at more than 10 years of continuous cropping, but soil total P and available P content showed the opposite tendency. The soil fungal community composition determined using Illumina Miseq sequencing showed that continuous cropping increased the fungal alpha diversity and changed the fungal community structure. The relative abundances of Guehomyces and Chaetomium decreased, but the relative abundances of Phaeomycocentrospora and Paecilomyces increased with continuous cropping time. In addition, continuous cropping of alfalfa increased the relative abundances of some plant pathogens, such as Haematonectria haematococca and Cyphellophora sp. Soil total P and available P content were important soil factors affecting the soil fungal community diversity, fungal community structure and the relative abundances of specific fungi in this alfalfa continuous cropping system.</v>
      </c>
      <c r="C1568" s="24" t="str">
        <f>IFERROR(__xludf.DUMMYFUNCTION("""COMPUTED_VALUE"""),"10.7717/peerj.7127")</f>
        <v>10.7717/peerj.7127</v>
      </c>
      <c r="D1568" s="24" t="str">
        <f>IFERROR(__xludf.DUMMYFUNCTION("""COMPUTED_VALUE"""),"Keck et al")</f>
        <v>Keck et al</v>
      </c>
      <c r="E1568" s="24" t="str">
        <f>IFERROR(__xludf.DUMMYFUNCTION("""COMPUTED_VALUE"""),"WOS:000471213800007")</f>
        <v>WOS:000471213800007</v>
      </c>
      <c r="F1568" s="24" t="str">
        <f>IFERROR(__xludf.DUMMYFUNCTION("""COMPUTED_VALUE"""),"[""ELIGIBLE""]")</f>
        <v>["ELIGIBLE"]</v>
      </c>
    </row>
    <row r="1569">
      <c r="A1569" s="24" t="str">
        <f>IFERROR(__xludf.DUMMYFUNCTION("""COMPUTED_VALUE"""),"Consequences of fire and cattle browsing on ground beetles (Coleoptera) in NW Patagonia")</f>
        <v>Consequences of fire and cattle browsing on ground beetles (Coleoptera) in NW Patagonia</v>
      </c>
      <c r="B1569" s="24" t="str">
        <f>IFERROR(__xludf.DUMMYFUNCTION("""COMPUTED_VALUE"""),"Understanding the responses of natural communities to disturbances remains a challenging task in ecology. In northwestern Patagonia, the most important disturbances are fire and introduced ungulates. Although these disturbances have been present in this r"&amp;"egion since late eighteen century, their effects on arthropods diversity have been poorly studied. Here, we examined the short-term response of ground beetles (Coleoptera) to fire (burnt and unburnt) in browsed forests and to cattle browsing (cattle and n"&amp;"o cattle) in post-fire forests. We collected ground beetles with pitfall traps and estimated beetle abundance, species richness, assemblage composition, abundance of trophic guilds and beetle characteristic species, and measured some habitat parameters. W"&amp;"e found that burnt browsed forest had lower diversity and different assemblage composition than unburnt forest. Beetle abundance, assemblage composition and abundance of trophic guilds were similar in post-fire forests with and without cattle browsing. Co"&amp;"nversely, beetle species richness was higher in cattle than in no cattle forests. Fire had a strong negative effect on beetle diversity probably by its effect changing habitat structure. Whereas fire had a homogenizing influence on beetle diversity with a"&amp;"nd without cattle, at small-spatial scales, browsing of cattle probably generate habitat heterogeneity enhancing beetle richness. The implementation of policies aimed to reduce the risk of fire and to maintain low-moderate cattle pressure appears to be vi"&amp;"tal to conserve the beetle assemblage in the Patagonian region.")</f>
        <v>Understanding the responses of natural communities to disturbances remains a challenging task in ecology. In northwestern Patagonia, the most important disturbances are fire and introduced ungulates. Although these disturbances have been present in this region since late eighteen century, their effects on arthropods diversity have been poorly studied. Here, we examined the short-term response of ground beetles (Coleoptera) to fire (burnt and unburnt) in browsed forests and to cattle browsing (cattle and no cattle) in post-fire forests. We collected ground beetles with pitfall traps and estimated beetle abundance, species richness, assemblage composition, abundance of trophic guilds and beetle characteristic species, and measured some habitat parameters. We found that burnt browsed forest had lower diversity and different assemblage composition than unburnt forest. Beetle abundance, assemblage composition and abundance of trophic guilds were similar in post-fire forests with and without cattle browsing. Conversely, beetle species richness was higher in cattle than in no cattle forests. Fire had a strong negative effect on beetle diversity probably by its effect changing habitat structure. Whereas fire had a homogenizing influence on beetle diversity with and without cattle, at small-spatial scales, browsing of cattle probably generate habitat heterogeneity enhancing beetle richness. The implementation of policies aimed to reduce the risk of fire and to maintain low-moderate cattle pressure appears to be vital to conserve the beetle assemblage in the Patagonian region.</v>
      </c>
      <c r="C1569" s="24" t="str">
        <f>IFERROR(__xludf.DUMMYFUNCTION("""COMPUTED_VALUE"""),"10.1007/s11284-015-1302-2")</f>
        <v>10.1007/s11284-015-1302-2</v>
      </c>
      <c r="D1569" s="24" t="str">
        <f>IFERROR(__xludf.DUMMYFUNCTION("""COMPUTED_VALUE"""),"Keck et al")</f>
        <v>Keck et al</v>
      </c>
      <c r="E1569" s="24" t="str">
        <f>IFERROR(__xludf.DUMMYFUNCTION("""COMPUTED_VALUE"""),"WOS:000363959700005")</f>
        <v>WOS:000363959700005</v>
      </c>
      <c r="F1569" s="24" t="str">
        <f>IFERROR(__xludf.DUMMYFUNCTION("""COMPUTED_VALUE"""),"[""ELIGIBLE""]")</f>
        <v>["ELIGIBLE"]</v>
      </c>
    </row>
    <row r="1570">
      <c r="A1570" s="24" t="str">
        <f>IFERROR(__xludf.DUMMYFUNCTION("""COMPUTED_VALUE"""),"Habitat Heterogeneity Affects Plant and Arthropod Species Diversity and Turnover in Traditional Cornfields")</f>
        <v>Habitat Heterogeneity Affects Plant and Arthropod Species Diversity and Turnover in Traditional Cornfields</v>
      </c>
      <c r="B1570" s="24" t="str">
        <f>IFERROR(__xludf.DUMMYFUNCTION("""COMPUTED_VALUE"""),"The expansion of the agricultural frontier by the clearing of remnant forests has led to human-dominated landscape mosaics. Previous studies have evaluated the effect of these landscape mosaics on arthropod diversity at local spatial scales in temperate a"&amp;"nd tropical regions, but little is known about fragmentation effects in crop systems, such as the complex tropical traditional crop systems that maintain a high diversity of weeds and arthropods in low-Andean regions. To understand the factors that influe"&amp;"nce patterns of diversity in human-dominated landscapes, we investigate the effect of land use types on plant and arthropod diversity in traditionally managed cornfields, via surveys of plants and arthropods in twelve traditional cornfields in the Colombi"&amp;"an Andes. We estimated alpha and beta diversity to analyze changes in diversity related to land uses within a radius of 100 m to 1 km around each cornfield. We observed that forests influenced alpha diversity of plants, but not of arthropods. Agricultural"&amp;" lands had a positive relationship with plants and herbivores, but a negative relationship with predators. Pastures positively influenced the diversity of plants and arthropods. In addition, forest cover seemed to influence changes in plant species compos"&amp;"ition and species turnover of herbivore communities among cornfields. The dominant plant species varied among fields, resulting in high differentiation of plant communities. Predator communities also exhibited high turnover among cornfields, but differenc"&amp;"es in composition arose mainly among rare species. The crop system evaluated in this study represents a widespread situation in the tropics, therefore, our results can be of broad significance. Our findings suggest that traditional agriculture may not hom"&amp;"ogenize biological communities, but instead could maintain the regional pool of species through high beta diversity.")</f>
        <v>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v>
      </c>
      <c r="C1570" s="24" t="str">
        <f>IFERROR(__xludf.DUMMYFUNCTION("""COMPUTED_VALUE"""),"10.1371/journal.pone.0128950")</f>
        <v>10.1371/journal.pone.0128950</v>
      </c>
      <c r="D1570" s="24" t="str">
        <f>IFERROR(__xludf.DUMMYFUNCTION("""COMPUTED_VALUE"""),"Keck et al")</f>
        <v>Keck et al</v>
      </c>
      <c r="E1570" s="24" t="str">
        <f>IFERROR(__xludf.DUMMYFUNCTION("""COMPUTED_VALUE"""),"WOS:000358547600004")</f>
        <v>WOS:000358547600004</v>
      </c>
      <c r="F1570" s="24" t="str">
        <f>IFERROR(__xludf.DUMMYFUNCTION("""COMPUTED_VALUE"""),"[""ELIGIBLE""]")</f>
        <v>["ELIGIBLE"]</v>
      </c>
    </row>
    <row r="1571">
      <c r="A1571" s="24" t="str">
        <f>IFERROR(__xludf.DUMMYFUNCTION("""COMPUTED_VALUE"""),"Patterns of biodiversity response along a gradient of forest use in Eastern Amazonia, Brazil")</f>
        <v>Patterns of biodiversity response along a gradient of forest use in Eastern Amazonia, Brazil</v>
      </c>
      <c r="B1571" s="24" t="str">
        <f>IFERROR(__xludf.DUMMYFUNCTION("""COMPUTED_VALUE"""),"The preservation of tropical forests is increasingly at risk, including forests located within human-modified landscapes that retain high conservation value. People modify and interact with these landscapes through a wide range of uses. However, our knowl"&amp;"edge of how different forest uses affect biodiversity is limited. Here, we analyse the responses of different taxa to four distinct categories of forest management, namely old-growth forest, Brazil nut extraction areas, reduced impact logging areas, and e"&amp;"ucalyptus plantations. Within six independent replicates of each category, we sampled three taxa (fruit-feeding butterflies, dung beetles, and trees) in eastern Amazonia. Forests under moderate use (Brazil nut extraction and reduced-impact logging) had si"&amp;"milar, albeit slightly lower, diversity levels relative to old-growth forests, while communities in plantations were significantly less diverse. Only 4%, 20%, and 17%, of the sampled butterfly, dung beetle, and tree species, respectively, were restricted "&amp;"to old-growth forests. This study provides further empirical evidence of the importance of old-growth forest conservation in the context of human-modified landscapes. It also suggests that landscape matrices integrating forest uses at varying intensities "&amp;"are well positioned to reconcile biodiversity conservation with the production of goods that support local livelihoods.")</f>
        <v>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v>
      </c>
      <c r="C1571" s="24" t="str">
        <f>IFERROR(__xludf.DUMMYFUNCTION("""COMPUTED_VALUE"""),"10.7717/peerj.8486")</f>
        <v>10.7717/peerj.8486</v>
      </c>
      <c r="D1571" s="24" t="str">
        <f>IFERROR(__xludf.DUMMYFUNCTION("""COMPUTED_VALUE"""),"Keck et al")</f>
        <v>Keck et al</v>
      </c>
      <c r="E1571" s="24" t="str">
        <f>IFERROR(__xludf.DUMMYFUNCTION("""COMPUTED_VALUE"""),"WOS:000512761400007")</f>
        <v>WOS:000512761400007</v>
      </c>
      <c r="F1571" s="24" t="str">
        <f>IFERROR(__xludf.DUMMYFUNCTION("""COMPUTED_VALUE"""),"[""ELIGIBLE""]")</f>
        <v>["ELIGIBLE"]</v>
      </c>
    </row>
    <row r="1572">
      <c r="A1572" s="24" t="str">
        <f>IFERROR(__xludf.DUMMYFUNCTION("""COMPUTED_VALUE"""),"Long-term stacking coal promoted soil bacterial richness associated with increased soil organic matter in coal yards of power plants")</f>
        <v>Long-term stacking coal promoted soil bacterial richness associated with increased soil organic matter in coal yards of power plants</v>
      </c>
      <c r="B1572" s="24" t="str">
        <f>IFERROR(__xludf.DUMMYFUNCTION("""COMPUTED_VALUE"""),"Purpose Coal exploitation inevitably brings a chain of ecological problems, e.g., land destruction and biodiversity decrease. Most previous studies have investigated the ecological effect of coal mining process and the ecological restoration after coal mi"&amp;"ning practice. However, no study has concerned about the potential influence of long-term stacking coal process on soil microbial communities, the pivotal components to maintain the health of terrestrial ecosystems. This study aims to investigate the infl"&amp;"uence of long-term stacking coal on soil microbial communities, as well as the time effect. Materials and methods We collected soil samples from coal yards of four power plants (representing four stacking time: 10, 28, 31, and 71 years) in Huainan city. S"&amp;"oils in the lawn near each coal yard were also selected as control at four sites. Soil microbial communities were analyzed via 16S and 18S rRNA gene sequencing. Results and discussion Our results showed that long-term stacking coal significantly (P &lt; 0.05"&amp;") increased soil organic matter (SOM), and thus facilitated soil bacterial richness and the shifts of bacterial community composition. We also detected significant (P &lt; 0.05) increase of SOM, bacterial richness, and community dissimilarity with stacking t"&amp;"ime, indicating a substantial time effect. Meanwhile, predicted functional data implied that stacking coal activated anaerobic microbial communities by forming an anaerobic environment in soils. Conclusions Together, these data provide basic knowledge of "&amp;"the potential influence of long-term stacking coal on soil microbial communities and reinforce the role of SOM in shaping bacterial community composition and richness.")</f>
        <v>Purpose Coal exploitation inevitably brings a chain of ecological problems, e.g., land destruction and biodiversity decrease. Most previous studies have investigated the ecological effect of coal mining process and the ecological restoration after coal mining practice. However, no study has concerned about the potential influence of long-term stacking coal process on soil microbial communities, the pivotal components to maintain the health of terrestrial ecosystems. This study aims to investigate the influence of long-term stacking coal on soil microbial communities, as well as the time effect. Materials and methods We collected soil samples from coal yards of four power plants (representing four stacking time: 10, 28, 31, and 71 years) in Huainan city. Soils in the lawn near each coal yard were also selected as control at four sites. Soil microbial communities were analyzed via 16S and 18S rRNA gene sequencing. Results and discussion Our results showed that long-term stacking coal significantly (P &lt; 0.05) increased soil organic matter (SOM), and thus facilitated soil bacterial richness and the shifts of bacterial community composition. We also detected significant (P &lt; 0.05) increase of SOM, bacterial richness, and community dissimilarity with stacking time, indicating a substantial time effect. Meanwhile, predicted functional data implied that stacking coal activated anaerobic microbial communities by forming an anaerobic environment in soils. Conclusions Together, these data provide basic knowledge of the potential influence of long-term stacking coal on soil microbial communities and reinforce the role of SOM in shaping bacterial community composition and richness.</v>
      </c>
      <c r="C1572" s="24" t="str">
        <f>IFERROR(__xludf.DUMMYFUNCTION("""COMPUTED_VALUE"""),"10.1007/s11368-019-02307-5")</f>
        <v>10.1007/s11368-019-02307-5</v>
      </c>
      <c r="D1572" s="24" t="str">
        <f>IFERROR(__xludf.DUMMYFUNCTION("""COMPUTED_VALUE"""),"Keck et al")</f>
        <v>Keck et al</v>
      </c>
      <c r="E1572" s="24" t="str">
        <f>IFERROR(__xludf.DUMMYFUNCTION("""COMPUTED_VALUE"""),"WOS:000485945000002")</f>
        <v>WOS:000485945000002</v>
      </c>
      <c r="F1572" s="24" t="str">
        <f>IFERROR(__xludf.DUMMYFUNCTION("""COMPUTED_VALUE"""),"[""ELIGIBLE""]")</f>
        <v>["ELIGIBLE"]</v>
      </c>
    </row>
    <row r="1573">
      <c r="A1573" s="24" t="str">
        <f>IFERROR(__xludf.DUMMYFUNCTION("""COMPUTED_VALUE"""),"Historical marine ecology: Examining the role of fisheries in changes in North Sea benthos")</f>
        <v>Historical marine ecology: Examining the role of fisheries in changes in North Sea benthos</v>
      </c>
      <c r="B1573" s="24" t="str">
        <f>IFERROR(__xludf.DUMMYFUNCTION("""COMPUTED_VALUE"""),"The organisms living on and in the sea floor, the benthos, represent an important ecological group. Although some (shellfish) have an economic value, most do not, and so little long-term data are available. We have identified three sources of historic ben"&amp;"thic data for the North Sea, a regional sea that has been subjected to multiple human impacts for at least several hundred years. Each dataset has its limitations, but by their use together some issues emerge. Wider community shifts were observed in the s"&amp;"horter term and a number of extirpations at the scale of the North Sea were seen over longer time scales. The extirpated taxa share a number of characteristics consistent with an effect of fisheries such as fragile morphology. We must concentrate now on f"&amp;"urthering our understanding of the ecological significance of shifts in dominance of particular functional units and protecting those habitats and species most vulnerable to fisheries-driven extirpation.")</f>
        <v>The organisms living on and in the sea floor, the benthos, represent an important ecological group. Although some (shellfish) have an economic value, most do not, and so little long-term data are available. We have identified three sources of historic benthic data for the North Sea, a regional sea that has been subjected to multiple human impacts for at least several hundred years. Each dataset has its limitations, but by their use together some issues emerge. Wider community shifts were observed in the shorter term and a number of extirpations at the scale of the North Sea were seen over longer time scales. The extirpated taxa share a number of characteristics consistent with an effect of fisheries such as fragile morphology. We must concentrate now on furthering our understanding of the ecological significance of shifts in dominance of particular functional units and protecting those habitats and species most vulnerable to fisheries-driven extirpation.</v>
      </c>
      <c r="C1573" s="24" t="str">
        <f>IFERROR(__xludf.DUMMYFUNCTION("""COMPUTED_VALUE"""),"10.1579/07-A-300.1")</f>
        <v>10.1579/07-A-300.1</v>
      </c>
      <c r="D1573" s="24" t="str">
        <f>IFERROR(__xludf.DUMMYFUNCTION("""COMPUTED_VALUE"""),"Keck et al")</f>
        <v>Keck et al</v>
      </c>
      <c r="E1573" s="24" t="str">
        <f>IFERROR(__xludf.DUMMYFUNCTION("""COMPUTED_VALUE"""),"WOS:000258729400007")</f>
        <v>WOS:000258729400007</v>
      </c>
      <c r="F1573" s="24" t="str">
        <f>IFERROR(__xludf.DUMMYFUNCTION("""COMPUTED_VALUE"""),"[""ELIGIBLE""]")</f>
        <v>["ELIGIBLE"]</v>
      </c>
    </row>
    <row r="1574">
      <c r="A1574" s="24" t="str">
        <f>IFERROR(__xludf.DUMMYFUNCTION("""COMPUTED_VALUE"""),"Recovery of ground-dwelling assemblages during reforestation with native oak depends on the mobility and feeding habits of the species")</f>
        <v>Recovery of ground-dwelling assemblages during reforestation with native oak depends on the mobility and feeding habits of the species</v>
      </c>
      <c r="B1574" s="24" t="str">
        <f>IFERROR(__xludf.DUMMYFUNCTION("""COMPUTED_VALUE"""),"Timber-oriented forest management causes significant changes to the environments, threaten the survival of many native species and it is responsible for the primary forest loss. Recognition of the scale and effects of the primary forest loss has resulted "&amp;"in a considerable degree of interest in the restoration. One of the serious efforts at restoration is the compulsory reforestation of the clear-felled stands of any (native or non-native) forests with native species. To evaluate the success of restoration"&amp;" efforts it is important to answer whether the diversity and composition of indigenous assemblages can recover after reforestation with native trees and to know how long is the recovery time? We studied ground beetles and millipedes from mature (130-year-"&amp;"old) oak forest, and recently established (5-year-old), young (15-year-old), and middle-aged (45-year-old) reforestation with native English oak by pitfall trapping and leaf litter sifting to assess the recovery dynamics of their diversity and composition"&amp;". The overall number of the ground beetle individuals and species were significantly the highest in the 5-year-old reforestation, while the overall number of millipede individuals and species were significantly the lowest in the recently established refor"&amp;"estation. The elevated overall number of ground beetle individuals and species in the 5-year-old reforestation were due to the colonization of good disperser open-habitat species. The number of forest-associated ground beetle individuals and species were "&amp;"significantly the lowest in the 5-year-old reforestation, whereas from 15 years after the reforestation, when the canopy has been closing, there was no significant difference in the number of forest species. The number of forest-associated millipede indiv"&amp;"iduals and species were significantly the lowest in the 5-year-old reforestation; however, they were significantly the highest in the natural mature oak forest. Results of both the ordination and the quantitative character species analysis also confirmed "&amp;"that reforestation with native oak after mechanical soil treatment had detrimental effects on both studied ground-dwelling arthropod groups. The diversity and composition of ground beetles with high dispersal ability and less specific feeding habit recove"&amp;"rs after the closure of the canopy, while similar recovery do not occur regarding millipedes with low dispersal ability and specifit feeding habit. Our results suggest that soil preparation and light tilling should be omitted during the reforestation and "&amp;"cultivation of the reforested stands. (C) 2014 Elsevier B.V. All rights reserved.")</f>
        <v>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v>
      </c>
      <c r="C1574" s="24" t="str">
        <f>IFERROR(__xludf.DUMMYFUNCTION("""COMPUTED_VALUE"""),"10.1016/j.foreco.2014.12.015")</f>
        <v>10.1016/j.foreco.2014.12.015</v>
      </c>
      <c r="D1574" s="24" t="str">
        <f>IFERROR(__xludf.DUMMYFUNCTION("""COMPUTED_VALUE"""),"Keck et al")</f>
        <v>Keck et al</v>
      </c>
      <c r="E1574" s="24" t="str">
        <f>IFERROR(__xludf.DUMMYFUNCTION("""COMPUTED_VALUE"""),"WOS:000350517300012")</f>
        <v>WOS:000350517300012</v>
      </c>
      <c r="F1574" s="24" t="str">
        <f>IFERROR(__xludf.DUMMYFUNCTION("""COMPUTED_VALUE"""),"[""ELIGIBLE""]")</f>
        <v>["ELIGIBLE"]</v>
      </c>
    </row>
    <row r="1575">
      <c r="A1575" s="24" t="str">
        <f>IFERROR(__xludf.DUMMYFUNCTION("""COMPUTED_VALUE"""),"Urban dry meadows provide valuable habitat for granivorous and xerophylic carabid beetles")</f>
        <v>Urban dry meadows provide valuable habitat for granivorous and xerophylic carabid beetles</v>
      </c>
      <c r="B1575" s="24" t="str">
        <f>IFERROR(__xludf.DUMMYFUNCTION("""COMPUTED_VALUE"""),"Insect and plant assemblages of dry meadow habitats have declined dramatically since the late nineteenth century due to changes in grassland management practices and the resultant overgrowth of these with nitrophilic vegetation in Finland. The Municipalit"&amp;"y of Helsinki is committed to developing strategies for the maintenance of urban biodiversity, and networks of meadow habitats provide a potential opportunity for conserving declining plant and insect taxa. We showed that urban dry meadows are important h"&amp;"abitats for carabid beetle diversity. Dry rocky meadows and managed sheep's fescue type dry meadows had greater species diversity, more xerophilic species, granivores and autumn-breeding species than matrix grassland habitat. Many open habitat carabid spe"&amp;"cies collected in our study are granivorous and some are known to predate on seeds of abundant generalist plant species. These carabid species may contribute to the maintenance of plant diversity by controlling dominant species. To further enhance urban b"&amp;"iodiversity, we recommend (1) the supplementation of dry meadow networks by the appropriate management of existing meadows and potentially supplementary open habitats, (2) the expansion of these by clearing adjacent scrub and secondary woodland (subject t"&amp;"o their potential conservation value) and (3) the retention of open vegetation, avoiding its replacement with asphalt. We also recommend the use of habitat creation, such as the construction of dry meadow habitats on landfill hills, traffic noise barriers"&amp;" or green roofs, to further supplement dry meadow networks.")</f>
        <v>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v>
      </c>
      <c r="C1575" s="24" t="str">
        <f>IFERROR(__xludf.DUMMYFUNCTION("""COMPUTED_VALUE"""),"10.1007/s10841-013-9558-8")</f>
        <v>10.1007/s10841-013-9558-8</v>
      </c>
      <c r="D1575" s="24" t="str">
        <f>IFERROR(__xludf.DUMMYFUNCTION("""COMPUTED_VALUE"""),"Keck et al")</f>
        <v>Keck et al</v>
      </c>
      <c r="E1575" s="24" t="str">
        <f>IFERROR(__xludf.DUMMYFUNCTION("""COMPUTED_VALUE"""),"WOS:000321951500010")</f>
        <v>WOS:000321951500010</v>
      </c>
      <c r="F1575" s="24" t="str">
        <f>IFERROR(__xludf.DUMMYFUNCTION("""COMPUTED_VALUE"""),"[""ELIGIBLE""]")</f>
        <v>["ELIGIBLE"]</v>
      </c>
    </row>
    <row r="1576">
      <c r="A1576" s="24" t="str">
        <f>IFERROR(__xludf.DUMMYFUNCTION("""COMPUTED_VALUE"""),"The effect of biogenic and chemically manufactured silver nanoparticles on the benthic bacterial communities in river sediments")</f>
        <v>The effect of biogenic and chemically manufactured silver nanoparticles on the benthic bacterial communities in river sediments</v>
      </c>
      <c r="B1576" s="24" t="str">
        <f>IFERROR(__xludf.DUMMYFUNCTION("""COMPUTED_VALUE"""),"This study was conducted to determine and compare the effect of chemically-synthesised and biogenic silver nanoparticles on the benthic bacterial community structure in mesocosms containing sediment from three rivers in geographical sites with different p"&amp;"opulation densities (low, medium, high), and therefore likely to be associated with respective low, moderate and high degrees of anthropogenic input. The nanoparticles were applied at the upper limit expected to accumulate in impacted environments (4 mu g"&amp;" kg(sed)(-1)). The biomass, concentrations of elements, including selection metals (P, K, Na, K, Ca, Mg, Zn, Cu, Al, Ag) were all significantly higher at the high density than at the low density sites. Bacterial community profiling (terminal restriction f"&amp;"ragment length polymorphism and amplicon sequencing) showed that the bacterial community structure in the sediments from the high population density site were resilient to environmental perturbations [adjustment from in-situ to ex-situ (laboratory) condit"&amp;"ions], as well as to exposure to silver nanoparticles, with the converse being true for the low population density site. Results obtained from amplicon sequencing were interrogated to the lowest taxonomic level with a relative abundance &gt;5%. Proteobacteri"&amp;"a was the most abundant phylum in all the sediments. Notable resistance (increased relative abundance) to one or both forms of silver nanoparticles was seen in the class Thermoleophilia, and the orders Myxococcales, Bacteriodales, Pirellules CCU21 and iii"&amp;" 1-15 (class Acidobacteria 6). Conversely, sensitivity was demonstrated in the family Koribacteraceae and the orders Rhizobiales, Ellin 329 and Gemmatales. It is recommended that pro-active environmental monitoring is performed in aquatic systems receivin"&amp;"g point source pollution from wastewater treatment plants in order to assess the accumulation of silver nanoparticles. If necessary, measures should be implemented to mitigate the entry of silver nanoparticles, especially into more vulnerable environments"&amp;". (C) 2018 Elsevier B.V. All rights reserved.")</f>
        <v>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v>
      </c>
      <c r="C1576" s="24" t="str">
        <f>IFERROR(__xludf.DUMMYFUNCTION("""COMPUTED_VALUE"""),"10.1016/j.scitotenv.2018.06.283")</f>
        <v>10.1016/j.scitotenv.2018.06.283</v>
      </c>
      <c r="D1576" s="24" t="str">
        <f>IFERROR(__xludf.DUMMYFUNCTION("""COMPUTED_VALUE"""),"Keck et al")</f>
        <v>Keck et al</v>
      </c>
      <c r="E1576" s="24" t="str">
        <f>IFERROR(__xludf.DUMMYFUNCTION("""COMPUTED_VALUE"""),"WOS:000445164000140")</f>
        <v>WOS:000445164000140</v>
      </c>
      <c r="F1576" s="24" t="str">
        <f>IFERROR(__xludf.DUMMYFUNCTION("""COMPUTED_VALUE"""),"[""ELIGIBLE""]")</f>
        <v>["ELIGIBLE"]</v>
      </c>
    </row>
    <row r="1577">
      <c r="A1577" s="24" t="str">
        <f>IFERROR(__xludf.DUMMYFUNCTION("""COMPUTED_VALUE"""),"Harvesting effects on wild bee communities in bioenergy grasslands depend on nesting guild")</f>
        <v>Harvesting effects on wild bee communities in bioenergy grasslands depend on nesting guild</v>
      </c>
      <c r="B1577" s="24" t="str">
        <f>IFERROR(__xludf.DUMMYFUNCTION("""COMPUTED_VALUE"""),"Conversion of annual crops to native perennial grasslands for bioenergy production may help conserve wild bees by enhancing nest and food resources. However, bee response to the disturbance of biomass harvesting may depend on their nesting location, thus "&amp;"their vulnerability to nest destruction, and the response of the forb community on which they forage. Moreover, because bees have long foraging ranges, effects of local harvesting may depend on the amount of natural habitat in the surrounding landscape. W"&amp;"e performed a large-scale one- and two-year experiment in Michigan and Wisconsin, USA, respectively, to examine how grassland harvesting, landscape context, and study year affect the forb community, above- and belowground-nesting bee species richness, com"&amp;"munity composition, trap nest emergence, and visitation rate. In Wisconsin, harvesting increased forb richness, cover, and evenness compared to unharvested control sites. Harvesting negatively affected aboveground-nesting bee richness and emergence from t"&amp;"rap nests, possibly because of nest destruction during the previous harvest. By contrast, harvesting positively affected belowground-nesting bee richness, possibly because of the greater food resource availability and reduced thatch allowing greater acces"&amp;"s to nesting sites in the soil. Harvesting also affected bee community composition, reflecting the increase in belowground-nesting species at harvested sites. Despite harvesting effects on forb and bee communities, there was no effect on flower visitation"&amp;" rate, indicating little effect on pollination function. We did not find a harvest by landscape context interaction, which, in combination with the negative harvesting effect on trap nest emergence, suggests that harvesting can affect local population gro"&amp;"wth rather than simply affecting forager aggregation in different resource environments. For bees, there was no harvest by study year interaction, indicating a consistent response over a short timescale. Similarly, in Michigan, belowground-nesting species"&amp;" also responded positively to harvesting, which was more pronounced in sandier soils that are preferred for nesting. However, other components of the Michigan bee and forb communities were not significantly affected by biomass harvesting. Overall, our stu"&amp;"dy demonstrates that harvesting grasslands can positively affect the similar to 80% of bee species that nest belowground by enhancing nest and/or forage resources, but that conserving aboveground nesters may require leaving some area unharvested.")</f>
        <v>Conversion of annual crops to native perennial grasslands for bioenergy production may help conserve wild bees by enhancing nest and food resources. However, bee response to the disturbance of biomass harvesting may depend on their nesting location, thus their vulnerability to nest destruction, and the response of the forb community on which they forage. Moreover, because bees have long foraging ranges, effects of local harvesting may depend on the amount of natural habitat in the surrounding landscape. We performed a large-scale one- and two-year experiment in Michigan and Wisconsin, USA, respectively, to examine how grassland harvesting, landscape context, and study year affect the forb community, above- and belowground-nesting bee species richness, community composition, trap nest emergence, and visitation rate. In Wisconsin, harvesting increased forb richness, cover, and evenness compared to unharvested control sites. Harvesting negatively affected aboveground-nesting bee richness and emergence from trap nests, possibly because of nest destruction during the previous harvest. By contrast, harvesting positively affected belowground-nesting bee richness, possibly because of the greater food resource availability and reduced thatch allowing greater access to nesting sites in the soil. Harvesting also affected bee community composition, reflecting the increase in belowground-nesting species at harvested sites. Despite harvesting effects on forb and bee communities, there was no effect on flower visitation rate, indicating little effect on pollination function. We did not find a harvest by landscape context interaction, which, in combination with the negative harvesting effect on trap nest emergence, suggests that harvesting can affect local population growth rather than simply affecting forager aggregation in different resource environments. For bees, there was no harvest by study year interaction, indicating a consistent response over a short timescale. Similarly, in Michigan, belowground-nesting species also responded positively to harvesting, which was more pronounced in sandier soils that are preferred for nesting. However, other components of the Michigan bee and forb communities were not significantly affected by biomass harvesting. Overall, our study demonstrates that harvesting grasslands can positively affect the similar to 80% of bee species that nest belowground by enhancing nest and/or forage resources, but that conserving aboveground nesters may require leaving some area unharvested.</v>
      </c>
      <c r="C1577" s="24" t="str">
        <f>IFERROR(__xludf.DUMMYFUNCTION("""COMPUTED_VALUE"""),"10.1002/eap.1828")</f>
        <v>10.1002/eap.1828</v>
      </c>
      <c r="D1577" s="24" t="str">
        <f>IFERROR(__xludf.DUMMYFUNCTION("""COMPUTED_VALUE"""),"Keck et al")</f>
        <v>Keck et al</v>
      </c>
      <c r="E1577" s="24" t="str">
        <f>IFERROR(__xludf.DUMMYFUNCTION("""COMPUTED_VALUE"""),"WOS:000460170200003")</f>
        <v>WOS:000460170200003</v>
      </c>
      <c r="F1577" s="24" t="str">
        <f>IFERROR(__xludf.DUMMYFUNCTION("""COMPUTED_VALUE"""),"[""ELIGIBLE""]")</f>
        <v>["ELIGIBLE"]</v>
      </c>
    </row>
    <row r="1578">
      <c r="A1578" s="24" t="str">
        <f>IFERROR(__xludf.DUMMYFUNCTION("""COMPUTED_VALUE"""),"Effects of grazing intensity and the use of veterinary medical products on dung beetle biodiversity in the sub-mountainous landscape of Central Italy")</f>
        <v>Effects of grazing intensity and the use of veterinary medical products on dung beetle biodiversity in the sub-mountainous landscape of Central Italy</v>
      </c>
      <c r="B1578" s="24" t="str">
        <f>IFERROR(__xludf.DUMMYFUNCTION("""COMPUTED_VALUE"""),"Grazing extensification and intensification are among the main problems affecting European grasslands. We analyze the impact of grazing intensity (low and moderate) and the use of veterinary medical products (VMPs) on the dung beetle community in the prov"&amp;"ince of Pesaro-Urbino (Italy). Grazing intensity is a key factor in explaining the diversity of dung beetles. In the case of the alpha diversity component, sites with a low level of grazing activity-related in a previous step to the subsequent abandonment"&amp;" of traditional farming-is characterized by a loss of species richness (q = 0) and a reduction in alpha diversity at the levels q = 1 and q = 2. In the case of beta diversity, sites with a different grazing intensity show remarkable differences in terms o"&amp;"f the composition of their species assemblages. The use of VMPs is another important factor in explaining changes in dung beetle diversity. In sites with a traditional use of VMPs, a significant loss of species richness and biomass is observed, as is a no"&amp;"table effect on beta diversity. In addition, the absence of indicator species in sites with a historical use of VMPs corroborates the hypothesis that these substances have a ubiquitous effect on dung beetles. However, the interaction between grazing activ"&amp;"ity and VMPs when it comes to explaining changes in dung beetle diversity is less significant (or is not significant) than the main effects (each factor separately) for alpha diversity, biomass and species composition. This may be explained if we consider"&amp;" that both factors affect the various species differently. In other words, the reduction in dung availability affects several larger species more than it does very small species, although this does not imply that the former are more susceptible to injury "&amp;"caused by the ingestion of dung contaminated with VMPs. Finally, in order to prevent negative consequences for dung beetle diversity, we propose the maintenance of a moderate grazing intensity and the rational use of VMPs. It is our view that organic mana"&amp;"gement can prevent excessive extensification while providing an economic stimulus to the sector. Simultaneously, it can also prevent the abuse of VMPs.")</f>
        <v>Grazing extensification and intensification are among the main problems affecting European grasslands. We analyze the impact of grazing intensity (low and moderate) and the use of veterinary medical products (VMPs) on the dung beetle community in the province of Pesaro-Urbino (Italy). Grazing intensity is a key factor in explaining the diversity of dung beetles. In the case of the alpha diversity component, sites with a low level of grazing activity-related in a previous step to the subsequent abandonment of traditional farming-is characterized by a loss of species richness (q = 0) and a reduction in alpha diversity at the levels q = 1 and q = 2. In the case of beta diversity, sites with a different grazing intensity show remarkable differences in terms of the composition of their species assemblages. The use of VMPs is another important factor in explaining changes in dung beetle diversity. In sites with a traditional use of VMPs, a significant loss of species richness and biomass is observed, as is a notable effect on beta diversity. In addition, the absence of indicator species in sites with a historical use of VMPs corroborates the hypothesis that these substances have a ubiquitous effect on dung beetles. However, the interaction between grazing activity and VMPs when it comes to explaining changes in dung beetle diversity is less significant (or is not significant) than the main effects (each factor separately) for alpha diversity, biomass and species composition. This may be explained if we consider that both factors affect the various species differently. In other words, the reduction in dung availability affects several larger species more than it does very small species, although this does not imply that the former are more susceptible to injury caused by the ingestion of dung contaminated with VMPs. Finally, in order to prevent negative consequences for dung beetle diversity, we propose the maintenance of a moderate grazing intensity and the rational use of VMPs. It is our view that organic management can prevent excessive extensification while providing an economic stimulus to the sector. Simultaneously, it can also prevent the abuse of VMPs.</v>
      </c>
      <c r="C1578" s="24" t="str">
        <f>IFERROR(__xludf.DUMMYFUNCTION("""COMPUTED_VALUE"""),"10.7717/peerj.2780")</f>
        <v>10.7717/peerj.2780</v>
      </c>
      <c r="D1578" s="24" t="str">
        <f>IFERROR(__xludf.DUMMYFUNCTION("""COMPUTED_VALUE"""),"Keck et al")</f>
        <v>Keck et al</v>
      </c>
      <c r="E1578" s="24" t="str">
        <f>IFERROR(__xludf.DUMMYFUNCTION("""COMPUTED_VALUE"""),"WOS:000394698100002")</f>
        <v>WOS:000394698100002</v>
      </c>
      <c r="F1578" s="24" t="str">
        <f>IFERROR(__xludf.DUMMYFUNCTION("""COMPUTED_VALUE"""),"[""ELIGIBLE""]")</f>
        <v>["ELIGIBLE"]</v>
      </c>
    </row>
    <row r="1579">
      <c r="A1579" s="24" t="str">
        <f>IFERROR(__xludf.DUMMYFUNCTION("""COMPUTED_VALUE"""),"Impacts of off-road vehicles (ORVs) on macrobenthic assemblages on sandy beaches")</f>
        <v>Impacts of off-road vehicles (ORVs) on macrobenthic assemblages on sandy beaches</v>
      </c>
      <c r="B1579" s="24" t="str">
        <f>IFERROR(__xludf.DUMMYFUNCTION("""COMPUTED_VALUE"""),"Sandy beaches are the prime sites for human recreation and underpin many coastal economies and developments. In many coastal areas worldwide, beach recreation relies on the use of off-road vehicles (ORVs) driven on the shore. Yet, the use of ORVs is not u"&amp;"niversally embraced due to social conflicts with other beach user groups and putative environmental consequences of vehicle traffic on sandy shores. Such ecological impacts of ORVs are, however, poorly understood for endobenthic invertebrates of the inter"&amp;"tidal zone seawards of the dunes. Consequently, this study quantified the degree to which assemblages of intertidal beach invertebrates are affected by traffic. The study design comprised a series of temporally replicated spatial contrasts between two ref"&amp;"erence sites (no ORVs) and two beaches with heavy ORV traffic (in excess of 250,000 vehicles per year) located in South-East Queensland, Australia. Macrobenthic assemblages on ORV-impacted beaches had significantly fewer species at substantially reduced d"&amp;"ensities, resulting in marked shifts in community composition and structure. These shifts were particularly strong on the middle and upper shore where vehicle traffic was concentrated. Strong effects of ORVs were detectable in all seasons, but increased t"&amp;"owards the summer months as a result of heavier traffic volumes. This study provides clear evidence that ORVs can have substantial impacts on sandy beach invertebrates that are manifested throughout the whole community. Demonstrating such an ecological im"&amp;"pact caused by a single type of human use poses a formidable challenge to management, which needs to develop multi-faceted approaches to balance environmental, social, cultural, and economic arguments in the use of sandy shores, including management of be"&amp;"ach traffic.")</f>
        <v>Sandy beaches are the prime sites for human recreation and underpin many coastal economies and developments. In many coastal areas worldwide, beach recreation relies on the use of off-road vehicles (ORVs) driven on the shore. Yet, the use of ORVs is not universally embraced due to social conflicts with other beach user groups and putative environmental consequences of vehicle traffic on sandy shores. Such ecological impacts of ORVs are, however, poorly understood for endobenthic invertebrates of the intertidal zone seawards of the dunes. Consequently, this study quantified the degree to which assemblages of intertidal beach invertebrates are affected by traffic. The study design comprised a series of temporally replicated spatial contrasts between two reference sites (no ORVs) and two beaches with heavy ORV traffic (in excess of 250,000 vehicles per year) located in South-East Queensland, Australia. Macrobenthic assemblages on ORV-impacted beaches had significantly fewer species at substantially reduced densities, resulting in marked shifts in community composition and structure. These shifts were particularly strong on the middle and upper shore where vehicle traffic was concentrated. Strong effects of ORVs were detectable in all seasons, but increased towards the summer months as a result of heavier traffic volumes. This study provides clear evidence that ORVs can have substantial impacts on sandy beach invertebrates that are manifested throughout the whole community. Demonstrating such an ecological impact caused by a single type of human use poses a formidable challenge to management, which needs to develop multi-faceted approaches to balance environmental, social, cultural, and economic arguments in the use of sandy shores, including management of beach traffic.</v>
      </c>
      <c r="C1579" s="24" t="str">
        <f>IFERROR(__xludf.DUMMYFUNCTION("""COMPUTED_VALUE"""),"10.1007/s00267-008-9071-0")</f>
        <v>10.1007/s00267-008-9071-0</v>
      </c>
      <c r="D1579" s="24" t="str">
        <f>IFERROR(__xludf.DUMMYFUNCTION("""COMPUTED_VALUE"""),"Keck et al")</f>
        <v>Keck et al</v>
      </c>
      <c r="E1579" s="24" t="str">
        <f>IFERROR(__xludf.DUMMYFUNCTION("""COMPUTED_VALUE"""),"WOS:000256054000008")</f>
        <v>WOS:000256054000008</v>
      </c>
      <c r="F1579" s="24" t="str">
        <f>IFERROR(__xludf.DUMMYFUNCTION("""COMPUTED_VALUE"""),"[""ELIGIBLE""]")</f>
        <v>["ELIGIBLE"]</v>
      </c>
    </row>
    <row r="1580">
      <c r="A1580" s="24" t="str">
        <f>IFERROR(__xludf.DUMMYFUNCTION("""COMPUTED_VALUE"""),"The response of nematode assemblages to intensive mussel farming in coastal sediments (Southern Brazil)")</f>
        <v>The response of nematode assemblages to intensive mussel farming in coastal sediments (Southern Brazil)</v>
      </c>
      <c r="B1580" s="24" t="str">
        <f>IFERROR(__xludf.DUMMYFUNCTION("""COMPUTED_VALUE"""),"The impact of mussel farms on the benthic environment was investigated using free-living nematode assemblages as indicators of environmental condition of the Enseada do Brito, a shallow embayment in South Brazil. The studied area is located at the State o"&amp;"f Santa Catarina, responsible for 90% of the production of mussel farmed in the country. Samplings were carried out quarterly, from July 2004 to May 2005, below mussel ropes and at control sites located 300 m apart from the longlines. The results suggeste"&amp;"d that the mussel culture changed ecological functioning of the benthic environment at studied coastal embayment. The intense organic loads due to the biodeposition of the mussel farms, which had been in production for more than 10 years, have turned fine"&amp;" and well-sorted sand bottoms into a muddy deposit with significantly higher total organic content than the control. The number of nematode genera, diversity, dominance and trophic diversity were significantly lower under the mussel farms than at the cont"&amp;"rol sites. The mussel farms biodeposition had also affected the temporal variability of nematode assemblages, which was detected only for samples at the control sites. The low depth and environmental energy, together with the age of the farms, were probab"&amp;"ly responsible for the observed changes in the nematode assemblages.")</f>
        <v>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v>
      </c>
      <c r="C1580" s="24" t="str">
        <f>IFERROR(__xludf.DUMMYFUNCTION("""COMPUTED_VALUE"""),"10.1007/s10661-009-0777-0")</f>
        <v>10.1007/s10661-009-0777-0</v>
      </c>
      <c r="D1580" s="24" t="str">
        <f>IFERROR(__xludf.DUMMYFUNCTION("""COMPUTED_VALUE"""),"Keck et al")</f>
        <v>Keck et al</v>
      </c>
      <c r="E1580" s="24" t="str">
        <f>IFERROR(__xludf.DUMMYFUNCTION("""COMPUTED_VALUE"""),"WOS:000274331700007")</f>
        <v>WOS:000274331700007</v>
      </c>
      <c r="F1580" s="24" t="str">
        <f>IFERROR(__xludf.DUMMYFUNCTION("""COMPUTED_VALUE"""),"[""ELIGIBLE""]")</f>
        <v>["ELIGIBLE"]</v>
      </c>
    </row>
    <row r="1581">
      <c r="A1581" s="24" t="str">
        <f>IFERROR(__xludf.DUMMYFUNCTION("""COMPUTED_VALUE"""),"Influence of sediment organic carbon on toxicity depends on organism's trophic ecology")</f>
        <v>Influence of sediment organic carbon on toxicity depends on organism's trophic ecology</v>
      </c>
      <c r="B1581" s="24" t="str">
        <f>IFERROR(__xludf.DUMMYFUNCTION("""COMPUTED_VALUE"""),"Studies which showed the influence of organic carbon on the toxicity of sediment-associated contaminants on benthic invertebrates suggest this was primarily due to its influence on the interstitial water concentrations of the contaminant. A higher organic"&amp;" content offers more binding sites for organic contaminants, which means lower toxicity for organisms whose exposure route is mainly through contaminated interstitial water. However, a higher organic content in the sediment could mean a higher toxicity fo"&amp;"r deposit-feeding organisms, which can assimilate the contaminant by ingestion of contaminated particles. To investigate the influence of sedimentary organic carbon content on the toxicity of an organic contaminant on a benthic community, a microcosm expe"&amp;"riment was carried out where natural nematode assemblages were exposed to three concentrations of Irgarol in sediments with two different levels of organic carbon for 7 and 35 days. The response of the nematode assemblage to sediment contamination by Irga"&amp;"rol differed between organically Lower organic carbon and Higher organic carbon sediments. Responses were genus specific and although community composition was the same in both sediments in the beginning of the assay, contamination by Irgarol affected dif"&amp;"ferent genera at each sediment type. Also, the differential amount of organic carbon promoted responses of different functional groups. In Lower organic carbon sediments, contaminated treatments showed lower abundances of the genus Viscosia and the group "&amp;"of predacious nematodes, which were probably affected by an increased availability of Irgarol in the interstitial water in this treatment. In Higher organic carbon sediments, the group of deposit-feeders were mainly affected, suggesting the ingestion of c"&amp;"ontaminated food as the main route of contamination in this condition. These results indicate that the bioavailability of toxic substances in sediments is not only determined by their partitioning between the different phases of the sediment but also by t"&amp;"he organism's trophic ecology. (C) 2020 Elsevier Ltd. All rights reserved.")</f>
        <v>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v>
      </c>
      <c r="C1581" s="24" t="str">
        <f>IFERROR(__xludf.DUMMYFUNCTION("""COMPUTED_VALUE"""),"10.1016/j.envpol.2020.114134")</f>
        <v>10.1016/j.envpol.2020.114134</v>
      </c>
      <c r="D1581" s="24" t="str">
        <f>IFERROR(__xludf.DUMMYFUNCTION("""COMPUTED_VALUE"""),"Keck et al")</f>
        <v>Keck et al</v>
      </c>
      <c r="E1581" s="24" t="str">
        <f>IFERROR(__xludf.DUMMYFUNCTION("""COMPUTED_VALUE"""),"WOS:000531106500014")</f>
        <v>WOS:000531106500014</v>
      </c>
      <c r="F1581" s="24" t="str">
        <f>IFERROR(__xludf.DUMMYFUNCTION("""COMPUTED_VALUE"""),"[""ELIGIBLE""]")</f>
        <v>["ELIGIBLE"]</v>
      </c>
    </row>
    <row r="1582">
      <c r="A1582" s="24" t="str">
        <f>IFERROR(__xludf.DUMMYFUNCTION("""COMPUTED_VALUE"""),"Responses of ant communities to dry sulfur deposition from mining emissions in semi-arid tropical Australia, with implications for the use of functional groups")</f>
        <v>Responses of ant communities to dry sulfur deposition from mining emissions in semi-arid tropical Australia, with implications for the use of functional groups</v>
      </c>
      <c r="B1582" s="24" t="str">
        <f>IFERROR(__xludf.DUMMYFUNCTION("""COMPUTED_VALUE"""),"The impact of dry deposition of SO2 emissions on ant abundance, diversity and composition was investigated at Mount Isa in the semiarid tropics of northern Australia. Forty plots were sampled, stratified at two levels: sulfur deposition zones thigh, mediu"&amp;"m, low, and two control zones) and habitat (Ridge and Plain). The two habitats supported distinctly different ant communities. Ants had clear responses to SO2 emissions. Ant abundance was lowest in the high and medium sulfur zones in both habitats. Specie"&amp;"s richness in high SO2 plots (up to 5 km from the source) was approximately half that of control plots in Ridge habitat, and was substantially less than controls in the Plain habitat. Ant community composition in the high sulfur zone was clearly separated"&amp;" from those of other zones in ordinations. Vector fitting showed soil SO4, concentration as a primary correlative factor in this separation. Ant abundance and richness were both negatively correlated with soil SO4 concentration, and positively correlated "&amp;"with plant species richness and distance away from the smelters. The abundance of 10 of the 21 most common species showed significant responses to emissions. Five species showed positive responses, and all belong to species-groups known to be abundant at "&amp;"disturbed sites throughout northern Australia. Relative abundance and richness of Eyrean (arid adapted) taxa collectively responded positively to sulfur, and Torresian (tropical) and widespread species responded negatively. Despite large changes in specie"&amp;"s composition and abundances, there was relatively little change in the abundance of functional groups that have been widely used in studies of Australian ant communities. Ants are sensitive to SO2 emissions and appear to be good candidates as an indicato"&amp;"r group in this context. However, an alternative functional group framework is required for the identification of recurrent responses of arid zone ant communities to disturbance.")</f>
        <v>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v>
      </c>
      <c r="C1582" s="24" t="str">
        <f>IFERROR(__xludf.DUMMYFUNCTION("""COMPUTED_VALUE"""),"10.1046/j.1442-9993.2000.01065.x")</f>
        <v>10.1046/j.1442-9993.2000.01065.x</v>
      </c>
      <c r="D1582" s="24" t="str">
        <f>IFERROR(__xludf.DUMMYFUNCTION("""COMPUTED_VALUE"""),"Keck et al")</f>
        <v>Keck et al</v>
      </c>
      <c r="E1582" s="24" t="str">
        <f>IFERROR(__xludf.DUMMYFUNCTION("""COMPUTED_VALUE"""),"WOS:000166527300010")</f>
        <v>WOS:000166527300010</v>
      </c>
      <c r="F1582" s="24" t="str">
        <f>IFERROR(__xludf.DUMMYFUNCTION("""COMPUTED_VALUE"""),"[""ELIGIBLE""]")</f>
        <v>["ELIGIBLE"]</v>
      </c>
    </row>
    <row r="1583">
      <c r="A1583" s="24" t="str">
        <f>IFERROR(__xludf.DUMMYFUNCTION("""COMPUTED_VALUE"""),"Influence of the natural growth environment on the sensitivity of phototrophic biofilm to herbicide")</f>
        <v>Influence of the natural growth environment on the sensitivity of phototrophic biofilm to herbicide</v>
      </c>
      <c r="B1583" s="24" t="str">
        <f>IFERROR(__xludf.DUMMYFUNCTION("""COMPUTED_VALUE"""),"Ecotoxicological experiments were performed in laboratory-scale microcosms to investigate community-level structural responses of river phototrophic biofilms from different environments to herbicide exposure. Biofilms were initially cultivated on artifici"&amp;"al supports placed in situ for 4 weeks at two sites, site M, located in an agricultural watershed basin and site S, located in a forested watershed basin. The biofilms were subsequently transferred to microcosms and, after an acclimatisation phase of 7 da"&amp;"ys were exposed to alachlor at 10 and 30 mu g L-1 for 23 days. Alachlor effects were assessed by a combination of structural parameters, including biomass (ash-free dry mass and chlorophyll a), molecular fingerprinting of the bacterial community (polymera"&amp;"se chain reaction (PCR)-denaturing gradient gel electrophoresis (DGGE)) and diatom species composition. Alachlor impacted the chlorophyll a and ash-free dry mass levels of phototrophic biofilms previously cultivated at site S. The structural responses of "&amp;"bacterial and diatom communities were difficult to distinguish from changes linked to the microcosm incubation period. Phototrophic biofilms from site S exposed at 30 mu g L-1 alachlor were characterised by an increase of Achnanthidium minutissimum (K-z.)"&amp;" Czarnecki abundance, as well as a higher proportion of abnormal frustules. Thus, phototrophic biofilms with different histories, exhibited different responses to alachlor exposure demonstrating the importance of growth environment. These observations als"&amp;"o confirm the problem of distinguishing changes induced by the stress of pesticide toxicity from temporal evolution of the community in the microcosm.")</f>
        <v>Ecotoxicological experiments were performed in laboratory-scale microcosms to investigate community-level structural responses of river phototrophic biofilms from different environments to herbicide exposure. Biofilms were initially cultivated on artificial supports placed in situ for 4 weeks at two sites, site M, located in an agricultural watershed basin and site S, located in a forested watershed basin. The biofilms were subsequently transferred to microcosms and, after an acclimatisation phase of 7 days were exposed to alachlor at 10 and 30 mu g L-1 for 23 days. Alachlor effects were assessed by a combination of structural parameters, including biomass (ash-free dry mass and chlorophyll a), molecular fingerprinting of the bacterial community (polymerase chain reaction (PCR)-denaturing gradient gel electrophoresis (DGGE)) and diatom species composition. Alachlor impacted the chlorophyll a and ash-free dry mass levels of phototrophic biofilms previously cultivated at site S. The structural responses of bacterial and diatom communities were difficult to distinguish from changes linked to the microcosm incubation period. Phototrophic biofilms from site S exposed at 30 mu g L-1 alachlor were characterised by an increase of Achnanthidium minutissimum (K-z.) Czarnecki abundance, as well as a higher proportion of abnormal frustules. Thus, phototrophic biofilms with different histories, exhibited different responses to alachlor exposure demonstrating the importance of growth environment. These observations also confirm the problem of distinguishing changes induced by the stress of pesticide toxicity from temporal evolution of the community in the microcosm.</v>
      </c>
      <c r="C1583" s="24" t="str">
        <f>IFERROR(__xludf.DUMMYFUNCTION("""COMPUTED_VALUE"""),"10.1007/s11356-014-3429-z")</f>
        <v>10.1007/s11356-014-3429-z</v>
      </c>
      <c r="D1583" s="24" t="str">
        <f>IFERROR(__xludf.DUMMYFUNCTION("""COMPUTED_VALUE"""),"Keck et al")</f>
        <v>Keck et al</v>
      </c>
      <c r="E1583" s="24" t="str">
        <f>IFERROR(__xludf.DUMMYFUNCTION("""COMPUTED_VALUE"""),"WOS:000354960300006")</f>
        <v>WOS:000354960300006</v>
      </c>
      <c r="F1583" s="24" t="str">
        <f>IFERROR(__xludf.DUMMYFUNCTION("""COMPUTED_VALUE"""),"[""ELIGIBLE""]")</f>
        <v>["ELIGIBLE"]</v>
      </c>
    </row>
    <row r="1584">
      <c r="A1584" s="24" t="str">
        <f>IFERROR(__xludf.DUMMYFUNCTION("""COMPUTED_VALUE"""),"Long-Term Impacts of Forest Ditching on Non-Aquatic Biodiversity: Conservation Perspectives for a Novel Ecosystem")</f>
        <v>Long-Term Impacts of Forest Ditching on Non-Aquatic Biodiversity: Conservation Perspectives for a Novel Ecosystem</v>
      </c>
      <c r="B1584" s="24" t="str">
        <f>IFERROR(__xludf.DUMMYFUNCTION("""COMPUTED_VALUE"""),"Artificial drainage (ditching) is widely used to increase timber yield in northern forests. When the drainage systems are maintained, their environmental impacts are likely to accumulate over time and along accompanying management, notably after logging w"&amp;"hen new forest develops on decayed peat. Our study provides the first comprehensive documentation of long-term ditching impacts on terrestrial and arboreal biodiversity by comparing natural alder swamps and second-generation drained forests that have evol"&amp;"ved from such swamps in Estonia. We explored species composition of four potentially drainage-sensitive taxonomic groups (vascular plants, bryophytes, lichens, and snails), abundance of species of conservation concern, and their relationships with stand s"&amp;"tructure in two-ha plots representing four management types (ranging from old growth to clearcut). We found that drainage affected plot-scale species richness only weakly but it profoundly changed assemblage composition. Bryophytes and lichens were the ta"&amp;"xonomic groups that were most sensitive both to drainage and timber-harvesting; in closed stands they responded to changed microhabitat structure, notably impoverished tree diversity and dead-wood supply. As a result, natural old-growth plots were the mos"&amp;"t species-rich and hosted several specific species of conservation concern. Because the most influential structural changes are slow, drainage impacts may be long hidden. The results also indicated that even very old drained stands do not provide quality "&amp;"habitats for old-growth species of drier forest types. However, drained forests hosted many threatened species that were less site type specific, including early-successional vascular plants and snails on clearcuts and retention cuts, and bryophytes and l"&amp;"ichens of successional and old forests. We conclude that three types of specific science-based management tools are needed to mitigate ditching effects on forest biodiversity: (i) silvicultural techniques to maintain stand structural complexity; (ii) cont"&amp;"ext-dependent spatial analysis and planning of drained landscapes; and (iii) lists of focal species to monitor and guide ditching practices.")</f>
        <v>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v>
      </c>
      <c r="C1584" s="24" t="str">
        <f>IFERROR(__xludf.DUMMYFUNCTION("""COMPUTED_VALUE"""),"10.1371/journal.pone.0063086")</f>
        <v>10.1371/journal.pone.0063086</v>
      </c>
      <c r="D1584" s="24" t="str">
        <f>IFERROR(__xludf.DUMMYFUNCTION("""COMPUTED_VALUE"""),"Keck et al")</f>
        <v>Keck et al</v>
      </c>
      <c r="E1584" s="24" t="str">
        <f>IFERROR(__xludf.DUMMYFUNCTION("""COMPUTED_VALUE"""),"WOS:000319077300134")</f>
        <v>WOS:000319077300134</v>
      </c>
      <c r="F1584" s="24" t="str">
        <f>IFERROR(__xludf.DUMMYFUNCTION("""COMPUTED_VALUE"""),"[""ELIGIBLE""]")</f>
        <v>["ELIGIBLE"]</v>
      </c>
    </row>
    <row r="1585">
      <c r="A1585" s="24" t="str">
        <f>IFERROR(__xludf.DUMMYFUNCTION("""COMPUTED_VALUE"""),"Corticolous lichens as environmental indicators of natural sulphur emissions near the sulphur mine El Vinagre (Cauca, Colombia)")</f>
        <v>Corticolous lichens as environmental indicators of natural sulphur emissions near the sulphur mine El Vinagre (Cauca, Colombia)</v>
      </c>
      <c r="B1585" s="24" t="str">
        <f>IFERROR(__xludf.DUMMYFUNCTION("""COMPUTED_VALUE"""),"The aim of this study was to evaluate the spatial effect of a natural source of sulphur pollution on the species diversity, richness and distribution of corticolous lichens in a paramo zone at the mine 'El Vinagre' (Purace, Cauca, Colombia). Three zones a"&amp;"t different distances from the pollution source were established: zone 1 with a high degree of contamination, a potentially mildly affected or transitional zone 2, and a zone 3 free of disturbance. In each zone, 10 phorophytes of Weinmannia microphylla (C"&amp;"unoniaceae) were sampled, and all lichens in a 150 cm vertical transect 50 cm above the ground were collected and identified. Phorophyte parameters were measured (bark pH and diameter at breast height) and the samples were georeferenced. In order to evalu"&amp;"ate the impact on lichens, non-metric multidimensional scaling (NMS) and indicator species analysis were carried out. ANOVA and Spearman correlations were performed to assess the relationships of environmental and tree variables between zones and with lic"&amp;"hen community structure. The index of atmospheric purity (IAP) and the environmental rating factor (FCA) were evaluated for the three zones. In total, 104 lichen species were recorded, of which 72 were identified to species, 17 to genus, and four to famil"&amp;"y; 11 samples could not be identified. NMS clustered samples according to zone and the main axis which were correlated with bark pH and distance from pollution source. We found eight indicator species characterizing different zones, and four marginally si"&amp;"gnificant indicator species. Using the IAP, we established three isocontamination areas, with zones 2 and 3 classified as more or less pristine zones and zone 1 as a polluted zone (supported by bark pH as a proxy for current pollution). Diversity was lowe"&amp;"st in zone 1, closest to the pollution source, and lichen species composition differed between zones. Differences between lichens in zones 2 and 3 appear mostly unrelated to the current pollution source and might be more related to historical differences "&amp;"in impact from a 20-year-old pollution source.")</f>
        <v>The aim of this study was to evaluate the spatial effect of a natural source of sulphur pollution on the species diversity, richness and distribution of corticolous lichens in a paramo zone at the mine 'El Vinagre' (Purace, Cauca, Colombia). Three zones at different distances from the pollution source were established: zone 1 with a high degree of contamination, a potentially mildly affected or transitional zone 2, and a zone 3 free of disturbance. In each zone, 10 phorophytes of Weinmannia microphylla (Cunoniaceae) were sampled, and all lichens in a 150 cm vertical transect 50 cm above the ground were collected and identified. Phorophyte parameters were measured (bark pH and diameter at breast height) and the samples were georeferenced. In order to evaluate the impact on lichens, non-metric multidimensional scaling (NMS) and indicator species analysis were carried out. ANOVA and Spearman correlations were performed to assess the relationships of environmental and tree variables between zones and with lichen community structure. The index of atmospheric purity (IAP) and the environmental rating factor (FCA) were evaluated for the three zones. In total, 104 lichen species were recorded, of which 72 were identified to species, 17 to genus, and four to family; 11 samples could not be identified. NMS clustered samples according to zone and the main axis which were correlated with bark pH and distance from pollution source. We found eight indicator species characterizing different zones, and four marginally significant indicator species. Using the IAP, we established three isocontamination areas, with zones 2 and 3 classified as more or less pristine zones and zone 1 as a polluted zone (supported by bark pH as a proxy for current pollution). Diversity was lowest in zone 1, closest to the pollution source, and lichen species composition differed between zones. Differences between lichens in zones 2 and 3 appear mostly unrelated to the current pollution source and might be more related to historical differences in impact from a 20-year-old pollution source.</v>
      </c>
      <c r="C1585" s="24" t="str">
        <f>IFERROR(__xludf.DUMMYFUNCTION("""COMPUTED_VALUE"""),"10.1017/S0024282915000535")</f>
        <v>10.1017/S0024282915000535</v>
      </c>
      <c r="D1585" s="24" t="str">
        <f>IFERROR(__xludf.DUMMYFUNCTION("""COMPUTED_VALUE"""),"Keck et al")</f>
        <v>Keck et al</v>
      </c>
      <c r="E1585" s="24" t="str">
        <f>IFERROR(__xludf.DUMMYFUNCTION("""COMPUTED_VALUE"""),"WOS:000371635200006")</f>
        <v>WOS:000371635200006</v>
      </c>
      <c r="F1585" s="24" t="str">
        <f>IFERROR(__xludf.DUMMYFUNCTION("""COMPUTED_VALUE"""),"[""ELIGIBLE""]")</f>
        <v>["ELIGIBLE"]</v>
      </c>
    </row>
    <row r="1586">
      <c r="A1586" s="24" t="str">
        <f>IFERROR(__xludf.DUMMYFUNCTION("""COMPUTED_VALUE"""),"Decadal declines in bird abundance and diversity in urban riparian zones")</f>
        <v>Decadal declines in bird abundance and diversity in urban riparian zones</v>
      </c>
      <c r="B1586" s="24" t="str">
        <f>IFERROR(__xludf.DUMMYFUNCTION("""COMPUTED_VALUE"""),"Urbanization is frequently cited as a major driver of species losses worldwide; however, most studies in urban areas use a space-for-time substitution approach to document effects of urbanization through time. Ultimately, understanding the effects of urba"&amp;"nization on biodiversity requires long-term datasets. We examined long-term changes in bird assemblages at 12 riparian sites in the greater Phoenix metropolitan area and nearby Sonoran Desert region, featuring a range of human modifications and levels of "&amp;"water flow. Riparian areas in arid cities represent a key habitat type that is sensitive to human modification and supports high levels of species diversity. We used long-term data to: (1) explore variation in bird communities as a function of water perma"&amp;"nence and degree of human-modification; (2) identify which environmental Variables best describe differences found across riparian site types; and (3) assess how riparian bird communities, abundance, and species richness have changed through time. Enginee"&amp;"red riparian sites supported more broadly distributed generalists; whereas, natural riparian sites supported more specialists. Sites with perennial flows had more vegetation and water compared to ephemeral sites and engineered sites had more impervious su"&amp;"rface compared to natural sites. In nearly all comparisons, bird species richness, diversity, and abundance declined across riparian types during the period of study, even for common species. Bird communities in natural settings have changed more than com"&amp;"munities at engineered sites. Overall, the riparian bird community is shifting toward urban dwelling, resident species that are characteristic of riparian sites with less water and more impervious surface. (C) 2016 Elsevier B.V. All rights reserved.")</f>
        <v>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v>
      </c>
      <c r="C1586" s="24" t="str">
        <f>IFERROR(__xludf.DUMMYFUNCTION("""COMPUTED_VALUE"""),"10.1016/j.landurbplan.2016.09.026")</f>
        <v>10.1016/j.landurbplan.2016.09.026</v>
      </c>
      <c r="D1586" s="24" t="str">
        <f>IFERROR(__xludf.DUMMYFUNCTION("""COMPUTED_VALUE"""),"Keck et al")</f>
        <v>Keck et al</v>
      </c>
      <c r="E1586" s="24" t="str">
        <f>IFERROR(__xludf.DUMMYFUNCTION("""COMPUTED_VALUE"""),"WOS:000392687200007")</f>
        <v>WOS:000392687200007</v>
      </c>
      <c r="F1586" s="24" t="str">
        <f>IFERROR(__xludf.DUMMYFUNCTION("""COMPUTED_VALUE"""),"[""ELIGIBLE""]")</f>
        <v>["ELIGIBLE"]</v>
      </c>
    </row>
    <row r="1587">
      <c r="A1587" s="24" t="str">
        <f>IFERROR(__xludf.DUMMYFUNCTION("""COMPUTED_VALUE"""),"Litter decomposition can detect effects of high and moderate levels of forest disturbance on stream condition")</f>
        <v>Litter decomposition can detect effects of high and moderate levels of forest disturbance on stream condition</v>
      </c>
      <c r="B1587" s="24" t="str">
        <f>IFERROR(__xludf.DUMMYFUNCTION("""COMPUTED_VALUE"""),"Considerable research efforts have been devoted to determining what forest management practices most affect stream ecosystems, and how those impacts might be mitigated. Recent studies have stressed the relevance of litter decomposition to assess the condi"&amp;"tions of headwater streams affected by riparian and upland forest harvest. Here we specifically examined whether litter decomposition can detect ecological effects of clearcutting to stream edges on headwater streams eight years after logging and if large"&amp;" (30 m) and narrow (10 m) riparian reserves (8-year post-harvest), and selection logging at 50% removal of basal area of riparian trees (1-year post-harvest), are effective protection measures for streams. We measured decomposition rates of red alder (Aln"&amp;"us rubra) leaf litter in sixteen stream reaches, including reference reaches in a 70-year-old forest. We further examined assemblages of two main litter consumer groups, shredder invertebrates in riffles and aquatic hyphomycete fungi developing on decayin"&amp;"g alder leaves. Alder decay rate was significantly lower in clearcut reaches than in reference reaches, and we found no evidence that any alternative riparian management practices examined in this study were able to mitigate against such an effect of logg"&amp;"ing. In unlogged reaches, rapid litter decomposition (0.0050-0.0118 day(-1)) was associated with high density and diversity of shredders (up to ten taxa). Slower litter decomposition in wide and narrow reserve reaches (0.0019-0.0054 day(-1) and clearcut r"&amp;"eaches (0.0024-0.0054 day(-1)) was attributed to lower density and richness of shredders. By contrast, the low decay rate in recently established thinned reaches (0.0031-0.0049 day(-1)) was not associated with a numerical response of shredders. Smothering"&amp;" of submerged leaves by sediments may have caused the reduction in alder decay rate in thinned reaches. Across all forest treatments fungal biomass or diversity remained fairly similar. Our findings suggest that stream ecosystems are extremely sensitive t"&amp;"o small changes in riparian and upland forest cover. We propose that litter decomposition as a key ecosystem function in streams could be incorporated into further efforts to evaluate and improve forestry best management practices. (C) 2010 Elsevier B.V. "&amp;"All rights reserved.")</f>
        <v>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v>
      </c>
      <c r="C1587" s="24" t="str">
        <f>IFERROR(__xludf.DUMMYFUNCTION("""COMPUTED_VALUE"""),"10.1016/j.foreco.2010.03.022")</f>
        <v>10.1016/j.foreco.2010.03.022</v>
      </c>
      <c r="D1587" s="24" t="str">
        <f>IFERROR(__xludf.DUMMYFUNCTION("""COMPUTED_VALUE"""),"Keck et al")</f>
        <v>Keck et al</v>
      </c>
      <c r="E1587" s="24" t="str">
        <f>IFERROR(__xludf.DUMMYFUNCTION("""COMPUTED_VALUE"""),"WOS:000278303700022")</f>
        <v>WOS:000278303700022</v>
      </c>
      <c r="F1587" s="24" t="str">
        <f>IFERROR(__xludf.DUMMYFUNCTION("""COMPUTED_VALUE"""),"[""ELIGIBLE""]")</f>
        <v>["ELIGIBLE"]</v>
      </c>
    </row>
    <row r="1588">
      <c r="A1588" s="24" t="str">
        <f>IFERROR(__xludf.DUMMYFUNCTION("""COMPUTED_VALUE"""),"Post-harvest forest herb layer demography: General patterns are driven by pre-disturbance conditions")</f>
        <v>Post-harvest forest herb layer demography: General patterns are driven by pre-disturbance conditions</v>
      </c>
      <c r="B1588" s="24" t="str">
        <f>IFERROR(__xludf.DUMMYFUNCTION("""COMPUTED_VALUE"""),"Timber harvesting constitutes extensive anthropogenic disturbance in temperate forests, producing a broad range of ecological impacts that most often enhance the demographic processes of vegetation. This study monitored post-harvest herb layer demography "&amp;"over a 6-year period in mesic Dinaric fir-beech forests (Slovenia), a vascular plant diversity hotspot among European forests. Three experimental harvesting intensities, i.e. full harvest (FH), partial harvest (PH) and a control treatment (NH), were each "&amp;"applied over a circular area of 4000 m2 and replicated three times at each of three study sites. Vegetation sampling was conducted before harvesting (in 2012), and two (2014) and six (2018) years following it, in a 400 m2 circular plot positioned in the c"&amp;"entre of each treatment area. We focused on identifying general demographic patterns and evaluating the effects of various pre-disturbance abiotic and biotic predictors on compositional responses to disturbance. Two years after harvest (2012?2014), compos"&amp;"itional shifts were larger than those in the next 4-year period (2014?2018), confirming the general theoretical prediction that species turnover rate decreases along a successional gradient. The degree of compositional shifts in gaps (FH) and thinned stan"&amp;"ds (PH) was affected by local abiotic factors (geomorphology of karst sinkholes) and community attributes, such as pre-harvest species richness. Our results indicate that compositional stability is positively associated with pre-disturbance species richne"&amp;"ss. Over the whole study period, increases in plot-level species richness (alpha diversity) and overall enrichment of the species pool (gamma diversity) were accompanied by compositional convergence, i.e. a decline in floristic dissimilarity (beta diversi"&amp;"ty) between and within study sites. However, the observed tendency towards homogenization was rather weak and would have been even more pronounced if the demographic type of persistent resident species had not shown a high degree of resistance, thus leavi"&amp;"ng a strong imprint on post-harvest vegetation development by preserving the forest characteristics of the herb layer community.")</f>
        <v>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v>
      </c>
      <c r="C1588" s="24" t="str">
        <f>IFERROR(__xludf.DUMMYFUNCTION("""COMPUTED_VALUE"""),"10.1016/j.foreco.2021.119121")</f>
        <v>10.1016/j.foreco.2021.119121</v>
      </c>
      <c r="D1588" s="24" t="str">
        <f>IFERROR(__xludf.DUMMYFUNCTION("""COMPUTED_VALUE"""),"Keck et al")</f>
        <v>Keck et al</v>
      </c>
      <c r="E1588" s="24" t="str">
        <f>IFERROR(__xludf.DUMMYFUNCTION("""COMPUTED_VALUE"""),"WOS:000647735500003")</f>
        <v>WOS:000647735500003</v>
      </c>
      <c r="F1588" s="24" t="str">
        <f>IFERROR(__xludf.DUMMYFUNCTION("""COMPUTED_VALUE"""),"[""ELIGIBLE""]")</f>
        <v>["ELIGIBLE"]</v>
      </c>
    </row>
    <row r="1589">
      <c r="A1589" s="24" t="str">
        <f>IFERROR(__xludf.DUMMYFUNCTION("""COMPUTED_VALUE"""),"Understory plant assemblages present distinct short-term responses to the clear-cutting of an old-growth spruce forest near an alpine timberline")</f>
        <v>Understory plant assemblages present distinct short-term responses to the clear-cutting of an old-growth spruce forest near an alpine timberline</v>
      </c>
      <c r="B1589" s="24" t="str">
        <f>IFERROR(__xludf.DUMMYFUNCTION("""COMPUTED_VALUE"""),"Forest clear-cutting is a prominent disturbance influencing understory plant communities. We implemented a before-after, control-impact (BACI) designed experiment in a high-elevation, old-growth spruce forest in the eastern Tibetan Plateau to understand t"&amp;"he response in cover and species richness of the understory plant community and its assemblages, as well as the driving roles of environmental alteration (e. g., radiation, temperature, humidity, and nutrients), physical disturbance (e.g., direct damage b"&amp;"y trampling and tree-felling), and interplay effects (e. g., shading or burial from logging residue) during a 2-year period. The decrease in cover for the understory vegetation was predominantly due to a decrease in bryophytes; the grass cover, however, i"&amp;"ncreased. While bryophyte species richness decreased, the total number of understory and vascular plants changed minimally. Furthermore, the environmental alteration drove the increase in grass cover, as well as the cover and species richness decline for "&amp;"bryophytes and its two species groups. It was also found that physical disturbances and interplay effects caused the decrease in cover for bryophytes. The total effects influenced the understory community and bryophytes in terms of cover, but not in terms"&amp;" of species richness. We conclude that the short-term responses of understory vegetation to clear-cutting are distinct across different assemblages due to various mechanisms. Bryophytes are more sensitive than vascular plants, and cover percentage respond"&amp;"ed more swiftly than species richness to clear-cutting.")</f>
        <v>Forest clear-cutting is a prominent disturbance influencing understory plant communities. We implemented a before-after, control-impact (BACI) designed experiment in a high-elevation, old-growth spruce forest in the eastern Tibetan Plateau to understand the response in cover and species richness of the understory plant community and its assemblages, as well as the driving roles of environmental alteration (e. g., radiation, temperature, humidity, and nutrients), physical disturbance (e.g., direct damage by trampling and tree-felling), and interplay effects (e. g., shading or burial from logging residue) during a 2-year period. The decrease in cover for the understory vegetation was predominantly due to a decrease in bryophytes; the grass cover, however, increased. While bryophyte species richness decreased, the total number of understory and vascular plants changed minimally. Furthermore, the environmental alteration drove the increase in grass cover, as well as the cover and species richness decline for bryophytes and its two species groups. It was also found that physical disturbances and interplay effects caused the decrease in cover for bryophytes. The total effects influenced the understory community and bryophytes in terms of cover, but not in terms of species richness. We conclude that the short-term responses of understory vegetation to clear-cutting are distinct across different assemblages due to various mechanisms. Bryophytes are more sensitive than vascular plants, and cover percentage responded more swiftly than species richness to clear-cutting.</v>
      </c>
      <c r="C1589" s="24" t="str">
        <f>IFERROR(__xludf.DUMMYFUNCTION("""COMPUTED_VALUE"""),"10.1139/cjfr-2013-0377")</f>
        <v>10.1139/cjfr-2013-0377</v>
      </c>
      <c r="D1589" s="24" t="str">
        <f>IFERROR(__xludf.DUMMYFUNCTION("""COMPUTED_VALUE"""),"Keck et al")</f>
        <v>Keck et al</v>
      </c>
      <c r="E1589" s="24" t="str">
        <f>IFERROR(__xludf.DUMMYFUNCTION("""COMPUTED_VALUE"""),"WOS:000337105600003")</f>
        <v>WOS:000337105600003</v>
      </c>
      <c r="F1589" s="24" t="str">
        <f>IFERROR(__xludf.DUMMYFUNCTION("""COMPUTED_VALUE"""),"[""ELIGIBLE""]")</f>
        <v>["ELIGIBLE"]</v>
      </c>
    </row>
    <row r="1590">
      <c r="A1590" s="24" t="str">
        <f>IFERROR(__xludf.DUMMYFUNCTION("""COMPUTED_VALUE"""),"Effects of chemical disturbances on intertidal benthic assemblages")</f>
        <v>Effects of chemical disturbances on intertidal benthic assemblages</v>
      </c>
      <c r="B1590" s="24" t="str">
        <f>IFERROR(__xludf.DUMMYFUNCTION("""COMPUTED_VALUE"""),"Contamination is a particular harmful type of chemical disturbance and predicting their effects on natural systems is very complex. Effects of disturbances vary in space and time and depend, among other things, on the type and age of organisms, the habita"&amp;"t being studied and the complex interactions occurring in the systems. Most impact analyses of contaminants are however still done with limited number of selected organisms under laboratory conditions. Manipulative experiments done in situ are important t"&amp;"o measure ecologically relevant responses of contaminant effects on marine systems. Ecological approaches on contamination studies, accounting for interactions among species and the environment are essential to understand how such disturbances affect syst"&amp;"ems. We evaluated the effects of bleach and permethrin, two common and pervasive contaminants, on intertidal benthic assemblages in two different successional stages, mature and young. There were no impacts on the overall structure of assemblages, regardl"&amp;"ess of their age. The lack of effects on the structure of assemblages might be due to the intrinsic characteristic of the habitat studied, which provide few sinks for contaminants, as well as the inherent features of the organisms themselves. Bleach did c"&amp;"ause, however, a decrease in the abundance of limpets, which can have further consequences to these systems. This study shows the importance of studies on chemical disturbances done under relevant natural scenarios and that efficient management policies o"&amp;"f natural systems will only achieve successful responses with properly designed experiments under natural conditions. (C) 2014 Elsevier B.V. All rights reserved.")</f>
        <v>Contamination is a particular harmful type of chemical disturbance and predicting their effects on natural systems is very complex. Effects of disturbances vary in space and time and depend, among other things, on the type and age of organisms, the habitat being studied and the complex interactions occurring in the systems. Most impact analyses of contaminants are however still done with limited number of selected organisms under laboratory conditions. Manipulative experiments done in situ are important to measure ecologically relevant responses of contaminant effects on marine systems. Ecological approaches on contamination studies, accounting for interactions among species and the environment are essential to understand how such disturbances affect systems. We evaluated the effects of bleach and permethrin, two common and pervasive contaminants, on intertidal benthic assemblages in two different successional stages, mature and young. There were no impacts on the overall structure of assemblages, regardless of their age. The lack of effects on the structure of assemblages might be due to the intrinsic characteristic of the habitat studied, which provide few sinks for contaminants, as well as the inherent features of the organisms themselves. Bleach did cause, however, a decrease in the abundance of limpets, which can have further consequences to these systems. This study shows the importance of studies on chemical disturbances done under relevant natural scenarios and that efficient management policies of natural systems will only achieve successful responses with properly designed experiments under natural conditions. (C) 2014 Elsevier B.V. All rights reserved.</v>
      </c>
      <c r="C1590" s="24" t="str">
        <f>IFERROR(__xludf.DUMMYFUNCTION("""COMPUTED_VALUE"""),"10.1016/j.scitotenv.2014.10.095")</f>
        <v>10.1016/j.scitotenv.2014.10.095</v>
      </c>
      <c r="D1590" s="24" t="str">
        <f>IFERROR(__xludf.DUMMYFUNCTION("""COMPUTED_VALUE"""),"Keck et al")</f>
        <v>Keck et al</v>
      </c>
      <c r="E1590" s="24" t="str">
        <f>IFERROR(__xludf.DUMMYFUNCTION("""COMPUTED_VALUE"""),"WOS:000347576800002")</f>
        <v>WOS:000347576800002</v>
      </c>
      <c r="F1590" s="24" t="str">
        <f>IFERROR(__xludf.DUMMYFUNCTION("""COMPUTED_VALUE"""),"[""ELIGIBLE""]")</f>
        <v>["ELIGIBLE"]</v>
      </c>
    </row>
    <row r="1591">
      <c r="A1591" s="24" t="str">
        <f>IFERROR(__xludf.DUMMYFUNCTION("""COMPUTED_VALUE"""),"Epigaeic beetle communities of the Green Triangle plantation landscape, southern Australia: effect of remnant size, vegetation quality and structural complexity")</f>
        <v>Epigaeic beetle communities of the Green Triangle plantation landscape, southern Australia: effect of remnant size, vegetation quality and structural complexity</v>
      </c>
      <c r="B1591" s="24" t="str">
        <f>IFERROR(__xludf.DUMMYFUNCTION("""COMPUTED_VALUE"""),"Across the Green Triangle plantation landscape of south-eastern South Australia and south-western Victoria there remain remnant patches of native vegetation which vary considerably in both size and vegetation quality. This study focused on how the vegetat"&amp;"ion quality and or size of remnants embedded within the bluegum (Eucalyptus globulus) plantation landscape influence the local ground-dwelling Coleoptera (beetle) assemblages found within them. The aim was to particularise those remnant characteristics (i"&amp;"n terms of size and vegetation quality) that are likely to result in the most effective protective management of local remnant beetle biodiversity. Pitfall sampling was carried out over a 13-month period. All beetles sampled via pitfall traps were identif"&amp;"ied to family level, and the three most abundant beetle families (Carabidae, Staphylinidae and Tenebrionidae) identified to genus. Remnant vegetation was assigned to one of the four quality categories (as defined by the Land for Wildlife (LFW) method), an"&amp;"d structural attributes of the vegetation surrounding each trap were also measured.Different beetle taxa responded independently to remnant vegetation quality and size, and to the measured vegetation structural variables. Mean beetle family abundance and "&amp;"estimated richness increased with decreasing remnant vegetation quality. However, when Carabidae, Staphylinidae and Tenebrionidae beetle families were analysed separately at genus level, taxa responded independently to vegetation quality and size. Further"&amp;"more, different vegetation structural variables such as the percentage cover of litter and shrubs as well as the number of overstorey stems were correlated with estimated richness of different beetle taxa. Beetle abundance was significantly influenced by "&amp;"mean litter depth and shrub and litter cover. This study also showed that remnants of different vegetation quality supported beetle assemblages composed of significantly different communities. However, these differences were not consistent between all sit"&amp;"es of different vegetation quality, suggesting that there may be additional ecological characteristics within the landscape responsible for shaping remnant beetle communities. No single, specific quality of remnant vegetation was optimal for supporting th"&amp;"e most diverse assemblage of beetles, as different taxa responded independently. A range of remnants of differing qualities maintained across the landscape may provide the resources needed for the widest range of beetle taxa, by accommodating their varyin"&amp;"g habitat requirements.")</f>
        <v>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v>
      </c>
      <c r="C1591" s="24" t="str">
        <f>IFERROR(__xludf.DUMMYFUNCTION("""COMPUTED_VALUE"""),"10.1080/00049158.2013.844090")</f>
        <v>10.1080/00049158.2013.844090</v>
      </c>
      <c r="D1591" s="24" t="str">
        <f>IFERROR(__xludf.DUMMYFUNCTION("""COMPUTED_VALUE"""),"Keck et al")</f>
        <v>Keck et al</v>
      </c>
      <c r="E1591" s="24" t="str">
        <f>IFERROR(__xludf.DUMMYFUNCTION("""COMPUTED_VALUE"""),"WOS:000327712900003")</f>
        <v>WOS:000327712900003</v>
      </c>
      <c r="F1591" s="24" t="str">
        <f>IFERROR(__xludf.DUMMYFUNCTION("""COMPUTED_VALUE"""),"[""ELIGIBLE""]")</f>
        <v>["ELIGIBLE"]</v>
      </c>
    </row>
    <row r="1592">
      <c r="A1592" s="24" t="str">
        <f>IFERROR(__xludf.DUMMYFUNCTION("""COMPUTED_VALUE"""),"Effects of cadmium exposure on the composition and diversity of the intestinal microbial community of common carp (Cyprinus carpio L.)")</f>
        <v>Effects of cadmium exposure on the composition and diversity of the intestinal microbial community of common carp (Cyprinus carpio L.)</v>
      </c>
      <c r="B1592" s="24" t="str">
        <f>IFERROR(__xludf.DUMMYFUNCTION("""COMPUTED_VALUE"""),"Cadmium (Cd) is an environmental pollutant that poses serious health hazards. Due to the increasing contamination of aquatic systems with Cd, the increased accumulation of Cd in fish has become a food safety and public health concern. The present study wa"&amp;"s conducted to investigate the effects of waterborne Cd exposure on the microbial community composition and diversity in the gut of common carp. Common carp were exposed to three waterborne Cd concentrations (0, 50 and 500 mu g Cd L-1) for 4 weeks. Our re"&amp;"sults indicated that Cd exposure profoundly affected the composition of the gut microbiota in the common carp. At the phylum level, Saccharibacteria were detected in only the 0 mu g and 50 mu g Cd L-1 exposure groups, and the abundance of Fusobacteria dec"&amp;"reased with increasing Cd concentration, while the abundance of Firmicutes increased with increasing Cd concentration. At the genus level, Cetobacterium was the dominant group in the gut of the common carp, and the abundance of Cetobacterium decreased aft"&amp;"er Cd exposure. Notably, the abundance of Akkermansia muciniphila, a probiotic, was found to decrease after Cd exposure, and the proportions of some Cd-resistant bacteria were found to increase following Cd exposure. Our results also demonstrated that Cd "&amp;"exposure decreased the community diversity of the gut microbiota. These results suggest that Cd exposure may impact the gut homeostasis of common carp and further affect the health of the organism.")</f>
        <v>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v>
      </c>
      <c r="C1592" s="24" t="str">
        <f>IFERROR(__xludf.DUMMYFUNCTION("""COMPUTED_VALUE"""),"10.1016/j.ecoenv.2018.12.066")</f>
        <v>10.1016/j.ecoenv.2018.12.066</v>
      </c>
      <c r="D1592" s="24" t="str">
        <f>IFERROR(__xludf.DUMMYFUNCTION("""COMPUTED_VALUE"""),"Keck et al")</f>
        <v>Keck et al</v>
      </c>
      <c r="E1592" s="24" t="str">
        <f>IFERROR(__xludf.DUMMYFUNCTION("""COMPUTED_VALUE"""),"WOS:000459217600010")</f>
        <v>WOS:000459217600010</v>
      </c>
      <c r="F1592" s="24" t="str">
        <f>IFERROR(__xludf.DUMMYFUNCTION("""COMPUTED_VALUE"""),"[""ELIGIBLE""]")</f>
        <v>["ELIGIBLE"]</v>
      </c>
    </row>
    <row r="1593">
      <c r="A1593" s="24" t="str">
        <f>IFERROR(__xludf.DUMMYFUNCTION("""COMPUTED_VALUE"""),"Bacterial community response to petroleum contamination in brackish tidal marsh sediments in the Yangtze River Estuary, China")</f>
        <v>Bacterial community response to petroleum contamination in brackish tidal marsh sediments in the Yangtze River Estuary, China</v>
      </c>
      <c r="B1593" s="24" t="str">
        <f>IFERROR(__xludf.DUMMYFUNCTION("""COMPUTED_VALUE"""),"The brackish tidal marsh in the Baimaosha area of the Yangtze River Estuary was severely contaminated by 400 tons of heavy crude petroleum from a tanker that sank in Decem-ber 2012. The spill accident led to severe environmental damage owing to its high t"&amp;"oxicity, persistence and wide distribution. Microbial communities play vital roles in petroleum degradation in marsh sediments. Therefore, taxonomic analysis, high-throughput sequenc-ing and 16S rRNA functional prediction were used to analyze the structur"&amp;"e and function of microbial communities among uncontaminated (CK), lightly polluted (LP), heavily polluted (HP), and treated (TD) sediments. The bacterial communities responded with increased richness and decreased diversity when exposed to petroleum cont"&amp;"amination. The dominant class changed from Deltaproteobacteria to Gammaproteobacteria after petroleum contam-ination. The phylum Firmicutes increased dramatically in oil-enriched sediment by 75.78%, 346.19% and 267.26% in LP, HP and TD, respectively. One "&amp;"of the suspected oil-degrading genera, Dechloromonas, increased the most in oil-contaminated sediment, by 540.54%, 711.27% and 656.78% in LP, HP and TD, respectively. Spore protease, quinate dehydrogenase ( quinone) and glutathione-independent formaldehyd"&amp;"e dehydrogenase, three types of identified en-zymes, increased enormously with the increasing petroleum concentration. In conclusion, petroleum contamination altered the community composition and microorganism struc-ture, and promoted some bacteria to pro"&amp;"duce the corresponding degrading enzymes. Addi-tionally, the suspected petroleum-degrading genera should be considered when restoring oil-contaminated sediment. (C) 2020 The Research Center for Eco-Environmental Sciences, Chinese Academy of Sciences. Publ"&amp;"ished by Elsevier B.V.")</f>
        <v>The brackish tidal marsh in the Baimaosha area of the Yangtze River Estuary was severely contaminated by 400 tons of heavy crude petroleum from a tanker that sank in Decem-ber 2012. The spill accident led to severe environmental damage owing to its high toxicity, persistence and wide distribution. Microbial communities play vital roles in petroleum degradation in marsh sediments. Therefore, taxonomic analysis, high-throughput sequenc-ing and 16S rRNA functional prediction were used to analyze the structure and function of microbial communities among uncontaminated (CK), lightly polluted (LP), heavily polluted (HP), and treated (TD) sediments. The bacterial communities responded with increased richness and decreased diversity when exposed to petroleum contamination. The dominant class changed from Deltaproteobacteria to Gammaproteobacteria after petroleum contam-ination. The phylum Firmicutes increased dramatically in oil-enriched sediment by 75.78%, 346.19% and 267.26% in LP, HP and TD, respectively. One of the suspected oil-degrading genera, Dechloromonas, increased the most in oil-contaminated sediment, by 540.54%, 711.27% and 656.78% in LP, HP and TD, respectively. Spore protease, quinate dehydrogenase ( quinone) and glutathione-independent formaldehyde dehydrogenase, three types of identified en-zymes, increased enormously with the increasing petroleum concentration. In conclusion, petroleum contamination altered the community composition and microorganism struc-ture, and promoted some bacteria to produce the corresponding degrading enzymes. Addi-tionally, the suspected petroleum-degrading genera should be considered when restoring oil-contaminated sediment. (C) 2020 The Research Center for Eco-Environmental Sciences, Chinese Academy of Sciences. Published by Elsevier B.V.</v>
      </c>
      <c r="C1593" s="24" t="str">
        <f>IFERROR(__xludf.DUMMYFUNCTION("""COMPUTED_VALUE"""),"10.1016/j.jes.2020.06.015")</f>
        <v>10.1016/j.jes.2020.06.015</v>
      </c>
      <c r="D1593" s="24" t="str">
        <f>IFERROR(__xludf.DUMMYFUNCTION("""COMPUTED_VALUE"""),"Keck et al")</f>
        <v>Keck et al</v>
      </c>
      <c r="E1593" s="24" t="str">
        <f>IFERROR(__xludf.DUMMYFUNCTION("""COMPUTED_VALUE"""),"WOS:000589890700017")</f>
        <v>WOS:000589890700017</v>
      </c>
      <c r="F1593" s="24" t="str">
        <f>IFERROR(__xludf.DUMMYFUNCTION("""COMPUTED_VALUE"""),"[""ELIGIBLE""]")</f>
        <v>["ELIGIBLE"]</v>
      </c>
    </row>
    <row r="1594">
      <c r="A1594" s="24" t="str">
        <f>IFERROR(__xludf.DUMMYFUNCTION("""COMPUTED_VALUE"""),"Do environmental concentrations of zinc oxide nanoparticle pose ecotoxicological risk to aquatic fungi associated with leaf litter decomposition?")</f>
        <v>Do environmental concentrations of zinc oxide nanoparticle pose ecotoxicological risk to aquatic fungi associated with leaf litter decomposition?</v>
      </c>
      <c r="B1594" s="24" t="str">
        <f>IFERROR(__xludf.DUMMYFUNCTION("""COMPUTED_VALUE"""),"Ecotoxicological risk of ZnO nanoparticles at environmental levels is a key knowledge gap for predicting how freshwater ecosystems will respond to nanoparticle pollution. A microcosm experiment was conducted to explore the chronic effects of ZnO nanoparti"&amp;"cle at environmental concentrations (30, 300, 3000 ng L-1) on aquatic fungi associated with the decomposing process of poplar leaf litter (45 days). ZnO nanoparticles led to 9-33% increases in fungal biomass after acute exposure (5 days), but 33-50% decre"&amp;"ases after chronic exposure (45 days), indicating that the hormetic effect of ZnO nanoparticles at the environmental level may occur during acute exposure. Besides, ZnO nanoparticles had negative effects on microbial enzyme activity, especially on day 10,"&amp;" when the activities of N-acetylglucosaminidase, glycine-aminopeptidase, aryl-sulfatase, polyphenol oxidase, and peroxidase were significantly inhibited. After chronic exposure, the fungal community structure was significantly impacted by ZnO nanoparticle"&amp;"s at 300 ng L-1 due to the reduced proportion of Anguillospora, which eventually caused a significant decrease in litter decomposition rate. Therefore, ZnO nanoparticles may pose ecotoxicological effects on aquatic fungi even at a very low concentration a"&amp;"nd eventually negatively affect freshwater functioning. (C) 2020 Elsevier Ltd. All rights reserved.")</f>
        <v>Ecotoxicological risk of ZnO nanoparticles at environmental levels is a key knowledge gap for predicting how freshwater ecosystems will respond to nanoparticle pollution. A microcosm experiment was conducted to explore the chronic effects of ZnO nanoparticle at environmental concentrations (30, 300, 3000 ng L-1) on aquatic fungi associated with the decomposing process of poplar leaf litter (45 days). ZnO nanoparticles led to 9-33% increases in fungal biomass after acute exposure (5 days), but 33-50% decreases after chronic exposure (45 days), indicating that the hormetic effect of ZnO nanoparticles at the environmental level may occur during acute exposure. Besides, ZnO nanoparticles had negative effects on microbial enzyme activity, especially on day 10, when the activities of N-acetylglucosaminidase, glycine-aminopeptidase, aryl-sulfatase, polyphenol oxidase, and peroxidase were significantly inhibited. After chronic exposure, the fungal community structure was significantly impacted by ZnO nanoparticles at 300 ng L-1 due to the reduced proportion of Anguillospora, which eventually caused a significant decrease in litter decomposition rate. Therefore, ZnO nanoparticles may pose ecotoxicological effects on aquatic fungi even at a very low concentration and eventually negatively affect freshwater functioning. (C) 2020 Elsevier Ltd. All rights reserved.</v>
      </c>
      <c r="C1594" s="24" t="str">
        <f>IFERROR(__xludf.DUMMYFUNCTION("""COMPUTED_VALUE"""),"10.1016/j.watres.2020.115840")</f>
        <v>10.1016/j.watres.2020.115840</v>
      </c>
      <c r="D1594" s="24" t="str">
        <f>IFERROR(__xludf.DUMMYFUNCTION("""COMPUTED_VALUE"""),"Keck et al")</f>
        <v>Keck et al</v>
      </c>
      <c r="E1594" s="24" t="str">
        <f>IFERROR(__xludf.DUMMYFUNCTION("""COMPUTED_VALUE"""),"WOS:000534606400029")</f>
        <v>WOS:000534606400029</v>
      </c>
      <c r="F1594" s="24" t="str">
        <f>IFERROR(__xludf.DUMMYFUNCTION("""COMPUTED_VALUE"""),"[""ELIGIBLE""]")</f>
        <v>["ELIGIBLE"]</v>
      </c>
    </row>
    <row r="1595">
      <c r="A1595" s="24" t="str">
        <f>IFERROR(__xludf.DUMMYFUNCTION("""COMPUTED_VALUE"""),"Impacts of informal trails on vegetation and soils in the highest protected area in the Southern Hemisphere")</f>
        <v>Impacts of informal trails on vegetation and soils in the highest protected area in the Southern Hemisphere</v>
      </c>
      <c r="B1595" s="24" t="str">
        <f>IFERROR(__xludf.DUMMYFUNCTION("""COMPUTED_VALUE"""),"There is limited recreation ecology research in South America, especially studies looking at informal trails. Impacts of informal trails formed by hikers and pack animals on vegetation and soils were assessed for the highest protected area in the Southern"&amp;" Hemisphere, Aconcagua Provincial Park. The number of braided trails, their width and depth were surveyed at 30 sites along the main access route to Mt Aconcagua (6962 m a.s.l.). Species composition, richness and cover were also measured on control and tr"&amp;"ail transects. A total of 3.3 ha of alpine meadows and 13.4 ha of alpine steppe were disturbed by trails. Trails through meadows resulted in greater soil loss, more exposed soil and rock and less vegetation than trails through steppe vegetation. Trampling"&amp;" also affected the composition of meadow and steppe vegetation with declines in sedges, herbs, grasses and shrubs on trails. These results highlight how visitor use can result in substantial cumulative damage to areas of high conservation value in the And"&amp;"es. With unregulated use of trails and increasing visitation, park agencies need to limit the further spread of informal trails and improve the conservation of plant communities in Aconcagua Provincial Park and other popular parks in the region. (C) 2013 "&amp;"Elsevier Ltd. All rights reserved.")</f>
        <v>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v>
      </c>
      <c r="C1595" s="24" t="str">
        <f>IFERROR(__xludf.DUMMYFUNCTION("""COMPUTED_VALUE"""),"10.1016/j.jenvman.2013.04.030")</f>
        <v>10.1016/j.jenvman.2013.04.030</v>
      </c>
      <c r="D1595" s="24" t="str">
        <f>IFERROR(__xludf.DUMMYFUNCTION("""COMPUTED_VALUE"""),"Keck et al")</f>
        <v>Keck et al</v>
      </c>
      <c r="E1595" s="24" t="str">
        <f>IFERROR(__xludf.DUMMYFUNCTION("""COMPUTED_VALUE"""),"WOS:000322940100007")</f>
        <v>WOS:000322940100007</v>
      </c>
      <c r="F1595" s="24" t="str">
        <f>IFERROR(__xludf.DUMMYFUNCTION("""COMPUTED_VALUE"""),"[""ELIGIBLE""]")</f>
        <v>["ELIGIBLE"]</v>
      </c>
    </row>
    <row r="1596">
      <c r="A1596" s="24" t="str">
        <f>IFERROR(__xludf.DUMMYFUNCTION("""COMPUTED_VALUE"""),"Effects of carbon nanotubes and derivatives of graphene oxide on soil bacterial diversity")</f>
        <v>Effects of carbon nanotubes and derivatives of graphene oxide on soil bacterial diversity</v>
      </c>
      <c r="B1596" s="24" t="str">
        <f>IFERROR(__xludf.DUMMYFUNCTION("""COMPUTED_VALUE"""),"Carbon nanotubes (CNTs), reduced graphene oxide (rGO) and ammonia-functionalized graphene oxide (aGO), are nanomaterials with useful properties, such as high tensile strength, elasticity and thermal conductivity. However, following their use, their releas"&amp;"e into the environment is inevitable. While CNTs have been shown to influence soil bacterial diversity, albeit only at concentrations far exceeding predicted rates of release, the effects of rGO have only been examined using pure bacterial cultures, and t"&amp;"hose of aGO are unknown. Here, we investigated the effects of CNTs, rGO and aGO, at three time points (7, 14 and 30 days), and over a range of concentrations (1 ng, 1 mu g and 1 mg kg dry soil(-1)), on soil bacterial diversity using 16S rRNA amplicon sequ"&amp;"encing. Graphite was included to facilitate comparisons with a similar and naturally occurring carbon material, while the inclusion of GO allowed the effects of GO modification to be isolated. Bacterial community composition, but not alpha diversity, was "&amp;"altered by all treatments except the low GO, low rGO and high aGO treatments on day 14 only. In all cases, the nanomaterials led to shifts in community composition that were of similar magnitude to those induced by graphite and GO, albeit with differences"&amp;" in the taxa affected. Our study highlights that carbon nanomaterials can induce changes in soil bacterial diversity, even at doses that are environmentally realistic. (C) 2019 Elsevier B.V. All rights reserved.")</f>
        <v>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v>
      </c>
      <c r="C1596" s="24" t="str">
        <f>IFERROR(__xludf.DUMMYFUNCTION("""COMPUTED_VALUE"""),"10.1016/j.scitotenv.2019.05.162")</f>
        <v>10.1016/j.scitotenv.2019.05.162</v>
      </c>
      <c r="D1596" s="24" t="str">
        <f>IFERROR(__xludf.DUMMYFUNCTION("""COMPUTED_VALUE"""),"Keck et al")</f>
        <v>Keck et al</v>
      </c>
      <c r="E1596" s="24" t="str">
        <f>IFERROR(__xludf.DUMMYFUNCTION("""COMPUTED_VALUE"""),"WOS:000471888900034")</f>
        <v>WOS:000471888900034</v>
      </c>
      <c r="F1596" s="24" t="str">
        <f>IFERROR(__xludf.DUMMYFUNCTION("""COMPUTED_VALUE"""),"[""ELIGIBLE""]")</f>
        <v>["ELIGIBLE"]</v>
      </c>
    </row>
    <row r="1597">
      <c r="A1597" s="24" t="str">
        <f>IFERROR(__xludf.DUMMYFUNCTION("""COMPUTED_VALUE"""),"Benthic invertebrate communities structure in headwater streams with different states of the riparian vegetation conservation")</f>
        <v>Benthic invertebrate communities structure in headwater streams with different states of the riparian vegetation conservation</v>
      </c>
      <c r="B1597" s="24" t="str">
        <f>IFERROR(__xludf.DUMMYFUNCTION("""COMPUTED_VALUE"""),"Many studies assess the impact of anthropogenic activities in water bodies using methods that focus on physical, chemical and microbiological characteristics of water. The use of benthic invertebrates as tools for biomonitoring protocols helps the underst"&amp;"anding of those impacts, when these modifications cannot be explained only by the water characteristics. We analyzed the environmental characteristics and invertebrate fauna structure in an 80 m extension of streams located in four micro-basins. This reac"&amp;"h-scale analysis included streams of three riparian vegetation conservation states: preserved in both riverbanks (forested), removed in both riverbanks for pasture (pasture), and one riverbank with riparian vegetation and another with pasture (intermediat"&amp;"e). The environmental data analysis indicated a clear separation between the forested and pasture streams, emphasizing the interaction of the state of riparian vegetation's preservation with some habitat characteristics, such as width, substrate type and "&amp;"shelter for the fauna. Our initial hypothesis about the benthic invertebrates' structure was to find in streams with conserved riparian vegetation a benthic fauna composed mainly by groups more specialized and dependent on coarse substrate and plant mater"&amp;"ial imported from the forest and used as shelter and food resource. This hypothesis was confirmed, with higher abundance of groups sensitive to pollution, such as Plecoptera and Trichoptera, mainly in preserved streams. However, when analyzed together the"&amp;" environmental characteristics and the OTUs that best explained the land uses' differences (RDA analysis), in two micro-basins there was more fauna's similarity between intermediate and pasture profiles, and in the other two the three profiles differed fr"&amp;"om each other. These differences may be related not only to reach-scale physical characteristics, but also to catchment-scale attributes of each micro-basin, as the invertebrate distribution and abundance are influenced by a variety of physical/biological"&amp;" factors at different scales. Thus, the study of the possible influence of riparian vegetation conservation states on habitat characteristics and benthic invertebrate structure seems to be dependent on the spatial scale analyzed.")</f>
        <v>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v>
      </c>
      <c r="C1597" s="24" t="str">
        <f>IFERROR(__xludf.DUMMYFUNCTION("""COMPUTED_VALUE"""),"10.1007/s42974-020-00011-w")</f>
        <v>10.1007/s42974-020-00011-w</v>
      </c>
      <c r="D1597" s="24" t="str">
        <f>IFERROR(__xludf.DUMMYFUNCTION("""COMPUTED_VALUE"""),"Keck et al")</f>
        <v>Keck et al</v>
      </c>
      <c r="E1597" s="24" t="str">
        <f>IFERROR(__xludf.DUMMYFUNCTION("""COMPUTED_VALUE"""),"WOS:000528294500001")</f>
        <v>WOS:000528294500001</v>
      </c>
      <c r="F1597" s="24" t="str">
        <f>IFERROR(__xludf.DUMMYFUNCTION("""COMPUTED_VALUE"""),"[""ELIGIBLE""]")</f>
        <v>["ELIGIBLE"]</v>
      </c>
    </row>
    <row r="1598">
      <c r="A1598" s="24" t="str">
        <f>IFERROR(__xludf.DUMMYFUNCTION("""COMPUTED_VALUE"""),"Measuring the Short-term Success of Grassland Restoration: The Use of Habitat Affinity Indices in Ecological Restoration")</f>
        <v>Measuring the Short-term Success of Grassland Restoration: The Use of Habitat Affinity Indices in Ecological Restoration</v>
      </c>
      <c r="B1598" s="24" t="str">
        <f>IFERROR(__xludf.DUMMYFUNCTION("""COMPUTED_VALUE"""),"Agricultural intensification threatens grasslands worldwide and the restoration of grasslands from arable lands can at least partially counter this threat. We studied grassland restoration by following early successional changes of arthropod assemblages ("&amp;"spiders, Araneae; true bugs, Heteroptera; orthopterans, Orthoptera; and ground beetles, Carabidae) on 1- and 2-year-old restorations using arable lands and native grasslands as two ends of the succession timescale. To examine the changes in species compos"&amp;"ition among the habitat types, we used habitat affinity indices based on fidelity and/or specificity of the species. We found that the number of species did not differ between habitat types, while species composition changed markedly with time. Species ri"&amp;"chness was thus not adequate to detect favorable changes after grassland restoration. Habitat affinity indices, on the other hand, were useful to detect compositional changes caused by the increasing numbers of species characteristic of target grasslands "&amp;"as early as the second year after restoration. Habitat affinity indices are easy-to-use, easy-to-interpret measures of restoration success; therefore, we recommend their use as measures complementary to species richness and simple similarity. Our results "&amp;"show that sowing low-diversity seed mixture followed by mowing and grazing can be particularly successful in grassland restoration in time periods as short as 2 years.")</f>
        <v>Agricultural intensification threatens grasslands worldwide and the restoration of grasslands from arable lands can at least partially counter this threat. We studied grassland restoration by following early successional changes of arthropod assemblages (spiders, Araneae; true bugs, Heteroptera; orthopterans, Orthoptera; and ground beetles, Carabidae) on 1- and 2-year-old restorations using arable lands and native grasslands as two ends of the succession timescale. To examine the changes in species composition among the habitat types, we used habitat affinity indices based on fidelity and/or specificity of the species. We found that the number of species did not differ between habitat types, while species composition changed markedly with time. Species richness was thus not adequate to detect favorable changes after grassland restoration. Habitat affinity indices, on the other hand, were useful to detect compositional changes caused by the increasing numbers of species characteristic of target grasslands as early as the second year after restoration. Habitat affinity indices are easy-to-use, easy-to-interpret measures of restoration success; therefore, we recommend their use as measures complementary to species richness and simple similarity. Our results show that sowing low-diversity seed mixture followed by mowing and grazing can be particularly successful in grassland restoration in time periods as short as 2 years.</v>
      </c>
      <c r="C1598" s="24" t="str">
        <f>IFERROR(__xludf.DUMMYFUNCTION("""COMPUTED_VALUE"""),"10.1111/j.1526-100X.2009.00631.x")</f>
        <v>10.1111/j.1526-100X.2009.00631.x</v>
      </c>
      <c r="D1598" s="24" t="str">
        <f>IFERROR(__xludf.DUMMYFUNCTION("""COMPUTED_VALUE"""),"Keck et al")</f>
        <v>Keck et al</v>
      </c>
      <c r="E1598" s="24" t="str">
        <f>IFERROR(__xludf.DUMMYFUNCTION("""COMPUTED_VALUE"""),"WOS:000292205800012")</f>
        <v>WOS:000292205800012</v>
      </c>
      <c r="F1598" s="24" t="str">
        <f>IFERROR(__xludf.DUMMYFUNCTION("""COMPUTED_VALUE"""),"[""ELIGIBLE""]")</f>
        <v>["ELIGIBLE"]</v>
      </c>
    </row>
    <row r="1599">
      <c r="A1599" s="24" t="str">
        <f>IFERROR(__xludf.DUMMYFUNCTION("""COMPUTED_VALUE"""),"Revegetation in agricultural areas: the development of structural complexity and floristic diversity")</f>
        <v>Revegetation in agricultural areas: the development of structural complexity and floristic diversity</v>
      </c>
      <c r="B1599" s="24" t="str">
        <f>IFERROR(__xludf.DUMMYFUNCTION("""COMPUTED_VALUE"""),"Revegetation plantings have been established to ameliorate the negative effects of clearing remnant vegetation and to provide new habitat for fauna. We assessed the vegetation development of revegetation established on agricultural land in Gippsland, sout"&amp;"heastern Australia. We compared (1) woodlot plantings (overstory eucalypts only) and (2) ecological plantings (many species of local trees, shrubs, and understory) with remnants and paddocks for development of vegetation structural complexity and colonizi"&amp;"ng plant species. We also assessed structural complexity and plant species composition in response to several site parameters. Structural complexity increased with age of planting, toward that of remnants, even when very few species were planted at establ"&amp;"ishment. Richness of all plants and native plants, however, did not increase with age. Native ground cover plants were not included at establishment in either planting type, and their richness also did not increase with age of planting. This indicated tha"&amp;"t colonization did not occur through time, which does not support the foster ecosystem hypothesis.'' Weed species richness was unrelated to native plant richness, which does not support the diversity-resistance hypothesis.'' Weed cover increased with age "&amp;"of planting in woodlot plantings but decreased with age in ecological plantings. Richness of all plants and native plants in plantings did not increase with planting size or with the presence of old remnant trees and was greater in gullies and where veget"&amp;"ation cover in the landscape was greater. Structural complexity was unaffected by planting size but was positively correlated with floristic richness. Ecological plantings had higher condition scores, greater shrub cover, more plant life-forms and fewer w"&amp;"eeds than woodlot plantings indicating a possible greater benefit as habitat for wildlife. We conclude that ecological plantings can achieve similar overall structural complexity as remnant vegetation within 30-40 years but will not gain a native ground l"&amp;"ayer and will not necessarily contain some important structural features by this age. Ecological plantings may provide habitat for the conservation of fauna (through the development of structural complexity), but they may not provide for the conservation "&amp;"of non-planted. ora (given the absence of re-colonizing smaller life-forms).")</f>
        <v>Revegetation plantings have been established to ameliorate the negative effects of clearing remnant vegetation and to provide new habitat for fauna. We assessed the vegetation development of revegetation established on agricultural land in Gippsland, southeastern Australia. We compared (1) woodlot plantings (overstory eucalypts only) and (2) ecological plantings (many species of local trees, shrubs, and understory) with remnants and paddocks for development of vegetation structural complexity and colonizing plant species. We also assessed structural complexity and plant species composition in response to several site parameters. Structural complexity increased with age of planting, toward that of remnants, even when very few species were planted at establishment. Richness of all plants and native plants, however, did not increase with age. Native ground cover plants were not included at establishment in either planting type, and their richness also did not increase with age of planting. This indicated that colonization did not occur through time, which does not support the foster ecosystem hypothesis.'' Weed species richness was unrelated to native plant richness, which does not support the diversity-resistance hypothesis.'' Weed cover increased with age of planting in woodlot plantings but decreased with age in ecological plantings. Richness of all plants and native plants in plantings did not increase with planting size or with the presence of old remnant trees and was greater in gullies and where vegetation cover in the landscape was greater. Structural complexity was unaffected by planting size but was positively correlated with floristic richness. Ecological plantings had higher condition scores, greater shrub cover, more plant life-forms and fewer weeds than woodlot plantings indicating a possible greater benefit as habitat for wildlife. We conclude that ecological plantings can achieve similar overall structural complexity as remnant vegetation within 30-40 years but will not gain a native ground layer and will not necessarily contain some important structural features by this age. Ecological plantings may provide habitat for the conservation of fauna (through the development of structural complexity), but they may not provide for the conservation of non-planted. ora (given the absence of re-colonizing smaller life-forms).</v>
      </c>
      <c r="C1599" s="24" t="str">
        <f>IFERROR(__xludf.DUMMYFUNCTION("""COMPUTED_VALUE"""),"10.1890/08-0939.1")</f>
        <v>10.1890/08-0939.1</v>
      </c>
      <c r="D1599" s="24" t="str">
        <f>IFERROR(__xludf.DUMMYFUNCTION("""COMPUTED_VALUE"""),"Keck et al")</f>
        <v>Keck et al</v>
      </c>
      <c r="E1599" s="24" t="str">
        <f>IFERROR(__xludf.DUMMYFUNCTION("""COMPUTED_VALUE"""),"WOS:000267020200011")</f>
        <v>WOS:000267020200011</v>
      </c>
      <c r="F1599" s="24" t="str">
        <f>IFERROR(__xludf.DUMMYFUNCTION("""COMPUTED_VALUE"""),"[""ELIGIBLE""]")</f>
        <v>["ELIGIBLE"]</v>
      </c>
    </row>
    <row r="1600">
      <c r="A1600" s="24" t="str">
        <f>IFERROR(__xludf.DUMMYFUNCTION("""COMPUTED_VALUE"""),"Dune soil communities primarily associated with climate factors, not exotic plant presence")</f>
        <v>Dune soil communities primarily associated with climate factors, not exotic plant presence</v>
      </c>
      <c r="B1600" s="24" t="str">
        <f>IFERROR(__xludf.DUMMYFUNCTION("""COMPUTED_VALUE"""),"AimsSoil communities are shaped by multiple biotic and environmental components. We assessed the role of multiple factors in shaping soil bacterial and nematode communities in an ongoing plant invasion in western Michigan sand dunes. We aimed to determine"&amp;" which factors were important for structuring soil communities.MethodsWe surveyed seven sites containing the exotic plant, Leymus arenarius, in western Michigan, USA sand dunes. We sampled the plant community and collected soil cores to assess bacterial a"&amp;"nd nematode communities. We assessed bacterial functional diversity using Biolog Ecoplates. Nematode communities were assessed based on morphological identification.ResultsTemperature was a strong determinant of bacterial functional diversity and communit"&amp;"y composition. Precipitation and Ammophila density were also correlated with bacterial function composition. Nematode communities were shaped by a combination of temperature, precipitation, Ammophila density, and to a lesser degree soil organic matter and"&amp;" Leymus density. Soil bacteria and bacterivorous nematode assemblages were not significantly associated in their responses to the environment.ConclusionsSoil communities of bacteria and nematodes in this early successional dune system are affected strongl"&amp;"y by changes in climatic factors, rather than exotic plant presence.")</f>
        <v>AimsSoil communities are shaped by multiple biotic and environmental components. We assessed the role of multiple factors in shaping soil bacterial and nematode communities in an ongoing plant invasion in western Michigan sand dunes. We aimed to determine which factors were important for structuring soil communities.MethodsWe surveyed seven sites containing the exotic plant, Leymus arenarius, in western Michigan, USA sand dunes. We sampled the plant community and collected soil cores to assess bacterial and nematode communities. We assessed bacterial functional diversity using Biolog Ecoplates. Nematode communities were assessed based on morphological identification.ResultsTemperature was a strong determinant of bacterial functional diversity and community composition. Precipitation and Ammophila density were also correlated with bacterial function composition. Nematode communities were shaped by a combination of temperature, precipitation, Ammophila density, and to a lesser degree soil organic matter and Leymus density. Soil bacteria and bacterivorous nematode assemblages were not significantly associated in their responses to the environment.ConclusionsSoil communities of bacteria and nematodes in this early successional dune system are affected strongly by changes in climatic factors, rather than exotic plant presence.</v>
      </c>
      <c r="C1600" s="24" t="str">
        <f>IFERROR(__xludf.DUMMYFUNCTION("""COMPUTED_VALUE"""),"10.1007/s11104-019-03944-y")</f>
        <v>10.1007/s11104-019-03944-y</v>
      </c>
      <c r="D1600" s="24" t="str">
        <f>IFERROR(__xludf.DUMMYFUNCTION("""COMPUTED_VALUE"""),"Keck et al")</f>
        <v>Keck et al</v>
      </c>
      <c r="E1600" s="24" t="str">
        <f>IFERROR(__xludf.DUMMYFUNCTION("""COMPUTED_VALUE"""),"WOS:000462031100033")</f>
        <v>WOS:000462031100033</v>
      </c>
      <c r="F1600" s="24" t="str">
        <f>IFERROR(__xludf.DUMMYFUNCTION("""COMPUTED_VALUE"""),"[""ELIGIBLE""]")</f>
        <v>["ELIGIBLE"]</v>
      </c>
    </row>
    <row r="1601">
      <c r="A1601" s="24" t="str">
        <f>IFERROR(__xludf.DUMMYFUNCTION("""COMPUTED_VALUE"""),"Effects of dredged material disposal on benthic macrofauna near Itajai Harbour (Santa Catarina, South Brazil)")</f>
        <v>Effects of dredged material disposal on benthic macrofauna near Itajai Harbour (Santa Catarina, South Brazil)</v>
      </c>
      <c r="B1601" s="24" t="str">
        <f>IFERROR(__xludf.DUMMYFUNCTION("""COMPUTED_VALUE"""),"From July 2006 to November 2007 the effects of sediment disposal on a macrobenthic association were evaluated at the dredged material disposal site, located 3 km northeast of Itajai Harbour navigation channel. Seven sample sites were chosen, five inside t"&amp;"he licensed disposal area and two outside. Five samples were collected from each site with a 0.042 m(2) Van-Veen grab. Nine sampling campaigns took place, one before, one during, and seven after the disposal operations. Evaluations were carried out throug"&amp;"h sediment and macrofauna composition analysis. An increase in coarse fractions of sediments was found during the first months, mainly within the licensed disposal area. Sites outside the area kept the same granulometric characteristics. Nested ANOVA show"&amp;"ed that abundance, taxa richness and Shannon-Weaver diversity were significantly smaller after the disposal, and recovered the initial mean values after the disposal ends. PERMANOVA showed a high heterogeneity between the sites. It decreased until the fif"&amp;"th month after disposal operations, mainly in the sites inside the licensed area. These sites were characterized by low abundance and high variability among the samples. Eight to 16 months after disposal sites recovered their heterogeneity, indicating les"&amp;"s variability among the samples of each site and distinct benthic macrofaunal composition. The high volume and frequency of sediment disposal were the main factors of environmental modifications, since the amount of deposited sediment on the seabed probab"&amp;"ly exceeded the natural sedimentation rates. The presence of a benthic macrofauna adapted to natural/human disturbances was crucial to the fast recovery verified in the area. (C) 2009 Elsevier B.V. All rights reserved.")</f>
        <v>From July 2006 to November 2007 the effects of sediment disposal on a macrobenthic association were evaluated at the dredged material disposal site, located 3 km northeast of Itajai Harbour navigation channel. Seven sample sites were chosen, five inside the licensed disposal area and two outside. Five samples were collected from each site with a 0.042 m(2) Van-Veen grab. Nine sampling campaigns took place, one before, one during, and seven after the disposal operations. Evaluations were carried out through sediment and macrofauna composition analysis. An increase in coarse fractions of sediments was found during the first months, mainly within the licensed disposal area. Sites outside the area kept the same granulometric characteristics. Nested ANOVA showed that abundance, taxa richness and Shannon-Weaver diversity were significantly smaller after the disposal, and recovered the initial mean values after the disposal ends. PERMANOVA showed a high heterogeneity between the sites. It decreased until the fifth month after disposal operations, mainly in the sites inside the licensed area. These sites were characterized by low abundance and high variability among the samples. Eight to 16 months after disposal sites recovered their heterogeneity, indicating less variability among the samples of each site and distinct benthic macrofaunal composition. The high volume and frequency of sediment disposal were the main factors of environmental modifications, since the amount of deposited sediment on the seabed probably exceeded the natural sedimentation rates. The presence of a benthic macrofauna adapted to natural/human disturbances was crucial to the fast recovery verified in the area. (C) 2009 Elsevier B.V. All rights reserved.</v>
      </c>
      <c r="C1601" s="24" t="str">
        <f>IFERROR(__xludf.DUMMYFUNCTION("""COMPUTED_VALUE"""),"10.1016/j.ecoleng.2009.06.005")</f>
        <v>10.1016/j.ecoleng.2009.06.005</v>
      </c>
      <c r="D1601" s="24" t="str">
        <f>IFERROR(__xludf.DUMMYFUNCTION("""COMPUTED_VALUE"""),"Keck et al")</f>
        <v>Keck et al</v>
      </c>
      <c r="E1601" s="24" t="str">
        <f>IFERROR(__xludf.DUMMYFUNCTION("""COMPUTED_VALUE"""),"WOS:000270645400008")</f>
        <v>WOS:000270645400008</v>
      </c>
      <c r="F1601" s="24" t="str">
        <f>IFERROR(__xludf.DUMMYFUNCTION("""COMPUTED_VALUE"""),"[""ELIGIBLE""]")</f>
        <v>["ELIGIBLE"]</v>
      </c>
    </row>
    <row r="1602">
      <c r="A1602" s="24" t="str">
        <f>IFERROR(__xludf.DUMMYFUNCTION("""COMPUTED_VALUE"""),"Higher fire frequency impaired woody species regeneration in a south-eastern Amazonian forest")</f>
        <v>Higher fire frequency impaired woody species regeneration in a south-eastern Amazonian forest</v>
      </c>
      <c r="B1602" s="24" t="str">
        <f>IFERROR(__xludf.DUMMYFUNCTION("""COMPUTED_VALUE"""),"Understorey wildfires harm tropical forests by affecting natural regeneration, but the trajectories of fire-disturbed forests after disturbance are poorly understood. To fill this gap, we conducted experimental burns in a transitional forest between the A"&amp;"mazon forests and the Brazilian Savanna (Cerrado) and investigated their effects on plant community diversity of regeneration. The experiment consisted of three 50-ha plots that between 2004 and 2010 were burned either annually (six times), every three ye"&amp;"ars (thrice) or not at all (Control). To evaluate early post-fire recovery, we recorded grass occurrence and regenerating stems (&lt;= 1 cm in diameter at breast height). We noted that high fire-frequency plots had a reduction of species richness (62%) and a"&amp;"bundance (84%) and were associated with floristic and structural changes, dominance of few species and increase of grass colonization when compared with low fire-frequency. We observed that resprouts were the main pathway for forest restoration in both bu"&amp;"rned regimes, particularly in low fire-frequency. However, the forest can recover from fires by means of resprouting, until a threshold in fire frequency is reached, when resprouts and seedlings declined for most of the species, with a few fire-tolerant s"&amp;"pecies becoming dominant.")</f>
        <v>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v>
      </c>
      <c r="C1602" s="24" t="str">
        <f>IFERROR(__xludf.DUMMYFUNCTION("""COMPUTED_VALUE"""),"10.1017/S0266467420000176")</f>
        <v>10.1017/S0266467420000176</v>
      </c>
      <c r="D1602" s="24" t="str">
        <f>IFERROR(__xludf.DUMMYFUNCTION("""COMPUTED_VALUE"""),"Keck et al")</f>
        <v>Keck et al</v>
      </c>
      <c r="E1602" s="24" t="str">
        <f>IFERROR(__xludf.DUMMYFUNCTION("""COMPUTED_VALUE"""),"WOS:000612348400006")</f>
        <v>WOS:000612348400006</v>
      </c>
      <c r="F1602" s="24" t="str">
        <f>IFERROR(__xludf.DUMMYFUNCTION("""COMPUTED_VALUE"""),"[""ELIGIBLE""]")</f>
        <v>["ELIGIBLE"]</v>
      </c>
    </row>
    <row r="1603">
      <c r="A1603" s="24" t="str">
        <f>IFERROR(__xludf.DUMMYFUNCTION("""COMPUTED_VALUE"""),"Goat grazing reduces diversity and leads to functional, taxonomic, and phylogenetic homogenization in an arid shrubland")</f>
        <v>Goat grazing reduces diversity and leads to functional, taxonomic, and phylogenetic homogenization in an arid shrubland</v>
      </c>
      <c r="B1603" s="24" t="str">
        <f>IFERROR(__xludf.DUMMYFUNCTION("""COMPUTED_VALUE"""),"Livestock production is an important activity in drylands. However, lack of adequate regulation of ranching activities can lead to the degradation of plant communities, which in turn can impact ecosystem functioning. In the arid ecosystems of north-centra"&amp;"l Chile, unregulated goat grazing is widespread. Because the vegetation has a relatively short evolutionary history of grazing, it is expected to be highly susceptible to this activity. In this study, we evaluated the effects of goat grazing on plant taxo"&amp;"nomic, functional, and phylogenetic community structure by comparing 39-year-old grazing exclusion plots and unprotected plots in an arid shrubland in north-central Chile. By integrating analyses of the impact of goat grazing on functional and phylogeneti"&amp;"c diversity and dispersion, we studied the mechanisms behind goat impact and the potential consequences. Loss of functional and/or phylogenetic diversity can result in important losses in ecosystem function. As a measure of functional diversity, we record"&amp;"ed plant growth form, life span, and life form. We also reconstructed a phylogeny of all plant species found at the study site and determined the phylogenetic structure of the plant community in ungrazed and grazed areas. We found that goat grazing affect"&amp;"ed diversity and community composition, leading to taxonomic, functional, and phylogenetic biotic homogenization and causing overall community impoverishment. Goats acted as a habitat filter, increasing functional convergence and promoting the establishme"&amp;"nt of exotics plants, which can lead to further losses of biodiversity, decreased ecosystem function and overall lower ecosystem stability. Our results indicate that sustainable management strategies are necessary to prevent the further degradation of the"&amp;"se ecosystems.")</f>
        <v>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v>
      </c>
      <c r="C1603" s="24" t="str">
        <f>IFERROR(__xludf.DUMMYFUNCTION("""COMPUTED_VALUE"""),"10.1002/ldr.3208")</f>
        <v>10.1002/ldr.3208</v>
      </c>
      <c r="D1603" s="24" t="str">
        <f>IFERROR(__xludf.DUMMYFUNCTION("""COMPUTED_VALUE"""),"Keck et al")</f>
        <v>Keck et al</v>
      </c>
      <c r="E1603" s="24" t="str">
        <f>IFERROR(__xludf.DUMMYFUNCTION("""COMPUTED_VALUE"""),"WOS:000456201900006")</f>
        <v>WOS:000456201900006</v>
      </c>
      <c r="F1603" s="24" t="str">
        <f>IFERROR(__xludf.DUMMYFUNCTION("""COMPUTED_VALUE"""),"[""ELIGIBLE""]")</f>
        <v>["ELIGIBLE"]</v>
      </c>
    </row>
    <row r="1604">
      <c r="A1604" s="24" t="str">
        <f>IFERROR(__xludf.DUMMYFUNCTION("""COMPUTED_VALUE"""),"The Effect of Forest Management on the Avifauna of a Brazilian Dry Forest")</f>
        <v>The Effect of Forest Management on the Avifauna of a Brazilian Dry Forest</v>
      </c>
      <c r="B1604" s="24" t="str">
        <f>IFERROR(__xludf.DUMMYFUNCTION("""COMPUTED_VALUE"""),"The conversion of tropical habitats has dramatic implications on biodiversity and represents one of the greatest conservation challenges of our time. Seasonally Dry Tropical Forests (SDTF), which are disjointly distributed throughout the Neotropics, are e"&amp;"specially susceptible to human activities. The Caatinga Dry Forest, located in the semi-arid interior of northeastern Brazil, represents not only the largest and most biologically diverse nucleus of SDTF, but also the world's most densely populated semi-a"&amp;"rid region, with ever-growing pressure on its natural resources. To prevent illegal logging, conservation agencies looked at forest management, where an area is divided in smaller stands which are gradually logged and allowed to regrow for a period of tim"&amp;"e, when a new cutting cycle should reinitiate. The impacts of these management schemes on biodiversity, however, remain largely untested. We conducted standardized avian surveys to evaluate the effects of forest management on the avian community at a 1,67"&amp;"0 ha privately owned property located on the Chapada do Araripe, northeastern Brazil. This area was divided in 22 forest stands, half of which had already been logged at the time of our sampling, creating a gradient of logged and natural forests and an 11"&amp;"-yr chrono-sequence of forest regeneration. Our results show that logged areas present fewer individuals, fewer species, and different avian assemblages than unlogged forests. Such differences are mostly driven by forest-dependent species, which were over"&amp;"whelmingly affected by forest management. Our results show that although logged forests tend to recover its height after a decade, they do not recover the originally forest cover, measured by the Normalized Difference Vegetation Index. Likewise, decade-lo"&amp;"ng recovering stands continue to show lower species richness, lower bird abundance, and different avian composition than unlogged forests. We identified a set of bird species that are more affected by forest management (ecological losers) and a group of b"&amp;"irds that apparently benefit from the referred changes in land use (ecological winners). We conclude that completely managing an entire area may cause the extirpation of several forest-dependent species. We therefore suggest keeping logged and unlogged pl"&amp;"ots intermingled, to avoid local extinctions and the complete modification of the original avifauna.")</f>
        <v>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v>
      </c>
      <c r="C1604" s="24" t="str">
        <f>IFERROR(__xludf.DUMMYFUNCTION("""COMPUTED_VALUE"""),"10.3389/fevo.2021.631247")</f>
        <v>10.3389/fevo.2021.631247</v>
      </c>
      <c r="D1604" s="24" t="str">
        <f>IFERROR(__xludf.DUMMYFUNCTION("""COMPUTED_VALUE"""),"Keck et al")</f>
        <v>Keck et al</v>
      </c>
      <c r="E1604" s="24" t="str">
        <f>IFERROR(__xludf.DUMMYFUNCTION("""COMPUTED_VALUE"""),"WOS:000679980000001")</f>
        <v>WOS:000679980000001</v>
      </c>
      <c r="F1604" s="24" t="str">
        <f>IFERROR(__xludf.DUMMYFUNCTION("""COMPUTED_VALUE"""),"[""ELIGIBLE""]")</f>
        <v>["ELIGIBLE"]</v>
      </c>
    </row>
    <row r="1605">
      <c r="A1605" s="24" t="str">
        <f>IFERROR(__xludf.DUMMYFUNCTION("""COMPUTED_VALUE"""),"Reintroducing fire into a ponderosa pine forest with and without cattle grazing: understory vegetation response")</f>
        <v>Reintroducing fire into a ponderosa pine forest with and without cattle grazing: understory vegetation response</v>
      </c>
      <c r="B1605" s="24" t="str">
        <f>IFERROR(__xludf.DUMMYFUNCTION("""COMPUTED_VALUE"""),"Reestablishing historical fire regimes is a high priority for North American coniferous forests, particularly ponderosa pine (Pinus ponderosa) ecosystems. These forests are also used extensively for cattle (Bos spp.) grazing. Prescribed fires are being ap"&amp;"plied on or planned for millions of hectares of these forests to reduce fuel loads, alter forest structure, and maintain and enhance the productivity of native plant communities. However, cattle grazing is ubiquitous in ponderosa pine forests and the cons"&amp;"equences of post-fire cattle grazing on plant communities are not well understood. We evaluated cattle grazing effects (grazing, no grazing) on upland bunchgrass and Carex geyeri dominated ponderosa pine plant communities over five growing seasons after p"&amp;"rescribed fires (spring reburn, fall reburn, no burn). Vegetation was measured prior to a 5-year interval reburn and the subsequent exclusion of cattle, and in the second and fifth growing seasons thereafter. We found no interactions between reburning and"&amp;" grazing for the understory response variables. For all reburn treatments, including unburned areas, five growing seasons of cattle grazing exclusion significantly increased: (1) total vegetative cover, (2) native perennial forb cover, (3) grass stature, "&amp;"(4) grass flowering stem density, and (5) the cover of some shrub species and functional groups. Grazing exclusion did not strongly affect plant compositional patterns, although differences were detected. Compared to unburned areas, neither spring nor fal"&amp;"l reburning increased perennial native species cover or richness, and reburning reduced sedge cover. Fall reburning increased cover of native colonizers, and exotic species cover and richness (largely Bromus tectorum and Cirsium vulgare), although overall"&amp;" exotic cover remains low (&lt;1%). We document several potentially chronic impacts of cattle grazing in both burned and unburned areas, and show that the understory release from a long history of cattle grazing caused a greater degree of change than the ini"&amp;"tial reintroduction of fire. If a goal of ecological restoration in these forests is increased cover of native perennial plants, and the potential for increased native perennial grass reproduction, then cattle grazing exclusion, or a change in cattle mana"&amp;"gement, could provide critically important options in restoration plans.")</f>
        <v>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v>
      </c>
      <c r="C1605" s="24" t="str">
        <f>IFERROR(__xludf.DUMMYFUNCTION("""COMPUTED_VALUE"""),"10.1890/ES10-00183.1")</f>
        <v>10.1890/ES10-00183.1</v>
      </c>
      <c r="D1605" s="24" t="str">
        <f>IFERROR(__xludf.DUMMYFUNCTION("""COMPUTED_VALUE"""),"Keck et al")</f>
        <v>Keck et al</v>
      </c>
      <c r="E1605" s="24" t="str">
        <f>IFERROR(__xludf.DUMMYFUNCTION("""COMPUTED_VALUE"""),"WOS:000208810600007")</f>
        <v>WOS:000208810600007</v>
      </c>
      <c r="F1605" s="24" t="str">
        <f>IFERROR(__xludf.DUMMYFUNCTION("""COMPUTED_VALUE"""),"[""ELIGIBLE""]")</f>
        <v>["ELIGIBLE"]</v>
      </c>
    </row>
    <row r="1606">
      <c r="A1606" s="24" t="str">
        <f>IFERROR(__xludf.DUMMYFUNCTION("""COMPUTED_VALUE"""),"Effects of urbanization on stream habitats and associated adult dragonfly and damselfly communities in central Brazilian Amazonia")</f>
        <v>Effects of urbanization on stream habitats and associated adult dragonfly and damselfly communities in central Brazilian Amazonia</v>
      </c>
      <c r="B1606" s="24" t="str">
        <f>IFERROR(__xludf.DUMMYFUNCTION("""COMPUTED_VALUE"""),"Thirty streams, located in Manaus in the central part of Brazilian Amazonia, were examined to evaluate the correlations between environmental integrity and the local communities of adult dragonflies and damselflies. The presence of damselflies would have "&amp;"a positive correlation with environmental integrity, and dragonflies a negative one due to their contrasting ecophysiological requirements. The environmental integrity of each site was estimated based on the Habitat integrity index (HII), which was modifi"&amp;"ed for this study in an urban area. The hypothesis that would be differences in assemblage composition between streams in differently urbanized areas was supported, possibly because most damselfly species are considered to be specialists that are found in"&amp;" pristine habitats, whereas dragonflies seem to be generalists and are likely to be found in disturbed environments. The ordination indicated systematic differences in community composition based on the degree of conservation of the environment, with the "&amp;"communities found in well-preserved habitats being distinct from those found in intermediate and degraded ones. Differences in the composition of odonate communities reflect differences in the integrity of the environment, but they can also provide a meas"&amp;"ure of the intensity of impacts, thus contributing to the development of effective conservation strategies. In addition, the HI!, which is applied rapidly and easily, provides environmental managers with an objective measure of the degree of alteration of"&amp;" aquatic habitats. Maintenance of forest cover along watercourses is clearly essential for the conservation of hydrological resources and the aquatic organisms that depend on these environments. (C) 2014 Elsevier B.V. All rights reserved.")</f>
        <v>Thirty streams, located in Manaus in the central part of Brazilian Amazonia, were examined to evaluate the correlations between environmental integrity and the local communities of adult dragonflies and damselflies. The presence of damselflies would have a positive correlation with environmental integrity, and dragonflies a negative one due to their contrasting ecophysiological requirements. The environmental integrity of each site was estimated based on the Habitat integrity index (HII), which was modified for this study in an urban area. The hypothesis that would be differences in assemblage composition between streams in differently urbanized areas was supported, possibly because most damselfly species are considered to be specialists that are found in pristine habitats, whereas dragonflies seem to be generalists and are likely to be found in disturbed environments. The ordination indicated systematic differences in community composition based on the degree of conservation of the environment, with the communities found in well-preserved habitats being distinct from those found in intermediate and degraded ones. Differences in the composition of odonate communities reflect differences in the integrity of the environment, but they can also provide a measure of the intensity of impacts, thus contributing to the development of effective conservation strategies. In addition, the HI!, which is applied rapidly and easily, provides environmental managers with an objective measure of the degree of alteration of aquatic habitats. Maintenance of forest cover along watercourses is clearly essential for the conservation of hydrological resources and the aquatic organisms that depend on these environments. (C) 2014 Elsevier B.V. All rights reserved.</v>
      </c>
      <c r="C1606" s="24" t="str">
        <f>IFERROR(__xludf.DUMMYFUNCTION("""COMPUTED_VALUE"""),"10.1016/j.landurbplan.2014.03.006")</f>
        <v>10.1016/j.landurbplan.2014.03.006</v>
      </c>
      <c r="D1606" s="24" t="str">
        <f>IFERROR(__xludf.DUMMYFUNCTION("""COMPUTED_VALUE"""),"Keck et al")</f>
        <v>Keck et al</v>
      </c>
      <c r="E1606" s="24" t="str">
        <f>IFERROR(__xludf.DUMMYFUNCTION("""COMPUTED_VALUE"""),"WOS:000337878700004")</f>
        <v>WOS:000337878700004</v>
      </c>
      <c r="F1606" s="24" t="str">
        <f>IFERROR(__xludf.DUMMYFUNCTION("""COMPUTED_VALUE"""),"[""ELIGIBLE""]")</f>
        <v>["ELIGIBLE"]</v>
      </c>
    </row>
    <row r="1607">
      <c r="A1607" s="24" t="str">
        <f>IFERROR(__xludf.DUMMYFUNCTION("""COMPUTED_VALUE"""),"The disproportionate importance of long-unburned forests and woodlands for reptiles")</f>
        <v>The disproportionate importance of long-unburned forests and woodlands for reptiles</v>
      </c>
      <c r="B1607" s="24" t="str">
        <f>IFERROR(__xludf.DUMMYFUNCTION("""COMPUTED_VALUE"""),"Our understanding of the impacts of time since fire on reptiles remains limited, partly because there are relatively few locations where long-term, spatially explicit fire histories are available. Such information is important given the large proportion o"&amp;"f some landscapes that are managed with frequent prescribed fire to meet fuel management objectives. We conducted a space-for-time study across a landscape in southeastern Australia where the known fire history spanned 6 months to at least 96 years. Four "&amp;"methods were used to survey reptiles in 81 forest and woodland sites to investigate how time since fire (TSF), habitat, and environmental variables affect reptile richness, abundance, and composition. We used generalized linear models, generalized linear "&amp;"mixed-effects models, PERMANOVA, and SIMPER to identify relationships between the reptile assemblage (richness, abundance, and composition, respectively) and TSF, habitat, and environmental variables. All three reptile metrics were associated with TSF. Re"&amp;"ptile richness and abundance were significantly higher in sites &gt;96 years postfire than younger fire ages (0.5-12 years). Reptile composition at long-unburned sites was dissimilar to sites burned more recently but was similar between sites burned 0.5-2 an"&amp;"d 6-12 years prior to sampling. Synthesis and applications. Long-unburned forests and woodlands were disproportionately more important for reptile richness and abundance than areas burned 6 months to 12 years prior to sampling. This is important given tha"&amp;"t long-unburned areas represent &lt;8% of our study area. Our results therefore suggest that reptiles would benefit from protecting remaining long-unburned areas from fire and transitioning a greater proportion of the study area to long-unburned. However, so"&amp;"me compositional differences between the long-unburned sites and sites 0.5-12 years postfire indicate that maintaining a diversity in fire ages is important for conserving reptile diversity.")</f>
        <v>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v>
      </c>
      <c r="C1607" s="24" t="str">
        <f>IFERROR(__xludf.DUMMYFUNCTION("""COMPUTED_VALUE"""),"10.1002/ece3.4561")</f>
        <v>10.1002/ece3.4561</v>
      </c>
      <c r="D1607" s="24" t="str">
        <f>IFERROR(__xludf.DUMMYFUNCTION("""COMPUTED_VALUE"""),"Keck et al")</f>
        <v>Keck et al</v>
      </c>
      <c r="E1607" s="24" t="str">
        <f>IFERROR(__xludf.DUMMYFUNCTION("""COMPUTED_VALUE"""),"WOS:000451611000026")</f>
        <v>WOS:000451611000026</v>
      </c>
      <c r="F1607" s="24" t="str">
        <f>IFERROR(__xludf.DUMMYFUNCTION("""COMPUTED_VALUE"""),"[""ELIGIBLE""]")</f>
        <v>["ELIGIBLE"]</v>
      </c>
    </row>
    <row r="1608">
      <c r="A1608" s="24" t="str">
        <f>IFERROR(__xludf.DUMMYFUNCTION("""COMPUTED_VALUE"""),"Single and combined effects of microplastics, pyrethroid and food resources on the life-history traits and microbiome of Chironomus riparius")</f>
        <v>Single and combined effects of microplastics, pyrethroid and food resources on the life-history traits and microbiome of Chironomus riparius</v>
      </c>
      <c r="B1608" s="24" t="str">
        <f>IFERROR(__xludf.DUMMYFUNCTION("""COMPUTED_VALUE"""),"There is growing evidence of widespread contamination of freshwater ecosystems with microplastics. However, the effects of chronic microplastic ingestion and its interaction with other pollutants and stress factors on the life history traits and the host-"&amp;"microbiome of aquatic invertebrates are not well understood. This study investigates the effects of exposure to sediment spiked with 1 mu m polystyrene-based latex microplastic spheres, an environmentally realistic concentration of a pyrethroid pesticide "&amp;"(esfenvalerate), and a combination of both treatments on the life-history traits of the benthic-dwelling invertebrate, Chironomus riparius and its microbial community. The chironomid larvae were also exposed to two food conditions: abundant or limited foo"&amp;"d in the sediment, monitored for 28 and 34 days respectively. The microplastics and esfenvalerate had negative effects on adult emergence and survival, and these effects differed between the food level treatments. The microbiome diversity was negatively a"&amp;"ffected by the exposure to microplastics, while the relative abundances of the four top phyla were significantly affected only in the high food level treatment. Although the combined exposure to microplastics and esfenvalerate showed some negative effects"&amp;" on survival and emergence, there was little evidence for synergistic effects when compared to the single exposure. The food level affected all life-history traits and the microbiota, and lower food levels intensified the negative effects of the exposure "&amp;"to microplastics, esfenvalerate and their combination. We argue that these pollutants can affect crucial life-history traits such as successful metamorphosis and the host-microbiome. Therefore, it should be taken into consideration for toxicological asses"&amp;"sment of pollutant acceptability. Our study highlights the importance of investigating possible additive and synergic activities between stressors to understand the effects of pollutants in the life story traits and host-microbiome.")</f>
        <v>There is growing evidence of widespread contamination of freshwater ecosystems with microplastics. However, the effects of chronic microplastic ingestion and its interaction with other pollutants and stress factors on the life history traits and the host-microbiome of aquatic invertebrates are not well understood. This study investigates the effects of exposure to sediment spiked with 1 mu m polystyrene-based latex microplastic spheres, an environmentally realistic concentration of a pyrethroid pesticide (esfenvalerate), and a combination of both treatments on the life-history traits of the benthic-dwelling invertebrate, Chironomus riparius and its microbial community. The chironomid larvae were also exposed to two food conditions: abundant or limited food in the sediment, monitored for 28 and 34 days respectively. The microplastics and esfenvalerate had negative effects on adult emergence and survival, and these effects differed between the food level treatments. The microbiome diversity was negatively affected by the exposure to microplastics, while the relative abundances of the four top phyla were significantly affected only in the high food level treatment. Although the combined exposure to microplastics and esfenvalerate showed some negative effects on survival and emergence, there was little evidence for synergistic effects when compared to the single exposure. The food level affected all life-history traits and the microbiota, and lower food levels intensified the negative effects of the exposure to microplastics, esfenvalerate and their combination. We argue that these pollutants can affect crucial life-history traits such as successful metamorphosis and the host-microbiome. Therefore, it should be taken into consideration for toxicological assessment of pollutant acceptability. Our study highlights the importance of investigating possible additive and synergic activities between stressors to understand the effects of pollutants in the life story traits and host-microbiome.</v>
      </c>
      <c r="C1608" s="24" t="str">
        <f>IFERROR(__xludf.DUMMYFUNCTION("""COMPUTED_VALUE"""),"10.1016/j.envpol.2021.117848")</f>
        <v>10.1016/j.envpol.2021.117848</v>
      </c>
      <c r="D1608" s="24" t="str">
        <f>IFERROR(__xludf.DUMMYFUNCTION("""COMPUTED_VALUE"""),"Keck et al")</f>
        <v>Keck et al</v>
      </c>
      <c r="E1608" s="24" t="str">
        <f>IFERROR(__xludf.DUMMYFUNCTION("""COMPUTED_VALUE"""),"WOS:000696798500005")</f>
        <v>WOS:000696798500005</v>
      </c>
      <c r="F1608" s="24" t="str">
        <f>IFERROR(__xludf.DUMMYFUNCTION("""COMPUTED_VALUE"""),"[""ELIGIBLE""]")</f>
        <v>["ELIGIBLE"]</v>
      </c>
    </row>
    <row r="1609">
      <c r="A1609" s="24" t="str">
        <f>IFERROR(__xludf.DUMMYFUNCTION("""COMPUTED_VALUE"""),"Harvesting effects on tropical invertebrate assemblages in New Caledonia")</f>
        <v>Harvesting effects on tropical invertebrate assemblages in New Caledonia</v>
      </c>
      <c r="B1609" s="24" t="str">
        <f>IFERROR(__xludf.DUMMYFUNCTION("""COMPUTED_VALUE"""),"Despite the importance of invertebrate resources for Pacific coral reef islands, few studies have specifically addressed the effects of harvesting on invertebrate assemblages including targeted and non-targeted species. The impacts of recreational harvest"&amp;"ing on reef and seagrass invertebrate assemblages in New Caledonia (South Pacific) are investigated by comparing communities in non-MPA and MPA areas. Sampling was done using a standard core method on seagrasses and by visual survey along belt transects o"&amp;"n reefs. A total of 371 species were recorded, 174 on seagrasses and 254 on reefs, with 57 common species. Reef and seagrass invertebrate communities were very different in MPA and non-MPA areas. On both habitats, MPAs were identified as undisturbed areas"&amp;" while non-MPAs were defined as moderately disturbed with a predominance of small-sized and opportunistic species. Fishing not only affects target species but also non-target species through secondary effects. These results highlight the necessity of a co"&amp;"mmunity based approach for the conservation of resources in tropical poorly known environments. (C) 2015 Elsevier B.V. All rights reserved.")</f>
        <v>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v>
      </c>
      <c r="C1609" s="24" t="str">
        <f>IFERROR(__xludf.DUMMYFUNCTION("""COMPUTED_VALUE"""),"10.1016/j.fishres.2015.02.001")</f>
        <v>10.1016/j.fishres.2015.02.001</v>
      </c>
      <c r="D1609" s="24" t="str">
        <f>IFERROR(__xludf.DUMMYFUNCTION("""COMPUTED_VALUE"""),"Keck et al")</f>
        <v>Keck et al</v>
      </c>
      <c r="E1609" s="24" t="str">
        <f>IFERROR(__xludf.DUMMYFUNCTION("""COMPUTED_VALUE"""),"WOS:000353740700009")</f>
        <v>WOS:000353740700009</v>
      </c>
      <c r="F1609" s="24" t="str">
        <f>IFERROR(__xludf.DUMMYFUNCTION("""COMPUTED_VALUE"""),"[""ELIGIBLE""]")</f>
        <v>["ELIGIBLE"]</v>
      </c>
    </row>
    <row r="1610">
      <c r="A1610" s="24" t="str">
        <f>IFERROR(__xludf.DUMMYFUNCTION("""COMPUTED_VALUE"""),"River biofilm community changes related to pharmaceutical loads emitted by a wastewater treatment plant")</f>
        <v>River biofilm community changes related to pharmaceutical loads emitted by a wastewater treatment plant</v>
      </c>
      <c r="B1610" s="24" t="str">
        <f>IFERROR(__xludf.DUMMYFUNCTION("""COMPUTED_VALUE"""),"Wastewater treatment plants (WWTP) are the main sources of a broad spectrum of pharmaceuticals found in freshwater ecosystems. These pollutants raise environmental health concerns because of their highly bioactive nature and their chronic releases. Despit"&amp;"e this, pharmaceuticals' effects on aquatic environments are poorly defined. Biofilms represent a major part of the microbial life in rivers and streams. They can drive key metabolic cycles and their organizations reflect exposures to changing chemical, p"&amp;"hysical, and biological constraints. This study estimated the concentrations, over a 3-year period, of ten pharmaceuticals and five nutrients in a river contaminated by a conventional WWTP fed by urban and hospital wastewaters. Variations in these concent"&amp;"rations were related to biofilm bacterial community dynamics. Rock biofilms had developed over defined periods and were harvested at four locations in the river from the up- and downstream WWTP discharge point. Pharmaceuticals were found in all locations "&amp;"in concentrations ranging from not being detected to 192 ng L-1. Despite the high dilution factor of the WWTP effluents by the receiving river, pharmaceuticals were found more concentrated downstream than upstream the WWTP. Shifts in bacterial community s"&amp;"tructures linked to the environmental emission of pharmaceuticals were superior to seasonal community changes. A community structure from a site located downstream but close to the WWTP was more strongly associated with high pharmaceutical loads and diffe"&amp;"rent from those of biofilm samples from the WWTP upstream or far downstream sites. These latter sites were more strongly associated with high nutrient contents. Low environmental concentrations of pharmaceuticals can thus be transferred from WWTP effluent"&amp;"s to a connected stream and induce bacterial aquatic community changes over time.")</f>
        <v>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v>
      </c>
      <c r="C1610" s="24" t="str">
        <f>IFERROR(__xludf.DUMMYFUNCTION("""COMPUTED_VALUE"""),"10.1007/s11356-017-0024-0")</f>
        <v>10.1007/s11356-017-0024-0</v>
      </c>
      <c r="D1610" s="24" t="str">
        <f>IFERROR(__xludf.DUMMYFUNCTION("""COMPUTED_VALUE"""),"Keck et al")</f>
        <v>Keck et al</v>
      </c>
      <c r="E1610" s="24" t="str">
        <f>IFERROR(__xludf.DUMMYFUNCTION("""COMPUTED_VALUE"""),"WOS:000429561900007")</f>
        <v>WOS:000429561900007</v>
      </c>
      <c r="F1610" s="24" t="str">
        <f>IFERROR(__xludf.DUMMYFUNCTION("""COMPUTED_VALUE"""),"[""ELIGIBLE""]")</f>
        <v>["ELIGIBLE"]</v>
      </c>
    </row>
    <row r="1611">
      <c r="A1611" s="24" t="str">
        <f>IFERROR(__xludf.DUMMYFUNCTION("""COMPUTED_VALUE"""),"Assessing the response of estuarine intertidal assemblages to urbanised catchment discharge")</f>
        <v>Assessing the response of estuarine intertidal assemblages to urbanised catchment discharge</v>
      </c>
      <c r="B1611" s="24" t="str">
        <f>IFERROR(__xludf.DUMMYFUNCTION("""COMPUTED_VALUE"""),"Measurement of intertidal rock assemblages was investigated as a potential biological indicator to provide a quantitative estimate of the impact of urbanised catchment discharge on the estuaries of Sydney, Australia, from 1995 to 1999. Based on the presen"&amp;"ce and characteristics of adjacent human activities, sampling locations were categorised as: Bush; Urban; Urban with Sewer Overflows; and Industry with Sewer Overflows. In Sydney Harbour, variation in assemblage structure was measured between most impact "&amp;"categories, however differences between impact categories were not consistent for each year. Nevertheless, in years of above average rainfall (1998-1999), reference assemblages adjacent to national parks and distant from urbanisation were different to all"&amp;" other putatively impacted assemblages. Variability within assemblages was least at reference locations in each year and greatest at locations adjacent to stormwater canals and sewer overflows, particularly in 1998-1999. Variation in assemblage structure "&amp;"in Sydney estuaries was most strongly correlated with chlorophyll - a concentrations. Univariate analysis also identified highly significant differences for a number of factors, however, interactions between year, impact categories and location for numero"&amp;"us analyses, confounded the differentiation between impact categories. The results suggest that intertidal rock assemblages in Sydney Harbour and surrounding estuaries appear to be responding to the quality and quantity of discharge from urbanised catchme"&amp;"nts and, furthermore, that assemblages are more suitable than individual taxa to indicate the difference between Bush and anthropogenically disturbed estuarine locations.")</f>
        <v>Measurement of intertidal rock assemblages was investigated as a potential biological indicator to provide a quantitative estimate of the impact of urbanised catchment discharge on the estuaries of Sydney, Australia, from 1995 to 1999. Based on the presence and characteristics of adjacent human activities, sampling locations were categorised as: Bush; Urban; Urban with Sewer Overflows; and Industry with Sewer Overflows. In Sydney Harbour, variation in assemblage structure was measured between most impact categories, however differences between impact categories were not consistent for each year. Nevertheless, in years of above average rainfall (1998-1999), reference assemblages adjacent to national parks and distant from urbanisation were different to all other putatively impacted assemblages. Variability within assemblages was least at reference locations in each year and greatest at locations adjacent to stormwater canals and sewer overflows, particularly in 1998-1999. Variation in assemblage structure in Sydney estuaries was most strongly correlated with chlorophyll - a concentrations. Univariate analysis also identified highly significant differences for a number of factors, however, interactions between year, impact categories and location for numerous analyses, confounded the differentiation between impact categories. The results suggest that intertidal rock assemblages in Sydney Harbour and surrounding estuaries appear to be responding to the quality and quantity of discharge from urbanised catchments and, furthermore, that assemblages are more suitable than individual taxa to indicate the difference between Bush and anthropogenically disturbed estuarine locations.</v>
      </c>
      <c r="C1611" s="24" t="str">
        <f>IFERROR(__xludf.DUMMYFUNCTION("""COMPUTED_VALUE"""),"10.1007/s10661-005-3545-9")</f>
        <v>10.1007/s10661-005-3545-9</v>
      </c>
      <c r="D1611" s="24" t="str">
        <f>IFERROR(__xludf.DUMMYFUNCTION("""COMPUTED_VALUE"""),"Keck et al")</f>
        <v>Keck et al</v>
      </c>
      <c r="E1611" s="24" t="str">
        <f>IFERROR(__xludf.DUMMYFUNCTION("""COMPUTED_VALUE"""),"WOS:000231162600024")</f>
        <v>WOS:000231162600024</v>
      </c>
      <c r="F1611" s="24" t="str">
        <f>IFERROR(__xludf.DUMMYFUNCTION("""COMPUTED_VALUE"""),"[""ELIGIBLE""]")</f>
        <v>["ELIGIBLE"]</v>
      </c>
    </row>
    <row r="1612">
      <c r="A1612" s="24" t="str">
        <f>IFERROR(__xludf.DUMMYFUNCTION("""COMPUTED_VALUE"""),"Ant communities on small tropical islands: effects of island size and isolation are obscured by habitat disturbance and 'tramp' ant species")</f>
        <v>Ant communities on small tropical islands: effects of island size and isolation are obscured by habitat disturbance and 'tramp' ant species</v>
      </c>
      <c r="B1612" s="24" t="str">
        <f>IFERROR(__xludf.DUMMYFUNCTION("""COMPUTED_VALUE"""),"Aim Comparisons among islands offer an opportunity to study the effects of biotic and abiotic factors on small, replicated biological communities. Smaller population sizes on islands accelerate some ecological processes, which may decrease the time needed"&amp;" for perturbations to affect community composition. We surveyed ants on 18 small tropical islands to determine the effects of island size, isolation from the mainland, and habitat disturbance on ant community composition. Location Thousand Islands Archipe"&amp;"lago (Indonesian name: Kepulauan Seribu) off Jakarta, West Java, Indonesia. Methods Ants were sampled from the soil surface, leaf litter and vegetation in all habitat types on each island. Island size, isolation from the mainland, and land-use patterns we"&amp;"re quantified using GIS software. The presence of settlements and of boat docks were used as indicators of anthropogenic disturbance. The richness of ant communities and non-tramp ant species on each island were analysed in relation to the islands' physic"&amp;"al characteristics and indicators of human disturbance. Results Forty-eight ant species from 5 subfamilies and 28 genera were recorded from the archipelago, and approximately 20% of the ant species were well-known human-commensal 'tramp' species. Islands "&amp;"with boat docks or human settlements had significantly more tramp species than did islands lacking these indicators of anthropogenic disturbance, and the diversity of non-tramp species decreased with habitat disturbance. Main conclusions Human disturbance"&amp;" on islands in the Thousand Islands Archipelago promotes the introduction and/or establishment of tramp species. Tramp species affect the composition of insular ant communities, and expected biogeographical patterns of ant richness are masked. The island "&amp;"with the greatest estimated species richness and the greatest number of unique ant species, Rambut Island, is a forested bird sanctuary, highlighting the importance of protected areas in preserving the diversity of species-rich invertebrate faunas.")</f>
        <v>Aim Comparisons among islands offer an opportunity to study the effects of biotic and abiotic factors on small, replicated biological communities. Smaller population sizes on islands accelerate some ecological processes, which may decrease the time needed for perturbations to affect community composition. We surveyed ants on 18 small tropical islands to determine the effects of island size, isolation from the mainland, and habitat disturbance on ant community composition. Location Thousand Islands Archipelago (Indonesian name: Kepulauan Seribu) off Jakarta, West Java, Indonesia. Methods Ants were sampled from the soil surface, leaf litter and vegetation in all habitat types on each island. Island size, isolation from the mainland, and land-use patterns were quantified using GIS software. The presence of settlements and of boat docks were used as indicators of anthropogenic disturbance. The richness of ant communities and non-tramp ant species on each island were analysed in relation to the islands' physical characteristics and indicators of human disturbance. Results Forty-eight ant species from 5 subfamilies and 28 genera were recorded from the archipelago, and approximately 20% of the ant species were well-known human-commensal 'tramp' species. Islands with boat docks or human settlements had significantly more tramp species than did islands lacking these indicators of anthropogenic disturbance, and the diversity of non-tramp species decreased with habitat disturbance. Main conclusions Human disturbance on islands in the Thousand Islands Archipelago promotes the introduction and/or establishment of tramp species. Tramp species affect the composition of insular ant communities, and expected biogeographical patterns of ant richness are masked. The island with the greatest estimated species richness and the greatest number of unique ant species, Rambut Island, is a forested bird sanctuary, highlighting the importance of protected areas in preserving the diversity of species-rich invertebrate faunas.</v>
      </c>
      <c r="C1612" s="24" t="str">
        <f>IFERROR(__xludf.DUMMYFUNCTION("""COMPUTED_VALUE"""),"10.1111/j.1365-2699.2009.02194.x")</f>
        <v>10.1111/j.1365-2699.2009.02194.x</v>
      </c>
      <c r="D1612" s="24" t="str">
        <f>IFERROR(__xludf.DUMMYFUNCTION("""COMPUTED_VALUE"""),"Keck et al")</f>
        <v>Keck et al</v>
      </c>
      <c r="E1612" s="24" t="str">
        <f>IFERROR(__xludf.DUMMYFUNCTION("""COMPUTED_VALUE"""),"WOS:000273771100003")</f>
        <v>WOS:000273771100003</v>
      </c>
      <c r="F1612" s="24" t="str">
        <f>IFERROR(__xludf.DUMMYFUNCTION("""COMPUTED_VALUE"""),"[""ELIGIBLE""]")</f>
        <v>["ELIGIBLE"]</v>
      </c>
    </row>
    <row r="1613">
      <c r="A1613" s="24" t="str">
        <f>IFERROR(__xludf.DUMMYFUNCTION("""COMPUTED_VALUE"""),"Canopy closure determines arthropod assemblages in microhabitats created by windstorms and salvage logging")</f>
        <v>Canopy closure determines arthropod assemblages in microhabitats created by windstorms and salvage logging</v>
      </c>
      <c r="B1613" s="24" t="str">
        <f>IFERROR(__xludf.DUMMYFUNCTION("""COMPUTED_VALUE"""),"Conifer-dominated forests of the Northern Hemisphere are prone to natural disturbances, such as windstorms, which create canopy openings by downing single trees to complete stands. The size of a wind throw determines how strongly microclimatic conditions "&amp;"are changed. After windstorms, damaged trees are commonly logged to 'salvage' economic returns, but effects on biodiversity are often negative. One cause of these negative effects on biodiversity might be the alteration of storm-created microhabitats, for"&amp;" example, as branches are cut off and root plates are flipped back into their pits when trunks are removed. The effect of these alterations of microhabitats on biodiversity under open and closed canopies, which represent extremes of microclimatic conditio"&amp;"ns, remains unclear. To investigate the relative importance of canopy closure and microhabitats for arthropod assemblages, we created six artificial windthrows located under an open canopy and six under a closed canopy by uprooting three spruce trees per "&amp;"plot. We used permutational analysis of variance to test whether cutting branches off uprooted trees and allowing them to rot on the forest floor affects branch-dwelling saproxylic beetles and whether repositioning upright root plates in their pits affect"&amp;"s assemblages of carabids, epigeal spiders and harvestmen. Our final data set comprised 7657 arthropod individuals belonging to 28 species of saproxylic beetles, 28 species of carabids, 85 species of epigeal spiders, and 8 species of harvestmen. Carabid a"&amp;"bundance was higher under a closed canopy and the number of epigeal spider species was higher under an open canopy. Canopy closure also significantly affected the assemblage composition of saproxylic beetles, carabids and epigeal spiders, with a higher me"&amp;"an moisture affinity of these assemblages on plots under a closed canopy. Arthropod assemblages of root plates and root plate pits did not differ, but the composition of branch-dwelling saproxylic beetle assemblages on cut and uncut branches significantly"&amp;" differed. Overall, assemblages of saproxylic beetles, carabids, epigeal spiders and harvestmen were predominantly determined by canopy closure and not by alteration of storm-created microhabitats. Nevertheless, entire crowns of downed spruce trees should"&amp;" be retained in salvage-logged forests to provide this microhabitat for saproxylic beetle assemblages typical for naturally disturbed forests. (C) 2016 Elsevier B.V. All rights reserved.")</f>
        <v>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v>
      </c>
      <c r="C1613" s="24" t="str">
        <f>IFERROR(__xludf.DUMMYFUNCTION("""COMPUTED_VALUE"""),"10.1016/j.foreco.2016.09.029")</f>
        <v>10.1016/j.foreco.2016.09.029</v>
      </c>
      <c r="D1613" s="24" t="str">
        <f>IFERROR(__xludf.DUMMYFUNCTION("""COMPUTED_VALUE"""),"Keck et al")</f>
        <v>Keck et al</v>
      </c>
      <c r="E1613" s="24" t="str">
        <f>IFERROR(__xludf.DUMMYFUNCTION("""COMPUTED_VALUE"""),"WOS:000387522700018")</f>
        <v>WOS:000387522700018</v>
      </c>
      <c r="F1613" s="24" t="str">
        <f>IFERROR(__xludf.DUMMYFUNCTION("""COMPUTED_VALUE"""),"[""ELIGIBLE""]")</f>
        <v>["ELIGIBLE"]</v>
      </c>
    </row>
    <row r="1614">
      <c r="A1614" s="24" t="str">
        <f>IFERROR(__xludf.DUMMYFUNCTION("""COMPUTED_VALUE"""),"Thinning and chipping small-diameter ponderosa pine changes understory plant communities on the Colorado Front Range")</f>
        <v>Thinning and chipping small-diameter ponderosa pine changes understory plant communities on the Colorado Front Range</v>
      </c>
      <c r="B1614" s="24" t="str">
        <f>IFERROR(__xludf.DUMMYFUNCTION("""COMPUTED_VALUE"""),"Novel fire mitigation treatments that chip harvested biomass on site are increasingly prescribed to reduce the density of small-diameter trees, yet the ecological effects of these treatments are unknown. Our objective was to investigate the impacts of mec"&amp;"hanical thinning and whole tree chipping on Pinus ponderosa (ponderosa pine) regeneration and understory plant communities to guide applications of these new fuel disposal methods. We sampled in three treatments: (1) unthinned forests (control), (2) thinn"&amp;"ed forests with harvested biomass removed (thin-only), and (3) thinned forests with harvested biomass chipped and broadcast on site (thin + chip). Plots were located in a ponderosa pine forest of Colorado and vegetation was sampled three to five growing s"&amp;"easons following treatment. Forest litter depth, augmented with chipped biomass, had a negative relationship with cover of understory plant species. In situ chipping often produces a mosaic of chipped patches tens of meters in size, creating a range of wo"&amp;"odchip depths including areas lacking woodchip cover within thinned and chipped forest stands. Thin-only and thin + chip treatments had similar overall abundance and species richness of understory plants at the stand scale, but at smaller spatial scales, "&amp;"areas within thin + chip treatments that were free of woodchip cover had an increased abundance of understory vegetation compared to all other areas sampled. Relative cover of non-native plant species was significantly higher in the thin-only treatments c"&amp;"ompared to control and thin + chip areas. Thin + chip treated forests also had a significantly different understory plant community composition compared to control or thin-only treatments, including an increased richness of rhizomatous plant species. We s"&amp;"uggest that thinning followed by either chipping or removing the harvested biomass could alter understory plant species composition in ponderosa pine forests of Colorado. When considering post-treatment responses, managers should be particularly aware of "&amp;"both the depth and the distribution of chipped biomass that is left in forested landscapes. (C) 2008 Elsevier B.V. All rights reserved.")</f>
        <v>Novel fire mitigation treatments that chip harvested biomass on site are increasingly prescribed to reduce the density of small-diameter trees, yet the ecological effects of these treatments are unknown. Our objective was to investigate the impacts of mechanical thinning and whole tree chipping on Pinus ponderosa (ponderosa pine) regeneration and understory plant communities to guide applications of these new fuel disposal methods. We sampled in three treatments: (1) unthinned forests (control), (2) thinned forests with harvested biomass removed (thin-only), and (3) thinned forests with harvested biomass chipped and broadcast on site (thin + chip). Plots were located in a ponderosa pine forest of Colorado and vegetation was sampled three to five growing seasons following treatment. Forest litter depth, augmented with chipped biomass, had a negative relationship with cover of understory plant species. In situ chipping often produces a mosaic of chipped patches tens of meters in size, creating a range of woodchip depths including areas lacking woodchip cover within thinned and chipped forest stands. Thin-only and thin + chip treatments had similar overall abundance and species richness of understory plants at the stand scale, but at smaller spatial scales, areas within thin + chip treatments that were free of woodchip cover had an increased abundance of understory vegetation compared to all other areas sampled. Relative cover of non-native plant species was significantly higher in the thin-only treatments compared to control and thin + chip areas. Thin + chip treated forests also had a significantly different understory plant community composition compared to control or thin-only treatments, including an increased richness of rhizomatous plant species. We suggest that thinning followed by either chipping or removing the harvested biomass could alter understory plant species composition in ponderosa pine forests of Colorado. When considering post-treatment responses, managers should be particularly aware of both the depth and the distribution of chipped biomass that is left in forested landscapes. (C) 2008 Elsevier B.V. All rights reserved.</v>
      </c>
      <c r="C1614" s="24" t="str">
        <f>IFERROR(__xludf.DUMMYFUNCTION("""COMPUTED_VALUE"""),"10.1016/j.foreco.2008.08.014")</f>
        <v>10.1016/j.foreco.2008.08.014</v>
      </c>
      <c r="D1614" s="24" t="str">
        <f>IFERROR(__xludf.DUMMYFUNCTION("""COMPUTED_VALUE"""),"Keck et al")</f>
        <v>Keck et al</v>
      </c>
      <c r="E1614" s="24" t="str">
        <f>IFERROR(__xludf.DUMMYFUNCTION("""COMPUTED_VALUE"""),"WOS:000261856000010")</f>
        <v>WOS:000261856000010</v>
      </c>
      <c r="F1614" s="24" t="str">
        <f>IFERROR(__xludf.DUMMYFUNCTION("""COMPUTED_VALUE"""),"[""ELIGIBLE""]")</f>
        <v>["ELIGIBLE"]</v>
      </c>
    </row>
    <row r="1615">
      <c r="A1615" s="24" t="str">
        <f>IFERROR(__xludf.DUMMYFUNCTION("""COMPUTED_VALUE"""),"Invasive lionfish had no measurable effect on prey fish community structure across the Belizean Barrier Reef")</f>
        <v>Invasive lionfish had no measurable effect on prey fish community structure across the Belizean Barrier Reef</v>
      </c>
      <c r="B1615" s="24" t="str">
        <f>IFERROR(__xludf.DUMMYFUNCTION("""COMPUTED_VALUE"""),"Invasive lionfish are assumed to significantly affect Caribbean reef fish communities. However, evidence of lionfish effects on native reef fishes is based on uncontrolled observational studies or small-scale, unrepresentative experiments, with findings r"&amp;"anging from no effect to large effects on prey density and richness. Moreover, whether lionfish affect populations and communities of native reef fishes at larger, management-relevant scales is unknown. The purpose of this study was to assess the effects "&amp;"of lionfish on coral reef prey fish communities in a natural complex reef system. We quantified lionfish and the density, richness, and composition of native prey fishes (0-10 cm total length) at sixteen reefs along similar to 250 km of the Belize Barrier"&amp;" Reef from 2009 to 2013. Lionfish invaded our study sites during this four-year longitudinal study, thus our sampling included fish community structure before and after our sites were invaded, i.e., we employed a modified BACI design. We found no evidence"&amp;" that lionfish measurably affected the density, richness, or composition of prey fishes. It is possible that higher lionfish densities are necessary to detect an effect of lionfish on prey populations at this relatively large spatial scale. Alternatively,"&amp;" negative effects of lionfish on prey could be small, essentially undetectable, and ecologically insignificant at our study sites. Other factors that influence the dynamics of reef fish populations including reef complexity, resource availability, recruit"&amp;"ment, predation, and fishing could swamp any effects of lionfish on prey populations.")</f>
        <v>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v>
      </c>
      <c r="C1615" s="24" t="str">
        <f>IFERROR(__xludf.DUMMYFUNCTION("""COMPUTED_VALUE"""),"10.7717/peerj.3270")</f>
        <v>10.7717/peerj.3270</v>
      </c>
      <c r="D1615" s="24" t="str">
        <f>IFERROR(__xludf.DUMMYFUNCTION("""COMPUTED_VALUE"""),"Keck et al")</f>
        <v>Keck et al</v>
      </c>
      <c r="E1615" s="24" t="str">
        <f>IFERROR(__xludf.DUMMYFUNCTION("""COMPUTED_VALUE"""),"WOS:000402559100001")</f>
        <v>WOS:000402559100001</v>
      </c>
      <c r="F1615" s="24" t="str">
        <f>IFERROR(__xludf.DUMMYFUNCTION("""COMPUTED_VALUE"""),"[""ELIGIBLE""]")</f>
        <v>["ELIGIBLE"]</v>
      </c>
    </row>
    <row r="1616">
      <c r="A1616" s="24" t="str">
        <f>IFERROR(__xludf.DUMMYFUNCTION("""COMPUTED_VALUE"""),"Effects of oyster farming service vehicles on an intertidal sand flat")</f>
        <v>Effects of oyster farming service vehicles on an intertidal sand flat</v>
      </c>
      <c r="B1616" s="24" t="str">
        <f>IFERROR(__xludf.DUMMYFUNCTION("""COMPUTED_VALUE"""),"A Tasmanian tidalflat receiving differing amounts of vehicle traffic associated with the servicing of oyster farm leases was sampled for sediment properties and benthic community structure. There was a gradient of vehicle usage in both the littoral zone ("&amp;"LZ) and the intertidal zone (IZ), with the highest usage in the intertidal zone equating to the lowest usage in the littoral zone (IZ2=LZ1). Results indicate that the littoral sediments were less compacted where vehicles were present. Species richness and"&amp;" diversity were reduced in the littoral sites (70%) and one intertidal site (50%) where there was vehicle traffic. Multivariate analyses confirmed the univariate findings. Large bivalves and epibenthic snails were generally less abundant where there was v"&amp;"ehicle traffic. However, in the intertidal zone one snail showed the opposite pattern. There was less change in the community structure at sites where vehicles spread out across the foreshore than at sites where all vehicles travelled in a narrow lane, bu"&amp;"t this reduction in impact was offset by a greater area being affected. This study provides preliminary evidence of a measurable impact on sediment and community composition at 16 vehicle trips per day and suggests that management needs to consider the tr"&amp;"adeoff between magnitude of impact and area affected.")</f>
        <v>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v>
      </c>
      <c r="C1616" s="24" t="str">
        <f>IFERROR(__xludf.DUMMYFUNCTION("""COMPUTED_VALUE"""),"10.1111/j.1365-2109.2008.02156.x")</f>
        <v>10.1111/j.1365-2109.2008.02156.x</v>
      </c>
      <c r="D1616" s="24" t="str">
        <f>IFERROR(__xludf.DUMMYFUNCTION("""COMPUTED_VALUE"""),"Keck et al")</f>
        <v>Keck et al</v>
      </c>
      <c r="E1616" s="24" t="str">
        <f>IFERROR(__xludf.DUMMYFUNCTION("""COMPUTED_VALUE"""),"WOS:000265424200003")</f>
        <v>WOS:000265424200003</v>
      </c>
      <c r="F1616" s="24" t="str">
        <f>IFERROR(__xludf.DUMMYFUNCTION("""COMPUTED_VALUE"""),"[""ELIGIBLE""]")</f>
        <v>["ELIGIBLE"]</v>
      </c>
    </row>
    <row r="1617">
      <c r="A1617" s="24" t="str">
        <f>IFERROR(__xludf.DUMMYFUNCTION("""COMPUTED_VALUE"""),"Eutrophication reduces the nutritional value of phytoplankton in boreal lakes")</f>
        <v>Eutrophication reduces the nutritional value of phytoplankton in boreal lakes</v>
      </c>
      <c r="B1617" s="24" t="str">
        <f>IFERROR(__xludf.DUMMYFUNCTION("""COMPUTED_VALUE"""),"Eutrophication (as an increase in total phosphorus [TP]) increases harmful algal blooms and reduces the proportion of high-quality phytoplankton in seston and the content of omega-3 long-chain polyunsaturated fatty acids (eicosapentaenoic acid [EPA] and d"&amp;"ocosahexaenoic acid [DHA]) in fish. However, it is not well-known how eutrophication affects the overall nutritional value of phytoplankton. Therefore, we studied the impact of eutrophication on the production (as concentration; mu g L-1) and content (mu "&amp;"g mg C-1) of amino acids, EPA, DHA, and sterols, i.e., the nutritional value of phytoplankton in 107 boreal lakes. The lakes were categorized in seven TP concentration categories ranging from ultra-oligotrophic (&lt; 5 mu g L-1) to highly eutrophic (&gt; 50 mu "&amp;"g L-1). Phytoplankton total biomass increased with TP as expected, but in contrast to previous studies, the contribution of high-quality phytoplankton did not decrease with TP. However, the high variation reflected instability in the phytoplankton communi"&amp;"ty structure in eutrophic lakes. We found that the concentration of amino acids increased in the epilimnion whereas the concentration of sterols decreased with increasing TP. In terms of phytoplankton nutritional value, amino acids, EPA, DHA, and sterols "&amp;"showed a significant quadratic relationship with the lake trophic status. More specifically, the amino acid contents were the same in the oligo- and mesotrophic lakes, but substantially lower in the eutrophic lakes (TP &gt; 35 mu g L-1/1.13 mu mol L-1). The "&amp;"highest EPA and DHA content in phytoplankton was found in the mesotrophic lakes, whereas the sterol content was highest in the oligotrophic lakes. Based on these results, the nutritional value of phytoplankton reduces with eutrophication, although the con"&amp;"tribution of high-quality algae does not decrease. Therefore, the results emphasize that eutrophication, as excess TP, reduces the nutritional value of phytoplankton, which may have a significant impact on the nutritional value of zooplankton, fish, and o"&amp;"ther aquatic animals at higher food web levels.")</f>
        <v>Eutrophication (as an increase in total phosphorus [TP]) increases harmful algal blooms and reduces the proportion of high-quality phytoplankton in seston and the content of omega-3 long-chain polyunsaturated fatty acids (eicosapentaenoic acid [EPA] and docosahexaenoic acid [DHA]) in fish. However, it is not well-known how eutrophication affects the overall nutritional value of phytoplankton. Therefore, we studied the impact of eutrophication on the production (as concentration; mu g L-1) and content (mu g mg C-1) of amino acids, EPA, DHA, and sterols, i.e., the nutritional value of phytoplankton in 107 boreal lakes. The lakes were categorized in seven TP concentration categories ranging from ultra-oligotrophic (&lt; 5 mu g L-1) to highly eutrophic (&gt; 50 mu g L-1). Phytoplankton total biomass increased with TP as expected, but in contrast to previous studies, the contribution of high-quality phytoplankton did not decrease with TP. However, the high variation reflected instability in the phytoplankton community structure in eutrophic lakes. We found that the concentration of amino acids increased in the epilimnion whereas the concentration of sterols decreased with increasing TP. In terms of phytoplankton nutritional value, amino acids, EPA, DHA, and sterols showed a significant quadratic relationship with the lake trophic status. More specifically, the amino acid contents were the same in the oligo- and mesotrophic lakes, but substantially lower in the eutrophic lakes (TP &gt; 35 mu g L-1/1.13 mu mol L-1). The highest EPA and DHA content in phytoplankton was found in the mesotrophic lakes, whereas the sterol content was highest in the oligotrophic lakes. Based on these results, the nutritional value of phytoplankton reduces with eutrophication, although the contribution of high-quality algae does not decrease. Therefore, the results emphasize that eutrophication, as excess TP, reduces the nutritional value of phytoplankton, which may have a significant impact on the nutritional value of zooplankton, fish, and other aquatic animals at higher food web levels.</v>
      </c>
      <c r="C1617" s="24" t="str">
        <f>IFERROR(__xludf.DUMMYFUNCTION("""COMPUTED_VALUE"""),"10.1016/j.envres.2019.108836")</f>
        <v>10.1016/j.envres.2019.108836</v>
      </c>
      <c r="D1617" s="24" t="str">
        <f>IFERROR(__xludf.DUMMYFUNCTION("""COMPUTED_VALUE"""),"Keck et al")</f>
        <v>Keck et al</v>
      </c>
      <c r="E1617" s="24" t="str">
        <f>IFERROR(__xludf.DUMMYFUNCTION("""COMPUTED_VALUE"""),"WOS:000502685500016")</f>
        <v>WOS:000502685500016</v>
      </c>
      <c r="F1617" s="24" t="str">
        <f>IFERROR(__xludf.DUMMYFUNCTION("""COMPUTED_VALUE"""),"[""ELIGIBLE""]")</f>
        <v>["ELIGIBLE"]</v>
      </c>
    </row>
    <row r="1618">
      <c r="A1618" s="24" t="str">
        <f>IFERROR(__xludf.DUMMYFUNCTION("""COMPUTED_VALUE"""),"Climate warming dominates over plant genotype in shaping the seasonal trajectory of foliar fungal communities on oak")</f>
        <v>Climate warming dominates over plant genotype in shaping the seasonal trajectory of foliar fungal communities on oak</v>
      </c>
      <c r="B1618" s="24" t="str">
        <f>IFERROR(__xludf.DUMMYFUNCTION("""COMPUTED_VALUE"""),"Leaves interact with a wealth of microorganisms. Among these, fungi are highly diverse and are known to contribute to plant health, leaf senescence and early decomposition. However, patterns and drivers of the seasonal dynamics of foliar fungal communitie"&amp;"s are poorly understood. We used a multifactorial experiment to investigate the influence of warming and tree genotype on the foliar fungal community on the pedunculate oak Quercus robur across one growing season. Fungal species richness increased, evenne"&amp;"ss tended to decrease, and community composition strongly shifted during the growing season. Yeasts increased in relative abundance as the season progressed, while putative fungal pathogens decreased. Warming decreased species richness, reduced evenness a"&amp;"nd changed community composition, especially at the end of the growing season. Warming also negatively affected putative fungal pathogens. We only detected a minor imprint of tree genotype and warming x genotype interactions on species richness and commun"&amp;"ity composition. Overall, our findings demonstrate that warming plays a larger role than plant genotype in shaping the seasonal dynamics of the foliar fungal community on oak. These warming-induced shifts in the foliar fungal community may have a pronounc"&amp;"ed impact on plant health, plant-fungal interactions and ecosystem functions.")</f>
        <v>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v>
      </c>
      <c r="C1618" s="24" t="str">
        <f>IFERROR(__xludf.DUMMYFUNCTION("""COMPUTED_VALUE"""),"10.1111/nph.17434")</f>
        <v>10.1111/nph.17434</v>
      </c>
      <c r="D1618" s="24" t="str">
        <f>IFERROR(__xludf.DUMMYFUNCTION("""COMPUTED_VALUE"""),"Keck et al")</f>
        <v>Keck et al</v>
      </c>
      <c r="E1618" s="24" t="str">
        <f>IFERROR(__xludf.DUMMYFUNCTION("""COMPUTED_VALUE"""),"WOS:000662923400001")</f>
        <v>WOS:000662923400001</v>
      </c>
      <c r="F1618" s="24" t="str">
        <f>IFERROR(__xludf.DUMMYFUNCTION("""COMPUTED_VALUE"""),"[""ELIGIBLE""]")</f>
        <v>["ELIGIBLE"]</v>
      </c>
    </row>
    <row r="1619">
      <c r="A1619" s="24" t="str">
        <f>IFERROR(__xludf.DUMMYFUNCTION("""COMPUTED_VALUE"""),"To chop or not to chop? Tackling shrub encroachment by roller-chopping preserves woody plant diversity and composition in a dry subtropical forest")</f>
        <v>To chop or not to chop? Tackling shrub encroachment by roller-chopping preserves woody plant diversity and composition in a dry subtropical forest</v>
      </c>
      <c r="B1619" s="24" t="str">
        <f>IFERROR(__xludf.DUMMYFUNCTION("""COMPUTED_VALUE"""),"Shrub encroachment is a frequently observed phenomenon in the arid and semi-arid biomes. In the dry forests of the Argentine Chaco ecoregion that are affected by shrub encroachment, the growing demand for grazing areas has led to the creation of a silvopa"&amp;"storal system. Under the Chaco silvopastoral system, a commonly used treatment to disrupt the excessive shrub layer and promote the growth of grasses is roller-chopping by a tractor pulled iron drum. While previous studies evaluating the effects of roller"&amp;"-chopping on diversity have focused mostly on the herbaceous stratum as the primary source of forage, much less is known about the effects of roller chopping on woody plants. To fill this gap, we measured woody plants of the shrub layer in a low-intensity"&amp;" roller-chopping experiment in northern Argentina after applying different frequencies of roller-chopping in a semi-arid Chaco forest area with a well-developed shrub layer. Data were collected in an experiment in which 3 different roller-chopping treatme"&amp;"nts were applied: a single two-pass roller-chopping in the summer of 2006/2007 (RCh1); a one-pass roller-chopping in the summer of 2006/2007, repeated in the summer of 2014/2015 (RCh2); and no treatment (Control). In each treatment, 16 circular, randomly "&amp;"placed plots with a radius of 9 m were sampled, and all woody plants in the shrub layer with a diameter z 10 mm at the base were recorded. The diversity was analysed using profiles of alpha and beta diversity and by calculating the average distance from a"&amp;"n individual circular plot to the treatment group centroid defined in the principal coordinate space. In total, 26 species of woody plants were recorded, of which 24 were found in Control, 22 in RChl, and 23 in RCh2. Although the alpha diversity differed "&amp;"only slightly among the treatments, the beta diversity of the roller-chopped treatment areas was generally higher than that of the untreated plots. The species composition of the roller chopped plots differed little from that of the control plots. Our stu"&amp;"dy revealed little overall effect of roller chopping on the species diversity and composition of woody plants. The transformation of the Chaco forest degraded by shrub encroachment to a silvopastoral system by roller-chopping is changing the structure of "&amp;"the forest but to a large extent has retained the presence and the relative abundance of woody plant species. We conclude that roller-chopping is a good management tool to reduce woody plant encroachment and create a silvopastoral system while preserving "&amp;"ecosystem functions.")</f>
        <v>Shrub encroachment is a frequently observed phenomenon in the arid and semi-arid biomes. In the dry forests of the Argentine Chaco ecoregion that are affected by shrub encroachment, the growing demand for grazing areas has led to the creation of a silvopastoral system. Under the Chaco silvopastoral system, a commonly used treatment to disrupt the excessive shrub layer and promote the growth of grasses is roller-chopping by a tractor pulled iron drum. While previous studies evaluating the effects of roller-chopping on diversity have focused mostly on the herbaceous stratum as the primary source of forage, much less is known about the effects of roller chopping on woody plants. To fill this gap, we measured woody plants of the shrub layer in a low-intensity roller-chopping experiment in northern Argentina after applying different frequencies of roller-chopping in a semi-arid Chaco forest area with a well-developed shrub layer. Data were collected in an experiment in which 3 different roller-chopping treatments were applied: a single two-pass roller-chopping in the summer of 2006/2007 (RCh1); a one-pass roller-chopping in the summer of 2006/2007, repeated in the summer of 2014/2015 (RCh2); and no treatment (Control). In each treatment, 16 circular, randomly placed plots with a radius of 9 m were sampled, and all woody plants in the shrub layer with a diameter z 10 mm at the base were recorded. The diversity was analysed using profiles of alpha and beta diversity and by calculating the average distance from an individual circular plot to the treatment group centroid defined in the principal coordinate space. In total, 26 species of woody plants were recorded, of which 24 were found in Control, 22 in RChl, and 23 in RCh2. Although the alpha diversity differed only slightly among the treatments, the beta diversity of the roller-chopped treatment areas was generally higher than that of the untreated plots. The species composition of the roller chopped plots differed little from that of the control plots. Our study revealed little overall effect of roller chopping on the species diversity and composition of woody plants. The transformation of the Chaco forest degraded by shrub encroachment to a silvopastoral system by roller-chopping is changing the structure of the forest but to a large extent has retained the presence and the relative abundance of woody plant species. We conclude that roller-chopping is a good management tool to reduce woody plant encroachment and create a silvopastoral system while preserving ecosystem functions.</v>
      </c>
      <c r="C1619" s="24" t="str">
        <f>IFERROR(__xludf.DUMMYFUNCTION("""COMPUTED_VALUE"""),"10.1016/j.foreco.2017.07.032")</f>
        <v>10.1016/j.foreco.2017.07.032</v>
      </c>
      <c r="D1619" s="24" t="str">
        <f>IFERROR(__xludf.DUMMYFUNCTION("""COMPUTED_VALUE"""),"Keck et al")</f>
        <v>Keck et al</v>
      </c>
      <c r="E1619" s="24" t="str">
        <f>IFERROR(__xludf.DUMMYFUNCTION("""COMPUTED_VALUE"""),"WOS:000411534000004")</f>
        <v>WOS:000411534000004</v>
      </c>
      <c r="F1619" s="24" t="str">
        <f>IFERROR(__xludf.DUMMYFUNCTION("""COMPUTED_VALUE"""),"[""ELIGIBLE""]")</f>
        <v>["ELIGIBLE"]</v>
      </c>
    </row>
    <row r="1620">
      <c r="A1620" s="24" t="str">
        <f>IFERROR(__xludf.DUMMYFUNCTION("""COMPUTED_VALUE"""),"Drove roads: Keystone structures that promote ant diversity in Mediterranean forest landscapes")</f>
        <v>Drove roads: Keystone structures that promote ant diversity in Mediterranean forest landscapes</v>
      </c>
      <c r="B1620" s="24" t="str">
        <f>IFERROR(__xludf.DUMMYFUNCTION("""COMPUTED_VALUE"""),"Drove roads are the traditional corridors used by pastoralists for seasonal movements of livestock (transhumance). They cover a considerable land area in Mediterranean countries and, although they are an obvious source of landscape diversity, their influe"&amp;"nce on the diversity and composition of animal assemblages has not been documented. Ant communities were studied on four active drove roads, two in forests (submediterranean and conifer) and two in open environments (croplands and rangelands). They were c"&amp;"ompared with the respective matrix communities and their contribution to local species richness was evaluated. The effects were heavily dependent on the open or closed nature of the matrix. In forest environments, drove roads increased ant species richnes"&amp;"s at the local scale, acting as clear keystone structures. Their species richness and functional diversity were highest on the fine scale, species composition was different, and a slight edge effect in the matrix was detected. In contrast, drove roads had"&amp;" little or even a negative effect in open environment locations. We conclude that drove roads have a high conservation value for ants in Mediterranean forest environments, in addition to their importance as reservoirs of plant biodiversity and generators "&amp;"of ecological goods and services. (c) 2013 Elsevier Masson SAS. All rights reserved.")</f>
        <v>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v>
      </c>
      <c r="C1620" s="24" t="str">
        <f>IFERROR(__xludf.DUMMYFUNCTION("""COMPUTED_VALUE"""),"10.1016/j.actao.2013.03.011")</f>
        <v>10.1016/j.actao.2013.03.011</v>
      </c>
      <c r="D1620" s="24" t="str">
        <f>IFERROR(__xludf.DUMMYFUNCTION("""COMPUTED_VALUE"""),"Keck et al")</f>
        <v>Keck et al</v>
      </c>
      <c r="E1620" s="24" t="str">
        <f>IFERROR(__xludf.DUMMYFUNCTION("""COMPUTED_VALUE"""),"WOS:000319538700015")</f>
        <v>WOS:000319538700015</v>
      </c>
      <c r="F1620" s="24" t="str">
        <f>IFERROR(__xludf.DUMMYFUNCTION("""COMPUTED_VALUE"""),"[""ELIGIBLE""]")</f>
        <v>["ELIGIBLE"]</v>
      </c>
    </row>
    <row r="1621">
      <c r="A1621" s="24" t="str">
        <f>IFERROR(__xludf.DUMMYFUNCTION("""COMPUTED_VALUE"""),"Is taxonomic homogenization linked to functional homogenization in temperate forests?")</f>
        <v>Is taxonomic homogenization linked to functional homogenization in temperate forests?</v>
      </c>
      <c r="B1621" s="24" t="str">
        <f>IFERROR(__xludf.DUMMYFUNCTION("""COMPUTED_VALUE"""),"Aim Biotic homogenization - the tendency for communities to converge in species composition - has occurred in many ecosystems, creating management challenges. The extent to which this convergence in species composition is related to convergence in trait c"&amp;"omposition ('functional homogenization'), however, remains unresolved. Location North America, Wisconsin. Methods Using extensive plant community survey data from the 1950s and 2000s, and values for 11 traits measured on 169 species, we examined changes i"&amp;"n functional beta diversity across 151 upland forest stands distributed across southern and northern Wisconsin. To estimate functional beta diversity, we used two recently developed pairwise functional dissimilarity metrics, plus an additive partitioning "&amp;"of functional diversity approach. Results Using pairwise functional dissimilarity metrics, we found no significant changes in functional beta diversity through time in either southern or northern upland forests. Under additive partitioning, species alpha "&amp;"diversity was lower than species beta diversity; whereas functional alpha diversity was much higher than functional beta diversity in both time periods and across all forest types. This suggests a high turnover of species but a low turnover of traits amon"&amp;"g communities. Main conclusions Although upland forests in Wisconsin have experienced taxonomic homogenization, they have not undergone functional homogenization, which may reflect a high functional redundancy among Wisconsin forest plants. As species dec"&amp;"line further or disappear in response to habitat fragmentation and other global changes, functional redundancy may decline in a way that could diminish the functional diversity of Wisconsin's forests at both local and regional scales.")</f>
        <v>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v>
      </c>
      <c r="C1621" s="24" t="str">
        <f>IFERROR(__xludf.DUMMYFUNCTION("""COMPUTED_VALUE"""),"10.1111/geb.12164")</f>
        <v>10.1111/geb.12164</v>
      </c>
      <c r="D1621" s="24" t="str">
        <f>IFERROR(__xludf.DUMMYFUNCTION("""COMPUTED_VALUE"""),"Keck et al")</f>
        <v>Keck et al</v>
      </c>
      <c r="E1621" s="24" t="str">
        <f>IFERROR(__xludf.DUMMYFUNCTION("""COMPUTED_VALUE"""),"WOS:000339110400007")</f>
        <v>WOS:000339110400007</v>
      </c>
      <c r="F1621" s="24" t="str">
        <f>IFERROR(__xludf.DUMMYFUNCTION("""COMPUTED_VALUE"""),"[""ELIGIBLE""]")</f>
        <v>["ELIGIBLE"]</v>
      </c>
    </row>
    <row r="1622">
      <c r="A1622" s="24" t="str">
        <f>IFERROR(__xludf.DUMMYFUNCTION("""COMPUTED_VALUE"""),"Bird diversity in 'parica' (Schizolobium amazonicum Huber ex Ducke) plantations and forest fragments in Eastern Amazon: taxonomic diversity, ecological guilds, and functional trait composition")</f>
        <v>Bird diversity in 'parica' (Schizolobium amazonicum Huber ex Ducke) plantations and forest fragments in Eastern Amazon: taxonomic diversity, ecological guilds, and functional trait composition</v>
      </c>
      <c r="B1622" s="24" t="str">
        <f>IFERROR(__xludf.DUMMYFUNCTION("""COMPUTED_VALUE"""),"Monoculture may drastically reduce biodiversity and change communities' structure due to habitat simplification. Plantations of Schizolobium amazonicum Huber ex Ducke ('parica') has been expanding in the Amazon region due to the increased demand for venee"&amp;"r and plywood production. Our objective was to assess whether bird communities in parica plantations and forested areas differ in terms of composition, richness, abundance, trophic structure, and functional trait composition. This study was conducted in y"&amp;"oung parica plantations (1 to 5 years) and forest fragments in eastern Amazon, state of Para, Brazil. We sampled birds in five plantation sites (each paired with a nearby forested area) using both the point-count method and mist nets. We recorded 208 bird"&amp;" species, 132 in forest fragments and 94 in plantations. Comparatively, habitats showed distinct species composition and trait composition, with few shared species (n = 18). Parica plantations did not support forest species, while forest fragments harbore"&amp;"d specialized bird communities that are more sensitive to environmental change as well as endangered species. In this way, the protection of these forested areas surrounding parica plantations is a priority for forest biodiversity conservation, given the "&amp;"rapid deforestation in the Brazilian Amazon.")</f>
        <v>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v>
      </c>
      <c r="C1622" s="24" t="str">
        <f>IFERROR(__xludf.DUMMYFUNCTION("""COMPUTED_VALUE"""),"10.1080/01650521.2021.1914295")</f>
        <v>10.1080/01650521.2021.1914295</v>
      </c>
      <c r="D1622" s="24" t="str">
        <f>IFERROR(__xludf.DUMMYFUNCTION("""COMPUTED_VALUE"""),"Keck et al")</f>
        <v>Keck et al</v>
      </c>
      <c r="E1622" s="24" t="str">
        <f>IFERROR(__xludf.DUMMYFUNCTION("""COMPUTED_VALUE"""),"WOS:000681185800001")</f>
        <v>WOS:000681185800001</v>
      </c>
      <c r="F1622" s="24" t="str">
        <f>IFERROR(__xludf.DUMMYFUNCTION("""COMPUTED_VALUE"""),"[""ELIGIBLE""]")</f>
        <v>["ELIGIBLE"]</v>
      </c>
    </row>
    <row r="1623">
      <c r="A1623" s="24" t="str">
        <f>IFERROR(__xludf.DUMMYFUNCTION("""COMPUTED_VALUE"""),"Nematode communities as indicators of the status of a soil ecosystem influenced by mining practices in Brazil")</f>
        <v>Nematode communities as indicators of the status of a soil ecosystem influenced by mining practices in Brazil</v>
      </c>
      <c r="B1623" s="24" t="str">
        <f>IFERROR(__xludf.DUMMYFUNCTION("""COMPUTED_VALUE"""),"This study evaluated the effects of mining practices using soil nematodes as bioindicators. Soil samples represented four different subsystems found in the CeBio Research Center, including natural/undisturbed (rainforest (RF) and savannah (SA)) and distur"&amp;"bed (Eucalyptus spp. (EU) and grassland (GR)) subsystems. Ecological descriptors S (3.5-9.5), d (1.22-4.23) and MI (1.9-3.23) significantly differentiated the subsystem GR (high impact) from the other subsystems. Additionally, poorly covered soil (i.e., s"&amp;"ubsystem GR) negatively influenced the composition of nematode assemblages, and primarily so for nematodes with high c-p values. Among soil variables, pH strongly influenced the distribution of soil nematodes, negatively affecting the abundance of all c-p"&amp;" groups and diversity of nematodes. On the other hand, pH also positively affected FF and PP trophic groups in the subsystem GR. The similarity of subsystem EU and natural subsystems (RF and SA) suggests that soil restoration with Eucalyptus spp. appears "&amp;"to be an adequate management practice to promote the recovery of areas subjected to mining practices.")</f>
        <v>This study evaluated the effects of mining practices using soil nematodes as bioindicators. Soil samples represented four different subsystems found in the CeBio Research Center, including natural/undisturbed (rainforest (RF) and savannah (SA)) and disturbed (Eucalyptus spp. (EU) and grassland (GR)) subsystems. Ecological descriptors S (3.5-9.5), d (1.22-4.23) and MI (1.9-3.23) significantly differentiated the subsystem GR (high impact) from the other subsystems. Additionally, poorly covered soil (i.e., subsystem GR) negatively influenced the composition of nematode assemblages, and primarily so for nematodes with high c-p values. Among soil variables, pH strongly influenced the distribution of soil nematodes, negatively affecting the abundance of all c-p groups and diversity of nematodes. On the other hand, pH also positively affected FF and PP trophic groups in the subsystem GR. The similarity of subsystem EU and natural subsystems (RF and SA) suggests that soil restoration with Eucalyptus spp. appears to be an adequate management practice to promote the recovery of areas subjected to mining practices.</v>
      </c>
      <c r="C1623" s="24" t="str">
        <f>IFERROR(__xludf.DUMMYFUNCTION("""COMPUTED_VALUE"""),"10.1163/15685411-00002958")</f>
        <v>10.1163/15685411-00002958</v>
      </c>
      <c r="D1623" s="24" t="str">
        <f>IFERROR(__xludf.DUMMYFUNCTION("""COMPUTED_VALUE"""),"Keck et al")</f>
        <v>Keck et al</v>
      </c>
      <c r="E1623" s="24" t="str">
        <f>IFERROR(__xludf.DUMMYFUNCTION("""COMPUTED_VALUE"""),"WOS:000371994700002")</f>
        <v>WOS:000371994700002</v>
      </c>
      <c r="F1623" s="24" t="str">
        <f>IFERROR(__xludf.DUMMYFUNCTION("""COMPUTED_VALUE"""),"[""ELIGIBLE""]")</f>
        <v>["ELIGIBLE"]</v>
      </c>
    </row>
    <row r="1624">
      <c r="A1624" s="24" t="str">
        <f>IFERROR(__xludf.DUMMYFUNCTION("""COMPUTED_VALUE"""),"Hyporheic Microbial Community Development Is a Sensitive Indicator of Metal Contamination")</f>
        <v>Hyporheic Microbial Community Development Is a Sensitive Indicator of Metal Contamination</v>
      </c>
      <c r="B1624" s="24" t="str">
        <f>IFERROR(__xludf.DUMMYFUNCTION("""COMPUTED_VALUE"""),"Accurate natural resource damage assessment necessitates monitoring organisms or communities that respond most sensitively to contaminants. Observational studies have demonstrated a correlation between fluvial heavy metal deposition and hyporheic microbia"&amp;"l community structure. To establish a causal relationship between sediment metal content and the structure of colonizing bacterial communities, we performed a controlled field experiment. River sediments of 1.75-2.36 mm in diameter with five different con"&amp;"taminant concentrations were collected from an environmental metal contamination gradient. Sediments were sterilized and then recolonized by incubation in the hyporheic zone of an uncontaminated river (i.e., a common garden experiment was performed). A si"&amp;"gnificant correlation between hyporheic microbial community structure and heavy metal contamination (R-2 = 0.81) was observed. The abundance of two phylogenetic groups was highly correlated with the level of heavy metal contamination (Group I, R-2 = 0.96;"&amp;" Group III, R-2 = 0.96, most closely affiliated with the alpha- and gamma-proteobacteria, respectively). Microbial community structural responses were detected at metal concentratons an order of magnitude lower than those previously reported to impact ben"&amp;"thic macroinvertebrate communities. We conclude that hyporheic microbial communities could offer the most sensitive method for assessing natural resource damage in lotic ecosystems in response to fluvial heavy metal deposition.")</f>
        <v>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v>
      </c>
      <c r="C1624" s="24" t="str">
        <f>IFERROR(__xludf.DUMMYFUNCTION("""COMPUTED_VALUE"""),"10.1021/es9005465")</f>
        <v>10.1021/es9005465</v>
      </c>
      <c r="D1624" s="24" t="str">
        <f>IFERROR(__xludf.DUMMYFUNCTION("""COMPUTED_VALUE"""),"Keck et al")</f>
        <v>Keck et al</v>
      </c>
      <c r="E1624" s="24" t="str">
        <f>IFERROR(__xludf.DUMMYFUNCTION("""COMPUTED_VALUE"""),"WOS:000268907700012")</f>
        <v>WOS:000268907700012</v>
      </c>
      <c r="F1624" s="24" t="str">
        <f>IFERROR(__xludf.DUMMYFUNCTION("""COMPUTED_VALUE"""),"[""ELIGIBLE""]")</f>
        <v>["ELIGIBLE"]</v>
      </c>
    </row>
    <row r="1625">
      <c r="A1625" s="24" t="str">
        <f>IFERROR(__xludf.DUMMYFUNCTION("""COMPUTED_VALUE"""),"Response of meiofauna and nematode communities to increased levels of contaminants in a laboratory microcosm experiment")</f>
        <v>Response of meiofauna and nematode communities to increased levels of contaminants in a laboratory microcosm experiment</v>
      </c>
      <c r="B1625" s="24" t="str">
        <f>IFERROR(__xludf.DUMMYFUNCTION("""COMPUTED_VALUE"""),"This study was undertaken to assess the response of meiofauna and nematode (multispecies) associations in terms of density, diversity, and composition to different environmental contaminants and also to evaluate the use of meiofauna and nematodes as indic"&amp;"ators in pollution monitoring. Sediment was collected from the mouth of the Swartkops River estuary and defaunated by successive freezing and thwarting. The sediment was then subdivided into flasks and treated with different contaminants (organic carbon, "&amp;"Zn, Cu, Ph, Fe) at different concentrations, before meiofauna-rich sediment was added to each of them. The setup was allowed to mature for 32 days. Various biological indices were used to assess the biological status of the nematode communities in the lab"&amp;"oratory experiment. Nematode identification was done to the genus level. The results indicate that higher concentrations of heavy metals and organic carbon had an impact on the nematode density, diversity, and community structure. Nematode genera such as "&amp;"Axonolaimus, Theristus, and Paramonohystera were found to be tolerant to metal pollution. This study also observed that nematode communities react differently to metal and organic pollution. (c) 2005 Elsevier Inc. All rights reserved.")</f>
        <v>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v>
      </c>
      <c r="C1625" s="24" t="str">
        <f>IFERROR(__xludf.DUMMYFUNCTION("""COMPUTED_VALUE"""),"10.1016/j.ecoenv.2005.01.010")</f>
        <v>10.1016/j.ecoenv.2005.01.010</v>
      </c>
      <c r="D1625" s="24" t="str">
        <f>IFERROR(__xludf.DUMMYFUNCTION("""COMPUTED_VALUE"""),"Keck et al")</f>
        <v>Keck et al</v>
      </c>
      <c r="E1625" s="24" t="str">
        <f>IFERROR(__xludf.DUMMYFUNCTION("""COMPUTED_VALUE"""),"WOS:000236382600013")</f>
        <v>WOS:000236382600013</v>
      </c>
      <c r="F1625" s="24" t="str">
        <f>IFERROR(__xludf.DUMMYFUNCTION("""COMPUTED_VALUE"""),"[""ELIGIBLE""]")</f>
        <v>["ELIGIBLE"]</v>
      </c>
    </row>
    <row r="1626">
      <c r="A1626" s="24" t="str">
        <f>IFERROR(__xludf.DUMMYFUNCTION("""COMPUTED_VALUE"""),"EFFECT OF PLANT PROTECTION ON ASSEMBLAGES OF GROUND BEETLES (COLEOPTERA, CARABIDAE) IN SUGAR BEET CROPS IN FOUR-YEAR ROTATION")</f>
        <v>EFFECT OF PLANT PROTECTION ON ASSEMBLAGES OF GROUND BEETLES (COLEOPTERA, CARABIDAE) IN SUGAR BEET CROPS IN FOUR-YEAR ROTATION</v>
      </c>
      <c r="B1626" s="24" t="str">
        <f>IFERROR(__xludf.DUMMYFUNCTION("""COMPUTED_VALUE"""),"The influence of chemical plant protection on carabid beetle assemblages was studied in an experiment conducted on fields of sugar beet at the IOR-PIB Experimental Station in Winna Gora, Poland. The experiment was composed of a block of control fields (no"&amp;" chemical plant protection treatments) and second block, where plant protection was carried out in compliance with the applicable plant protection program. Ground beetles were caught from May to August/September in four years, using modified Barber traps."&amp;" As a result of the study, 11 881 specimens belonging to 52 species of Carabidae were collected. The most numerous species were: Harpalus rufipes, Pterostichus melanarius, Calathus ambiguus and Bembidion properans. Overall, our results demonstrate that th"&amp;"e application of chemical plant protection treatments decreased the abundance of carabid beetles in sugar beet fields, but had no effect on species richness. The use of pesticides induced changes in some life traits of Carabidae fauna. After a pesticide a"&amp;"pplication, the abundance of macropterous hemizoophages and medium carnivores with the autumn type of breeding decreased, whereas the abundance of small carnivores increased.")</f>
        <v>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v>
      </c>
      <c r="C1626" s="24" t="str">
        <f>IFERROR(__xludf.DUMMYFUNCTION("""COMPUTED_VALUE"""),"10.17109/AZH.66.Suppl.49.2020")</f>
        <v>10.17109/AZH.66.Suppl.49.2020</v>
      </c>
      <c r="D1626" s="24" t="str">
        <f>IFERROR(__xludf.DUMMYFUNCTION("""COMPUTED_VALUE"""),"Keck et al")</f>
        <v>Keck et al</v>
      </c>
      <c r="E1626" s="24" t="str">
        <f>IFERROR(__xludf.DUMMYFUNCTION("""COMPUTED_VALUE"""),"WOS:000605457300005")</f>
        <v>WOS:000605457300005</v>
      </c>
      <c r="F1626" s="24" t="str">
        <f>IFERROR(__xludf.DUMMYFUNCTION("""COMPUTED_VALUE"""),"[""ELIGIBLE""]")</f>
        <v>["ELIGIBLE"]</v>
      </c>
    </row>
    <row r="1627">
      <c r="A1627" s="24" t="str">
        <f>IFERROR(__xludf.DUMMYFUNCTION("""COMPUTED_VALUE"""),"Differential biodiversity responses between kingdoms (plants, fungi, bacteria and metazoa) along an Alpine succession gradient")</f>
        <v>Differential biodiversity responses between kingdoms (plants, fungi, bacteria and metazoa) along an Alpine succession gradient</v>
      </c>
      <c r="B1627" s="24" t="str">
        <f>IFERROR(__xludf.DUMMYFUNCTION("""COMPUTED_VALUE"""),"Biological diversities of multiple kingdoms potentially respond in similar ways to environmental changes. However, studies either compare details of microbial diversity across general vegetation or land use classes or relate details of plant community div"&amp;"ersity with the extent of microbially governed soil processes, via physiological profiling. Here, we test the hypothesis of shared responses of plant and rhizosphere bacterial, fungal and metazoan biodiversities (especially across-habitat beta-diversity p"&amp;"atterns) along a disturbance gradient encompassing grazed to abandoned Alpine pasture, on acid soil in the European Central Alps. Rhizosphere biological diversity was inferred from eDNA fractions specific to bacteria, fungi and metazoans from contrasting "&amp;"plant habitats indicative of different disturbance levels. We found that soil beta-diversity patterns were weakly correlated with plant diversity measures and similarly ordinated along an evident edaphic (pH, C:N, assimilable P) and disturbance gradient b"&amp;"ut, contrary to our hypothesis, did not demonstrate the same diversity patterns. While plant communities were well separated along the disturbance gradient, correlating with fungal diversity, the majority of bacterial taxa were shared between disturbance "&amp;"levels (75% of bacteria were ubiquitous, cf. 29% plant species). Metazoa exhibited an intermediate response, with communities at the lowest levels of disturbance partially overlapping. Thus, plant and soil biological diversities were only loosely dependen"&amp;"t and did not exhibit strictly linked environmental responses. This probably reflects the different spatial scales of organisms (and their habitats) and capacity to invest resources in persistent multicellular tissues, suggesting that vegetation responses"&amp;" to environmental change are unreliable indicators of below-ground biodiversity responses.")</f>
        <v>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v>
      </c>
      <c r="C1627" s="24" t="str">
        <f>IFERROR(__xludf.DUMMYFUNCTION("""COMPUTED_VALUE"""),"10.1111/mec.14817")</f>
        <v>10.1111/mec.14817</v>
      </c>
      <c r="D1627" s="24" t="str">
        <f>IFERROR(__xludf.DUMMYFUNCTION("""COMPUTED_VALUE"""),"Keck et al")</f>
        <v>Keck et al</v>
      </c>
      <c r="E1627" s="24" t="str">
        <f>IFERROR(__xludf.DUMMYFUNCTION("""COMPUTED_VALUE"""),"WOS:000444577100009")</f>
        <v>WOS:000444577100009</v>
      </c>
      <c r="F1627" s="24" t="str">
        <f>IFERROR(__xludf.DUMMYFUNCTION("""COMPUTED_VALUE"""),"[""ELIGIBLE""]")</f>
        <v>["ELIGIBLE"]</v>
      </c>
    </row>
    <row r="1628">
      <c r="A1628" s="24" t="str">
        <f>IFERROR(__xludf.DUMMYFUNCTION("""COMPUTED_VALUE"""),"Post-flood recovery of a macroinvertebrate community in a regulated river: Resilience of an anthropogenically altered ecosystem")</f>
        <v>Post-flood recovery of a macroinvertebrate community in a regulated river: Resilience of an anthropogenically altered ecosystem</v>
      </c>
      <c r="B1628" s="24" t="str">
        <f>IFERROR(__xludf.DUMMYFUNCTION("""COMPUTED_VALUE"""),"Preservation of biodiversity depends on restoring the full range of historic environmental variation to which organisms have evolved, including natural disturbances. Lotic ecosystems have been fragmented by dams causing a reduction in natural levels of en"&amp;"vironmental variation (flow and temperature) and consequently a reduction of biodiversity in downstream communities. We conducted a long-term study of the macroinvertebrate communities before and after natural flood disturbances in an unregulated referenc"&amp;"e site (natural flows and temperatures), a regulated site (regulated flows and temperatures), and a partially regulated reference site (regulated flows and natural temperatures) on the upper Colorado River downstream from a deep-release storage reservoir."&amp;" We aimed to test the hypothesis that floods and temperature restoration would cause an increase in macroinvertebrate diversity at the regulated site. Over the short term, macro-invertebrate richness decreased at the regulated site when compared to pre-fl"&amp;"ood levels, whereas total macroinvertebrate density remained unchanged. Over the long term (1 and 10 years after the floods), macroinvertebrate diversity and community structure at the regulated site returned to pre-flood levels without increasing to refe"&amp;"rence conditions. Occasional floods did not restore biodiversity in this system. As long as the physical state variables remain altered beyond a threshold, the community will return to its altered regulated condition. However, temperature restoration at t"&amp;"he partially regulated site resulted in an increase in macroinvertebrate diversity. Our results indicate that restoration of the natural temperature regime will have a stronger effect on restoring biodiversity than occasional channel-forming floods.")</f>
        <v>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v>
      </c>
      <c r="C1628" s="24" t="str">
        <f>IFERROR(__xludf.DUMMYFUNCTION("""COMPUTED_VALUE"""),"10.1111/j.1526-100X.2007.00258.x")</f>
        <v>10.1111/j.1526-100X.2007.00258.x</v>
      </c>
      <c r="D1628" s="24" t="str">
        <f>IFERROR(__xludf.DUMMYFUNCTION("""COMPUTED_VALUE"""),"Keck et al")</f>
        <v>Keck et al</v>
      </c>
      <c r="E1628" s="24" t="str">
        <f>IFERROR(__xludf.DUMMYFUNCTION("""COMPUTED_VALUE"""),"WOS:000254194900004")</f>
        <v>WOS:000254194900004</v>
      </c>
      <c r="F1628" s="24" t="str">
        <f>IFERROR(__xludf.DUMMYFUNCTION("""COMPUTED_VALUE"""),"[""ELIGIBLE""]")</f>
        <v>["ELIGIBLE"]</v>
      </c>
    </row>
    <row r="1629">
      <c r="A1629" s="24" t="str">
        <f>IFERROR(__xludf.DUMMYFUNCTION("""COMPUTED_VALUE"""),"Evolution of PM2.5 bacterial community structure in Beijing's suburban atmosphere")</f>
        <v>Evolution of PM2.5 bacterial community structure in Beijing's suburban atmosphere</v>
      </c>
      <c r="B1629" s="24" t="str">
        <f>IFERROR(__xludf.DUMMYFUNCTION("""COMPUTED_VALUE"""),"Biosafety has become one of the greatest challenges facing humanity. Outbreaks of infectious diseases caused by bacteria and viruses have had a huge impact on public health. In addition, non-severe polluted air quality has gradually become the norm; howev"&amp;"er, literature on the impacts of bioaerosols under long-term exposure to low concentrations of PM2.5 in China is limited. This study analyzed the evolution of the PM2.5 bacterial community in the Huairou district of Beijing under different pollution condi"&amp;"tions. We used high-throughput sequencing to seasonally analyze samples over a year (from July 2018 to May 2019) and winter samples from different years (2015, 2016, 2018, and 2019). The results showed that the bacterial diversity and community compositio"&amp;"n of PM2.5 were significantly different in different seasons, whereas under different pollution levels, there were no significant differences. During the observation period, the number of bacterial species decreased with the increase in pollution; however"&amp;", a high proportion of bacteria can exist as core species under different pollution levels for a long time. Furthermore, bacteria can be relatively stable in the local environment during the same season but in different years. Although the relative abunda"&amp;"nces of different bacteria change differently with the variation in pollution level, there is no statistical difference. Importantly, there was a higher abundance of opportunistic pathogenic bacteria when the air quality index was 0-100 in winter. This st"&amp;"udy comprehensively revealed the characteristics of the evolution of bacterial communities under different pollution levels and in different years and emphasized the health effects of non-pollution air quality. This study can provide a theoretical basis f"&amp;"or establishing a sound environmental microbial monitoring and defense system. (C) 2021 Published by Elsevier B.V.")</f>
        <v>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v>
      </c>
      <c r="C1629" s="24" t="str">
        <f>IFERROR(__xludf.DUMMYFUNCTION("""COMPUTED_VALUE"""),"10.1016/j.scitotenv.2021.149387")</f>
        <v>10.1016/j.scitotenv.2021.149387</v>
      </c>
      <c r="D1629" s="24" t="str">
        <f>IFERROR(__xludf.DUMMYFUNCTION("""COMPUTED_VALUE"""),"Keck et al")</f>
        <v>Keck et al</v>
      </c>
      <c r="E1629" s="24" t="str">
        <f>IFERROR(__xludf.DUMMYFUNCTION("""COMPUTED_VALUE"""),"WOS:000701265500006")</f>
        <v>WOS:000701265500006</v>
      </c>
      <c r="F1629" s="24" t="str">
        <f>IFERROR(__xludf.DUMMYFUNCTION("""COMPUTED_VALUE"""),"[""ELIGIBLE""]")</f>
        <v>["ELIGIBLE"]</v>
      </c>
    </row>
    <row r="1630">
      <c r="A1630" s="24" t="str">
        <f>IFERROR(__xludf.DUMMYFUNCTION("""COMPUTED_VALUE"""),"Plant Community Effects and Genetic Diversity of Post-fire Princess Tree (Paulownia tomentosa) Invasions")</f>
        <v>Plant Community Effects and Genetic Diversity of Post-fire Princess Tree (Paulownia tomentosa) Invasions</v>
      </c>
      <c r="B1630" s="24" t="str">
        <f>IFERROR(__xludf.DUMMYFUNCTION("""COMPUTED_VALUE"""),"Many naturalized populations of the invasive tree princess tree exist in North America, yet little research has quantified its effect on native plant communities. A series of recent wildfires in the Linville Gorge Wilderness Area (LGWA) promoted multiple "&amp;"large-scale princess tree invasions in this ecologically important area. To measure community shifts caused by these princess tree invasions across burn areas, we sampled vegetation in paired invaded and noninvaded plots in mature and immature invasions w"&amp;"ithin two burn areas of the LGWA. Plant community composition shifted in response to princess tree invasion across all invasion stages and burn areas. Species richness and Shannon diversity values decreased in invaded plots. Overall community structure al"&amp;"so differed in invaded plots within immature invasions (P = 0.004). The distribution of princess tree age classes in both burn areas indicates that fire promotes invasion but is not necessary for subsequent recruitment. Additionally, preliminary genetic a"&amp;"nalyses among distinct princess tree populations revealed very low genetic diversity, suggesting that a single introduction may have occurred in the LGWA. This information regarding community shift and strong post-fire recruitment by princess tree may inf"&amp;"orm management decisions by prioritizing princess tree control immediately after wildfires and immediately before and after prescribed burns.")</f>
        <v>Many naturalized populations of the invasive tree princess tree exist in North America, yet little research has quantified its effect on native plant communities. A series of recent wildfires in the Linville Gorge Wilderness Area (LGWA) promoted multiple large-scale princess tree invasions in this ecologically important area. To measure community shifts caused by these princess tree invasions across burn areas, we sampled vegetation in paired invaded and noninvaded plots in mature and immature invasions within two burn areas of the LGWA. Plant community composition shifted in response to princess tree invasion across all invasion stages and burn areas. Species richness and Shannon diversity values decreased in invaded plots. Overall community structure also differed in invaded plots within immature invasions (P = 0.004). The distribution of princess tree age classes in both burn areas indicates that fire promotes invasion but is not necessary for subsequent recruitment. Additionally, preliminary genetic analyses among distinct princess tree populations revealed very low genetic diversity, suggesting that a single introduction may have occurred in the LGWA. This information regarding community shift and strong post-fire recruitment by princess tree may inform management decisions by prioritizing princess tree control immediately after wildfires and immediately before and after prescribed burns.</v>
      </c>
      <c r="C1630" s="24" t="str">
        <f>IFERROR(__xludf.DUMMYFUNCTION("""COMPUTED_VALUE"""),"10.1017/inp.2017.14")</f>
        <v>10.1017/inp.2017.14</v>
      </c>
      <c r="D1630" s="24" t="str">
        <f>IFERROR(__xludf.DUMMYFUNCTION("""COMPUTED_VALUE"""),"Keck et al")</f>
        <v>Keck et al</v>
      </c>
      <c r="E1630" s="24" t="str">
        <f>IFERROR(__xludf.DUMMYFUNCTION("""COMPUTED_VALUE"""),"WOS:000407423900002")</f>
        <v>WOS:000407423900002</v>
      </c>
      <c r="F1630" s="24" t="str">
        <f>IFERROR(__xludf.DUMMYFUNCTION("""COMPUTED_VALUE"""),"[""ELIGIBLE""]")</f>
        <v>["ELIGIBLE"]</v>
      </c>
    </row>
    <row r="1631">
      <c r="A1631" s="24" t="str">
        <f>IFERROR(__xludf.DUMMYFUNCTION("""COMPUTED_VALUE"""),"Triclosan Exposure Increases Triclosan Resistance and Influences Taxonomic Composition of Benthic Bacterial Communities")</f>
        <v>Triclosan Exposure Increases Triclosan Resistance and Influences Taxonomic Composition of Benthic Bacterial Communities</v>
      </c>
      <c r="B1631" s="24" t="str">
        <f>IFERROR(__xludf.DUMMYFUNCTION("""COMPUTED_VALUE"""),"Triclosan (TCS) is a broad-spectrum antimicrobial compound that is incorporated into numerous consumer products. TCS has been detected in aquatic ecosystems across the U.S., raising concern about its potential ecological effects. We conducted a field surv"&amp;"ey and an artificial stream experiment to assess effects of TCS on benthic bacterial communities. Field sampling indicated that TCS concentrations in stream sediments increased with degree of urbanization. There was significant correlation between sedimen"&amp;"t TCS concentration and the proportion of cultivable benthic bacteria that were resistant to TCS, demonstrating that the levels of TCS present in these streams was affecting the native communities. An artificial stream experiment confirmed that TCS exposu"&amp;"re could trigger increases in TCS resistance within cultivable benthic bacteria, and pyrosequencing analysis indicated that TCS resulted in decreased benthic bacterial diversity and shifts in bacterial community composition. One notable change was a 6-fol"&amp;"d increase in the relative abundance of cyanobacterial sequences and a dramatic die-off of algae within the artificial streams. Selection of cyanobacteria over algae could have significant implications for higher trophic levels within streams. Finally, th"&amp;"ere were no observed effects of TCS on bacterial abundance or respiration rates, suggesting that bacterial density and function were highly resilient to TCS exposure.")</f>
        <v>Triclosan (TCS) is a broad-spectrum antimicrobial compound that is incorporated into numerous consumer products. TCS has been detected in aquatic ecosystems across the U.S., raising concern about its potential ecological effects. We conducted a field survey and an artificial stream experiment to assess effects of TCS on benthic bacterial communities. Field sampling indicated that TCS concentrations in stream sediments increased with degree of urbanization. There was significant correlation between sediment TCS concentration and the proportion of cultivable benthic bacteria that were resistant to TCS, demonstrating that the levels of TCS present in these streams was affecting the native communities. An artificial stream experiment confirmed that TCS exposure could trigger increases in TCS resistance within cultivable benthic bacteria, and pyrosequencing analysis indicated that TCS resulted in decreased benthic bacterial diversity and shifts in bacterial community composition. One notable change was a 6-fold increase in the relative abundance of cyanobacterial sequences and a dramatic die-off of algae within the artificial streams. Selection of cyanobacteria over algae could have significant implications for higher trophic levels within streams. Finally, there were no observed effects of TCS on bacterial abundance or respiration rates, suggesting that bacterial density and function were highly resilient to TCS exposure.</v>
      </c>
      <c r="C1631" s="24" t="str">
        <f>IFERROR(__xludf.DUMMYFUNCTION("""COMPUTED_VALUE"""),"10.1021/es401919k")</f>
        <v>10.1021/es401919k</v>
      </c>
      <c r="D1631" s="24" t="str">
        <f>IFERROR(__xludf.DUMMYFUNCTION("""COMPUTED_VALUE"""),"Keck et al")</f>
        <v>Keck et al</v>
      </c>
      <c r="E1631" s="24" t="str">
        <f>IFERROR(__xludf.DUMMYFUNCTION("""COMPUTED_VALUE"""),"WOS:000323013400102")</f>
        <v>WOS:000323013400102</v>
      </c>
      <c r="F1631" s="24" t="str">
        <f>IFERROR(__xludf.DUMMYFUNCTION("""COMPUTED_VALUE"""),"[""ELIGIBLE""]")</f>
        <v>["ELIGIBLE"]</v>
      </c>
    </row>
    <row r="1632">
      <c r="A1632" s="24" t="str">
        <f>IFERROR(__xludf.DUMMYFUNCTION("""COMPUTED_VALUE"""),"Hydrocarbon contamination and plant species determine the phylogenetic and functional diversity of endophytic degrading bacteria")</f>
        <v>Hydrocarbon contamination and plant species determine the phylogenetic and functional diversity of endophytic degrading bacteria</v>
      </c>
      <c r="B1632" s="24" t="str">
        <f>IFERROR(__xludf.DUMMYFUNCTION("""COMPUTED_VALUE"""),"Salt marsh sediments are sinks for various anthropogenic contaminants, giving rise to significant environmental concern. The process of salt marsh plant survival in such environment is very intriguing and at the same time poorly understood. The plant-micr"&amp;"obe interactions may play a key role in the process of environment and in planta detoxification. In this study, a combination of culture-dependent and culture-independent molecular approaches [enrichment cultures, polymerase chain reaction (PCR), denaturi"&amp;"ng gradient gel electrophoresis (DGGE), DNA sequencing] were used to investigate the effect of petroleum hydrocarbons (PH) contamination on the structure and function [polycyclic aromatic hydrocarbon (PAH) dioxygenase genes] of endophytic bacterial commun"&amp;"ities of salt marsh plant species (Halimione portulacoides and Sarcocornia perennis) in the estuarine system Ria de Aveiro (Portugal). Pseudomonads dominated the cultivable fraction of the endophytic communities in the enrichment cultures. In a set of fif"&amp;"ty isolates tested, nine were positive for genes encoding for PAH dioxygenases (nahAc) and four were positive for plasmid carrying genes encoding PAH degradation enzymes (nahAc). Interestingly, these plasmids were only detected in isolates from most sever"&amp;"ely PH-polluted sites. The results revealed site-specific effects on endophytic communities, related to the level of PH contamination in the sediment, and plant-species-specific 'imprints' in community structure and in genes encoding for PAH dioxygenases."&amp;" These results suggest a potential ecological role of bacterial plant symbiosis in the process of plant colonization in urban estuarine areas exposed to PH contamination.")</f>
        <v>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v>
      </c>
      <c r="C1632" s="24" t="str">
        <f>IFERROR(__xludf.DUMMYFUNCTION("""COMPUTED_VALUE"""),"10.1111/mec.12559")</f>
        <v>10.1111/mec.12559</v>
      </c>
      <c r="D1632" s="24" t="str">
        <f>IFERROR(__xludf.DUMMYFUNCTION("""COMPUTED_VALUE"""),"Keck et al")</f>
        <v>Keck et al</v>
      </c>
      <c r="E1632" s="24" t="str">
        <f>IFERROR(__xludf.DUMMYFUNCTION("""COMPUTED_VALUE"""),"WOS:000332773700012")</f>
        <v>WOS:000332773700012</v>
      </c>
      <c r="F1632" s="24" t="str">
        <f>IFERROR(__xludf.DUMMYFUNCTION("""COMPUTED_VALUE"""),"[""ELIGIBLE""]")</f>
        <v>["ELIGIBLE"]</v>
      </c>
    </row>
    <row r="1633">
      <c r="A1633" s="24" t="str">
        <f>IFERROR(__xludf.DUMMYFUNCTION("""COMPUTED_VALUE"""),"Soil bacterial communities and their associated functions for forest restoration on a limestone mine in northern Thailand")</f>
        <v>Soil bacterial communities and their associated functions for forest restoration on a limestone mine in northern Thailand</v>
      </c>
      <c r="B1633" s="24" t="str">
        <f>IFERROR(__xludf.DUMMYFUNCTION("""COMPUTED_VALUE"""),"Opencast mining removes topsoil and associated bacterial communities that play crucial roles in soil ecosystem functioning. Understanding the community composition and functioning of these organisms may lead to improve mine-rehabilitation practices. We us"&amp;"ed a culture-dependent method, combined with Illumina sequencing, to compare the taxonomic richness and composition of living bacterial communities in opencast mine substrates and young mine-rehabilitation plots, with those of soil in adjacent remnant for"&amp;"est at a limestone mine in northern Thailand. We further investigated the effects of soil physico-chemical factors and ground-flora cover on the same. Although, loosened subsoil, brought in to initiate rehabilitation, improved water retention and facilita"&amp;"ted plant re-establishment, it did not increase the population density of living microbes substantially within 9 months. Planted trees and sparse ground flora in young rehabilitation plots had not ameliorated the micro-habitat enough to change the taxonom"&amp;"ic composition of the soil bacteria compared with non-rehabilitated mine sites. Viable microbes were significantly more abundant in forest soil than in mine substrates. The living bacterial community composition differed significantly, between the forest "&amp;"plots and both the mine and rehabilitation plots. Proteobacteria dominated in forest soil, whereas Firmicutes dominated in samples from both mine and rehabilitation plots. Although, several bacterial taxa could survive in the mine substrate, soil ecosyste"&amp;"m functions were greatly reduced. Bacteria, capable of chitinolysis, aromatic compound degradation, ammonification and nitrate reduction were all absent or rare in the mine substrate. Functional redundancy of the bacterial communities in both mine substra"&amp;"te and young mine-rehabilitation soil was substantially reduced, compared with that of forest soil. Promoting the recovery of microbial biomass and functional diversity, early during mine rehabilitation, is recommended, to accelerate soil ecosystem restor"&amp;"ation and support vegetation recovery. Moreover, if inoculation is included in mine rehabilitation programs, the genera: Bacillus, Streptomyces and Arthrobacter are likely to be of particular interest, since these genera can be cultivated easily and this "&amp;"study showed that they can survive under the extreme conditions that prevail on opencast mines.")</f>
        <v>Opencast mining removes topsoil and associated bacterial communities that play crucial roles in soil ecosystem functioning. Understanding the community composition and functioning of these organisms may lead to improve mine-rehabilitation practices. We used a culture-dependent method, combined with Illumina sequencing, to compare the taxonomic richness and composition of living bacterial communities in opencast mine substrates and young mine-rehabilitation plots, with those of soil in adjacent remnant forest at a limestone mine in northern Thailand. We further investigated the effects of soil physico-chemical factors and ground-flora cover on the same. Although, loosened subsoil, brought in to initiate rehabilitation, improved water retention and facilitated plant re-establishment, it did not increase the population density of living microbes substantially within 9 months. Planted trees and sparse ground flora in young rehabilitation plots had not ameliorated the micro-habitat enough to change the taxonomic composition of the soil bacteria compared with non-rehabilitated mine sites. Viable microbes were significantly more abundant in forest soil than in mine substrates. The living bacterial community composition differed significantly, between the forest plots and both the mine and rehabilitation plots. Proteobacteria dominated in forest soil, whereas Firmicutes dominated in samples from both mine and rehabilitation plots. Although, several bacterial taxa could survive in the mine substrate, soil ecosystem functions were greatly reduced. Bacteria, capable of chitinolysis, aromatic compound degradation, ammonification and nitrate reduction were all absent or rare in the mine substrate. Functional redundancy of the bacterial communities in both mine substrate and young mine-rehabilitation soil was substantially reduced, compared with that of forest soil. Promoting the recovery of microbial biomass and functional diversity, early during mine rehabilitation, is recommended, to accelerate soil ecosystem restoration and support vegetation recovery. Moreover, if inoculation is included in mine rehabilitation programs, the genera: Bacillus, Streptomyces and Arthrobacter are likely to be of particular interest, since these genera can be cultivated easily and this study showed that they can survive under the extreme conditions that prevail on opencast mines.</v>
      </c>
      <c r="C1633" s="24" t="str">
        <f>IFERROR(__xludf.DUMMYFUNCTION("""COMPUTED_VALUE"""),"10.1371/journal.pone.0248806")</f>
        <v>10.1371/journal.pone.0248806</v>
      </c>
      <c r="D1633" s="24" t="str">
        <f>IFERROR(__xludf.DUMMYFUNCTION("""COMPUTED_VALUE"""),"Keck et al")</f>
        <v>Keck et al</v>
      </c>
      <c r="E1633" s="24" t="str">
        <f>IFERROR(__xludf.DUMMYFUNCTION("""COMPUTED_VALUE"""),"WOS:000639359600082")</f>
        <v>WOS:000639359600082</v>
      </c>
      <c r="F1633" s="24" t="str">
        <f>IFERROR(__xludf.DUMMYFUNCTION("""COMPUTED_VALUE"""),"[""ELIGIBLE""]")</f>
        <v>["ELIGIBLE"]</v>
      </c>
    </row>
    <row r="1634">
      <c r="A1634" s="24" t="str">
        <f>IFERROR(__xludf.DUMMYFUNCTION("""COMPUTED_VALUE"""),"The tea leaf microbiome shows specific responses to chemical pesticides and biocontrol applications")</f>
        <v>The tea leaf microbiome shows specific responses to chemical pesticides and biocontrol applications</v>
      </c>
      <c r="B1634" s="24" t="str">
        <f>IFERROR(__xludf.DUMMYFUNCTION("""COMPUTED_VALUE"""),"The plant microbiome is known to be influenced by certain biotic as well as abiotic factors. Nevertheless, the drivers for specific changes in microbial community composition and structure are largely unknown. In the present study, the effects of chemical"&amp;" and biological treatments for plant protection on the indigenous microbiome of Camellia sinensis (L.) Kuntze were contrasted. Assessment of bacteria-specific ribosomal RNA gene fragment amplicons from a representative set of samples showed an increased m"&amp;"icrobial diversity in treated plants when compared to untreated samples. Moreover, distinct microbial fingerprints were found for plants subjected to a conventional pesticide treatment with lime sulfur as well as for plants that were biologically treated "&amp;"with a Piriformospora indica spore solution. The bacterial community of pesticide-treated plants was augmented by 11 taxa assigned to Proteobacteria and Actinobacteria. In contrast, plants from biological control treatments were augmented by 10 taxa repre"&amp;"senting a more diversified community enrichment and included members of Actionobactetia, Proteobacteria, Bacteroidetes, Planctomycetes, and Verrucomicrobia. Complementary, molecular quantification of fungi in the samples showed a significantly lower numbe"&amp;"r of internal transcribed spacer copies in plants subjected to biological control treatments, indicating the highest efficiency against fungal pathogens. The overall results show that leaves that are used for tea production show distinct microbiome shifts"&amp;" that are elicited by common pest and pathogen management practices.These shifts in the microbial population indicate nontarget effects of the applied treatments. (C) 2019 Elsevier B.V. All rights reserved.")</f>
        <v>The plant microbiome is known to be influenced by certain biotic as well as abiotic factors. Nevertheless, the drivers for specific changes in microbial community composition and structure are largely unknown. In the present study, the effects of chemical and biological treatments for plant protection on the indigenous microbiome of Camellia sinensis (L.) Kuntze were contrasted. Assessment of bacteria-specific ribosomal RNA gene fragment amplicons from a representative set of samples showed an increased microbial diversity in treated plants when compared to untreated samples. Moreover, distinct microbial fingerprints were found for plants subjected to a conventional pesticide treatment with lime sulfur as well as for plants that were biologically treated with a Piriformospora indica spore solution. The bacterial community of pesticide-treated plants was augmented by 11 taxa assigned to Proteobacteria and Actinobacteria. In contrast, plants from biological control treatments were augmented by 10 taxa representing a more diversified community enrichment and included members of Actionobactetia, Proteobacteria, Bacteroidetes, Planctomycetes, and Verrucomicrobia. Complementary, molecular quantification of fungi in the samples showed a significantly lower number of internal transcribed spacer copies in plants subjected to biological control treatments, indicating the highest efficiency against fungal pathogens. The overall results show that leaves that are used for tea production show distinct microbiome shifts that are elicited by common pest and pathogen management practices.These shifts in the microbial population indicate nontarget effects of the applied treatments. (C) 2019 Elsevier B.V. All rights reserved.</v>
      </c>
      <c r="C1634" s="24" t="str">
        <f>IFERROR(__xludf.DUMMYFUNCTION("""COMPUTED_VALUE"""),"10.1016/j.scitotenv.2019.02.319")</f>
        <v>10.1016/j.scitotenv.2019.02.319</v>
      </c>
      <c r="D1634" s="24" t="str">
        <f>IFERROR(__xludf.DUMMYFUNCTION("""COMPUTED_VALUE"""),"Keck et al")</f>
        <v>Keck et al</v>
      </c>
      <c r="E1634" s="24" t="str">
        <f>IFERROR(__xludf.DUMMYFUNCTION("""COMPUTED_VALUE"""),"WOS:000461676600005")</f>
        <v>WOS:000461676600005</v>
      </c>
      <c r="F1634" s="24" t="str">
        <f>IFERROR(__xludf.DUMMYFUNCTION("""COMPUTED_VALUE"""),"[""ELIGIBLE""]")</f>
        <v>["ELIGIBLE"]</v>
      </c>
    </row>
    <row r="1635">
      <c r="A1635" s="24" t="str">
        <f>IFERROR(__xludf.DUMMYFUNCTION("""COMPUTED_VALUE"""),"Benthic impacts of intertidal oyster culture, with consideration of taxonomic sufficiency")</f>
        <v>Benthic impacts of intertidal oyster culture, with consideration of taxonomic sufficiency</v>
      </c>
      <c r="B1635" s="24" t="str">
        <f>IFERROR(__xludf.DUMMYFUNCTION("""COMPUTED_VALUE"""),"An investigation of the impacts from elevated intertidal Pacific oyster culture in a New Zealand estuary showed enhanced sedimentation beneath culture racks compared with other sites. Seabed elevation beneath racks was generally lower than between them, s"&amp;"uggesting that topographic patterns more likely result from a local effect of rack structures on hydrodynamic processes than from enhanced deposition. Compared with control sites, seabed sediments within the farm had a greater silt/clay and organic conten"&amp;"t, and a lower redox potential and shear strength. While a marked trend in macrofaunal species richness was not evident, species composition and dominance patterns were consistent with a disturbance gradient, with farm effects not evident 35 m from the pe"&amp;"rimeter of the racks. Of the environmental variables measured, sediment shear strength was most closely associated with the distribution and density of macrofauna, suggesting that human-induced disturbance from farming operations may have contributed to t"&amp;"he biological patterns. To evaluate the taxonomic sufficiency needed to document impacts, aggregation to the family level based on Linnean classification was compared with an aggregation scheme based on 'general groups' identifiable with limited taxonomic"&amp;" expertise. Compared with species-level analyses, spatial patterns of impact were equally discernible at both aggregation levels used, provided density rather than presence/absence data were used. Once baseline conditions are established and the efficacy "&amp;"of taxonomic aggregation demonstrated, a 'general group' scheme provides an appropriate and increasingly relevant tool for routine monitoring.")</f>
        <v>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v>
      </c>
      <c r="C1635" s="24" t="str">
        <f>IFERROR(__xludf.DUMMYFUNCTION("""COMPUTED_VALUE"""),"10.1007/s10661-006-0359-3")</f>
        <v>10.1007/s10661-006-0359-3</v>
      </c>
      <c r="D1635" s="24" t="str">
        <f>IFERROR(__xludf.DUMMYFUNCTION("""COMPUTED_VALUE"""),"Keck et al")</f>
        <v>Keck et al</v>
      </c>
      <c r="E1635" s="24" t="str">
        <f>IFERROR(__xludf.DUMMYFUNCTION("""COMPUTED_VALUE"""),"WOS:000234571500009")</f>
        <v>WOS:000234571500009</v>
      </c>
      <c r="F1635" s="24" t="str">
        <f>IFERROR(__xludf.DUMMYFUNCTION("""COMPUTED_VALUE"""),"[""ELIGIBLE""]")</f>
        <v>["ELIGIBLE"]</v>
      </c>
    </row>
    <row r="1636">
      <c r="A1636" s="24" t="str">
        <f>IFERROR(__xludf.DUMMYFUNCTION("""COMPUTED_VALUE"""),"Grazing regime alters plant community structure via patch-scale diversity in semiarid grasslands")</f>
        <v>Grazing regime alters plant community structure via patch-scale diversity in semiarid grasslands</v>
      </c>
      <c r="B1636" s="24" t="str">
        <f>IFERROR(__xludf.DUMMYFUNCTION("""COMPUTED_VALUE"""),"Selective grazing of livestock creates lightly and heavily grazed vegetation patches, which together contribute to the whole community in grazed grasslands. The intermediate disturbance hypothesis (IDH) predicts moderate grazing intensity can increase spe"&amp;"cies diversity. However, grazing patchiness complicates predicted responses to grazing intensity from ecological theory and may influence how various management regimes affect biodiversity at the whole community scale. We examined effects of management re"&amp;"gime and grazing intensity on plant species diversity, community composition, aboveground net primary production (ANPP), and soil compaction. Two management regimes (season-long continuous grazing and grazing and mowing alternated annually) and seven leve"&amp;"ls of grazing intensity were applied over the past 10 yr. We assessed how alpha diversity within patches and beta diversity across patches contributed to the diversity of the whole plot and how these relationships responded to both grazing intensity and m"&amp;"anagement regime. We further divided beta diversity into nestedness and replacement components across lightly and heavily grazed patches within plots. The mixed grazing-mowing regime differed from the continuous grazing regime in that the former had a hig"&amp;"her number of palatable species, higher species evenness, and higher Shannon-Wiener diversity, in both lightly and heavily grazed patches and the whole plots, and especially at moderate and high grazing intensities. The continuous grazing regime and the m"&amp;"ixed grazing-mowing regime did not differ in total beta diversity. However, the nestedness component of total beta diversity was dominant in the continuous grazing regime. In contrast, species richness and ANPP did not differ significantly between the two"&amp;" management regimes, though soil hardness in heavily grazed patches was significantly higher under the continuous grazing regime than the mixed grazing-mowing regime. Loss of rare species under both management regimes, even at low to moderate grazing inte"&amp;"nsities, suggests that selective grazing and patch formation may not conform with the IDH. Our study indicates that the mixed grazing-mowing regime is more sustainable for long-term grassland management than the continuous grazing regime by controlling th"&amp;"e creation of heavily grazed patches. These findings, integrating alpha-beta-gamma diversity and patch-scale approaches, provide a more thorough evaluation than the intermediate disturbance hypothesis of grazing management in terms of sustainability and b"&amp;"iodiversity conservation in semiarid regions.")</f>
        <v>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v>
      </c>
      <c r="C1636" s="24" t="str">
        <f>IFERROR(__xludf.DUMMYFUNCTION("""COMPUTED_VALUE"""),"10.1002/ecs2.3547")</f>
        <v>10.1002/ecs2.3547</v>
      </c>
      <c r="D1636" s="24" t="str">
        <f>IFERROR(__xludf.DUMMYFUNCTION("""COMPUTED_VALUE"""),"Keck et al")</f>
        <v>Keck et al</v>
      </c>
      <c r="E1636" s="24" t="str">
        <f>IFERROR(__xludf.DUMMYFUNCTION("""COMPUTED_VALUE"""),"WOS:000667707100009")</f>
        <v>WOS:000667707100009</v>
      </c>
      <c r="F1636" s="24" t="str">
        <f>IFERROR(__xludf.DUMMYFUNCTION("""COMPUTED_VALUE"""),"[""ELIGIBLE""]")</f>
        <v>["ELIGIBLE"]</v>
      </c>
    </row>
    <row r="1637">
      <c r="A1637" s="24" t="str">
        <f>IFERROR(__xludf.DUMMYFUNCTION("""COMPUTED_VALUE"""),"Community and species responses by birds to group retention in a coastal temperate forest on Vancouver Island, British Columbia")</f>
        <v>Community and species responses by birds to group retention in a coastal temperate forest on Vancouver Island, British Columbia</v>
      </c>
      <c r="B1637" s="24" t="str">
        <f>IFERROR(__xludf.DUMMYFUNCTION("""COMPUTED_VALUE"""),"Group retention is a forest harvesting technique designed to sustain biodiversity and mitigate concerns regarding clearcut logging. It is characterized by retained forest patches that vary in number, size, spatial arrangement, and habitat attributes. We u"&amp;"sed birds to compare community composition and species abundance among clearcut, group retention, and uncut control forest treatments, and evaluated species' responses to percentage retention. The bird community in group retention was more similar to that"&amp;" in control forests than it was to the community in clearcuts. The probability of occurrence for many bird species typical of uncut control forests was related positively to percentage retention. A preliminary analysis of plot-level effects (i.e., amount "&amp;"of forest sampled) suggests that patch size may be more important than total amount of retention. (c) 2007 Elsevier B.V. All rights reserved.")</f>
        <v>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v>
      </c>
      <c r="C1637" s="24" t="str">
        <f>IFERROR(__xludf.DUMMYFUNCTION("""COMPUTED_VALUE"""),"10.1016/j.foreco.2007.03.002")</f>
        <v>10.1016/j.foreco.2007.03.002</v>
      </c>
      <c r="D1637" s="24" t="str">
        <f>IFERROR(__xludf.DUMMYFUNCTION("""COMPUTED_VALUE"""),"Keck et al")</f>
        <v>Keck et al</v>
      </c>
      <c r="E1637" s="24" t="str">
        <f>IFERROR(__xludf.DUMMYFUNCTION("""COMPUTED_VALUE"""),"WOS:000246343500015")</f>
        <v>WOS:000246343500015</v>
      </c>
      <c r="F1637" s="24" t="str">
        <f>IFERROR(__xludf.DUMMYFUNCTION("""COMPUTED_VALUE"""),"[""ELIGIBLE""]")</f>
        <v>["ELIGIBLE"]</v>
      </c>
    </row>
    <row r="1638">
      <c r="A1638" s="24" t="str">
        <f>IFERROR(__xludf.DUMMYFUNCTION("""COMPUTED_VALUE"""),"A continental comparison indicates long-term effects of forest management on understory diversity in coniferous forests")</f>
        <v>A continental comparison indicates long-term effects of forest management on understory diversity in coniferous forests</v>
      </c>
      <c r="B1638" s="24" t="str">
        <f>IFERROR(__xludf.DUMMYFUNCTION("""COMPUTED_VALUE"""),"Promotion of species diversity has become a major goal in forestry. This requires an understanding of the impacts of management disturbance on species diversity relative to natural drivers such as climatic or edaphic conditions on the relevant temporal sc"&amp;"ales, i.e., centuries. We examined the effects of long-term management disturbance on understory plant diversity in coniferous forests by comparing structure types (ages since disturbance) between regions with comparable abiotic settings but contrasting m"&amp;"anagement history, i.e., management for centuries in central Europe versus the first logging in primary forests in western Canada. We systematically sampled three age classes after disturbance and compared their alpha diversity and species composition. Th"&amp;"e structure types (age classes) showed similar differences in alpha diversity in both landscapes, while the response of species compositions differed between the two. Fewer late-successional specialists occurred in the European landscape. Within the setti"&amp;"ng of our study, the structure types, which reflect the time since major forest management disturbance, affected understory species richness and composition at least as strongly as environmental conditions such as climate, soil, and tree layer diversity a"&amp;"cross the broad altitudinal gradients that we sampled. Our results suggest that forest management affects the diversity of coniferous forests, with management for centuries disadvantaging late-successional specialists. Furthermore, it appears that human a"&amp;"ction is becoming the major determinant of diversity of coniferous forests, emphasizing the need for sustainable management schemes.")</f>
        <v>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v>
      </c>
      <c r="C1638" s="24" t="str">
        <f>IFERROR(__xludf.DUMMYFUNCTION("""COMPUTED_VALUE"""),"10.1139/X2012-052")</f>
        <v>10.1139/X2012-052</v>
      </c>
      <c r="D1638" s="24" t="str">
        <f>IFERROR(__xludf.DUMMYFUNCTION("""COMPUTED_VALUE"""),"Keck et al")</f>
        <v>Keck et al</v>
      </c>
      <c r="E1638" s="24" t="str">
        <f>IFERROR(__xludf.DUMMYFUNCTION("""COMPUTED_VALUE"""),"WOS:000306612800007")</f>
        <v>WOS:000306612800007</v>
      </c>
      <c r="F1638" s="24" t="str">
        <f>IFERROR(__xludf.DUMMYFUNCTION("""COMPUTED_VALUE"""),"[""ELIGIBLE""]")</f>
        <v>["ELIGIBLE"]</v>
      </c>
    </row>
    <row r="1639">
      <c r="A1639" s="24" t="str">
        <f>IFERROR(__xludf.DUMMYFUNCTION("""COMPUTED_VALUE"""),"Invertebrate communities in a modified isolated raised bog compared to an intact raised bog in New Zealand")</f>
        <v>Invertebrate communities in a modified isolated raised bog compared to an intact raised bog in New Zealand</v>
      </c>
      <c r="B1639" s="24" t="str">
        <f>IFERROR(__xludf.DUMMYFUNCTION("""COMPUTED_VALUE"""),"The effect of modifying New Zealand's threatened peat bogs on invertebrate communities is poorly known, despite their susceptibility to disturbance and their ecological significance. Using Malaise traps, we surveyed and compared terrestrial invertebrates "&amp;"in a remnant modified bog (Moanatuatua) isolated in an agricultural landscape and a community in an intact large bog (Kopuatai) in New Zealand. On average, more invertebrates were caught in the modified bog than in the intact bog. In addition, observed me"&amp;"an abundances for Diptera were higher at the modified bog. In contrast, total and geometric mean abundance of Coleoptera was significantly lower in the modified bog compared to the intact bog. We found no evidence of differences in species richness of Col"&amp;"eoptera, Lepidoptera, Diptera, Hymenoptera between the two bogs. Introduced species were more common in the modified bog. Ordination results indicated a difference in invertebrate community composition between the two bogs, and in addition the modified bo"&amp;"g plots separated according to their distance from the wetland edge. Our results indicate that, within a modified isolated bog, native invertebrates can survive, and that some specialised and threatened species can thrive. However, the lower proportion of"&amp;" native Diptera and Lepidoptera taxa abundance in the modified bog is reason for concern.")</f>
        <v>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v>
      </c>
      <c r="C1639" s="24" t="str">
        <f>IFERROR(__xludf.DUMMYFUNCTION("""COMPUTED_VALUE"""),"10.19189/MaP.2019.MEH.StA.1879")</f>
        <v>10.19189/MaP.2019.MEH.StA.1879</v>
      </c>
      <c r="D1639" s="24" t="str">
        <f>IFERROR(__xludf.DUMMYFUNCTION("""COMPUTED_VALUE"""),"Keck et al")</f>
        <v>Keck et al</v>
      </c>
      <c r="E1639" s="24" t="str">
        <f>IFERROR(__xludf.DUMMYFUNCTION("""COMPUTED_VALUE"""),"WOS:000544887400001")</f>
        <v>WOS:000544887400001</v>
      </c>
      <c r="F1639" s="24" t="str">
        <f>IFERROR(__xludf.DUMMYFUNCTION("""COMPUTED_VALUE"""),"[""ELIGIBLE""]")</f>
        <v>["ELIGIBLE"]</v>
      </c>
    </row>
    <row r="1640">
      <c r="A1640" s="24" t="str">
        <f>IFERROR(__xludf.DUMMYFUNCTION("""COMPUTED_VALUE"""),"Environmental effects of nanoparticles on the ecological succession of gut microbiota across zebrafish development")</f>
        <v>Environmental effects of nanoparticles on the ecological succession of gut microbiota across zebrafish development</v>
      </c>
      <c r="B1640" s="24" t="str">
        <f>IFERROR(__xludf.DUMMYFUNCTION("""COMPUTED_VALUE"""),"The environmental stresses could significantly affect the structure and functions of microbial communities colonized in the gut ecosystem. However, little is known about how engineered nanoparticles (ENPs), which have recently become a common pollutant in"&amp;" the environment, affect the gut microbiota across fish development. Based on the high-throughput sequencing of the 16S rRNA gene amplicon, we explored the ecological succession of gut microbiota in zebrafish exposed to nanoparticles for three months. The"&amp;" nanoparticles used herein including titanium dioxide nanoparticles (nTiO(2), 100 mu g/L), zinc oxide nanoparticles (nZnO, 100 mu g/L), and selenium nanoparticles (nSe, 100 mu g/L). Our results showed that nanoparticles exposure reduced the alpha diversit"&amp;"y of gut microbiota at 73-90 days post-hatching (dph), but showed no significant effects at 14-36 dph. Moreover, nTiO(2) significantly (p &lt; 0.05) altered the composition of the gut microbial communities at 73-90 dph (e.g., decreasing abundance of Cetobact"&amp;"erium and Vibrio). Moreover, we found that homogeneous selection was the major process (16.6-57.8%) governing the community succession of gut microbiota. Also, nanopartides exposure caused topological alterations to microbial networks and led to increased"&amp;" positive interactions to destabilize the gut microbial community. This study reveals the environmental effects of nanopartides on the ecological succession of gut microbiota across zebrafish development, which provides novel insights to understand the gu"&amp;"t microbial responses to ENPs over the development of aquatic animals. (C) 2021 Published by Elsevier B.V.")</f>
        <v>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v>
      </c>
      <c r="C1640" s="24" t="str">
        <f>IFERROR(__xludf.DUMMYFUNCTION("""COMPUTED_VALUE"""),"10.1016/j.scitotenv.2021.150963")</f>
        <v>10.1016/j.scitotenv.2021.150963</v>
      </c>
      <c r="D1640" s="24" t="str">
        <f>IFERROR(__xludf.DUMMYFUNCTION("""COMPUTED_VALUE"""),"Keck et al")</f>
        <v>Keck et al</v>
      </c>
      <c r="E1640" s="24" t="str">
        <f>IFERROR(__xludf.DUMMYFUNCTION("""COMPUTED_VALUE"""),"WOS:000740230100004")</f>
        <v>WOS:000740230100004</v>
      </c>
      <c r="F1640" s="24" t="str">
        <f>IFERROR(__xludf.DUMMYFUNCTION("""COMPUTED_VALUE"""),"[""ELIGIBLE""]")</f>
        <v>["ELIGIBLE"]</v>
      </c>
    </row>
    <row r="1641">
      <c r="A1641" s="24" t="str">
        <f>IFERROR(__xludf.DUMMYFUNCTION("""COMPUTED_VALUE"""),"Response of overstory and understory vegetation 37 years after prescribed burning in an aspen-dominated forest in northern Minnesota, USA - A case study")</f>
        <v>Response of overstory and understory vegetation 37 years after prescribed burning in an aspen-dominated forest in northern Minnesota, USA - A case study</v>
      </c>
      <c r="B1641" s="24" t="str">
        <f>IFERROR(__xludf.DUMMYFUNCTION("""COMPUTED_VALUE"""),"Many studies have examined short-term changes in understory vegetation following prescribed burning. However, knowledge concerning longer term effects on both forest understory and overstory vegetation is lacking. This investigation was initiated to exami"&amp;"ne changes in understory (herbaceous and shrub) and overstory species composition almost four decades after logging and prescribed burning at the Pike Bay Experimental Forest in Minnesota. The experiment was established in 1964 with a randomized block des"&amp;"ign with four treatments: control (c); burned in spring 1967 (S0); burned in spring 1967 + repeat burn spring 1969 (S2); and burned in spring 1967 + repeat burn fall 1970 (F4). Overstory and understory species diversity indices and richness varied within "&amp;"and among treatments but were not strongly or consistently affected by the treatments. Multivariate analyses (multi-response block permutation procedures and non-metric multidimensional scaling) reveal some lingering effects of burning intensity and seaso"&amp;"nal variation as well as some compositional differentiation among treatments, but only in the herb layer. In this environment, the effects of two repeated burnings (fire) have essentially disappeared for overstory and understory species diversity and comm"&amp;"unity composition and have failed to convert an aspen-dominated stand to a coniferous stand (an original goal of the study).")</f>
        <v>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v>
      </c>
      <c r="C1641" s="24" t="str">
        <f>IFERROR(__xludf.DUMMYFUNCTION("""COMPUTED_VALUE"""),"10.1080/11263504.2016.1255265")</f>
        <v>10.1080/11263504.2016.1255265</v>
      </c>
      <c r="D1641" s="24" t="str">
        <f>IFERROR(__xludf.DUMMYFUNCTION("""COMPUTED_VALUE"""),"Keck et al")</f>
        <v>Keck et al</v>
      </c>
      <c r="E1641" s="24" t="str">
        <f>IFERROR(__xludf.DUMMYFUNCTION("""COMPUTED_VALUE"""),"WOS:000426306200005")</f>
        <v>WOS:000426306200005</v>
      </c>
      <c r="F1641" s="24" t="str">
        <f>IFERROR(__xludf.DUMMYFUNCTION("""COMPUTED_VALUE"""),"[""ELIGIBLE""]")</f>
        <v>["ELIGIBLE"]</v>
      </c>
    </row>
    <row r="1642">
      <c r="A1642" s="24" t="str">
        <f>IFERROR(__xludf.DUMMYFUNCTION("""COMPUTED_VALUE"""),"Watershed Urbanization Alters the Composition and Function of Stream Bacterial Communities")</f>
        <v>Watershed Urbanization Alters the Composition and Function of Stream Bacterial Communities</v>
      </c>
      <c r="B1642" s="24" t="str">
        <f>IFERROR(__xludf.DUMMYFUNCTION("""COMPUTED_VALUE"""),"Watershed urbanization leads to dramatic changes in draining streams, with urban streams receiving a high frequency of scouring flows, together with the nutrient, contaminant, and thermal pollution associated with urbanization. These changes are known to "&amp;"cause significant losses of sensitive insect and fish species from urban streams, yet little is known about how these changes affect the composition and function of stream microbial communities. Over the course of two years, we repeatedly sampled sediment"&amp;"s from eight central North Carolina streams affected to varying degrees by watershed urbanization. For each stream and sampling date, we characterized both overall and denitrifying bacterial communities and measured denitrification potentials. Denitrifica"&amp;"tion is an ecologically important process, mediated by denitrifying bacteria that use nitrate and organic carbon as substrates. Differences in overall and denitrifying bacterial community composition were strongly associated with the gradient in urbanizat"&amp;"ion. Denitrification potentials, which varied widely, were not significantly associated with substrate supply. By incorporating information on the community composition of denitrifying bacteria together with substrate supply in a linear mixed-effects mode"&amp;"l, we explained 45% of the variation in denitrification potential (p-value&lt;0.001). Our results suggest that (1) the composition of stream bacterial communities change in response to watershed urbanization and (2) such changes may have important consequenc"&amp;"es for critical ecosystem functions such as denitrification.")</f>
        <v>Watershed urbanization leads to dramatic changes in draining streams, with urban streams receiving a high frequency of scouring flows, together with the nutrient, contaminant, and thermal pollution associated with urbanization. These changes are known to cause significant losses of sensitive insect and fish species from urban streams, yet little is known about how these changes affect the composition and function of stream microbial communities. Over the course of two years, we repeatedly sampled sediments from eight central North Carolina streams affected to varying degrees by watershed urbanization. For each stream and sampling date, we characterized both overall and denitrifying bacterial communities and measured denitrification potentials. Denitrification is an ecologically important process, mediated by denitrifying bacteria that use nitrate and organic carbon as substrates. Differences in overall and denitrifying bacterial community composition were strongly associated with the gradient in urbanization. Denitrification potentials, which varied widely, were not significantly associated with substrate supply. By incorporating information on the community composition of denitrifying bacteria together with substrate supply in a linear mixed-effects model, we explained 45% of the variation in denitrification potential (p-value&lt;0.001). Our results suggest that (1) the composition of stream bacterial communities change in response to watershed urbanization and (2) such changes may have important consequences for critical ecosystem functions such as denitrification.</v>
      </c>
      <c r="C1642" s="24" t="str">
        <f>IFERROR(__xludf.DUMMYFUNCTION("""COMPUTED_VALUE"""),"10.1371/journal.pone.0022972")</f>
        <v>10.1371/journal.pone.0022972</v>
      </c>
      <c r="D1642" s="24" t="str">
        <f>IFERROR(__xludf.DUMMYFUNCTION("""COMPUTED_VALUE"""),"Keck et al")</f>
        <v>Keck et al</v>
      </c>
      <c r="E1642" s="24" t="str">
        <f>IFERROR(__xludf.DUMMYFUNCTION("""COMPUTED_VALUE"""),"WOS:000293953500011")</f>
        <v>WOS:000293953500011</v>
      </c>
      <c r="F1642" s="24" t="str">
        <f>IFERROR(__xludf.DUMMYFUNCTION("""COMPUTED_VALUE"""),"[""ELIGIBLE""]")</f>
        <v>["ELIGIBLE"]</v>
      </c>
    </row>
    <row r="1643">
      <c r="A1643" s="24" t="str">
        <f>IFERROR(__xludf.DUMMYFUNCTION("""COMPUTED_VALUE"""),"The effects of atrazine on the microbiome of the eastern oyster: Crassostrea virginica")</f>
        <v>The effects of atrazine on the microbiome of the eastern oyster: Crassostrea virginica</v>
      </c>
      <c r="B1643" s="24" t="str">
        <f>IFERROR(__xludf.DUMMYFUNCTION("""COMPUTED_VALUE"""),"Long-standing evidence supports the importance of maintaining healthy populations of microbiota for the survival, homeostasis, and complete development of marine mollusks. However, the long-term ecological effects of agricultural runoff on these populatio"&amp;"ns remains largely unknown. Atrazine (6-Chloro-n-ethyl-n '-(1-methylethyl)-triazine-2,4-diamine), a prevalent herbicide in the United States, is often used along tributaries of the Chesapeake Bay where oyster breeding programs are concentrated. To investi"&amp;"gate any potential effects atrazine maybe having on mollusk-prokaryote interactions, we used 16S rRNA gene amplicons to evaluate how microbial compositions shift in response to exposure of environmentally relevant concentrations of atrazine previously fou"&amp;"nd within the Chesapeake Bay. The dominant bacterial genera found within all groups included those belonging to Pseudoalteromonas, Burkholderia, Bacteroides, Lactobacillis, Acetobacter, Allobaculum, Ruminococcus, and Nocardia. Our results support previous"&amp;"ly published findings of a possible core microbial community in Crassostrea virginica. We also report a novel finding: oysters exposed to atrazine concentrations as low as 3 mu g/L saw a significant loss of a key mutualistic microbial species and a subseq"&amp;"uent colonization of a pathogenic bacteria Nocardia. We conclude that exposure to atrazine in the Chesapeake Bay may be contributing to a significant shift in the microbiomes of juvenile oysters that reduces fitness and impedes natural and artificial repo"&amp;"pulation of the oyster species within the Bay.")</f>
        <v>Long-standing evidence supports the importance of maintaining healthy populations of microbiota for the survival, homeostasis, and complete development of marine mollusks. However, the long-term ecological effects of agricultural runoff on these populations remains largely unknown. Atrazine (6-Chloro-n-ethyl-n '-(1-methylethyl)-triazine-2,4-diamine), a prevalent herbicide in the United States, is often used along tributaries of the Chesapeake Bay where oyster breeding programs are concentrated. To investigate any potential effects atrazine maybe having on mollusk-prokaryote interactions, we used 16S rRNA gene amplicons to evaluate how microbial compositions shift in response to exposure of environmentally relevant concentrations of atrazine previously found within the Chesapeake Bay. The dominant bacterial genera found within all groups included those belonging to Pseudoalteromonas, Burkholderia, Bacteroides, Lactobacillis, Acetobacter, Allobaculum, Ruminococcus, and Nocardia. Our results support previously published findings of a possible core microbial community in Crassostrea virginica. We also report a novel finding: oysters exposed to atrazine concentrations as low as 3 mu g/L saw a significant loss of a key mutualistic microbial species and a subsequent colonization of a pathogenic bacteria Nocardia. We conclude that exposure to atrazine in the Chesapeake Bay may be contributing to a significant shift in the microbiomes of juvenile oysters that reduces fitness and impedes natural and artificial repopulation of the oyster species within the Bay.</v>
      </c>
      <c r="C1643" s="24" t="str">
        <f>IFERROR(__xludf.DUMMYFUNCTION("""COMPUTED_VALUE"""),"10.1038/s41598-020-67851-4")</f>
        <v>10.1038/s41598-020-67851-4</v>
      </c>
      <c r="D1643" s="24" t="str">
        <f>IFERROR(__xludf.DUMMYFUNCTION("""COMPUTED_VALUE"""),"Keck et al")</f>
        <v>Keck et al</v>
      </c>
      <c r="E1643" s="24" t="str">
        <f>IFERROR(__xludf.DUMMYFUNCTION("""COMPUTED_VALUE"""),"WOS:000550000300038")</f>
        <v>WOS:000550000300038</v>
      </c>
      <c r="F1643" s="24" t="str">
        <f>IFERROR(__xludf.DUMMYFUNCTION("""COMPUTED_VALUE"""),"[""ELIGIBLE""]")</f>
        <v>["ELIGIBLE"]</v>
      </c>
    </row>
    <row r="1644">
      <c r="A1644" s="24" t="str">
        <f>IFERROR(__xludf.DUMMYFUNCTION("""COMPUTED_VALUE"""),"Do cyclones and forest fragmentation have synergistic effects? A before-after study of rainforest vegetation structure at multiple sites")</f>
        <v>Do cyclones and forest fragmentation have synergistic effects? A before-after study of rainforest vegetation structure at multiple sites</v>
      </c>
      <c r="B1644" s="24" t="str">
        <f>IFERROR(__xludf.DUMMYFUNCTION("""COMPUTED_VALUE"""),"Ecological degradation within areas of remnant forest may be amplified if the effects of fragmentation interact with the effects of other environmental disturbances such as wind storms. We used before-after comparisons to assess the effects of Tropical Cy"&amp;"clone Larry on remnant and continuous rainforest in the Wet Tropics uplands of north-eastern Australia. Vegetation structure was measured 3 years before the cyclone and 6 months afterwards, at eight continuous forest sites and eight remnants (6-37 ha), wi"&amp;"thin 20 km of the cyclone's track. The cyclone caused extensive defoliation, felling and breakage of stems and branches (greatest among the trees &gt; 100 cm diameter which had around 50% stem loss), and increased litter and woody debris. Cyclone effects wer"&amp;"e strongly influenced by a site's spatial position (P = 0.005, 0.001 in multivariate analyses of overall damage). Maximum damage occurred 10-15 km south of the cyclone track, perhaps because of the additive effects of the west-moving air at the southern e"&amp;"yewall combined with the cyclone's own rapid westward movement. Most fragments were south of the cyclone track, as a consequence of spatially selective deforestation practices, and therefore, showed greatest damage. However, once the effects of spatial po"&amp;"sition were considered, the independent differences in cyclone effects between fragments and continuous forest were lost (P = 0.23, 0.41 when north-south distance was included as a covariate in analyses). The expected protection afforded by a continuous f"&amp;"orest canopy seems to have disappeared in the face of extremely strong cyclonic winds and down-draughts. Nevertheless, an interaction between fragmentation and disturbance may yet occur, during the period of post-cyclone recovery, owing to the effects of "&amp;"landscape context on plant recruitment. For example, there was a higher diversity of exotic seedling germination in fragments, independent of the extent of cyclone damage.")</f>
        <v>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v>
      </c>
      <c r="C1644" s="24" t="str">
        <f>IFERROR(__xludf.DUMMYFUNCTION("""COMPUTED_VALUE"""),"10.1111/j.1442-9993.2008.01902.x")</f>
        <v>10.1111/j.1442-9993.2008.01902.x</v>
      </c>
      <c r="D1644" s="24" t="str">
        <f>IFERROR(__xludf.DUMMYFUNCTION("""COMPUTED_VALUE"""),"Keck et al")</f>
        <v>Keck et al</v>
      </c>
      <c r="E1644" s="24" t="str">
        <f>IFERROR(__xludf.DUMMYFUNCTION("""COMPUTED_VALUE"""),"WOS:000255643500010")</f>
        <v>WOS:000255643500010</v>
      </c>
      <c r="F1644" s="24" t="str">
        <f>IFERROR(__xludf.DUMMYFUNCTION("""COMPUTED_VALUE"""),"[""ELIGIBLE""]")</f>
        <v>["ELIGIBLE"]</v>
      </c>
    </row>
    <row r="1645">
      <c r="A1645" s="24" t="str">
        <f>IFERROR(__xludf.DUMMYFUNCTION("""COMPUTED_VALUE"""),"Are eulittoral assemblages suitable for detecting the effects of sewage discharges in Atlantic and Mediterranean coastal areas?")</f>
        <v>Are eulittoral assemblages suitable for detecting the effects of sewage discharges in Atlantic and Mediterranean coastal areas?</v>
      </c>
      <c r="B1645" s="24" t="str">
        <f>IFERROR(__xludf.DUMMYFUNCTION("""COMPUTED_VALUE"""),"The search for cost-effective indicators able to detect anthropogenic impacts is an essential prerequisite to plan mitigation interventions, which can prevent further deterioration of coastal areas. Eulittoral assemblages are accessible for sampling, and "&amp;"their dominant species are easy to identify and widely distributed. This study assessed the potential of eulittoral assemblages to reflect environmental perturbations related to sewage discharge across different environmental and geographical locations. S"&amp;"ampling occurred in impacted (near sewage discharge) and control areas, on both Atlantic and Mediterranean shores. Multivariate analyses showed that the structure of eulittoral invertebrate assemblages differed significantly between control and impacted a"&amp;"reas for the Mediterranean, but not for the Atlantic case study. Macroalgae responses to sewage discharge were found on the Mediterranean shore with a significantly higher abundance of Chlorophyta near the outfall. Limpet populations of the genus Patella "&amp;"appear to be affected by sewage discharge. The response of limpet populations differed between Atlantic and Mediterranean shores, probably due to among-species differences of ecological traits. Our results suggest that the response of eulittoral assemblag"&amp;"es and limpets to sewage discharge might be strictly context-dependent, thus limiting their potential to serve as general indicators in monitoring the effects of this source of human impact over large spatial scales.")</f>
        <v>The search for cost-effective indicators able to detect anthropogenic impacts is an essential prerequisite to plan mitigation interventions, which can prevent further deterioration of coastal areas. Eulittoral assemblages are accessible for sampling, and their dominant species are easy to identify and widely distributed. This study assessed the potential of eulittoral assemblages to reflect environmental perturbations related to sewage discharge across different environmental and geographical locations. Sampling occurred in impacted (near sewage discharge) and control areas, on both Atlantic and Mediterranean shores. Multivariate analyses showed that the structure of eulittoral invertebrate assemblages differed significantly between control and impacted areas for the Mediterranean, but not for the Atlantic case study. Macroalgae responses to sewage discharge were found on the Mediterranean shore with a significantly higher abundance of Chlorophyta near the outfall. Limpet populations of the genus Patella appear to be affected by sewage discharge. The response of limpet populations differed between Atlantic and Mediterranean shores, probably due to among-species differences of ecological traits. Our results suggest that the response of eulittoral assemblages and limpets to sewage discharge might be strictly context-dependent, thus limiting their potential to serve as general indicators in monitoring the effects of this source of human impact over large spatial scales.</v>
      </c>
      <c r="C1645" s="24" t="str">
        <f>IFERROR(__xludf.DUMMYFUNCTION("""COMPUTED_VALUE"""),"10.1080/11250003.2014.947336")</f>
        <v>10.1080/11250003.2014.947336</v>
      </c>
      <c r="D1645" s="24" t="str">
        <f>IFERROR(__xludf.DUMMYFUNCTION("""COMPUTED_VALUE"""),"Keck et al")</f>
        <v>Keck et al</v>
      </c>
      <c r="E1645" s="24" t="str">
        <f>IFERROR(__xludf.DUMMYFUNCTION("""COMPUTED_VALUE"""),"WOS:000344781500012")</f>
        <v>WOS:000344781500012</v>
      </c>
      <c r="F1645" s="24" t="str">
        <f>IFERROR(__xludf.DUMMYFUNCTION("""COMPUTED_VALUE"""),"[""ELIGIBLE""]")</f>
        <v>["ELIGIBLE"]</v>
      </c>
    </row>
    <row r="1646">
      <c r="A1646" s="24" t="str">
        <f>IFERROR(__xludf.DUMMYFUNCTION("""COMPUTED_VALUE"""),"Community composition of tree and palm species following disturbance in a forest with bamboo in southwestern Amazonia, Brazil")</f>
        <v>Community composition of tree and palm species following disturbance in a forest with bamboo in southwestern Amazonia, Brazil</v>
      </c>
      <c r="B1646" s="24" t="str">
        <f>IFERROR(__xludf.DUMMYFUNCTION("""COMPUTED_VALUE"""),"Anthropogenic disturbances such as selective logging and forest fires can cause further degradation in tropical forests. Various authors have suggested that logging and fire in southwestern Amazonia can increase bamboo abundance and contribute to slowing "&amp;"succession, but few studies have addressed community-composition patterns at either the local or the regional scale. We used a natural experiment with forest fire and post-burn logging to analyze the effects of increased bamboo abundance on the community "&amp;"composition of trees and palms in Brazil's Acre state in southwestern Amazonia. Bamboo abundance was expressed by variables collected both by field sampling and from high-resolution images using a remotely piloted aircraft (RPA). Disturbance in these fore"&amp;"sts was associated with a significant reduction in the number of crowns of emergent trees and palms and an increase in the canopy fraction occupied by bamboo. A significant negative relationship was observed between the canopy area occupied by bamboo and "&amp;"the number of tree and palm species, regardless of the level of disturbance. Bamboo density (culms m(-2)) and canopy area occupied by bamboo had significant effects on community composition, indicating that bamboo abundance is a key driver affecting the f"&amp;"loristic composition of the forest. in Portuguese is available with online material.")</f>
        <v>Anthropogenic disturbances such as selective logging and forest fires can cause further degradation in tropical forests. Various authors have suggested that logging and fire in southwestern Amazonia can increase bamboo abundance and contribute to slowing succession, but few studies have addressed community-composition patterns at either the local or the regional scale. We used a natural experiment with forest fire and post-burn logging to analyze the effects of increased bamboo abundance on the community composition of trees and palms in Brazil's Acre state in southwestern Amazonia. Bamboo abundance was expressed by variables collected both by field sampling and from high-resolution images using a remotely piloted aircraft (RPA). Disturbance in these forests was associated with a significant reduction in the number of crowns of emergent trees and palms and an increase in the canopy fraction occupied by bamboo. A significant negative relationship was observed between the canopy area occupied by bamboo and the number of tree and palm species, regardless of the level of disturbance. Bamboo density (culms m(-2)) and canopy area occupied by bamboo had significant effects on community composition, indicating that bamboo abundance is a key driver affecting the floristic composition of the forest. in Portuguese is available with online material.</v>
      </c>
      <c r="C1646" s="24" t="str">
        <f>IFERROR(__xludf.DUMMYFUNCTION("""COMPUTED_VALUE"""),"10.1111/btp.12979")</f>
        <v>10.1111/btp.12979</v>
      </c>
      <c r="D1646" s="24" t="str">
        <f>IFERROR(__xludf.DUMMYFUNCTION("""COMPUTED_VALUE"""),"Keck et al")</f>
        <v>Keck et al</v>
      </c>
      <c r="E1646" s="24" t="str">
        <f>IFERROR(__xludf.DUMMYFUNCTION("""COMPUTED_VALUE"""),"WOS:000661979400001")</f>
        <v>WOS:000661979400001</v>
      </c>
      <c r="F1646" s="24" t="str">
        <f>IFERROR(__xludf.DUMMYFUNCTION("""COMPUTED_VALUE"""),"[""ELIGIBLE""]")</f>
        <v>["ELIGIBLE"]</v>
      </c>
    </row>
    <row r="1647">
      <c r="A1647" s="24" t="str">
        <f>IFERROR(__xludf.DUMMYFUNCTION("""COMPUTED_VALUE"""),"The effects of human disturbance on the species composition, species diversity and functional diversity of a Miombo woodland in northern Malawi")</f>
        <v>The effects of human disturbance on the species composition, species diversity and functional diversity of a Miombo woodland in northern Malawi</v>
      </c>
      <c r="B1647" s="24" t="str">
        <f>IFERROR(__xludf.DUMMYFUNCTION("""COMPUTED_VALUE"""),"Anthropogenic disturbances have serious impacts on ecosystems across the world. Understanding the effects of disturbance on woodlands, especially in regions where local people depend on these natural resources, is essential for sustainable natural resourc"&amp;"e management and biodiversity conservation. In this study, we evaluated the effects of anthropogenic disturbance, specifically selective logging ofBrachystegia floribunda, on woodlands by comparing species composition, species diversity and functional div"&amp;"ersity of woody plants between disturbed and undisturbed woodlands. We combined species data and functional trait data for leaves, fruits and other traits related to resource and disturbance responses to calculate functional indices (functional richness, "&amp;"evenness and divergence) and community-weighted means of each trait. Shifts in taxonomic species composition were analysed using nonmetric multi-dimensional scaling. Species composition differed significantly between disturbed and undisturbed woodlands. T"&amp;"ree density was greater in disturbed woodlands, whereas evenness, functional evenness and functional divergence were greater in undisturbed woodlands. In terms of forest cover, selective logging ofB. floribundaappeared to have little impact on Miombo wood"&amp;"lands, but some shifts in functional traits, such as the shift from a deciduous to evergreen phenology, may increase the vulnerability of these ecosystems to environmental change, especially drought.")</f>
        <v>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v>
      </c>
      <c r="C1647" s="24" t="str">
        <f>IFERROR(__xludf.DUMMYFUNCTION("""COMPUTED_VALUE"""),"10.1111/aje.12798")</f>
        <v>10.1111/aje.12798</v>
      </c>
      <c r="D1647" s="24" t="str">
        <f>IFERROR(__xludf.DUMMYFUNCTION("""COMPUTED_VALUE"""),"Keck et al")</f>
        <v>Keck et al</v>
      </c>
      <c r="E1647" s="24" t="str">
        <f>IFERROR(__xludf.DUMMYFUNCTION("""COMPUTED_VALUE"""),"WOS:000579835700001")</f>
        <v>WOS:000579835700001</v>
      </c>
      <c r="F1647" s="24" t="str">
        <f>IFERROR(__xludf.DUMMYFUNCTION("""COMPUTED_VALUE"""),"[""ELIGIBLE""]")</f>
        <v>["ELIGIBLE"]</v>
      </c>
    </row>
    <row r="1648">
      <c r="A1648" s="24" t="str">
        <f>IFERROR(__xludf.DUMMYFUNCTION("""COMPUTED_VALUE"""),"Exposure to tetracycline perturbs the microbiome of soil oligochaete Enchytraeus crypticus")</f>
        <v>Exposure to tetracycline perturbs the microbiome of soil oligochaete Enchytraeus crypticus</v>
      </c>
      <c r="B1648" s="24" t="str">
        <f>IFERROR(__xludf.DUMMYFUNCTION("""COMPUTED_VALUE"""),"Microbial symbiosis is essential for the normal development and growth of hosts. Past attention has mostly been paid to its effects on plants and vertebrates. The effects of environmental pressures such as antibiotics on the microbiome of soil fauna remai"&amp;"n largely elusive. We used bacterial 16S rRNA gene high-throughput sequencing to examine the response of microbiome of soil invertebrate Enchytraeus crypticus to oral tetracycline exposure. After two-week exposure, tetracycline-free oat was used as food t"&amp;"o monitor the restoration of E. crypticus microbiome. The results showed that Proteobacteria, Actinobacteria and Planctomycetes were the three dominant phyla in all samples, Rhizobiaceae and Kaistia were the most abundant family and genus in all samples, "&amp;"respectively. After 14 days tetracycline exposure, Planctomycetes declined dramatically from 33.05% to 3.28% (P = 0.016), but Actinobacteria elevated substantially from 2.47% to 23.65% (P = 0.004). The alpha-diversity of microbial community increased sign"&amp;"ificantly after tetracycline exposure compared to the control (P = 0.014). Terminating tetracycline exposure led to the recovery of E. crypticus microbiome back to the background level within 14 days. Our results suggest that while tetracycline can distur"&amp;"b the microbiome in E. crypticus significantly, the effects of the antibiotic on E. crypticus microbiome may not be permanent but reversibly diminish after stopping exposure for a period of time. The results may contribute to extending our understanding o"&amp;"f the effect of antibiotics on microbiome of soil invertebrates. Capsule: The microbiome of E. crypticus exposed to tetracycline is perturbed and reversibly restored after terminating the exposure. (C) 2018 Published by Elsevier B.V.")</f>
        <v>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v>
      </c>
      <c r="C1648" s="24" t="str">
        <f>IFERROR(__xludf.DUMMYFUNCTION("""COMPUTED_VALUE"""),"10.1016/j.scitotenv.2018.11.154")</f>
        <v>10.1016/j.scitotenv.2018.11.154</v>
      </c>
      <c r="D1648" s="24" t="str">
        <f>IFERROR(__xludf.DUMMYFUNCTION("""COMPUTED_VALUE"""),"Keck et al")</f>
        <v>Keck et al</v>
      </c>
      <c r="E1648" s="24" t="str">
        <f>IFERROR(__xludf.DUMMYFUNCTION("""COMPUTED_VALUE"""),"WOS:000458630100054")</f>
        <v>WOS:000458630100054</v>
      </c>
      <c r="F1648" s="24" t="str">
        <f>IFERROR(__xludf.DUMMYFUNCTION("""COMPUTED_VALUE"""),"[""ELIGIBLE""]")</f>
        <v>["ELIGIBLE"]</v>
      </c>
    </row>
    <row r="1649">
      <c r="A1649" s="24" t="str">
        <f>IFERROR(__xludf.DUMMYFUNCTION("""COMPUTED_VALUE"""),"Elevated nitrate simplifies microbial community compositions and interactions in sulfide-rich river sediments")</f>
        <v>Elevated nitrate simplifies microbial community compositions and interactions in sulfide-rich river sediments</v>
      </c>
      <c r="B1649" s="24" t="str">
        <f>IFERROR(__xludf.DUMMYFUNCTION("""COMPUTED_VALUE"""),"Excessive nitrate in water systems is prevailing and a global risk of human health. Polluted river sediments are dominated by anaerobes and often the hotspot of denitrification. So far, little is known about the ecological effects of nitrate pollution on "&amp;"microbial dynamics, especially those in sulfide-rich sediments. Here we simulated a nitrate surge and monitored the microbial responses, as well as the changes of important environmental parameters in a sulfide-rich river sediment for a month. Our analysi"&amp;"s of sediment microbial communities showed that elevated nitrate led to (i) a functional convergence at denitrification and sulfide oxidation, (ii) a taxonomic convergence at Proteobacteria, and (iii) a significant loss of biodiversity, community stabilit"&amp;"y and other functions. Two chemolithotrophic denitrifiers Thiobacillus and Luteimonas were enriched after nitrate amendment, although the original communities were dominated by methanogens and syntrophic bacteria. Also, serial dilutions of sediment microb"&amp;"ial communities found that Thiobacillus thiophilus dominated 18/30 communities because of its capability of simultaneous nitrate reduction and sulfide oxidation. Additionally, our network analysis indicated that keystone taxa seemed more likely to be nati"&amp;"ve auxotrophs (e.g., syntrophic bacteria, methanogens) rather than dominant denitrifiers, possibly because of the extensive interspecific cross-feeding they estabilished, while environment perturbations probably disrupted that cross-feeding and simplified"&amp;" microbial interactions. This study advances our understanding of microbial community responses to nitrate pollution and possible mechanism in the sulfide-rich river sediment. (C) 2020 Elsevier B.V. All rights reserved.")</f>
        <v>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v>
      </c>
      <c r="C1649" s="24" t="str">
        <f>IFERROR(__xludf.DUMMYFUNCTION("""COMPUTED_VALUE"""),"10.1016/j.scitotenv.2020.141513")</f>
        <v>10.1016/j.scitotenv.2020.141513</v>
      </c>
      <c r="D1649" s="24" t="str">
        <f>IFERROR(__xludf.DUMMYFUNCTION("""COMPUTED_VALUE"""),"Keck et al")</f>
        <v>Keck et al</v>
      </c>
      <c r="E1649" s="24" t="str">
        <f>IFERROR(__xludf.DUMMYFUNCTION("""COMPUTED_VALUE"""),"WOS:000585694600042")</f>
        <v>WOS:000585694600042</v>
      </c>
      <c r="F1649" s="24" t="str">
        <f>IFERROR(__xludf.DUMMYFUNCTION("""COMPUTED_VALUE"""),"[""ELIGIBLE""]")</f>
        <v>["ELIGIBLE"]</v>
      </c>
    </row>
    <row r="1650">
      <c r="A1650" s="24" t="str">
        <f>IFERROR(__xludf.DUMMYFUNCTION("""COMPUTED_VALUE"""),"Evaluating toxicity risk in sediments after remediation at a Superfund megasite using a Triad approach")</f>
        <v>Evaluating toxicity risk in sediments after remediation at a Superfund megasite using a Triad approach</v>
      </c>
      <c r="B1650" s="24" t="str">
        <f>IFERROR(__xludf.DUMMYFUNCTION("""COMPUTED_VALUE"""),"The Pine River downstream of the Velsicol Superfund site has been contaminated with various hydrophobic organic pollutants for more than 50 years. Remediation and sediment dredging near the site began in spring of 1999, and was completed in 2006. In 2011,"&amp;" the Michigan Department of Environmental Quality completed a baseline assessment report long-term monitoring plan for the Pine River. However, there has been limited assessment of the benthic community since this evaluation. The objective of this researc"&amp;"h was to evaluate the risk of Pine River sediment to aquatic macroinvertebrates downstream from the Superfund site after decades of degradation and dredging using the Triad approach. Three sites were selected downstream from the Superfund site, and an ups"&amp;"tream reference site was used. At each site, macroinvertebrates surveys were conducted and sediments were collected for chemical analysis of DDT (1,1,1-trichloro-2,2-bis (4-chlorophenyl) ethane) and its degradation products and for laboratory toxicity tes"&amp;"ting for mortality and sublethal effects using Hyalella azteca and Chironomus dilutus. Sediment concentrations of DDT, DDD, and DDE were below levels expected to cause toxicity, and there was no observed toxicity in laboratory tests. Additionally, there w"&amp;"ere no statistically significant differences in richness, richness of Ephemeroptera, Plecoptera, and Trichoptera (EPT) species, total EPT abundance, percent EPT, or percent dominant taxa between the reference site and the downstream sites. There was an ob"&amp;"served decrease in abundance of macroinvertebrate taxa at all downstream sites and a shift in macroinvertebrate structure when comparing the reference with most impaired sites. Although the sites downstream of the Superfund site remain different than the "&amp;"upstream control, there are improvements in species composition and abundance. However, more research is needed to evaluate the potential effects on ecosystem function.")</f>
        <v>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v>
      </c>
      <c r="C1650" s="24" t="str">
        <f>IFERROR(__xludf.DUMMYFUNCTION("""COMPUTED_VALUE"""),"10.1007/s10661-019-7870-9")</f>
        <v>10.1007/s10661-019-7870-9</v>
      </c>
      <c r="D1650" s="24" t="str">
        <f>IFERROR(__xludf.DUMMYFUNCTION("""COMPUTED_VALUE"""),"Keck et al")</f>
        <v>Keck et al</v>
      </c>
      <c r="E1650" s="24" t="str">
        <f>IFERROR(__xludf.DUMMYFUNCTION("""COMPUTED_VALUE"""),"WOS:000492928800005")</f>
        <v>WOS:000492928800005</v>
      </c>
      <c r="F1650" s="24" t="str">
        <f>IFERROR(__xludf.DUMMYFUNCTION("""COMPUTED_VALUE"""),"[""ELIGIBLE""]")</f>
        <v>["ELIGIBLE"]</v>
      </c>
    </row>
    <row r="1651">
      <c r="A1651" s="24" t="str">
        <f>IFERROR(__xludf.DUMMYFUNCTION("""COMPUTED_VALUE"""),"Impact of chronic exposure to trichlorfon on intestinal barrier, oxidative stress, inflammatory response and intestinal microbiome in common carp (Cyprinus carpio L.)")</f>
        <v>Impact of chronic exposure to trichlorfon on intestinal barrier, oxidative stress, inflammatory response and intestinal microbiome in common carp (Cyprinus carpio L.)</v>
      </c>
      <c r="B1651" s="24" t="str">
        <f>IFERROR(__xludf.DUMMYFUNCTION("""COMPUTED_VALUE"""),"Trichlorfon is an organic phosphorus pesticide used to control different parasitic infections in aquaculture. The repeated, excessive use of trichlorfon can result in environmental pollution, thus affecting human health. This study aimed to determine the "&amp;"effects of different concentrations of trichlorfon (0, 0.1, 0.5 and 1.0 mg/L) on the intestinal barrier, oxidative stress, inflammatory response and intestinal microbiome of common carp. Trichlorfon exposure significantly reduced the height of intestinal "&amp;"villus and decreased the expression levels of tight junction genes, such as claudin-2, occludin and ZO-1, in common carp. Moreover, the activities of antioxidant enzymes, such as CAT, SOD and GSH-Px, exhibited a decreasing trend with increasing trichlorfo"&amp;"n concentrations, while the contents of MDA and ROS elevated in the intestinal tissues of common carp. The mRNA and protein levels of pro-inflammatory cytokines TNF-alpha and IL-1 beta were significantly upregulated by trichlorfon exposure. The level of a"&amp;"nti-inflammatory cytokine TGF-beta was remarkably higher in 1.0 mg/L trichlorfon treatment group compared to control group. In addition, the results demonstrated that trichlorfon exposure could affect the microbiota community composition and decreased the"&amp;" community diversity in the gut of common carp. Notably, the proportions of some probiotic bacteria, namely, Lactobacillus, Bifidobacterium and Akkermansia, were observed to be reduced after trichlorfon exposure. In summary, the findings of this study ind"&amp;"icate that exposure to different concentrations of trichlorfon can damage intestinal barrier, induce intestinal oxidative damage, trigger inflammatory reaction and alter gut microbiota structure in common carp. (C) 2019 Elsevier Ltd. All rights reserved.")</f>
        <v>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v>
      </c>
      <c r="C1651" s="24" t="str">
        <f>IFERROR(__xludf.DUMMYFUNCTION("""COMPUTED_VALUE"""),"10.1016/j.envpol.2019.113846")</f>
        <v>10.1016/j.envpol.2019.113846</v>
      </c>
      <c r="D1651" s="24" t="str">
        <f>IFERROR(__xludf.DUMMYFUNCTION("""COMPUTED_VALUE"""),"Keck et al")</f>
        <v>Keck et al</v>
      </c>
      <c r="E1651" s="24" t="str">
        <f>IFERROR(__xludf.DUMMYFUNCTION("""COMPUTED_VALUE"""),"WOS:000528534600074")</f>
        <v>WOS:000528534600074</v>
      </c>
      <c r="F1651" s="24" t="str">
        <f>IFERROR(__xludf.DUMMYFUNCTION("""COMPUTED_VALUE"""),"[""ELIGIBLE""]")</f>
        <v>["ELIGIBLE"]</v>
      </c>
    </row>
    <row r="1652">
      <c r="A1652" s="24" t="str">
        <f>IFERROR(__xludf.DUMMYFUNCTION("""COMPUTED_VALUE"""),"Singular and interactive effects of blowdown, salvage logging, and wildfire in sub-boreal pine systems")</f>
        <v>Singular and interactive effects of blowdown, salvage logging, and wildfire in sub-boreal pine systems</v>
      </c>
      <c r="B1652" s="24" t="str">
        <f>IFERROR(__xludf.DUMMYFUNCTION("""COMPUTED_VALUE"""),"The role of disturbance in structuring vegetation is widely recognized; however, we are only beginning to understand the effects of multiple interacting disturbances on ecosystem recovery and development. Of particular interest is the impact of post-distu"&amp;"rbance management interventions, particularly in light of the global controversy surrounding the effects of salvage logging on forest ecosystem recovery. Studies of salvage logging impacts have focused on the effects of post-disturbance salvage logging wi"&amp;"thin the context of a single natural disturbance event. There have been no formal evaluations of how these effects may differ when followed in short sequence by a second, high severity natural disturbance. To evaluate the impact of this management practic"&amp;"e within the context of multiple disturbances, we examined the structural and woody plant community responses of sub-boreal Pinus banksiana systems to a rapid sequence of disturbances. Specifically, we compared responses to Blowdown (B), Fire (F), Blowdow"&amp;"n-Fire, and Blowdown-Salvage-Fire (BSF) and compared these to undisturbed control (C) stands. Comparisons between BF and BSF indicated that the primary effect of salvage logging was a decrease in the abundance of structural legacies, such as downed woody "&amp;"debris and snags. Both of these compound disturbance sequences (BF and BSF), resulted in similar woody plant communities, largely dominated by Populus tremuloides; however, there was greater homogeneity in community composition in salvage logged areas. Ar"&amp;"eas experiencing solely fire (F stands) were dominated by P. banksiana regeneration, and blowdown areas (B stands) were largely characterized by regeneration from shade tolerant conifer species. Our results suggest that salvage logging impacts on woody pl"&amp;"ant communities are diminished when followed by a second high severity disturbance; however, impacts on structural legacies persist. Provisions for the retention of snags, downed logs, and surviving trees as part of salvage logging operations will minimiz"&amp;"e these structural impacts and may allow for greater ecosystem recovery following these disturbance combinations. (C) 2011 Elsevier B.V. All rights reserved.")</f>
        <v>The role of disturbance in structuring vegetation is widely recognized; however, we are only beginning to understand the effects of multiple interacting disturbances on ecosystem recovery and development. Of particular interest is the impact of post-disturbance management interventions, particularly in light of the global controversy surrounding the effects of salvage logging on forest ecosystem recovery. Studies of salvage logging impacts have focused on the effects of post-disturbance salvage logging within the context of a single natural disturbance event. There have been no formal evaluations of how these effects may differ when followed in short sequence by a second, high severity natural disturbance. To evaluate the impact of this management practice within the context of multiple disturbances, we examined the structural and woody plant community responses of sub-boreal Pinus banksiana systems to a rapid sequence of disturbances. Specifically, we compared responses to Blowdown (B), Fire (F), Blowdown-Fire, and Blowdown-Salvage-Fire (BSF) and compared these to undisturbed control (C) stands. Comparisons between BF and BSF indicated that the primary effect of salvage logging was a decrease in the abundance of structural legacies, such as downed woody debris and snags. Both of these compound disturbance sequences (BF and BSF), resulted in similar woody plant communities, largely dominated by Populus tremuloides; however, there was greater homogeneity in community composition in salvage logged areas. Areas experiencing solely fire (F stands) were dominated by P. banksiana regeneration, and blowdown areas (B stands) were largely characterized by regeneration from shade tolerant conifer species. Our results suggest that salvage logging impacts on woody plant communities are diminished when followed by a second high severity disturbance; however, impacts on structural legacies persist. Provisions for the retention of snags, downed logs, and surviving trees as part of salvage logging operations will minimize these structural impacts and may allow for greater ecosystem recovery following these disturbance combinations. (C) 2011 Elsevier B.V. All rights reserved.</v>
      </c>
      <c r="C1652" s="24" t="str">
        <f>IFERROR(__xludf.DUMMYFUNCTION("""COMPUTED_VALUE"""),"10.1016/j.foreco.2011.09.003")</f>
        <v>10.1016/j.foreco.2011.09.003</v>
      </c>
      <c r="D1652" s="24" t="str">
        <f>IFERROR(__xludf.DUMMYFUNCTION("""COMPUTED_VALUE"""),"Keck et al")</f>
        <v>Keck et al</v>
      </c>
      <c r="E1652" s="24" t="str">
        <f>IFERROR(__xludf.DUMMYFUNCTION("""COMPUTED_VALUE"""),"WOS:000297602200013")</f>
        <v>WOS:000297602200013</v>
      </c>
      <c r="F1652" s="24" t="str">
        <f>IFERROR(__xludf.DUMMYFUNCTION("""COMPUTED_VALUE"""),"[""ELIGIBLE""]")</f>
        <v>["ELIGIBLE"]</v>
      </c>
    </row>
    <row r="1653">
      <c r="A1653" s="24" t="str">
        <f>IFERROR(__xludf.DUMMYFUNCTION("""COMPUTED_VALUE"""),"The effects of mechanical disturbance and burn intensity on the floristic composition of two-year old aggregated retention coupes in Tasmanian wet eucalypt forests")</f>
        <v>The effects of mechanical disturbance and burn intensity on the floristic composition of two-year old aggregated retention coupes in Tasmanian wet eucalypt forests</v>
      </c>
      <c r="B1653" s="24" t="str">
        <f>IFERROR(__xludf.DUMMYFUNCTION("""COMPUTED_VALUE"""),"Due to concerns about the ecological impacts of clearfelling in Tasmanian wet eucalypt forests, aggregated retention (ARN) was developed as an alternative harvesting method. It is predicted that, compared to clearfelling, ARN will have ecological benefits"&amp;" such as preservation of old-growth structures and improved regeneration of late successional species in harvested areas. However, early studies have indicated that ARN requires lower intensity regeneration burns and results in greater levels of mechanica"&amp;"l soil disturbance than clearfelling. This study therefore aimed to assess the impacts of both soil disturbance and burn intensity on floristic composition, species dominance and species richness following harvesting in ARN coupes. Floristic surveys were "&amp;"conducted on six seedbed classes that reflected the combined effects of both burn intensity and soil disturbance in six two-year-old ARN coupes in southern Tasmania. The results showed that both factors had a significant influence on floristic composition"&amp;". Higher burn intensities generally favoured colonising species such as eucalypts and Senecio minimus and resulted in lower species richness, while lower fire intensities favoured species regenerating from the seedbank and resulted in higher species richn"&amp;"ess. In contrast, mechanically disturbed seedbed generally had a high cover of the sedge Gahnia grandis but a low overall species richness due to reduced regeneration of eucalypts and understorey species. The prevalence of the six seedbed classes, and cor"&amp;"responding plant species composition, varied among four general harvesting-related disturbance categories; firebreaks, snigtracks, windrows of piled logging debris and the general harvested area. Maintaining a variety of burn intensities is likely to maxi"&amp;"mise plant biodiversity within ARN coupes, and soil disturbance should be minimised, with an emphasis on reducing the total area of firebreaks. (C) 2012 Elsevier B.V. All rights reserved.")</f>
        <v>Due to concerns about the ecological impacts of clearfelling in Tasmanian wet eucalypt forests, aggregated retention (ARN) was developed as an alternative harvesting method. It is predicted that, compared to clearfelling, ARN will have ecological benefits such as preservation of old-growth structures and improved regeneration of late successional species in harvested areas. However, early studies have indicated that ARN requires lower intensity regeneration burns and results in greater levels of mechanical soil disturbance than clearfelling. This study therefore aimed to assess the impacts of both soil disturbance and burn intensity on floristic composition, species dominance and species richness following harvesting in ARN coupes. Floristic surveys were conducted on six seedbed classes that reflected the combined effects of both burn intensity and soil disturbance in six two-year-old ARN coupes in southern Tasmania. The results showed that both factors had a significant influence on floristic composition. Higher burn intensities generally favoured colonising species such as eucalypts and Senecio minimus and resulted in lower species richness, while lower fire intensities favoured species regenerating from the seedbank and resulted in higher species richness. In contrast, mechanically disturbed seedbed generally had a high cover of the sedge Gahnia grandis but a low overall species richness due to reduced regeneration of eucalypts and understorey species. The prevalence of the six seedbed classes, and corresponding plant species composition, varied among four general harvesting-related disturbance categories; firebreaks, snigtracks, windrows of piled logging debris and the general harvested area. Maintaining a variety of burn intensities is likely to maximise plant biodiversity within ARN coupes, and soil disturbance should be minimised, with an emphasis on reducing the total area of firebreaks. (C) 2012 Elsevier B.V. All rights reserved.</v>
      </c>
      <c r="C1653" s="24" t="str">
        <f>IFERROR(__xludf.DUMMYFUNCTION("""COMPUTED_VALUE"""),"10.1016/j.foreco.2012.05.003")</f>
        <v>10.1016/j.foreco.2012.05.003</v>
      </c>
      <c r="D1653" s="24" t="str">
        <f>IFERROR(__xludf.DUMMYFUNCTION("""COMPUTED_VALUE"""),"Keck et al")</f>
        <v>Keck et al</v>
      </c>
      <c r="E1653" s="24" t="str">
        <f>IFERROR(__xludf.DUMMYFUNCTION("""COMPUTED_VALUE"""),"WOS:000307092900007")</f>
        <v>WOS:000307092900007</v>
      </c>
      <c r="F1653" s="24" t="str">
        <f>IFERROR(__xludf.DUMMYFUNCTION("""COMPUTED_VALUE"""),"[""ELIGIBLE""]")</f>
        <v>["ELIGIBLE"]</v>
      </c>
    </row>
    <row r="1654">
      <c r="A1654" s="24" t="str">
        <f>IFERROR(__xludf.DUMMYFUNCTION("""COMPUTED_VALUE"""),"Songbird response to experimental retention harvesting in red pine (Pinus resinosa) forests")</f>
        <v>Songbird response to experimental retention harvesting in red pine (Pinus resinosa) forests</v>
      </c>
      <c r="B1654" s="24" t="str">
        <f>IFERROR(__xludf.DUMMYFUNCTION("""COMPUTED_VALUE"""),"Traditional harvesting practices frequently result in simplification of the structure and composition within managed forest stands in comparison to their natural counterparts. in particular, loss of heterogeneity within stands may pose a problem for maint"&amp;"aining biodiversity in perpetuity. In this study, we survey breeding bird diversity and abundance in response to different spatial harvesting patterns in mature red pine forests located on the Chippewa National Forest of northern Minnesota, USA. Treatment"&amp;"s are designed to increase structural complexity over time and include three overstory manipulations (dispersed retention, aggregate retention with small gaps, and aggregate retention with large gaps), one understory manipulation (brush removal). and cont"&amp;"rols (no harvesting, and/or no brush removal). In 2003, the first breeding season following the harvest, we found little difference in bird community composition between control and treatment stands. In 2005, the third breeding season following harvest, a"&amp;"vian abundance, richness, and diversity were all greater within treatments. Species associated with edge, shrub, and early successional habitats generally show positive response to treatments (e.g. Chestnut-sided Warbler [Dendroica pensylvanica], Mourning"&amp;" Warbler [Oporornis philadelphia], Chipping Sparrow [Spizella passerine]), as do sonic species associated with mature forest (e.g., Pine Warbler [Dendroica pinus], Rose-breasted Grosbeak [Pheucticus ludovicianus]). Ovenbirds (Seiurus aurocapilla) and Blac"&amp;"k-throated Green Warblers (Dendroica virens) were more abundant in control stands. There are, as of yet, no discernable differences in avian community composition among the three overstory treatments or between the single understory treatment and the unde"&amp;"rstory control, but differences are expected as the treatments diversify due to understory development. While overstory retention harvests provide habitat for a diverse and abundant bird community, the temporal divergence in avian community composition th"&amp;"at we observed between treatment and control stands reveals the importance of uncut, mature red pine forest as a component of a biodiverse landscape. (C) 2008 Elsevier B.V. All rights reserved.")</f>
        <v>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v>
      </c>
      <c r="C1654" s="24" t="str">
        <f>IFERROR(__xludf.DUMMYFUNCTION("""COMPUTED_VALUE"""),"10.1016/j.foreco.2008.02.049")</f>
        <v>10.1016/j.foreco.2008.02.049</v>
      </c>
      <c r="D1654" s="24" t="str">
        <f>IFERROR(__xludf.DUMMYFUNCTION("""COMPUTED_VALUE"""),"Keck et al")</f>
        <v>Keck et al</v>
      </c>
      <c r="E1654" s="24" t="str">
        <f>IFERROR(__xludf.DUMMYFUNCTION("""COMPUTED_VALUE"""),"WOS:000256578500010")</f>
        <v>WOS:000256578500010</v>
      </c>
      <c r="F1654" s="24" t="str">
        <f>IFERROR(__xludf.DUMMYFUNCTION("""COMPUTED_VALUE"""),"[""ELIGIBLE""]")</f>
        <v>["ELIGIBLE"]</v>
      </c>
    </row>
    <row r="1655">
      <c r="A1655" s="24" t="str">
        <f>IFERROR(__xludf.DUMMYFUNCTION("""COMPUTED_VALUE"""),"Characterization of Nothofagus pumilio (Lenga) Understory in Managed and Unmanaged Forests of Central Patagonia, Argentina")</f>
        <v>Characterization of Nothofagus pumilio (Lenga) Understory in Managed and Unmanaged Forests of Central Patagonia, Argentina</v>
      </c>
      <c r="B1655" s="24" t="str">
        <f>IFERROR(__xludf.DUMMYFUNCTION("""COMPUTED_VALUE"""),"In managed forests, biodiversity conservation is crucial for the sustainable use of ecosystem resources. In the Patagonian-Andes forests of Argentina, lenga (Nothofagus pumilio) is the most important native tree because of its ecological functions and eco"&amp;"nomic importance as a timber provider. In this study, we determined how the shelterwood-cut system impacts understory vegetation attributes in three sites representing typical lenga forests of central Andean-Patagonia. In each site, two 250-m(2) treatment"&amp;" plots (managed and unmanaged) were established, and canopy cover, soil temperature, and moisture were determined. Within plots in 10 randomly placed 0.25-m(2) microplots, we determined plant cover, from which we calculated diversity attributes. Canopy co"&amp;"ver and soil moisture were higher in unmanaged treatments, whereas the reverse was true for soil temperature. The Shannon-Wiener index showed similar values (similar to 1), whereas species richness was slightly higher in unmanaged (4.8 +/- 0.5) than in ma"&amp;"naged treatments (3.8 +/- 0.3). Generally, native plants dominated the understory (similar to 40%), whereas exotic species were rare (similar to 1%). Shrub cover was higher in managed (24.1 +/- 4.2) than in unmanaged (9.5 +/- 1.7) treatments, whereas herb"&amp;"aceous species dominated unmanaged forests. These results confirm that the shelterwood-cut system may be used for diversity conservation in Patagonian lenga forests.")</f>
        <v>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v>
      </c>
      <c r="C1655" s="24" t="str">
        <f>IFERROR(__xludf.DUMMYFUNCTION("""COMPUTED_VALUE"""),"10.5849/forsci.15-156")</f>
        <v>10.5849/forsci.15-156</v>
      </c>
      <c r="D1655" s="24" t="str">
        <f>IFERROR(__xludf.DUMMYFUNCTION("""COMPUTED_VALUE"""),"Keck et al")</f>
        <v>Keck et al</v>
      </c>
      <c r="E1655" s="24" t="str">
        <f>IFERROR(__xludf.DUMMYFUNCTION("""COMPUTED_VALUE"""),"WOS:000416746300004")</f>
        <v>WOS:000416746300004</v>
      </c>
      <c r="F1655" s="24" t="str">
        <f>IFERROR(__xludf.DUMMYFUNCTION("""COMPUTED_VALUE"""),"[""ELIGIBLE""]")</f>
        <v>["ELIGIBLE"]</v>
      </c>
    </row>
    <row r="1656">
      <c r="A1656" s="24" t="str">
        <f>IFERROR(__xludf.DUMMYFUNCTION("""COMPUTED_VALUE"""),"Effects of different antimony contamination levels on paddy soil bacterial diversity and community structure")</f>
        <v>Effects of different antimony contamination levels on paddy soil bacterial diversity and community structure</v>
      </c>
      <c r="B1656" s="24" t="str">
        <f>IFERROR(__xludf.DUMMYFUNCTION("""COMPUTED_VALUE"""),"To clarify the response mechanism of paddy soil microorganisms to contamination caused by antimony (Sb) alone, we added K(SbO)C4H4O6.1/2 H2O with different contents to uncontaminated paddy soil and carried out related studies. 16S rRNA was sequenced in V3"&amp;"-V4 regions of paddy soil bacteria with different Sb contamination levels. Then, alpha diversity and species enrichment and separation of paddy soil microorganisms were analyzed. The biochemical behavior and the influences of Sb fractions on bacterial com"&amp;"munities and ecological function were explored in paddy soil with different contamination levels. The results showed that the contents of Sbtot and Sb (V) increased with the increase of contamination level, and the difference was significant among the gro"&amp;"ups. For Sbexe and Sbsrp there were slight differences between S100 and S200 groups, but significant differences among other groups. The diversity index increased with the increase of Sb concentration, which reached the maximum value in S200 group and the"&amp;" minimum value in control group (SC). The relative importance analysis demonstrated that Sb(III) and Sbsrp were the main Sb fractions affecting the diversity index of bacterial community. In addition, the results of principal coordinate analysis (PCoA) sh"&amp;"owed that there were significant differences between the bacterial communities in SC and in the soil with different Sb contamination levels. Based on diversity analysis, it was found that Proteobacteria, Actinobacteria and Bacteroidetes were the main domi"&amp;"nant phyla in paddy soil with different Sb concentrations, and their enrichment and separation were greater than those of other dominant phyla. Though the Static Bayesian network inference, it was shown that Sbtot affected Sphingomonadaceae, and Sbsrp aff"&amp;"ected Burkholderiaceae, Xanthomonadaceae and Acidobacteriale to further affect bacterial communities, while Sb(V) mainly affected Flavobacteriaceae, Rhodopirillaceae and Acidobacteriale. The above results provide a scientific basis for the biochemical res"&amp;"toration potential of paddy soils with different Sb contamination levels.")</f>
        <v>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v>
      </c>
      <c r="C1656" s="24" t="str">
        <f>IFERROR(__xludf.DUMMYFUNCTION("""COMPUTED_VALUE"""),"10.1016/j.ecoenv.2021.112339")</f>
        <v>10.1016/j.ecoenv.2021.112339</v>
      </c>
      <c r="D1656" s="24" t="str">
        <f>IFERROR(__xludf.DUMMYFUNCTION("""COMPUTED_VALUE"""),"Keck et al")</f>
        <v>Keck et al</v>
      </c>
      <c r="E1656" s="24" t="str">
        <f>IFERROR(__xludf.DUMMYFUNCTION("""COMPUTED_VALUE"""),"WOS:000670078500002")</f>
        <v>WOS:000670078500002</v>
      </c>
      <c r="F1656" s="24" t="str">
        <f>IFERROR(__xludf.DUMMYFUNCTION("""COMPUTED_VALUE"""),"[""ELIGIBLE""]")</f>
        <v>["ELIGIBLE"]</v>
      </c>
    </row>
    <row r="1657">
      <c r="A1657" s="24" t="str">
        <f>IFERROR(__xludf.DUMMYFUNCTION("""COMPUTED_VALUE"""),"The Impact of Trampling on Reef Macrobenthos in Northeastern Brazil: How Effective are Current Conservation Strategies?")</f>
        <v>The Impact of Trampling on Reef Macrobenthos in Northeastern Brazil: How Effective are Current Conservation Strategies?</v>
      </c>
      <c r="B1657" s="24" t="str">
        <f>IFERROR(__xludf.DUMMYFUNCTION("""COMPUTED_VALUE"""),"Tropical reefs are used for intensive tourism in various parts of the world. However, few studies have investigated the effect of regular trampling on these fragile ecosystems. The aim of this study was to assess the effect of different conservation strat"&amp;"egies (open access, partial protection, and total long-term closure) on intertidal reef tops in Porto de Galinhas and Tamandar,, Pernambuco State, Brazil. Analysis of the macrobenthic community was performed with photo transects and image analysis (CPCe)."&amp;" Twenty-seven transects were surveyed from January to August 2012, in intensively impacted (I) open-access sites, in partially protected (P) sites with occasional, illegal trampling, and in a permanently closed (C) site. In I sites, total live cover was h"&amp;"alf the cover found in adjacent P sites. The area of bare rock averaged 53.6 and 25.0 % in I and P sites, respectively. In the C site, the area of bare rock was only 19.8 %. In I and P sites, macroalgae (Palisada perforata) were dominating, while in the C"&amp;" site, the zoanthid Zoanthus sociatus was most abundant. Shell-bearing vermetids (Petaloconchus varians) and bivalves (Isognomon bicolor) were more abundant at the C site, being possible bioindicators for areas with zero or little trampling. Twelve years "&amp;"of total closure produced near-pristine communities in the C site, dominated by zoanthids and fragile mollusks. This study showed that trampling has severe and long-lasting consequences for the structure of these ecosystems.")</f>
        <v>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v>
      </c>
      <c r="C1657" s="24" t="str">
        <f>IFERROR(__xludf.DUMMYFUNCTION("""COMPUTED_VALUE"""),"10.1007/s00267-015-0552-7")</f>
        <v>10.1007/s00267-015-0552-7</v>
      </c>
      <c r="D1657" s="24" t="str">
        <f>IFERROR(__xludf.DUMMYFUNCTION("""COMPUTED_VALUE"""),"Keck et al")</f>
        <v>Keck et al</v>
      </c>
      <c r="E1657" s="24" t="str">
        <f>IFERROR(__xludf.DUMMYFUNCTION("""COMPUTED_VALUE"""),"WOS:000360703100006")</f>
        <v>WOS:000360703100006</v>
      </c>
      <c r="F1657" s="24" t="str">
        <f>IFERROR(__xludf.DUMMYFUNCTION("""COMPUTED_VALUE"""),"[""ELIGIBLE""]")</f>
        <v>["ELIGIBLE"]</v>
      </c>
    </row>
    <row r="1658">
      <c r="A1658" s="24" t="str">
        <f>IFERROR(__xludf.DUMMYFUNCTION("""COMPUTED_VALUE"""),"Temporal dynamics in animal community assembly during post-logging succession in boreal forest")</f>
        <v>Temporal dynamics in animal community assembly during post-logging succession in boreal forest</v>
      </c>
      <c r="B1658" s="24" t="str">
        <f>IFERROR(__xludf.DUMMYFUNCTION("""COMPUTED_VALUE"""),"Species assemblages can result from deterministic processes, such as niche differentiation and interspecific interactions, and from stochastic processes, such as random colonisation and extinction events. Although changes in animal communities following d"&amp;"isturbances have been widely examined, few studies have investigated the mechanisms structuring communities during ecological succession. We assessed the impact of logging on small mammal and beetle assemblages in landscapes dominated by old-growth boreal"&amp;" forests. Our objectives were to 1) characterize variations in communities during the first 66 years of post-harvest forest succession, 2) determine if there are non-random patterns of species co-occurrence (i.e., deterministic processes), and if there ar"&amp;"e, 3) establish whether non-random co-occurrences are best explained by habitat attributes or by interspecific interactions. We captured small mammals and beetles along a gradient of forest succession (5-66 years) and in old-growth forest, and characteriz"&amp;"ed key vegetation attributes. First, we tested whether community compositions in clear-cut stands became similar to those in natural stands after 66 years. We then used null models, which were either unconstrained or constrained by habitat attributes, to "&amp;"address the last two objectives and distinguish effects of vegetation attributes from interspecific interactions on community assembly. We showed that beetle assemblages differed in stands 21-30 years post-harvest compared to old-growth forests. In contra"&amp;"st, harvesting did not influence the composition of small mammal communities. Overall, our results suggest that community assembly during forest succession is driven by both stochastic and deterministic processes, the latter being linked to interspecific "&amp;"interactions more strongly than to vegetation attributes.")</f>
        <v>Species assemblages can result from deterministic processes, such as niche differentiation and interspecific interactions, and from stochastic processes, such as random colonisation and extinction events. Although changes in animal communities following disturbances have been widely examined, few studies have investigated the mechanisms structuring communities during ecological succession. We assessed the impact of logging on small mammal and beetle assemblages in landscapes dominated by old-growth boreal forests. Our objectives were to 1) characterize variations in communities during the first 66 years of post-harvest forest succession, 2) determine if there are non-random patterns of species co-occurrence (i.e., deterministic processes), and if there are, 3) establish whether non-random co-occurrences are best explained by habitat attributes or by interspecific interactions. We captured small mammals and beetles along a gradient of forest succession (5-66 years) and in old-growth forest, and characterized key vegetation attributes. First, we tested whether community compositions in clear-cut stands became similar to those in natural stands after 66 years. We then used null models, which were either unconstrained or constrained by habitat attributes, to address the last two objectives and distinguish effects of vegetation attributes from interspecific interactions on community assembly. We showed that beetle assemblages differed in stands 21-30 years post-harvest compared to old-growth forests. In contrast, harvesting did not influence the composition of small mammal communities. Overall, our results suggest that community assembly during forest succession is driven by both stochastic and deterministic processes, the latter being linked to interspecific interactions more strongly than to vegetation attributes.</v>
      </c>
      <c r="C1658" s="24" t="str">
        <f>IFERROR(__xludf.DUMMYFUNCTION("""COMPUTED_VALUE"""),"10.1371/journal.pone.0204445")</f>
        <v>10.1371/journal.pone.0204445</v>
      </c>
      <c r="D1658" s="24" t="str">
        <f>IFERROR(__xludf.DUMMYFUNCTION("""COMPUTED_VALUE"""),"Keck et al")</f>
        <v>Keck et al</v>
      </c>
      <c r="E1658" s="24" t="str">
        <f>IFERROR(__xludf.DUMMYFUNCTION("""COMPUTED_VALUE"""),"WOS:000445626400130")</f>
        <v>WOS:000445626400130</v>
      </c>
      <c r="F1658" s="24" t="str">
        <f>IFERROR(__xludf.DUMMYFUNCTION("""COMPUTED_VALUE"""),"[""ELIGIBLE""]")</f>
        <v>["ELIGIBLE"]</v>
      </c>
    </row>
    <row r="1659">
      <c r="A1659" s="24" t="str">
        <f>IFERROR(__xludf.DUMMYFUNCTION("""COMPUTED_VALUE"""),"Impact of simulated nitrogen pollution on heathland microfauna, mesofauna and plants")</f>
        <v>Impact of simulated nitrogen pollution on heathland microfauna, mesofauna and plants</v>
      </c>
      <c r="B1659" s="24" t="str">
        <f>IFERROR(__xludf.DUMMYFUNCTION("""COMPUTED_VALUE"""),"Deposition of reactive nitrogen derived from intensive agriculture and industrial processes is a major threat to biodiversity and ecosystem services around the world: however our knowledge of the impacts of nitrogen is restricted to a very limited range o"&amp;"f organisms. Here we examine the response of groups of microfauna (testate amoebae), mesofauna (enchytraeid worms) and plants to ammonium nitrate application in the Ruabon heathland long-term experiment. Plant data showed significant differences between t"&amp;"reatments, particularly characterised by a loss of bryophytes in nitrogen-treated plots, by contrast enchytraeids showed a non-significant increase in abundance in response to treatment. Testate amoebae showed no significant changes in abundance or inferr"&amp;"ed biomass but significant changes in community structure with a reduced abundance of Corythion dubium, interpreted as a response to the loss of bryophytes. Our results suggest that simple indices of plant community may have value for bioindication while "&amp;"the bioindication value of testate amoebae and enchytraeids is not clearly demonstrated. (C) 2011 Elsevier Masson SAS. All rights reserved.")</f>
        <v>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v>
      </c>
      <c r="C1659" s="24" t="str">
        <f>IFERROR(__xludf.DUMMYFUNCTION("""COMPUTED_VALUE"""),"10.1016/j.ejsobi.2011.08.003")</f>
        <v>10.1016/j.ejsobi.2011.08.003</v>
      </c>
      <c r="D1659" s="24" t="str">
        <f>IFERROR(__xludf.DUMMYFUNCTION("""COMPUTED_VALUE"""),"Keck et al")</f>
        <v>Keck et al</v>
      </c>
      <c r="E1659" s="24" t="str">
        <f>IFERROR(__xludf.DUMMYFUNCTION("""COMPUTED_VALUE"""),"WOS:000302736500010")</f>
        <v>WOS:000302736500010</v>
      </c>
      <c r="F1659" s="24" t="str">
        <f>IFERROR(__xludf.DUMMYFUNCTION("""COMPUTED_VALUE"""),"[""ELIGIBLE""]")</f>
        <v>["ELIGIBLE"]</v>
      </c>
    </row>
    <row r="1660">
      <c r="A1660" s="24" t="str">
        <f>IFERROR(__xludf.DUMMYFUNCTION("""COMPUTED_VALUE"""),"Biotic indexes reveal the impact of harbour enlargement on benthic fauna")</f>
        <v>Biotic indexes reveal the impact of harbour enlargement on benthic fauna</v>
      </c>
      <c r="B1660" s="24" t="str">
        <f>IFERROR(__xludf.DUMMYFUNCTION("""COMPUTED_VALUE"""),"Environmental effects of enlargement works in Puerto Calero (Lanzarote, Canary Islands) were analysed in the sediments using abiotic variables (total hydrocarbons, polyaromatic hydrocarbons, organic matter and granulometry) and three biotic indexes (AMBI,"&amp;" M-AMBI and BENTIX). A before-after/control-impact (BACI) design was developed with four sampling campaigns, before (November 2004), during (March and July 2005) and after (July 2006) works. Inner stations were characterised by high concentrations of poll"&amp;"utants (total hydrocarbons and polyaromatic hydrocarbons). A temporal trend (2004-2006) was observed in macrofaunal assemblage structure, and thus in AMBI, M-AMBI and BENTIX indexes. Macrobenthic assemblages also mirrored the pollution gradient, with bioi"&amp;"ndicator species in inner stations (the polychaete Pseudopolydora paucibranchiata and the mollusc Abra alba), sensitive species (the sipunculid Aspidosiphon muelleri, the crustacean Pariambus typicus and the polychaete Aponuphis bilineata) in outer statio"&amp;"ns and ubiquitous species (the polychaetes Aricidea assimilis and Armandia polyophthalma) in both stations (inner and outer).")</f>
        <v>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v>
      </c>
      <c r="C1660" s="24" t="str">
        <f>IFERROR(__xludf.DUMMYFUNCTION("""COMPUTED_VALUE"""),"10.1080/02757540.2011.570753")</f>
        <v>10.1080/02757540.2011.570753</v>
      </c>
      <c r="D1660" s="24" t="str">
        <f>IFERROR(__xludf.DUMMYFUNCTION("""COMPUTED_VALUE"""),"Keck et al")</f>
        <v>Keck et al</v>
      </c>
      <c r="E1660" s="24" t="str">
        <f>IFERROR(__xludf.DUMMYFUNCTION("""COMPUTED_VALUE"""),"WOS:000299690000003")</f>
        <v>WOS:000299690000003</v>
      </c>
      <c r="F1660" s="24" t="str">
        <f>IFERROR(__xludf.DUMMYFUNCTION("""COMPUTED_VALUE"""),"[""ELIGIBLE""]")</f>
        <v>["ELIGIBLE"]</v>
      </c>
    </row>
    <row r="1661">
      <c r="A1661" s="24" t="str">
        <f>IFERROR(__xludf.DUMMYFUNCTION("""COMPUTED_VALUE"""),"Microbial diversity in the floral nectar of Linaria vulgaris along an urbanization gradient")</f>
        <v>Microbial diversity in the floral nectar of Linaria vulgaris along an urbanization gradient</v>
      </c>
      <c r="B1661" s="24" t="str">
        <f>IFERROR(__xludf.DUMMYFUNCTION("""COMPUTED_VALUE"""),"Background: Microbes are common inhabitants of floral nectar and are capable of influencing plant-pollinator interactions. All studies so far investigated microbial communities in floral nectar in plant populations that were located in natural environment"&amp;"s, but nothing is known about these communities in nectar of plants inhabiting urban environments. However, at least some microbes are vectored into floral nectar by pollinators, and because urbanization can have a profound impact on pollinator communitie"&amp;"s and plant-pollinator interactions, it can be expected that it affects nectar microbes as well. To test this hypothesis, we related microbial diversity in floral nectar to the degree of urbanization in the late-flowering plant Linaria vulgaris. Floral ne"&amp;"ctar was collected from twenty populations along an urbanization gradient and culturable bacteria and yeasts were isolated and identified by partially sequencing the genes coding for small and large ribosome subunits, respectively. Results: A total of sev"&amp;"en yeast and 13 bacterial operational taxonomic units (OTUs) were found at 3 and 1 % sequence dissimilarity cut-offs, respectively. In agreement with previous studies, Metschnikowia reukaufii and M. gruessi were the main yeast constituents of nectar yeast"&amp;" communities, whereas Acinetobacter nectaris and Rosenbergiella epipactidis were the most frequently found bacterial species. Microbial incidence was high and did not change along the investigated urbanization gradient. However, microbial communities show"&amp;"ed a nested subset structure, indicating that species-poor communities were a subset of species-rich communities. Conclusions: The level of urbanization was putatively identified as an important driver of nestedness, suggesting that environmental changes "&amp;"related to urbanization may impact microbial communities in floral nectar of plants growing in urban environments.")</f>
        <v>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v>
      </c>
      <c r="C1661" s="24" t="str">
        <f>IFERROR(__xludf.DUMMYFUNCTION("""COMPUTED_VALUE"""),"10.1186/s12898-016-0072-1")</f>
        <v>10.1186/s12898-016-0072-1</v>
      </c>
      <c r="D1661" s="24" t="str">
        <f>IFERROR(__xludf.DUMMYFUNCTION("""COMPUTED_VALUE"""),"Keck et al")</f>
        <v>Keck et al</v>
      </c>
      <c r="E1661" s="24" t="str">
        <f>IFERROR(__xludf.DUMMYFUNCTION("""COMPUTED_VALUE"""),"WOS:000373186800001")</f>
        <v>WOS:000373186800001</v>
      </c>
      <c r="F1661" s="24" t="str">
        <f>IFERROR(__xludf.DUMMYFUNCTION("""COMPUTED_VALUE"""),"[""ELIGIBLE""]")</f>
        <v>["ELIGIBLE"]</v>
      </c>
    </row>
    <row r="1662">
      <c r="A1662" s="24" t="str">
        <f>IFERROR(__xludf.DUMMYFUNCTION("""COMPUTED_VALUE"""),"Ecological outcomes of agroforests and restoration 15 years after planting")</f>
        <v>Ecological outcomes of agroforests and restoration 15 years after planting</v>
      </c>
      <c r="B1662" s="24" t="str">
        <f>IFERROR(__xludf.DUMMYFUNCTION("""COMPUTED_VALUE"""),"Large-scale forest restoration relies on approaches that are cost-effective and economically attractive to farmers, and in this context agroforestry systems may be a valuable option. Here, we compared ecological outcomes among (1) 12-15-year-old coffee ag"&amp;"roforests established with several native shade trees, (2) 12-15-year-old high-diversity restoration plantations, and (3) reference old-growth forests, within a landscape restoration project in the Pontal do Paranapanema region, in the Atlantic Forest of "&amp;"southeastern Brazil. We compared the aboveground biomass, canopy cover, and abundance, richness, and composition of trees, and the regenerating saplings in the three forest types. In addition, we investigated the landscape drivers of natural regeneration "&amp;"in the restoration plantations and coffee agroforests. Reference forests had a higher abundance of trees and regenerating saplings, but had similar levels of species richness compared to coffee agroforests. High-diversity agroforests and restoration plant"&amp;"ations did not differ in tree abundance. However, compared to restoration plantations, agroforests showed higher abundance and species richness of regenerating saplings, a higher proportion of animal-dispersed species, and higher canopy cover. The abundan"&amp;"ce of regenerating saplings declined with increasing density of coffee plants, thus indicating a potential trade-off between productivity and ecological benefits. High-diversity coffee agroforests provide a cost-effective and ecologically viable alternati"&amp;"ve to high-diversity native tree plantations for large-scale forest restoration within agricultural landscapes managed by local communities, and should be included as part of the portfolio of reforestation options used to promote the global agenda on fore"&amp;"st and landscape restoration.")</f>
        <v>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v>
      </c>
      <c r="C1662" s="24" t="str">
        <f>IFERROR(__xludf.DUMMYFUNCTION("""COMPUTED_VALUE"""),"10.1111/rec.13171")</f>
        <v>10.1111/rec.13171</v>
      </c>
      <c r="D1662" s="24" t="str">
        <f>IFERROR(__xludf.DUMMYFUNCTION("""COMPUTED_VALUE"""),"Keck et al")</f>
        <v>Keck et al</v>
      </c>
      <c r="E1662" s="24" t="str">
        <f>IFERROR(__xludf.DUMMYFUNCTION("""COMPUTED_VALUE"""),"WOS:000545787600001")</f>
        <v>WOS:000545787600001</v>
      </c>
      <c r="F1662" s="24" t="str">
        <f>IFERROR(__xludf.DUMMYFUNCTION("""COMPUTED_VALUE"""),"[""ELIGIBLE""]")</f>
        <v>["ELIGIBLE"]</v>
      </c>
    </row>
    <row r="1663">
      <c r="A1663" s="24" t="str">
        <f>IFERROR(__xludf.DUMMYFUNCTION("""COMPUTED_VALUE"""),"Effects of Long-Term Anthropogenic Disturbance on the Benthic Episammic Diatom Community of an Ancient, Tropical Lake")</f>
        <v>Effects of Long-Term Anthropogenic Disturbance on the Benthic Episammic Diatom Community of an Ancient, Tropical Lake</v>
      </c>
      <c r="B1663" s="24" t="str">
        <f>IFERROR(__xludf.DUMMYFUNCTION("""COMPUTED_VALUE"""),"Habitat homogenization, nutrient enrichment and loss of biodiversity are broadly recognized as the consequences of human activity in aquatic systems. Diatoms (Bacillariophyceae) are frequently used in aquatic environmental assessment and impact monitoring"&amp;", but in unique habitats dominated by endemic taxa, traditional approaches may not be appropriate. We examined the impacts of long term anthropogenic impacts upon the littoral episammic diatom community around the town of Soroako, located on Lake Matano, "&amp;"an ancient tropical lake. Lake Matano is located on central Sulawesi Island, Indonesia, and socio-economic conditions are typical of developing nations. Although differences in nutrient concentrations were undetectable with field-based spectroscopy approa"&amp;"ches, mean Shannon diversity was decreased in association with proximity the town-site. However, mean -diversity was maintained despite several decades of shoreline modification at Soroako. Elevated abundances of early-successional diatom taxa in the dist"&amp;"urbed area drove differences between areas immediately offshore of Soroako and those farther away. These findings suggest that increased physical disturbance and TSS loads around Soroako, rather than increased nutrient loading, influenced shifts in the di"&amp;"atom community. These results suggest that microscopy-based biomonitoring approaches are sensitive indicators of environmental modification that could be useful in areas where access to cutting-edge analytical equipment is limited.")</f>
        <v>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v>
      </c>
      <c r="C1663" s="24" t="str">
        <f>IFERROR(__xludf.DUMMYFUNCTION("""COMPUTED_VALUE"""),"10.1007/s00128-017-2181-8")</f>
        <v>10.1007/s00128-017-2181-8</v>
      </c>
      <c r="D1663" s="24" t="str">
        <f>IFERROR(__xludf.DUMMYFUNCTION("""COMPUTED_VALUE"""),"Keck et al")</f>
        <v>Keck et al</v>
      </c>
      <c r="E1663" s="24" t="str">
        <f>IFERROR(__xludf.DUMMYFUNCTION("""COMPUTED_VALUE"""),"WOS:000415991900002")</f>
        <v>WOS:000415991900002</v>
      </c>
      <c r="F1663" s="24" t="str">
        <f>IFERROR(__xludf.DUMMYFUNCTION("""COMPUTED_VALUE"""),"[""ELIGIBLE""]")</f>
        <v>["ELIGIBLE"]</v>
      </c>
    </row>
    <row r="1664">
      <c r="A1664" s="24" t="str">
        <f>IFERROR(__xludf.DUMMYFUNCTION("""COMPUTED_VALUE"""),"Non-target effects of fungicides on nectar-inhabiting fungi of almond flowers")</f>
        <v>Non-target effects of fungicides on nectar-inhabiting fungi of almond flowers</v>
      </c>
      <c r="B1664" s="24" t="str">
        <f>IFERROR(__xludf.DUMMYFUNCTION("""COMPUTED_VALUE"""),"Nectar mediates interactions between plants and pollinators in natural and agricultural systems. Specialized microorganisms are common nectar inhabitants, and potentially important mediators of plant-pollinator interactions. However, their diversity and r"&amp;"ole in mediating pollination services in agricultural systems are poorly characterized. Moreover, agrochemicals are commonly applied to minimize crop damage, but may present ecological consequences for non-target organisms. Assessment of ecological risk h"&amp;"as tended to focus on beneficial macroorganisms such as pollinators, with less attention paid to microorganisms. Here, using culture-independent methods, we assess the impact of two widely-used fungicides on nectar microbial community structure in the mas"&amp;"s-flowering crop almond (Prunus dulcis). We predicted that fungicide application would reduce fungal richness and diversity, whereas competing bacterial richness would increase, benefitting from negative effects on fungi. We found that fungicides reduced "&amp;"fungal richness and diversity in exposed flowers, but did not significantly affect bacterial richness, diversity, or community composition. The relative abundance of Metschnikowia OTUs, nectar specialists that can impact pollination, was reduced by both f"&amp;"ungicides. Given growing recognition of theimportance of nectar microorganisms as mediators of plant-pollinator mutualisms, future research should consider the impact of management practiceson plant-associated microorganisms and consequences for pollinati"&amp;"on services in agricultural landscapes.")</f>
        <v>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v>
      </c>
      <c r="C1664" s="24" t="str">
        <f>IFERROR(__xludf.DUMMYFUNCTION("""COMPUTED_VALUE"""),"10.1111/1758-2229.12501")</f>
        <v>10.1111/1758-2229.12501</v>
      </c>
      <c r="D1664" s="24" t="str">
        <f>IFERROR(__xludf.DUMMYFUNCTION("""COMPUTED_VALUE"""),"Keck et al")</f>
        <v>Keck et al</v>
      </c>
      <c r="E1664" s="24" t="str">
        <f>IFERROR(__xludf.DUMMYFUNCTION("""COMPUTED_VALUE"""),"WOS:000397493300003")</f>
        <v>WOS:000397493300003</v>
      </c>
      <c r="F1664" s="24" t="str">
        <f>IFERROR(__xludf.DUMMYFUNCTION("""COMPUTED_VALUE"""),"[""ELIGIBLE""]")</f>
        <v>["ELIGIBLE"]</v>
      </c>
    </row>
    <row r="1665">
      <c r="A1665" s="24" t="str">
        <f>IFERROR(__xludf.DUMMYFUNCTION("""COMPUTED_VALUE"""),"Responses of paddy soil bacterial community assembly to different long-term fertilizations in southeast China")</f>
        <v>Responses of paddy soil bacterial community assembly to different long-term fertilizations in southeast China</v>
      </c>
      <c r="B1665" s="24" t="str">
        <f>IFERROR(__xludf.DUMMYFUNCTION("""COMPUTED_VALUE"""),"Recent works have shown that long-term fertilization has a critical influence on soil microbial communities; however, the underlying ecological assemblage of microbial community as well as its linkage with soil fertility and crop yield are still poorly un"&amp;"derstood. In this study, using analysis of high-throughput sequencing of 16S rRNA gene amplicons, we investigate mean pairwise phylogenetic distance (MPD), nearest relative index (NRI), taxonomic compositions and network topological properties to evaluate"&amp;" the assembly of the soil microbial community developed in 30-year fertilized soils. The phylogenetic signal indicates that environmental filtering was a more important assembly process that structure the microbial community than the stochastic process. I"&amp;"ncrease of soil fertility indexes, such as cation exchange capacity (CEC), soil organic matter (SOM) and available P (AP), driven by balanced fertilizations and strawreturning amendment, result in the decrease of environmental filtering on the bacterial c"&amp;"ommunity assembly. Network parameters show that the amendment of straw returning provides with more niches, which lead to more complex phylotype co-occurrence. Increase of crop yield under balanced fertilizations might due to the increase of soilmicrobial"&amp;" function traits, which is associated with decreasing influence of environmental filtering. The significantly increased bacterial genera, Candidatus Koribacter, Candidatus Solibacter, and Fimbriimonas, in straw returning treatments, might be the key speci"&amp;"es in the competition caused by long-term environmental filtering. These results are helpful for a unified understanding of the ecological processes formicrobial communities in different fertilized agroecosystem and the development of sustainable agricult"&amp;"ure. (c) 2018 Elsevier B. V. All rights reserved.")</f>
        <v>Recent works have shown that long-term fertilization has a critical influence on soil microbial communities; however, the underlying ecological assemblage of microbial community as well as its linkage with soil fertility and crop yield are still poorly understood. In this study, using analysis of high-throughput sequencing of 16S rRNA gene amplicons, we investigate mean pairwise phylogenetic distance (MPD), nearest relative index (NRI), taxonomic compositions and network topological properties to evaluate the assembly of the soil microbial community developed in 30-year fertilized soils. The phylogenetic signal indicates that environmental filtering was a more important assembly process that structure the microbial community than the stochastic process. Increase of soil fertility indexes, such as cation exchange capacity (CEC), soil organic matter (SOM) and available P (AP), driven by balanced fertilizations and strawreturning amendment, result in the decrease of environmental filtering on the bacterial community assembly. Network parameters show that the amendment of straw returning provides with more niches, which lead to more complex phylotype co-occurrence. Increase of crop yield under balanced fertilizations might due to the increase of soilmicrobial function traits, which is associated with decreasing influence of environmental filtering. The significantly increased bacterial genera, Candidatus Koribacter, Candidatus Solibacter, and Fimbriimonas, in straw returning treatments, might be the key species in the competition caused by long-term environmental filtering. These results are helpful for a unified understanding of the ecological processes formicrobial communities in different fertilized agroecosystem and the development of sustainable agriculture. (c) 2018 Elsevier B. V. All rights reserved.</v>
      </c>
      <c r="C1665" s="24" t="str">
        <f>IFERROR(__xludf.DUMMYFUNCTION("""COMPUTED_VALUE"""),"10.1016/j.scitotenv.2018.11.359")</f>
        <v>10.1016/j.scitotenv.2018.11.359</v>
      </c>
      <c r="D1665" s="24" t="str">
        <f>IFERROR(__xludf.DUMMYFUNCTION("""COMPUTED_VALUE"""),"Keck et al")</f>
        <v>Keck et al</v>
      </c>
      <c r="E1665" s="24" t="str">
        <f>IFERROR(__xludf.DUMMYFUNCTION("""COMPUTED_VALUE"""),"WOS:000455039600061")</f>
        <v>WOS:000455039600061</v>
      </c>
      <c r="F1665" s="24" t="str">
        <f>IFERROR(__xludf.DUMMYFUNCTION("""COMPUTED_VALUE"""),"[""ELIGIBLE""]")</f>
        <v>["ELIGIBLE"]</v>
      </c>
    </row>
    <row r="1666">
      <c r="A1666" s="24" t="str">
        <f>IFERROR(__xludf.DUMMYFUNCTION("""COMPUTED_VALUE"""),"The effect of atrazine on intestinal histology, microbial community and short chain fatty acids in Pelophylax nigromaculatus tadpoles*")</f>
        <v>The effect of atrazine on intestinal histology, microbial community and short chain fatty acids in Pelophylax nigromaculatus tadpoles*</v>
      </c>
      <c r="B1666" s="24" t="str">
        <f>IFERROR(__xludf.DUMMYFUNCTION("""COMPUTED_VALUE"""),"The intestine is the main organ for nutrient absorption in amphibians. It is sensitive to atrazine, which is a herbicide widely used in agricultural areas. At present, there is a lack of systematic research on the effect of atrazine on the amphibian intes"&amp;"tine. In this study, we evaluated the effects of atrazine exposure (0, 50 mu g/L, 100 mu g/L, and 500 mu g/L) for 20 days on intestinal histology, microbiota and short chain fatty acids in Pelophylax nigromaculatus tadpoles. Our research showed that 500 m"&amp;"u g/L atrazine exposure significantly decreased the height of microvilli and epithelial cells, and altered the composition and diversity of intestinal microbiota in P. nigromaculatus tadpoles compared to the control. At the phylum level, the abundance of "&amp;"Bacteroidetes and Fusobacteria increased significantly, while that of Verrucomicrobia and Firmicutes decreased significantly in the 500 mu g/L atrazine treatment group. At the genus level, Akkermansia and Lactococcus had significantly lower abundance in t"&amp;"he 100 mu g/L and 500 mu g/L atrazine exposure group, while Cetobacterium was only detected in the 100 mu g/L and 500 mu g/L atrazine treated group. Also, function prediction of intestinal microbiota showed that atrazine treatment significantly changed th"&amp;"e metabolism pathways of P. nigromaculatus tadpoles. In addition, 500 mu g/L atrazine exposure changed the content of short chain fatty acids by significantly increasing the content of total SFCAs, butyric acid, and valeric acid, and decreasing the conten"&amp;"t of isovaleric acid in the intestine. Taken together, atrazine exposure could affect the intestinal histology and induce intestinal microbiota imbalance and metabolic disorder in amphibian tadpoles.")</f>
        <v>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v>
      </c>
      <c r="C1666" s="24" t="str">
        <f>IFERROR(__xludf.DUMMYFUNCTION("""COMPUTED_VALUE"""),"10.1016/j.envpol.2021.117702")</f>
        <v>10.1016/j.envpol.2021.117702</v>
      </c>
      <c r="D1666" s="24" t="str">
        <f>IFERROR(__xludf.DUMMYFUNCTION("""COMPUTED_VALUE"""),"Keck et al")</f>
        <v>Keck et al</v>
      </c>
      <c r="E1666" s="24" t="str">
        <f>IFERROR(__xludf.DUMMYFUNCTION("""COMPUTED_VALUE"""),"WOS:000696782200002")</f>
        <v>WOS:000696782200002</v>
      </c>
      <c r="F1666" s="24" t="str">
        <f>IFERROR(__xludf.DUMMYFUNCTION("""COMPUTED_VALUE"""),"[""ELIGIBLE""]")</f>
        <v>["ELIGIBLE"]</v>
      </c>
    </row>
    <row r="1667">
      <c r="A1667" s="24" t="str">
        <f>IFERROR(__xludf.DUMMYFUNCTION("""COMPUTED_VALUE"""),"Toxic effects of norfloxacin in soil on fed and unfed Folsomia candida (Isotomidae: Collembola) and on gut and soil microbiota")</f>
        <v>Toxic effects of norfloxacin in soil on fed and unfed Folsomia candida (Isotomidae: Collembola) and on gut and soil microbiota</v>
      </c>
      <c r="B1667" s="24" t="str">
        <f>IFERROR(__xludf.DUMMYFUNCTION("""COMPUTED_VALUE"""),"Soils contaminated with antibiotics may exert effects on soil-dwelling animals. A systematic ecological toxicity assessment of norfloxacin on the soil collembolan Folsomia candida (F. candida) was therefore conducted in soil and Petri dish systems with an"&amp;"d without feeding at the population, individual and cellular levels. The indicators survival, reproduction, antioxidant enzyme activities peroxidase (POD), catalase (CAT), and superoxide dismutase (SOD), malondialdehyde (MDA) contents and gut microbiota w"&amp;"ere studied. The surrounding soil microbiota were also investigated because F. candida can ingest soil microbiota that may have effects on the gut microbiota. In general, the toxicity of norfloxacin to F. candida in contaminated soil without food addition"&amp;" was higher than in contaminated soil with food addition. Norfloxacin had little effect at population and individual levels but antioxidant enzyme activities changed significantly in treatments with longer exposure times or higher norfloxacin concentratio"&amp;"ns. CAT was more sensitive than SOD or POD. The diversity indices and composition at phylum level of the gut microbiota showed little change. However, the operational taxonomic units in the gut decreased in the presence of norfloxacin. The relative abunda"&amp;"nce of Wolbachia, the predominant bacterial genus in the gut, decreased significantly with increasing soil norfloxacin concentration. Wolbachia may therefore be a promising bioindicator in the assessment of norfloxacin pollution of soils at environmental "&amp;"concentrations. (c) 2021 Elsevier B.V. All rights reserved.")</f>
        <v>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v>
      </c>
      <c r="C1667" s="24" t="str">
        <f>IFERROR(__xludf.DUMMYFUNCTION("""COMPUTED_VALUE"""),"10.1016/j.scitotenv.2021.147793")</f>
        <v>10.1016/j.scitotenv.2021.147793</v>
      </c>
      <c r="D1667" s="24" t="str">
        <f>IFERROR(__xludf.DUMMYFUNCTION("""COMPUTED_VALUE"""),"Keck et al")</f>
        <v>Keck et al</v>
      </c>
      <c r="E1667" s="24" t="str">
        <f>IFERROR(__xludf.DUMMYFUNCTION("""COMPUTED_VALUE"""),"WOS:000662643600009")</f>
        <v>WOS:000662643600009</v>
      </c>
      <c r="F1667" s="24" t="str">
        <f>IFERROR(__xludf.DUMMYFUNCTION("""COMPUTED_VALUE"""),"[""ELIGIBLE""]")</f>
        <v>["ELIGIBLE"]</v>
      </c>
    </row>
    <row r="1668">
      <c r="A1668" s="24" t="str">
        <f>IFERROR(__xludf.DUMMYFUNCTION("""COMPUTED_VALUE"""),"Effects of polyethylene microplastics on the gut microbial community, reproduction and avoidance behaviors of the soil springtail, Folsomia candida")</f>
        <v>Effects of polyethylene microplastics on the gut microbial community, reproduction and avoidance behaviors of the soil springtail, Folsomia candida</v>
      </c>
      <c r="B1668" s="24" t="str">
        <f>IFERROR(__xludf.DUMMYFUNCTION("""COMPUTED_VALUE"""),"Microplastics (MPs) are an emerging contaminant and are confirmed to be ubiquitous in the environment. Adverse effects of MPs on aquatic organisms have been widely studied, whereas little research has focused on soil invertebrates. We exposed the soil spr"&amp;"ingtail Folsomia candida to artificial soils contaminated with polyethylene MPs (&lt;500 mu m) for 28 d to explore the effects of MPs on avoidance, reproduction, and gut microbiota. Springtails exhibited avoidance behaviors at 0.5% and 1% MPs (w/w in dry soi"&amp;"l), and the avoidance rate was 59% and 69%, respectively. Reproduction was inhibited when the concentration of MPs reached 0.1% and was reduced by 70.2% at the highest concentration of 1% MPs compared to control. The half-maximal effective concentration ("&amp;"EC50) value based on reproduction for F. candida was 0.29% MPs. At concentrations of 0.5% dry weight in the soil, MPs significantly altered the microbial community and decreased bacterial diversity in the springtail gut. Specifically, the relative abundan"&amp;"ce of Wolbachia significantly decreased while the relative abundance of Bradyrhizobiaceae, Ensifer and Stenotrophomonas significantly increased. Our results demonstrated that MPs exerted a significant toxic effect on springtails and can change their gut m"&amp;"icrobial community. This can provide useful information for risk assessment of MPs in terrestrial ecosystems. (C) 2019 Elsevier Ltd. All rights reserved.")</f>
        <v>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v>
      </c>
      <c r="C1668" s="24" t="str">
        <f>IFERROR(__xludf.DUMMYFUNCTION("""COMPUTED_VALUE"""),"10.1016/j.envpol.2019.01.097")</f>
        <v>10.1016/j.envpol.2019.01.097</v>
      </c>
      <c r="D1668" s="24" t="str">
        <f>IFERROR(__xludf.DUMMYFUNCTION("""COMPUTED_VALUE"""),"Keck et al")</f>
        <v>Keck et al</v>
      </c>
      <c r="E1668" s="24" t="str">
        <f>IFERROR(__xludf.DUMMYFUNCTION("""COMPUTED_VALUE"""),"WOS:000460844800096")</f>
        <v>WOS:000460844800096</v>
      </c>
      <c r="F1668" s="24" t="str">
        <f>IFERROR(__xludf.DUMMYFUNCTION("""COMPUTED_VALUE"""),"[""ELIGIBLE""]")</f>
        <v>["ELIGIBLE"]</v>
      </c>
    </row>
    <row r="1669">
      <c r="A1669" s="24" t="str">
        <f>IFERROR(__xludf.DUMMYFUNCTION("""COMPUTED_VALUE"""),"Post-fire vegetation response at the woodland-shrubland interface is mediated by the pre-fire community")</f>
        <v>Post-fire vegetation response at the woodland-shrubland interface is mediated by the pre-fire community</v>
      </c>
      <c r="B1669" s="24" t="str">
        <f>IFERROR(__xludf.DUMMYFUNCTION("""COMPUTED_VALUE"""),"Understanding the drivers of ecosystem responses to disturbance is essential for management aimed at maintaining or restoring ecosystem processes and services, especially where invasive species respond strongly to disturbance. In this study, we used repea"&amp;"t vegetation surveys from a network of prescribed fire treatments at the woodland-shrubland interface in the Shoshone Mountains, Nevada, USA, to investigate post-fire responses of the understory plant community. First, we characterized post-fire community"&amp;" trajectories for sites located along an elevational gradient, hypothesizing a positive relationship between elevation and resistance to invasion. Unburned understory communities and their responses to disturbance differed along the gradient. As hypothesi"&amp;"zed, lower elevations experienced greater species turnover and higher invasive annual grass (Bromus tectorum) cover after fire. Second, we characterized post-fire plant community trajectories for sites with varying levels of pre-fire pinyon and juniper co"&amp;"ver, hypothesizing that pre-fire tree dominance and associated reductions in perennial understory species lead to less predictable post-fire trajectories. Among sites with low-to-moderate tree cover, burning largely eliminated differences in understory co"&amp;"mposition, suggesting that biotic legacies were sufficient to result in predictable trajectories. In contrast, sites with high pre-fire tree cover transitioned into an annual forb-dominated community with sparse vegetation cover, suggesting that the loss "&amp;"of the understory community initiated unpredictable and divergent post-fire trajectories. Because plant communities were still changing four years after fire, it is unclear whether the alternate trajectories in sites with high tree cover will result in th"&amp;"e formation of alternate states, or whether community composition will eventually converge with other sites at the same elevation. Results indicate that careful evaluation of site characteristics can be used to predict treatment outcomes at the woodland-s"&amp;"hrubland interface, and to guide the appropriate use of prescribed fire or other management practices.")</f>
        <v>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v>
      </c>
      <c r="C1669" s="24" t="str">
        <f>IFERROR(__xludf.DUMMYFUNCTION("""COMPUTED_VALUE"""),"10.1002/ecs2.1851")</f>
        <v>10.1002/ecs2.1851</v>
      </c>
      <c r="D1669" s="24" t="str">
        <f>IFERROR(__xludf.DUMMYFUNCTION("""COMPUTED_VALUE"""),"Keck et al")</f>
        <v>Keck et al</v>
      </c>
      <c r="E1669" s="24" t="str">
        <f>IFERROR(__xludf.DUMMYFUNCTION("""COMPUTED_VALUE"""),"WOS:000405626700007")</f>
        <v>WOS:000405626700007</v>
      </c>
      <c r="F1669" s="24" t="str">
        <f>IFERROR(__xludf.DUMMYFUNCTION("""COMPUTED_VALUE"""),"[""ELIGIBLE""]")</f>
        <v>["ELIGIBLE"]</v>
      </c>
    </row>
    <row r="1670">
      <c r="A1670" s="24" t="str">
        <f>IFERROR(__xludf.DUMMYFUNCTION("""COMPUTED_VALUE"""),"No difference in plant species diversity between protected and managed ravine forests")</f>
        <v>No difference in plant species diversity between protected and managed ravine forests</v>
      </c>
      <c r="B1670" s="24" t="str">
        <f>IFERROR(__xludf.DUMMYFUNCTION("""COMPUTED_VALUE"""),"The influence of management practices on forest ecosystems is usually analyzed by a comparison of species composition and richness. Different types of management practices increase plant species richness, mainly due to an increase in the number of ruderal"&amp;" and open habitat species. So far, most of the studies have been performed in the forest types that were most common in the studied regions. In this study we focused on broadleaved ravine forests that are spatially limited to specific habitat conditions, "&amp;"including steep rocky slopes with skeletal soil and unstable ground. These forests are local biodiversity hotspots, and, due to limited accessibility, have been subject to only limited management practices, mainly removal of single trees. We collected a d"&amp;"ataset of 215 plots sampled between 1991 and 2015 in both managed forests and protected areas. We used multivariate techniques to compare the differences in the overall species composition. In addition, we compared differences in diversity, structural and"&amp;" habitat indices to find any possible differences. There were no differences in both the plot level and accumulative species richness and diversity indices between protected and managed forests. In addition, a comparison of habitat conditions and differen"&amp;"t ecological groups, including ruderal and open habitat species, alien species and ancient forest indicator species also revealed no differences. The only significant differences between the protected and managed forests related to the evenness and shrub "&amp;"cover. We concluded that low intensity forest management in ravine forests resembles natural disturbances, which are characteristic of natural ravine forests. The species composing these communities are adapted to frequent natural disturbances and thus fo"&amp;"rest management did not influence significant habitat conditions. However, to fully understand the effect of these practices on biodiversity, a comparison of structural characteristics is needed.")</f>
        <v>The influence of management practices on forest ecosystems is usually analyzed by a comparison of species composition and richness. Different types of management practices increase plant species richness, mainly due to an increase in the number of ruderal and open habitat species. So far, most of the studies have been performed in the forest types that were most common in the studied regions. In this study we focused on broadleaved ravine forests that are spatially limited to specific habitat conditions, including steep rocky slopes with skeletal soil and unstable ground. These forests are local biodiversity hotspots, and, due to limited accessibility, have been subject to only limited management practices, mainly removal of single trees. We collected a dataset of 215 plots sampled between 1991 and 2015 in both managed forests and protected areas. We used multivariate techniques to compare the differences in the overall species composition. In addition, we compared differences in diversity, structural and habitat indices to find any possible differences. There were no differences in both the plot level and accumulative species richness and diversity indices between protected and managed forests. In addition, a comparison of habitat conditions and different ecological groups, including ruderal and open habitat species, alien species and ancient forest indicator species also revealed no differences. The only significant differences between the protected and managed forests related to the evenness and shrub cover. We concluded that low intensity forest management in ravine forests resembles natural disturbances, which are characteristic of natural ravine forests. The species composing these communities are adapted to frequent natural disturbances and thus forest management did not influence significant habitat conditions. However, to fully understand the effect of these practices on biodiversity, a comparison of structural characteristics is needed.</v>
      </c>
      <c r="C1670" s="24" t="str">
        <f>IFERROR(__xludf.DUMMYFUNCTION("""COMPUTED_VALUE"""),"10.1016/j.foreco.2018.08.052")</f>
        <v>10.1016/j.foreco.2018.08.052</v>
      </c>
      <c r="D1670" s="24" t="str">
        <f>IFERROR(__xludf.DUMMYFUNCTION("""COMPUTED_VALUE"""),"Keck et al")</f>
        <v>Keck et al</v>
      </c>
      <c r="E1670" s="24" t="str">
        <f>IFERROR(__xludf.DUMMYFUNCTION("""COMPUTED_VALUE"""),"WOS:000449137300057")</f>
        <v>WOS:000449137300057</v>
      </c>
      <c r="F1670" s="24" t="str">
        <f>IFERROR(__xludf.DUMMYFUNCTION("""COMPUTED_VALUE"""),"[""ELIGIBLE""]")</f>
        <v>["ELIGIBLE"]</v>
      </c>
    </row>
    <row r="1671">
      <c r="A1671" s="24" t="str">
        <f>IFERROR(__xludf.DUMMYFUNCTION("""COMPUTED_VALUE"""),"Are tree plantations promoting homogenization of mammal assemblages between regions with contrasting environments?")</f>
        <v>Are tree plantations promoting homogenization of mammal assemblages between regions with contrasting environments?</v>
      </c>
      <c r="B1671" s="24" t="str">
        <f>IFERROR(__xludf.DUMMYFUNCTION("""COMPUTED_VALUE"""),"Aim The expansion of agriculture is promoting the loss of natural environments and their biotic homogenization. We aimed at understanding whether the replacement of forests and grasslands by tree plantations leads to biotic homogenization of mammal assemb"&amp;"lages of two contrasting Neotropical ecoregions or if dispersal or environmental limitations keep their original assemblages clearly differentiated. Location Argentina, Upper Parana Atlantic Forest, Southern Cone Mesopotamian Savannas and Ibera marshes. T"&amp;"axon Mammals. Methods We conducted two camera-trap surveys, deploying 184 camera-trap stations in continuous forest, fragmented forest and pine plantations in the Atlantic Forest, and 234 in grassland, fragmented forest and pine plantations in the Mesopot"&amp;"amian Savannas. We evaluated the similarity of the assemblages among the environments and regions, generating all possible pairwise comparisons using three similarity indices: Sorensen (species identity), Horn (common species) and Morisita-Horn (dominant "&amp;"species). Using variation partitioning diagrams and redundancy analysis, we evaluated the spatial structure of mammal assemblages and the influence of environmental variables. Results There was a greater similarity in species identity between different en"&amp;"vironments within each region than between similar environments in different regions. Common and dominant mammal assemblages of tree plantations tended to be similar between regions and were different from assemblages of the natural environments within th"&amp;"e same region. Fragmented forest assemblages were very similar among regions. Assemblages were spatially structured but most of the variation between regions was explained by the environmental variables. Main conclusions Each region has a distinct pool of"&amp;" species, which is partially explained by environmental factors, such as the differential representation of native environments in the landscape. However, an expansion of tree plantations and forest fragmentation in the Atlantic Forest could lead to bioti"&amp;"c homogenization between regions due to an increase in the abundance of generalist species.")</f>
        <v>Aim The expansion of agriculture is promoting the loss of natural environments and their biotic homogenization. We aimed at understanding whether the replacement of forests and grasslands by tree plantations leads to biotic homogenization of mammal assemblages of two contrasting Neotropical ecoregions or if dispersal or environmental limitations keep their original assemblages clearly differentiated. Location Argentina, Upper Parana Atlantic Forest, Southern Cone Mesopotamian Savannas and Ibera marshes. Taxon Mammals. Methods We conducted two camera-trap surveys, deploying 184 camera-trap stations in continuous forest, fragmented forest and pine plantations in the Atlantic Forest, and 234 in grassland, fragmented forest and pine plantations in the Mesopotamian Savannas. We evaluated the similarity of the assemblages among the environments and regions, generating all possible pairwise comparisons using three similarity indices: Sorensen (species identity), Horn (common species) and Morisita-Horn (dominant species). Using variation partitioning diagrams and redundancy analysis, we evaluated the spatial structure of mammal assemblages and the influence of environmental variables. Results There was a greater similarity in species identity between different environments within each region than between similar environments in different regions. Common and dominant mammal assemblages of tree plantations tended to be similar between regions and were different from assemblages of the natural environments within the same region. Fragmented forest assemblages were very similar among regions. Assemblages were spatially structured but most of the variation between regions was explained by the environmental variables. Main conclusions Each region has a distinct pool of species, which is partially explained by environmental factors, such as the differential representation of native environments in the landscape. However, an expansion of tree plantations and forest fragmentation in the Atlantic Forest could lead to biotic homogenization between regions due to an increase in the abundance of generalist species.</v>
      </c>
      <c r="C1671" s="24" t="str">
        <f>IFERROR(__xludf.DUMMYFUNCTION("""COMPUTED_VALUE"""),"10.1111/jbi.14056")</f>
        <v>10.1111/jbi.14056</v>
      </c>
      <c r="D1671" s="24" t="str">
        <f>IFERROR(__xludf.DUMMYFUNCTION("""COMPUTED_VALUE"""),"Keck et al")</f>
        <v>Keck et al</v>
      </c>
      <c r="E1671" s="24" t="str">
        <f>IFERROR(__xludf.DUMMYFUNCTION("""COMPUTED_VALUE"""),"WOS:000617885000001")</f>
        <v>WOS:000617885000001</v>
      </c>
      <c r="F1671" s="24" t="str">
        <f>IFERROR(__xludf.DUMMYFUNCTION("""COMPUTED_VALUE"""),"[""ELIGIBLE""]")</f>
        <v>["ELIGIBLE"]</v>
      </c>
    </row>
    <row r="1672">
      <c r="A1672" s="24" t="str">
        <f>IFERROR(__xludf.DUMMYFUNCTION("""COMPUTED_VALUE"""),"Density-dependent role of an invasive marsh grass, Phragmites australis, on ecosystem service provision")</f>
        <v>Density-dependent role of an invasive marsh grass, Phragmites australis, on ecosystem service provision</v>
      </c>
      <c r="B1672" s="24" t="str">
        <f>IFERROR(__xludf.DUMMYFUNCTION("""COMPUTED_VALUE"""),"Invasive species can positively, neutrally, or negatively affect the provision of ecosystem services. The direction and magnitude of this effect can be a function of the invaders' density and the service(s) of interest. We assessed the density-dependent e"&amp;"ffect of an invasive marsh grass, Phragmites australis, on three ecosystem services (plant diversity and community structure, shoreline stabilization, and carbon storage) in two oligohaline marshes within the North Carolina Coastal Reserve and National Es"&amp;"tuarine Research Reserve System (NCNERR), USA. Plant species richness was equivalent among low, medium and high Phragmites density plots, and overall plant community composition did not vary significantly by Phragmites density. Shoreline change was most n"&amp;"egative (landward retreat) where Phragmites density was highest (-0.40 +/- 0.19m yr(-1) vs. -0.31 +/- 0.10 for low density Phragmites) in the high energy marsh of Kitty Hawk Woods Reserve and most positive (soundward advance) where Phragmites density was "&amp;"highest (0.19 +/- 0.05 m yr(-1) vs. 0.12 +/- 0.07 for low density Phragmites) in the lower energy marsh of Currituck Banks Reserve, although there was no significant effect of Phragmites density on shoreline change. In Currituck Banks, mean soil carbon co"&amp;"ntent was approximately equivalent in cores extracted from low and high Phragmites density plots (23.23 +/- 2.0 kg C m(-3) vs. 22.81 +/- 3.8). In Kitty Hawk Woods, mean soil carbon content was greater in low Phragmites density plots (36.63 +/- 10.22 kg C "&amp;"m(-3)) than those with medium (13.99 +/- 1.23 kg C m(-3)) or high density (21.61 +/- 4.53 kg C m(-3)), but differences were not significant. These findings suggest an overall neutral density-dependent effect of Phragmites on three ecosystem services withi"&amp;"n two oligohaline marshes in different environmental settings within a protected reserve system. Moreover, the conceptual framework of this study can broadly inform an ecosystem services-based approach to invasive species management.")</f>
        <v>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v>
      </c>
      <c r="C1672" s="24" t="str">
        <f>IFERROR(__xludf.DUMMYFUNCTION("""COMPUTED_VALUE"""),"10.1371/journal.pone.0173007")</f>
        <v>10.1371/journal.pone.0173007</v>
      </c>
      <c r="D1672" s="24" t="str">
        <f>IFERROR(__xludf.DUMMYFUNCTION("""COMPUTED_VALUE"""),"Keck et al")</f>
        <v>Keck et al</v>
      </c>
      <c r="E1672" s="24" t="str">
        <f>IFERROR(__xludf.DUMMYFUNCTION("""COMPUTED_VALUE"""),"WOS:000394688200184")</f>
        <v>WOS:000394688200184</v>
      </c>
      <c r="F1672" s="24" t="str">
        <f>IFERROR(__xludf.DUMMYFUNCTION("""COMPUTED_VALUE"""),"[""ELIGIBLE""]")</f>
        <v>["ELIGIBLE"]</v>
      </c>
    </row>
    <row r="1673">
      <c r="A1673" s="24" t="str">
        <f>IFERROR(__xludf.DUMMYFUNCTION("""COMPUTED_VALUE"""),"Tardigrade diversity: an evaluation of natural and disturbed environments of the province of Salta (Argentina)")</f>
        <v>Tardigrade diversity: an evaluation of natural and disturbed environments of the province of Salta (Argentina)</v>
      </c>
      <c r="B1673" s="24" t="str">
        <f>IFERROR(__xludf.DUMMYFUNCTION("""COMPUTED_VALUE"""),"Argentine tardigrades are relatively unknown and, in many cases, unstudied; in the province of Salta in north-western Argentina the lone record of tardigrade dates to the 1980s. Here, we evaluate and compare tardigrade diversity in natural habitats (N), u"&amp;"rban environments (U) and rural communities (R) of Yungas. This work seeks to verify the existence of a reduction in tardigrade diversity outside their native habitats and if there is a biotic homogenization in the urban communities. Tardigrade community "&amp;"assemblages were compared between habitats using non-metric multidimensional scaling and a multi-response permutation procedure. Beta diversity was analysed in its component parts, species turnover and nesting, using a modified Raup-Crick test. Gamma dive"&amp;"rsity was divided into alpha and several beta levels. In total, 2080 eutardigrade and heterotardigrade specimens were registered and showed differences in tardigrade assemblages between habitats; the most diverse habitat was R. The beta diversity partitio"&amp;"n showed a nesting pattern in the U communities, highlighting faunal homogenization, while species turnover was key in the R and N communities. There was species loss from N to U communities, most markedly between R and U; various forces (both stochastic "&amp;"and deterministic) influence the structure of these communities.")</f>
        <v>Argentine tardigrades are relatively unknown and, in many cases, unstudied; in the province of Salta in north-western Argentina the lone record of tardigrade dates to the 1980s. Here, we evaluate and compare tardigrade diversity in natural habitats (N), urban environments (U) and rural communities (R) of Yungas. This work seeks to verify the existence of a reduction in tardigrade diversity outside their native habitats and if there is a biotic homogenization in the urban communities. Tardigrade community assemblages were compared between habitats using non-metric multidimensional scaling and a multi-response permutation procedure. Beta diversity was analysed in its component parts, species turnover and nesting, using a modified Raup-Crick test. Gamma diversity was divided into alpha and several beta levels. In total, 2080 eutardigrade and heterotardigrade specimens were registered and showed differences in tardigrade assemblages between habitats; the most diverse habitat was R. The beta diversity partition showed a nesting pattern in the U communities, highlighting faunal homogenization, while species turnover was key in the R and N communities. There was species loss from N to U communities, most markedly between R and U; various forces (both stochastic and deterministic) influence the structure of these communities.</v>
      </c>
      <c r="C1673" s="24" t="str">
        <f>IFERROR(__xludf.DUMMYFUNCTION("""COMPUTED_VALUE"""),"10.1111/zoj.12476")</f>
        <v>10.1111/zoj.12476</v>
      </c>
      <c r="D1673" s="24" t="str">
        <f>IFERROR(__xludf.DUMMYFUNCTION("""COMPUTED_VALUE"""),"Keck et al")</f>
        <v>Keck et al</v>
      </c>
      <c r="E1673" s="24" t="str">
        <f>IFERROR(__xludf.DUMMYFUNCTION("""COMPUTED_VALUE"""),"WOS:000388622800005")</f>
        <v>WOS:000388622800005</v>
      </c>
      <c r="F1673" s="24" t="str">
        <f>IFERROR(__xludf.DUMMYFUNCTION("""COMPUTED_VALUE"""),"[""ELIGIBLE""]")</f>
        <v>["ELIGIBLE"]</v>
      </c>
    </row>
    <row r="1674">
      <c r="A1674" s="24" t="str">
        <f>IFERROR(__xludf.DUMMYFUNCTION("""COMPUTED_VALUE"""),"Adaptation to agricultural pesticides may allow mosquitoes to avoid predators and colonize novel ecosystems")</f>
        <v>Adaptation to agricultural pesticides may allow mosquitoes to avoid predators and colonize novel ecosystems</v>
      </c>
      <c r="B1674" s="24" t="str">
        <f>IFERROR(__xludf.DUMMYFUNCTION("""COMPUTED_VALUE"""),"Human activities such as the application of agrochemicals may detrimentally disturb natural ecosystems, generating novel selection pressures. Here we examine how pesticides may influence community composition using the aquatic communities within bromeliad"&amp;" phytotelmata, and how adaptive responses to pesticides may influence community-level patterns. We first quantified the composition of macroinvertebrate communities from pesticide-free and pesticide-exposed locations. Complementary manipulative experiment"&amp;"s where bromeliads were transplanted between pesticide-free and pesticide-exposed sites were then performed. Finally, pesticide bioassays on the most common predators (Mecistogaster modesta damselflies) and prey (Wyeomyia abebela mosquitoes) assessed a po"&amp;"tential evolutionary mechanism that may influence community compositional differences. Our field survey revealed differences in W. abebela and M. modesta abundances between pesticide-free and pesticide-exposed areas. Our transplant experiment suggested co"&amp;"mpositional differences were not due to physical differences between bromeliads from different locations. Pesticide bioassays revealed that M. modesta from pesticide-free locations had higher innate pesticide tolerances than W. abebela from pesticide-free"&amp;" areas, but M. modesta larvae showed no evidence of adapted resistance as none were found where pesticides were used. Conversely, W. abebela larvae from pesticide-exposed locations had higher pesticide tolerances than individuals from pesticide-free sites"&amp;", suggesting an adaptive response. This evolved resistance to pesticides may, therefore, allow W. abebela to colonize habitats free of the dominant predator in the system, explaining the higher W. abebela abundances in pesticide-exposed areas than in pest"&amp;"icide-free locations. We suggest that the total effect of novel stressors is driven by interactions between ecological and evolutionary processes.")</f>
        <v>Human activities such as the application of agrochemicals may detrimentally disturb natural ecosystems, generating novel selection pressures. Here we examine how pesticides may influence community composition using the aquatic communities within bromeliad phytotelmata, and how adaptive responses to pesticides may influence community-level patterns. We first quantified the composition of macroinvertebrate communities from pesticide-free and pesticide-exposed locations. Complementary manipulative experiments where bromeliads were transplanted between pesticide-free and pesticide-exposed sites were then performed. Finally, pesticide bioassays on the most common predators (Mecistogaster modesta damselflies) and prey (Wyeomyia abebela mosquitoes) assessed a potential evolutionary mechanism that may influence community compositional differences. Our field survey revealed differences in W. abebela and M. modesta abundances between pesticide-free and pesticide-exposed areas. Our transplant experiment suggested compositional differences were not due to physical differences between bromeliads from different locations. Pesticide bioassays revealed that M. modesta from pesticide-free locations had higher innate pesticide tolerances than W. abebela from pesticide-free areas, but M. modesta larvae showed no evidence of adapted resistance as none were found where pesticides were used. Conversely, W. abebela larvae from pesticide-exposed locations had higher pesticide tolerances than individuals from pesticide-free sites, suggesting an adaptive response. This evolved resistance to pesticides may, therefore, allow W. abebela to colonize habitats free of the dominant predator in the system, explaining the higher W. abebela abundances in pesticide-exposed areas than in pesticide-free locations. We suggest that the total effect of novel stressors is driven by interactions between ecological and evolutionary processes.</v>
      </c>
      <c r="C1674" s="24" t="str">
        <f>IFERROR(__xludf.DUMMYFUNCTION("""COMPUTED_VALUE"""),"10.1007/s00442-019-04403-2")</f>
        <v>10.1007/s00442-019-04403-2</v>
      </c>
      <c r="D1674" s="24" t="str">
        <f>IFERROR(__xludf.DUMMYFUNCTION("""COMPUTED_VALUE"""),"Keck et al")</f>
        <v>Keck et al</v>
      </c>
      <c r="E1674" s="24" t="str">
        <f>IFERROR(__xludf.DUMMYFUNCTION("""COMPUTED_VALUE"""),"WOS:000469243000019")</f>
        <v>WOS:000469243000019</v>
      </c>
      <c r="F1674" s="24" t="str">
        <f>IFERROR(__xludf.DUMMYFUNCTION("""COMPUTED_VALUE"""),"[""ELIGIBLE""]")</f>
        <v>["ELIGIBLE"]</v>
      </c>
    </row>
    <row r="1675">
      <c r="A1675" s="24" t="str">
        <f>IFERROR(__xludf.DUMMYFUNCTION("""COMPUTED_VALUE"""),"Sub-chronic exposure to antibiotics doxycycline, oxytetracycline or florfenicol impacts gut barrier and induces gut microbiota dysbiosis in adult zebrafish (Daino rerio)")</f>
        <v>Sub-chronic exposure to antibiotics doxycycline, oxytetracycline or florfenicol impacts gut barrier and induces gut microbiota dysbiosis in adult zebrafish (Daino rerio)</v>
      </c>
      <c r="B1675" s="24" t="str">
        <f>IFERROR(__xludf.DUMMYFUNCTION("""COMPUTED_VALUE"""),"Antibiotics are widely used in the treatment of bacterial infections and as food additives in the livestock industry. The wide usage of antibiotics causes residues in animal products, like milk, eggs and meat. A number of studies have reported that antibi"&amp;"otic residues exist at high concentrations in watercourses around the world. Doxycycline (DH), oxytetracycline (OTCC) and florfenicol (FF) are the three most commonly used veterinary antibiotics in China. However, studies of the toxic effects of DH, OTCC "&amp;"and FF are limited. In this study, six-moth-old healthy male adult zebrafish were exposed to 0, 10, 30, 100 mu g/L DH, OTCC or FF for 21 days. After exposure, some biochemical parameters changed significantly, including total cholesterol (TC), triglycerid"&amp;"e (TG), pyruvate and acid phosphatase (ACP). In addition, mucus secretion in the gut decreased and the transcription of related genes also decreased significantly. Moreover, the composition of microbiota in the gut changed significantly. DH, OTCC and FF e"&amp;"xposure caused the decrease of diversity of gut microbiota. The relative abundance of Proteobacteria increased significantly after OTCC and FF exposure and Fusobacteria decreased in all antibiotic-treated groups. Further functional prediction analysis als"&amp;"o suggested changes in gut microbiota in the OTCC and FF-treated groups, especially those linked to metabolism. To support this idea, we confirmed that some glycolipid related genes also increased significantly in the liver of adult zebrafish after antibi"&amp;"otic exposure. According to these results, DH, OTCC or FF exposure could cause the gut microbiota dysbiosis and dysfunction, and hepatic metabolic disorder in adult male zebrafish.")</f>
        <v>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v>
      </c>
      <c r="C1675" s="24" t="str">
        <f>IFERROR(__xludf.DUMMYFUNCTION("""COMPUTED_VALUE"""),"10.1016/j.ecoenv.2021.112464")</f>
        <v>10.1016/j.ecoenv.2021.112464</v>
      </c>
      <c r="D1675" s="24" t="str">
        <f>IFERROR(__xludf.DUMMYFUNCTION("""COMPUTED_VALUE"""),"Keck et al")</f>
        <v>Keck et al</v>
      </c>
      <c r="E1675" s="24" t="str">
        <f>IFERROR(__xludf.DUMMYFUNCTION("""COMPUTED_VALUE"""),"WOS:000672581600001")</f>
        <v>WOS:000672581600001</v>
      </c>
      <c r="F1675" s="24" t="str">
        <f>IFERROR(__xludf.DUMMYFUNCTION("""COMPUTED_VALUE"""),"[""ELIGIBLE""]")</f>
        <v>["ELIGIBLE"]</v>
      </c>
    </row>
    <row r="1676">
      <c r="A1676" s="24" t="str">
        <f>IFERROR(__xludf.DUMMYFUNCTION("""COMPUTED_VALUE"""),"Linking stream microbial community functional genes to dissolved organic matter and inorganic nutrients")</f>
        <v>Linking stream microbial community functional genes to dissolved organic matter and inorganic nutrients</v>
      </c>
      <c r="B1676" s="24" t="str">
        <f>IFERROR(__xludf.DUMMYFUNCTION("""COMPUTED_VALUE"""),"There is now increasing evidence for the importance of microbial regulation of biogeochemical cycling in streams. Resource availability shapes microbial community structure, but less is known about how landscape-mediated availability of nutrients and carb"&amp;"on can control microbial functions in streams. Using comparative metagenomics, we examined the relationship between microbial functional genes and composition of dissolved organic matter (DOM), nutrients, and suspended microbial communities in 11 streams,"&amp;" divided into three groups based on the predominant land cover category (agriculture, forested, or wetland). Using weighted gene co-occurrence network analysis, we identified clusters of functions related to DOM composition, agricultural land use, and/or "&amp;"wetland and forest land cover. Wetland-dominated streams were characterized by functions related to nitrogen metabolism and processing of aromatic carbon compounds, with strong positive correlations with dissolved organic carbon concentration and DOM arom"&amp;"aticity. Forested streams were characterized by metabolic functions related to monomer uptake and carbohydrates, such as mannose and fructose metabolism. In agricultural streams, microbial functions were correlated with more labile, protein-like DOM, PO4,"&amp;" and NO3, likely reflecting functional adaptation to labile DOM and higher nutrient concentrations. Distinct changes in the functional composition and loss of functional diversity of microorganisms became evident when comparing natural to agricultural cat"&amp;"chments. Although all streams showed signs of functional redundancy, loss of species richness per function in agricultural catchments suggests that microbial functions in natural catchments may be more resilient to disturbance. Our results provide new ins"&amp;"ight into microbial community functions involved in nutrient and carbon biogeochemical cycles and their dependence on specific environmental settings.")</f>
        <v>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v>
      </c>
      <c r="C1676" s="24" t="str">
        <f>IFERROR(__xludf.DUMMYFUNCTION("""COMPUTED_VALUE"""),"10.1002/lno.11356")</f>
        <v>10.1002/lno.11356</v>
      </c>
      <c r="D1676" s="24" t="str">
        <f>IFERROR(__xludf.DUMMYFUNCTION("""COMPUTED_VALUE"""),"Keck et al")</f>
        <v>Keck et al</v>
      </c>
      <c r="E1676" s="24" t="str">
        <f>IFERROR(__xludf.DUMMYFUNCTION("""COMPUTED_VALUE"""),"WOS:000501685900001")</f>
        <v>WOS:000501685900001</v>
      </c>
      <c r="F1676" s="24" t="str">
        <f>IFERROR(__xludf.DUMMYFUNCTION("""COMPUTED_VALUE"""),"[""ELIGIBLE""]")</f>
        <v>["ELIGIBLE"]</v>
      </c>
    </row>
    <row r="1677">
      <c r="A1677" s="24" t="str">
        <f>IFERROR(__xludf.DUMMYFUNCTION("""COMPUTED_VALUE"""),"Impact of Zirconium on Freshwater Periphytic Microorganisms")</f>
        <v>Impact of Zirconium on Freshwater Periphytic Microorganisms</v>
      </c>
      <c r="B1677" s="24" t="str">
        <f>IFERROR(__xludf.DUMMYFUNCTION("""COMPUTED_VALUE"""),"The majority of studies on biofilms have focused on autotrophic and bacterial taxa, without considering the potential effects on biofilm grazers. In this work, we investigated the effects of realistic environmental concentrations of zirconium (Zr) on peri"&amp;"phyton algal growth and micromeiofauna biodiversity. Glass slides were submerged in a pond for four weeks to colonize biofilms and exposed for four weeks in aquaria to targeted Zr concentrations of 0, 1, and 10 nM, which were monitored over time (average "&amp;"measured concentrations were 0.2 +/- 0.1, 0.5 +/- 0.3, and 2.9 +/- 0.3 nM Zr). The four-week exposure to the highest concentration (3 nM) affected the micromeiofauna structure of biofilms and modified the autotrophic biofilm structure by increasing the pr"&amp;"oportion of green algae and decreasing the abundance of cyanobacteria and brown algae. Rotifers and the ciliate Aspidisca cicada appeared to be the most sensitive organisms among the observed micromeiofauna. A toxic effect of Zr on rotifers could explain "&amp;"such results. Indirect effects, such as reduced food availability given the reduced algal growth in the presence of Zr, could also play a role in the changes of micromeiofauna community structure. These results are among the few published data on the effe"&amp;"cts of Zr.")</f>
        <v>The majority of studies on biofilms have focused on autotrophic and bacterial taxa, without considering the potential effects on biofilm grazers. In this work, we investigated the effects of realistic environmental concentrations of zirconium (Zr) on periphyton algal growth and micromeiofauna biodiversity. Glass slides were submerged in a pond for four weeks to colonize biofilms and exposed for four weeks in aquaria to targeted Zr concentrations of 0, 1, and 10 nM, which were monitored over time (average measured concentrations were 0.2 +/- 0.1, 0.5 +/- 0.3, and 2.9 +/- 0.3 nM Zr). The four-week exposure to the highest concentration (3 nM) affected the micromeiofauna structure of biofilms and modified the autotrophic biofilm structure by increasing the proportion of green algae and decreasing the abundance of cyanobacteria and brown algae. Rotifers and the ciliate Aspidisca cicada appeared to be the most sensitive organisms among the observed micromeiofauna. A toxic effect of Zr on rotifers could explain such results. Indirect effects, such as reduced food availability given the reduced algal growth in the presence of Zr, could also play a role in the changes of micromeiofauna community structure. These results are among the few published data on the effects of Zr.</v>
      </c>
      <c r="C1677" s="24" t="str">
        <f>IFERROR(__xludf.DUMMYFUNCTION("""COMPUTED_VALUE"""),"10.3390/environments6100111")</f>
        <v>10.3390/environments6100111</v>
      </c>
      <c r="D1677" s="24" t="str">
        <f>IFERROR(__xludf.DUMMYFUNCTION("""COMPUTED_VALUE"""),"Keck et al")</f>
        <v>Keck et al</v>
      </c>
      <c r="E1677" s="24" t="str">
        <f>IFERROR(__xludf.DUMMYFUNCTION("""COMPUTED_VALUE"""),"WOS:000493177500004")</f>
        <v>WOS:000493177500004</v>
      </c>
      <c r="F1677" s="24" t="str">
        <f>IFERROR(__xludf.DUMMYFUNCTION("""COMPUTED_VALUE"""),"[""ELIGIBLE""]")</f>
        <v>["ELIGIBLE"]</v>
      </c>
    </row>
    <row r="1678">
      <c r="A1678" s="24" t="str">
        <f>IFERROR(__xludf.DUMMYFUNCTION("""COMPUTED_VALUE"""),"Species sorting and mass effect along forest succession: Evidence from taxonomic, functional, and phylogenetic diversity of amphibian communities")</f>
        <v>Species sorting and mass effect along forest succession: Evidence from taxonomic, functional, and phylogenetic diversity of amphibian communities</v>
      </c>
      <c r="B1678" s="24" t="str">
        <f>IFERROR(__xludf.DUMMYFUNCTION("""COMPUTED_VALUE"""),"Species recovery after forest disturbance is a highly studied topic in the tropics, but considerable debate remains on the role of secondary forests as biodiversity repositories, especially regarding the functional and phylogenetic dimensions of biodivers"&amp;"ity. Also, studies generally overlook how alpha and beta diversities interact to produce gamma diversity along successional gradients. We used a metacommunity approach to assess how species sorting (i.e., environmental filtering) and mass effect (i.e., so"&amp;"urce-sink dynamics) affect 14 complementary metrics of amphibian taxonomic, functional, and phylogenetic diversity along a successional gradient in southern Mexico. As amphibians have narrow environmental tolerances and low dispersal capabilities, we expe"&amp;"cted that species sorting may be relatively more important than mass effect in structuring amphibian communities. Between 2010 and 2012, we sampled frogs, salamanders, and caecilians in 23 communities distributed in four successional stages: young (2-5 ye"&amp;"ars old) and intermediate (13-28 years old) secondary forests, old-growth forest fragments, and old-growth continuous forest. We assessed 15 ecologically relevant functional traits per species and used a time-calibrated molecular phylogeny. We recorded 1,"&amp;"672 individuals belonging to 30 species and 11 families. Supporting our expectations from the species sorting perspective, from the poorest (younger forests) to the best quality (continuous forest) scenarios, we observed (a) an increase in alpha diversity"&amp;" regardless of species abundances; (b) a clear taxonomic segregation across successional stages; (c) an increase in functional richness and dispersion; (d) an increase in mean phylogenetic distance and nearest taxon index; and (e) a reduction in mean near"&amp;"est taxon distance. However, 10 species occurred in all successional stages, resulting in relatively low beta diversity. This supports a mass effect, where interpatch migrations contribute to prevent local extinctions and increase compositional similarity"&amp;" at the regional scale. Our findings indicate that amphibian metacommunities along forest successional gradients are mainly structured by species sorting, but mass effects may also play a role if high levels of forest cover are conserved in the region. In"&amp;" fact, secondary forests and forest fragments can potentially safeguard different aspects of amphibian diversity, but their long-term conservation value requires preventing additional deforestation.")</f>
        <v>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v>
      </c>
      <c r="C1678" s="24" t="str">
        <f>IFERROR(__xludf.DUMMYFUNCTION("""COMPUTED_VALUE"""),"10.1002/ece3.5110")</f>
        <v>10.1002/ece3.5110</v>
      </c>
      <c r="D1678" s="24" t="str">
        <f>IFERROR(__xludf.DUMMYFUNCTION("""COMPUTED_VALUE"""),"Keck et al")</f>
        <v>Keck et al</v>
      </c>
      <c r="E1678" s="24" t="str">
        <f>IFERROR(__xludf.DUMMYFUNCTION("""COMPUTED_VALUE"""),"WOS:000467584200014")</f>
        <v>WOS:000467584200014</v>
      </c>
      <c r="F1678" s="24" t="str">
        <f>IFERROR(__xludf.DUMMYFUNCTION("""COMPUTED_VALUE"""),"[""ELIGIBLE""]")</f>
        <v>["ELIGIBLE"]</v>
      </c>
    </row>
    <row r="1679">
      <c r="A1679" s="24" t="str">
        <f>IFERROR(__xludf.DUMMYFUNCTION("""COMPUTED_VALUE"""),"Diet contributes to urban-induced alterations in gut microbiota: experimental evidence from a wild passerine")</f>
        <v>Diet contributes to urban-induced alterations in gut microbiota: experimental evidence from a wild passerine</v>
      </c>
      <c r="B1679" s="24" t="str">
        <f>IFERROR(__xludf.DUMMYFUNCTION("""COMPUTED_VALUE"""),"Urban sprawl increasingly affects the ecology of natural populations, including host-microbiota interactions, with observed differences in the gut microbiota between urban and rural hosts. While different mechanisms could explain this pattern, dietary upt"&amp;"ake constitutes a likely candidate. To assess the contribution of diet in explaining urban-rural variation in gut microbiota, we performed an aviary experiment in which urban and rural house sparrows were fed with mimics of urban or rural diets. Before th"&amp;"e experiment, rural sparrows hosted more diverse gut communities, with a higher relative abundance of Enterococcaceae and Staphylococcaceae and lower abundance of genes involved in xenobiotic degradation and lipid metabolism than their urban counterparts."&amp;" The experimental diets significantly altered gut microbiota alpha- and beta-diversity and taxonomic composition, with the strongest shifts occurring in individuals exposed to contrasting diets. Overall, diet-induced shifts resembled initial differences b"&amp;"etween free-ranging urban and rural hosts. Furthermore, rural diet had a positive impact on urban host body mass but only in hosts with the highest initial gut diversity. Overall, our results indicate that diet constitutes an important factor contributing"&amp;" to differences in gut microbiota along the urbanization gradient and provide new insights on possible fitness consequences of a reduced gut diversity in urban settings.")</f>
        <v>Urban sprawl increasingly affects the ecology of natural populations, including host-microbiota interactions, with observed differences in the gut microbiota between urban and rural hosts. While different mechanisms could explain this pattern, dietary uptake constitutes a likely candidate. To assess the contribution of diet in explaining urban-rural variation in gut microbiota, we performed an aviary experiment in which urban and rural house sparrows were fed with mimics of urban or rural diets. Before the experiment, rural sparrows hosted more diverse gut communities, with a higher relative abundance of Enterococcaceae and Staphylococcaceae and lower abundance of genes involved in xenobiotic degradation and lipid metabolism than their urban counterparts. The experimental diets significantly altered gut microbiota alpha- and beta-diversity and taxonomic composition, with the strongest shifts occurring in individuals exposed to contrasting diets. Overall, diet-induced shifts resembled initial differences between free-ranging urban and rural hosts. Furthermore, rural diet had a positive impact on urban host body mass but only in hosts with the highest initial gut diversity. Overall, our results indicate that diet constitutes an important factor contributing to differences in gut microbiota along the urbanization gradient and provide new insights on possible fitness consequences of a reduced gut diversity in urban settings.</v>
      </c>
      <c r="C1679" s="24" t="str">
        <f>IFERROR(__xludf.DUMMYFUNCTION("""COMPUTED_VALUE"""),"10.1098/rspb.2019.2182")</f>
        <v>10.1098/rspb.2019.2182</v>
      </c>
      <c r="D1679" s="24" t="str">
        <f>IFERROR(__xludf.DUMMYFUNCTION("""COMPUTED_VALUE"""),"Keck et al")</f>
        <v>Keck et al</v>
      </c>
      <c r="E1679" s="24" t="str">
        <f>IFERROR(__xludf.DUMMYFUNCTION("""COMPUTED_VALUE"""),"WOS:000525806200008")</f>
        <v>WOS:000525806200008</v>
      </c>
      <c r="F1679" s="24" t="str">
        <f>IFERROR(__xludf.DUMMYFUNCTION("""COMPUTED_VALUE"""),"[""ELIGIBLE""]")</f>
        <v>["ELIGIBLE"]</v>
      </c>
    </row>
    <row r="1680">
      <c r="A1680" s="24" t="str">
        <f>IFERROR(__xludf.DUMMYFUNCTION("""COMPUTED_VALUE"""),"Equal but different: Natural ecotones are dissimilar to anthropic edges")</f>
        <v>Equal but different: Natural ecotones are dissimilar to anthropic edges</v>
      </c>
      <c r="B1680" s="24" t="str">
        <f>IFERROR(__xludf.DUMMYFUNCTION("""COMPUTED_VALUE"""),"Increasing deforestation worldwide has expanded the interfaces between fragmented forests and non-forest habitats. Human-made edges are very different from the original forest cover, with different microclimatic conditions. Conversely, the natural transit"&amp;"ions (i.e., ecotones) are distinct from human-made forest edges. The human-made forest edges are usually sharp associated with disturbances, with abrupt changes in temperature, humidity, luminosity and wind incidence towards the forest interior. However, "&amp;"the natural forest-lake ecotones, even when abrupt, are composed of a complex vegetal physiognomy, with canopy structures close to the ground level and a composition of herbaceous and arboreal species well adapted to this transition range. In the present "&amp;"study, fruit-feeding butterflies were used as models to investigate whether faunal assemblages in natural ecotones are more similar to the forest interior than to the anthropic edges. Butterflies were sampled monthly over one year in the Rio Doce State Pa"&amp;"rk, Southeastern Brazil, following a standardized design using a total of 90 bait traps, in three different forest habitats (forest interior, forest ecotone and anthropic edges), in both canopy and understory. A total of 11,594 individuals from 98 butterf"&amp;"ly species were collected (3,151 individuals from 79 species in the forest interior, 4,321 individuals from 87 species in the ecotone and 4,122 individuals from 83 species in the edge). The results indicated that the butterfly richness and diversity were "&amp;"higher in transition areas (ecotones and edges). The ecotone included a combination of butterfly species from the forest interior and from anthropic edges. However, species composition and dominance in the ecotone were similar to the forest interior in bo"&amp;"th vertical strata. These results suggest that human made forest edges are quite distinct from ecotones. Moreover, ecotones represent unique habitats accommodating species adapted to distinct ecological conditions, while anthropic edges accommodate only o"&amp;"pportunistic species from open areas or upper canopies.")</f>
        <v>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v>
      </c>
      <c r="C1680" s="24" t="str">
        <f>IFERROR(__xludf.DUMMYFUNCTION("""COMPUTED_VALUE"""),"10.1371/journal.pone.0213008")</f>
        <v>10.1371/journal.pone.0213008</v>
      </c>
      <c r="D1680" s="24" t="str">
        <f>IFERROR(__xludf.DUMMYFUNCTION("""COMPUTED_VALUE"""),"Keck et al")</f>
        <v>Keck et al</v>
      </c>
      <c r="E1680" s="24" t="str">
        <f>IFERROR(__xludf.DUMMYFUNCTION("""COMPUTED_VALUE"""),"WOS:000460371700019")</f>
        <v>WOS:000460371700019</v>
      </c>
      <c r="F1680" s="24" t="str">
        <f>IFERROR(__xludf.DUMMYFUNCTION("""COMPUTED_VALUE"""),"[""ELIGIBLE""]")</f>
        <v>["ELIGIBLE"]</v>
      </c>
    </row>
    <row r="1681">
      <c r="A1681" s="24" t="str">
        <f>IFERROR(__xludf.DUMMYFUNCTION("""COMPUTED_VALUE"""),"Belowground fungal community diversity, composition and ecological functionality associated with winter wheat in conventional and organic agricultural systems")</f>
        <v>Belowground fungal community diversity, composition and ecological functionality associated with winter wheat in conventional and organic agricultural systems</v>
      </c>
      <c r="B1681" s="24" t="str">
        <f>IFERROR(__xludf.DUMMYFUNCTION("""COMPUTED_VALUE"""),"Understanding the impacts of agricultural practices on belowground fungal communities is crucial in order to preserve biological diversity in agricultural soils and enhance their role in agroecosystem functioning. Although fungal communities are widely di"&amp;"stributed, relatively few studies have correlated agricultural production practices. We investigated the diversity, composition and ecological functionality of fungal communities in roots of winter wheat (Triticum aestivum) growing in conventional and org"&amp;"anic farming systems. Direct and nested polymerase chain reaction (PCR) amplifications spanning the internal transcribed spacer (ITS) region of the rDNA from pooled fine root samples were performed with two different sets of fungal specific primers. Funga"&amp;"l identification was carried out through similarity searches against validated reference sequences (RefSeq). The R package 'picante' and FUNGuild were used to analyse fungal community composition and trophic mode, respectively. Either by direct or cloning"&amp;" sequencing, 130 complete ITS sequences were clustered into 39 operational taxonomic units (OTUs) (25 singletons), belonging to the Ascomycota (24), the Basidiomycota (14) and to the Glomeromycota (1). Fungal communities from conventional farming sites ar"&amp;"e phylogenetically more related than expected by chance. Constrained ordination analysis identified total N, total S and Pcal that had a significant effect on the OTU's abundance and distribution, and a further correlation with the diversity of the co-occ"&amp;"urring vegetation could be hypothesised. The functional predictions based on FUNGuild suggested that conventional farming increased the presence of plant pathogenic fungi compared with organic farming. Based on diversity, OTU distribution, nutrition mode "&amp;"and the significant phylogenetic clustering of fungal communities, this study shows that fungal communities differ across sampling sites, depending on agricultural practices. Although it is not fully clear which factors determine the fungal communities, o"&amp;"ur findings suggest that organic farming systems have a positive effect on fungal communities in winter wheat crops.")</f>
        <v>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v>
      </c>
      <c r="C1681" s="24" t="str">
        <f>IFERROR(__xludf.DUMMYFUNCTION("""COMPUTED_VALUE"""),"10.7717/peerj.9732")</f>
        <v>10.7717/peerj.9732</v>
      </c>
      <c r="D1681" s="24" t="str">
        <f>IFERROR(__xludf.DUMMYFUNCTION("""COMPUTED_VALUE"""),"Keck et al")</f>
        <v>Keck et al</v>
      </c>
      <c r="E1681" s="24" t="str">
        <f>IFERROR(__xludf.DUMMYFUNCTION("""COMPUTED_VALUE"""),"WOS:000576881000007")</f>
        <v>WOS:000576881000007</v>
      </c>
      <c r="F1681" s="24" t="str">
        <f>IFERROR(__xludf.DUMMYFUNCTION("""COMPUTED_VALUE"""),"[""ELIGIBLE""]")</f>
        <v>["ELIGIBLE"]</v>
      </c>
    </row>
    <row r="1682">
      <c r="A1682" s="24" t="str">
        <f>IFERROR(__xludf.DUMMYFUNCTION("""COMPUTED_VALUE"""),"An examination of scale of assessment, logging and ENSO-induced fires on butterfly diversity in Borneo")</f>
        <v>An examination of scale of assessment, logging and ENSO-induced fires on butterfly diversity in Borneo</v>
      </c>
      <c r="B1682" s="24" t="str">
        <f>IFERROR(__xludf.DUMMYFUNCTION("""COMPUTED_VALUE"""),"The impact of disturbance on species diversity may be related to the spatial scales over which it occurs. Here I assess the impact of logging and ENSO (El Nino Southern Oscillation) -induced burning and forest isolation on the species richness (477 specie"&amp;"s out of more than 28,000 individuals) and community composition of butterflies and butterfly guilds using small (0.9 ha) plots nested within large (450 ha) landscapes. The landscapes were located in three habitat classes: (1) continuous, unburned forest;"&amp;" (2) unburned isolates surrounded by burned forest; and (3) burned forest. Plots with different logging histories were sampled within the two unburned habitat classes, allowing for independent assessment of the two disturbance factors (logging and burning"&amp;"). Disturbance within habitat classes (logging) had a very different impact on butterfly diversity than disturbance among habitat classes (due to ENSO-induced burning and isolation). Logging increased species richness, increased evenness, and lowered domi"&amp;"nance. Among guilds based on larval food plants, the species richness of tree and herb specialists was higher in logged areas but their abundance was lower. Both generalist species richness and abundance was higher in logged areas. Among habitat classes, "&amp;"species richness was lower in burned forest and isolates than continuous forest but there was no overall difference in evenness or dominance. Among guilds, generalist species richness was significantly lower in burned forest and isolates than continuous f"&amp;"orest. Generalist abundance was also very low in the isolates. There was no difference among disturbance classes in herb specialist species richness but abundance was significantly higher in the isolates and burned forest than in continuous forest. Tree s"&amp;"pecialist species richness was lower in burned forest than continuous forest but did not differ between continuous forest and isolates. The scale of assessment proved important in estimating the impact of disturbance on species richness. Within disturbanc"&amp;"e classes, the difference in species richness between primary and logged forest was more pronounced at the smaller spatial scale. Among disturbance classes, the difference in species richness between continuous forest and isolates or burned forest was mor"&amp;"e pronounced at the larger spatial scale. The lower levels of species richness in ENSO-affected areas and at the larger (landscape) spatial scale indicate that future severe ENSO events may prove one of the most serious threats to extant biodiversity.")</f>
        <v>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v>
      </c>
      <c r="C1682" s="24" t="str">
        <f>IFERROR(__xludf.DUMMYFUNCTION("""COMPUTED_VALUE"""),"10.1007/s00442-003-1188-5")</f>
        <v>10.1007/s00442-003-1188-5</v>
      </c>
      <c r="D1682" s="24" t="str">
        <f>IFERROR(__xludf.DUMMYFUNCTION("""COMPUTED_VALUE"""),"Keck et al")</f>
        <v>Keck et al</v>
      </c>
      <c r="E1682" s="24" t="str">
        <f>IFERROR(__xludf.DUMMYFUNCTION("""COMPUTED_VALUE"""),"WOS:000182753900018")</f>
        <v>WOS:000182753900018</v>
      </c>
      <c r="F1682" s="24" t="str">
        <f>IFERROR(__xludf.DUMMYFUNCTION("""COMPUTED_VALUE"""),"[""ELIGIBLE""]")</f>
        <v>["ELIGIBLE"]</v>
      </c>
    </row>
    <row r="1683">
      <c r="A1683" s="24" t="str">
        <f>IFERROR(__xludf.DUMMYFUNCTION("""COMPUTED_VALUE"""),"Can Management Improve the Value of Shade Plantations for the Endemic Species of Sao Tome Island?")</f>
        <v>Can Management Improve the Value of Shade Plantations for the Endemic Species of Sao Tome Island?</v>
      </c>
      <c r="B1683" s="24" t="str">
        <f>IFERROR(__xludf.DUMMYFUNCTION("""COMPUTED_VALUE"""),"Cocoa and coffee are among the most valuable tropical crops, with much of their production in areas of high biodiversity. Although this could suggest a conflict between agricultural expansion and biodiversity conservation, these crops are normally grown i"&amp;"n shade plantationsa more biodiversity-friendly agroforestry system. Using SAo Tome Island as a case study, we examined if shade plantation can benefit biodiversity by protecting extinction-prone island endemic species. We found that shade plantations hel"&amp;"d rich assemblages, even in comparison with forest: we estimated 30 bird and 74 tree species occurring in plantations compared to 24 bird and 108 tree species in forests. However, the structure of the assemblages was significantly different between ecosys"&amp;"tems, with an average dissimilarity of 33.8 percent and 87.9 percent for birds and trees, respectively. Shade plantations had consistently less endemic species than the forest; we estimated a drop from 17 to 13 in birds and from 17 to 3 in trees. We also "&amp;"found that despite marked differences in the response of bird species to the vegetation characteristics of shade plantations, there was a strong positive link between aboveground tree biomass and endemic species richness and abundance. These results show "&amp;"that shade plantations hold assemblages impoverished in endemic species, but that management can improve their value for the conservation of these species. Finally, we suggest that biodiversity-friendly certification and carbon markets are used to impleme"&amp;"nt and guarantee the long-term economical sustainability of practices that favor the endemic species in SAo Tome's shade plantations.")</f>
        <v>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v>
      </c>
      <c r="C1683" s="24" t="str">
        <f>IFERROR(__xludf.DUMMYFUNCTION("""COMPUTED_VALUE"""),"10.1111/btp.12092")</f>
        <v>10.1111/btp.12092</v>
      </c>
      <c r="D1683" s="24" t="str">
        <f>IFERROR(__xludf.DUMMYFUNCTION("""COMPUTED_VALUE"""),"Keck et al")</f>
        <v>Keck et al</v>
      </c>
      <c r="E1683" s="24" t="str">
        <f>IFERROR(__xludf.DUMMYFUNCTION("""COMPUTED_VALUE"""),"WOS:000332089400014")</f>
        <v>WOS:000332089400014</v>
      </c>
      <c r="F1683" s="24" t="str">
        <f>IFERROR(__xludf.DUMMYFUNCTION("""COMPUTED_VALUE"""),"[""ELIGIBLE""]")</f>
        <v>["ELIGIBLE"]</v>
      </c>
    </row>
    <row r="1684">
      <c r="A1684" s="24" t="str">
        <f>IFERROR(__xludf.DUMMYFUNCTION("""COMPUTED_VALUE"""),"Compensatory dynamics and the stability of phytoplankton biomass during four decades of eutrophication and oligotrophication")</f>
        <v>Compensatory dynamics and the stability of phytoplankton biomass during four decades of eutrophication and oligotrophication</v>
      </c>
      <c r="B1684" s="24" t="str">
        <f>IFERROR(__xludf.DUMMYFUNCTION("""COMPUTED_VALUE"""),"The link between compensatory dynamics and regime shifts is not well understood. We analyse a regime shift in phytoplankton in a large lake with respect to: (1) environmental forcing and (2) the type of dynamics (compensatory or synchronous) between phyto"&amp;"plankton groups. The regime shift in phytoplankton was related to gradual changes in nutrient levels, but unrelated to an almost concurrent shift in climatic conditions. The relationship between total phytoplankton biomass and phosphorus concentrations wa"&amp;"s sigmoid. Trajectories of phytoplankton biomass and community dynamics suggest that eutrophication effects can successfully be reversed when management efforts decrease nutrient loading to a level sufficiently low to overcome community resilience. The re"&amp;"gime shift was associated with a loss of biomass compensation and compensatory dynamics among the phytoplankton groups. This suggests that the type of interactions is important for a better understanding of the existence and shape of nonlinear responses o"&amp;"f phytoplankton biomass to environmental change.")</f>
        <v>The link between compensatory dynamics and regime shifts is not well understood. We analyse a regime shift in phytoplankton in a large lake with respect to: (1) environmental forcing and (2) the type of dynamics (compensatory or synchronous) between phytoplankton groups. The regime shift in phytoplankton was related to gradual changes in nutrient levels, but unrelated to an almost concurrent shift in climatic conditions. The relationship between total phytoplankton biomass and phosphorus concentrations was sigmoid. Trajectories of phytoplankton biomass and community dynamics suggest that eutrophication effects can successfully be reversed when management efforts decrease nutrient loading to a level sufficiently low to overcome community resilience. The regime shift was associated with a loss of biomass compensation and compensatory dynamics among the phytoplankton groups. This suggests that the type of interactions is important for a better understanding of the existence and shape of nonlinear responses of phytoplankton biomass to environmental change.</v>
      </c>
      <c r="C1684" s="24" t="str">
        <f>IFERROR(__xludf.DUMMYFUNCTION("""COMPUTED_VALUE"""),"10.1111/ele.12018")</f>
        <v>10.1111/ele.12018</v>
      </c>
      <c r="D1684" s="24" t="str">
        <f>IFERROR(__xludf.DUMMYFUNCTION("""COMPUTED_VALUE"""),"Keck et al")</f>
        <v>Keck et al</v>
      </c>
      <c r="E1684" s="24" t="str">
        <f>IFERROR(__xludf.DUMMYFUNCTION("""COMPUTED_VALUE"""),"WOS:000312301300010")</f>
        <v>WOS:000312301300010</v>
      </c>
      <c r="F1684" s="24" t="str">
        <f>IFERROR(__xludf.DUMMYFUNCTION("""COMPUTED_VALUE"""),"[""ELIGIBLE""]")</f>
        <v>["ELIGIBLE"]</v>
      </c>
    </row>
    <row r="1685">
      <c r="A1685" s="24" t="str">
        <f>IFERROR(__xludf.DUMMYFUNCTION("""COMPUTED_VALUE"""),"Assessing avian diversity and community composition along a successional gradient in traditional Lacandon Maya agroforests")</f>
        <v>Assessing avian diversity and community composition along a successional gradient in traditional Lacandon Maya agroforests</v>
      </c>
      <c r="B1685" s="24" t="str">
        <f>IFERROR(__xludf.DUMMYFUNCTION("""COMPUTED_VALUE"""),"Evidence regarding the ability of agroforests to conserve biological diversity has been mixed; they tend to maintain avian communities with species richness similar to that of undisturbed forest ecosystems but generally do not completely preserve communit"&amp;"y composition. Using a combination of occupancy modeling and non-metric multidimensional scaling on point-count data, we assessed changes in avian community diversity and composition along a successional gradient in traditional Lacandon Maya agroforests a"&amp;"nd compared them to protected areas in the region. Bird species richness and diversity in Lacandon agroforests peaked in early secondary forest stages. These agroforests' mean Shannon-Weiner diversity was 5% higher than that of nearby protected areas, but"&amp;" their species richness was similar. Community composition in Lacandon agroforests changed throughout succession, with earlier stages supporting communities distinctly characterized by generalist species, while subsequent, less-intensively managed stages "&amp;"tended to support more forest-dwellers. The bird community observed in even the most mature secondary forest stages in Lacandon agroforests differed from that of undisturbed rain forest ecosystems. These results demonstrate the potential of traditional La"&amp;"candon agroforestry management to conserve avian biodiversity while ensuring food sovereignty for farmers. However, because the community composition of early-successional stages was different than later stages, shortening fallow cycles and reducing fores"&amp;"t cover to increase agricultural production will limit the species this system can support. This study illustrates the value of incorporating traditional agroecosystems into conservation planning as well as maintaining protected areas, because the latter "&amp;"serve as refugia for species that require undisturbed forest habitat in an agroecological matrix. Abstract in Spanish is available with online material.")</f>
        <v>Evidence regarding the ability of agroforests to conserve biological diversity has been mixed; they tend to maintain avian communities with species richness similar to that of undisturbed forest ecosystems but generally do not completely preserve community composition. Using a combination of occupancy modeling and non-metric multidimensional scaling on point-count data, we assessed changes in avian community diversity and composition along a successional gradient in traditional Lacandon Maya agroforests and compared them to protected areas in the region. Bird species richness and diversity in Lacandon agroforests peaked in early secondary forest stages. These agroforests' mean Shannon-Weiner diversity was 5% higher than that of nearby protected areas, but their species richness was similar. Community composition in Lacandon agroforests changed throughout succession, with earlier stages supporting communities distinctly characterized by generalist species, while subsequent, less-intensively managed stages tended to support more forest-dwellers. The bird community observed in even the most mature secondary forest stages in Lacandon agroforests differed from that of undisturbed rain forest ecosystems. These results demonstrate the potential of traditional Lacandon agroforestry management to conserve avian biodiversity while ensuring food sovereignty for farmers. However, because the community composition of early-successional stages was different than later stages, shortening fallow cycles and reducing forest cover to increase agricultural production will limit the species this system can support. This study illustrates the value of incorporating traditional agroecosystems into conservation planning as well as maintaining protected areas, because the latter serve as refugia for species that require undisturbed forest habitat in an agroecological matrix. Abstract in Spanish is available with online material.</v>
      </c>
      <c r="C1685" s="24" t="str">
        <f>IFERROR(__xludf.DUMMYFUNCTION("""COMPUTED_VALUE"""),"10.1111/btp.12832")</f>
        <v>10.1111/btp.12832</v>
      </c>
      <c r="D1685" s="24" t="str">
        <f>IFERROR(__xludf.DUMMYFUNCTION("""COMPUTED_VALUE"""),"Keck et al")</f>
        <v>Keck et al</v>
      </c>
      <c r="E1685" s="24" t="str">
        <f>IFERROR(__xludf.DUMMYFUNCTION("""COMPUTED_VALUE"""),"WOS:000561842000001")</f>
        <v>WOS:000561842000001</v>
      </c>
      <c r="F1685" s="24" t="str">
        <f>IFERROR(__xludf.DUMMYFUNCTION("""COMPUTED_VALUE"""),"[""ELIGIBLE""]")</f>
        <v>["ELIGIBLE"]</v>
      </c>
    </row>
    <row r="1686">
      <c r="A1686" s="24" t="str">
        <f>IFERROR(__xludf.DUMMYFUNCTION("""COMPUTED_VALUE"""),"Assessment of effects of chromated copper arsenate (CCA)-treated timber on nontarget epibiota by investigation of fouling community development at seven European sites")</f>
        <v>Assessment of effects of chromated copper arsenate (CCA)-treated timber on nontarget epibiota by investigation of fouling community development at seven European sites</v>
      </c>
      <c r="B1686" s="24" t="str">
        <f>IFERROR(__xludf.DUMMYFUNCTION("""COMPUTED_VALUE"""),"To assess the effect of the anti-marine-borer timber preservative CCA (a pressure-impregnated solution of copper, chromium, and arsenic compounds) on nontarget epibiota, fouling community development was investigated. Panels of Scots pine treated to targe"&amp;"t retentions of 12, 24, and 48 kg CCA per m(3) of wood (covering the range of retentions recommended for marine use) plus untreated controls were submerged at seven coastal sites (Portsmouth, UK; La Tremblade [two sites], France; Ria Formosa, Portugal; Sa"&amp;"gres, Portugal; Kristineberg, Sweden; Athens, Greece). The fouling community on the surfaces of the panels was assessed both qualitatively and quantitatively after 6, 12, and 18 months of exposure. Multivariate statistical methods were used to compare com"&amp;"munity structure between panel treatments. Panels treated to the three CCA loadings supported very similar fouling assemblages, which in most cases had higher numbers of taxa and individuals than assemblages on untreated panels. No detrimental effects on "&amp;"epibiota due to CCA preservatives were detected at any of the treatment levels at all seven exposure sites, suggesting that the range of environmental conditions at the sites had no bearing on preservative impact on fouling biota. Differences in community"&amp;" structure between CCA-treated and untreated panels may be due to enhanced larval settlement on CCA-treated timber by some species as a result of modifications to the surface properties of the timber by the preservative. Possible reasons for the higher nu"&amp;"mbers of certain species on the surface of CCA-treated panels are discussed.")</f>
        <v>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v>
      </c>
      <c r="C1686" s="24" t="str">
        <f>IFERROR(__xludf.DUMMYFUNCTION("""COMPUTED_VALUE"""),"10.1007/s00244-002-0178-7")</f>
        <v>10.1007/s00244-002-0178-7</v>
      </c>
      <c r="D1686" s="24" t="str">
        <f>IFERROR(__xludf.DUMMYFUNCTION("""COMPUTED_VALUE"""),"Keck et al")</f>
        <v>Keck et al</v>
      </c>
      <c r="E1686" s="24" t="str">
        <f>IFERROR(__xludf.DUMMYFUNCTION("""COMPUTED_VALUE"""),"WOS:000183724700004")</f>
        <v>WOS:000183724700004</v>
      </c>
      <c r="F1686" s="24" t="str">
        <f>IFERROR(__xludf.DUMMYFUNCTION("""COMPUTED_VALUE"""),"[""ELIGIBLE""]")</f>
        <v>["ELIGIBLE"]</v>
      </c>
    </row>
    <row r="1687">
      <c r="A1687" s="24" t="str">
        <f>IFERROR(__xludf.DUMMYFUNCTION("""COMPUTED_VALUE"""),"Environmental DNA metabarcoding reveals primary chemical contaminants in freshwater sediments from different land-use types")</f>
        <v>Environmental DNA metabarcoding reveals primary chemical contaminants in freshwater sediments from different land-use types</v>
      </c>
      <c r="B1687" s="24" t="str">
        <f>IFERROR(__xludf.DUMMYFUNCTION("""COMPUTED_VALUE"""),"Land-use intensification threatens freshwater biodiversity. Freshwater eukaryotic communities are affected by multiple chemical contaminants with a land-use specific manner. However, biodiversities of eukaryotes and their associations with multiple chemic"&amp;"al contaminants are largely unknown. This study characterized in situ eukaryotic communities in sediments exposed to mixtures of chemical contaminants and assessed relationships between various environmental variables and eukaryotic communities in sedimen"&amp;"ts from the Nanfei River. Eukaryotic communities in the sediment samples were dominated by Annelida, Arthropoda, Rotifera, Ochrophyta, Chlorophyta and Ciliophora. Alpha-diversities (Shannon entropy) and structures of eukaryotic communities were significan"&amp;"tly different between land-use types. According to the results of multiple statistical tests (PCoA, distLM, Mantel and network analysis), dissimilarity of eukaryotic community structures revealed the key effects of pyrethroid insecticides, manganese, zinc"&amp;", lead, chromium and polycyclic aromatic hydrocarbons (PAHs) on eukaryotic communities in the sediment samples from the Nanfei River. Furthermore, taxa associated with land-use types were identified and several sensitive eukaryotic taxa to some of the pri"&amp;"mary contaminants were identified as potential indicators to monitor effects of the primary chemical contaminants. Overall, environmental DNA metabarcoding on in situ eukaryotic communities provided a powerful tool for biomonitoring and identifying primar"&amp;"y contaminants and their complex effects on benthic eukaryotic communities in freshwater sediments. (C) 2016 Elsevier Ltd. All rights reserved.")</f>
        <v>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v>
      </c>
      <c r="C1687" s="24" t="str">
        <f>IFERROR(__xludf.DUMMYFUNCTION("""COMPUTED_VALUE"""),"10.1016/j.chemosphere.2016.12.117")</f>
        <v>10.1016/j.chemosphere.2016.12.117</v>
      </c>
      <c r="D1687" s="24" t="str">
        <f>IFERROR(__xludf.DUMMYFUNCTION("""COMPUTED_VALUE"""),"Keck et al")</f>
        <v>Keck et al</v>
      </c>
      <c r="E1687" s="24" t="str">
        <f>IFERROR(__xludf.DUMMYFUNCTION("""COMPUTED_VALUE"""),"WOS:000394065200023")</f>
        <v>WOS:000394065200023</v>
      </c>
      <c r="F1687" s="24" t="str">
        <f>IFERROR(__xludf.DUMMYFUNCTION("""COMPUTED_VALUE"""),"[""ELIGIBLE""]")</f>
        <v>["ELIGIBLE"]</v>
      </c>
    </row>
    <row r="1688">
      <c r="A1688" s="24" t="str">
        <f>IFERROR(__xludf.DUMMYFUNCTION("""COMPUTED_VALUE"""),"A multidiversity approach to investigate the impact of mining exploitation on spider diversity in the abandoned mine district of Montevecchio-Ingurtosu (Sardinia, Italy)")</f>
        <v>A multidiversity approach to investigate the impact of mining exploitation on spider diversity in the abandoned mine district of Montevecchio-Ingurtosu (Sardinia, Italy)</v>
      </c>
      <c r="B1688" s="24" t="str">
        <f>IFERROR(__xludf.DUMMYFUNCTION("""COMPUTED_VALUE"""),"The impact of mining activities on spider (Araneae) diversity and assemblages was studied in two abandoned mine sites in Sardinia (Italy), where mining activities started in the middle of the nineteenth century and closed down over a century later. Spider"&amp;" community composition was analysed in dumps, undisturbed forests and scrublands which represent the natural chronosequence following the abandonment of the mining district. The identification of spiders was performed at the lowest taxonomic level possibl"&amp;"e and differences in abundance, species richness (SR), and functional diversity (FD) were analysed. Nonmetric multidimensional scaling (NMDS) and a permutated multivariate analysis of variance (PERMANOVA) routine were conducted to evaluate the relationshi"&amp;"ps of spider assemblages with land cover, and the indicator species analysis was performed to identify the typifying species. During the entire sampling period, 2312 spiders were captured, and approximately 80% of the total were identified at the species "&amp;"level (79 spider species belonging to 28 different families). No differences in abundance and SR were found, whereas FD, which showed the highest values in forests, significantly differed among sites. A distinct separation among assemblages and a signific"&amp;"ant effect of the land use on spider assemblages were found (PERMANOVA, R-2 = 0.59, p &lt; 0.001). Twelve species were selected as indicator species. Our results underlined the possibility to consider ground-dwelling spiders as a valuable target group for bi"&amp;"omonitoring programmes supporting projects of near-natural restoration and/or technical reclamation of mining sites.")</f>
        <v>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v>
      </c>
      <c r="C1688" s="24" t="str">
        <f>IFERROR(__xludf.DUMMYFUNCTION("""COMPUTED_VALUE"""),"10.1007/s11356-020-09553-y")</f>
        <v>10.1007/s11356-020-09553-y</v>
      </c>
      <c r="D1688" s="24" t="str">
        <f>IFERROR(__xludf.DUMMYFUNCTION("""COMPUTED_VALUE"""),"Keck et al")</f>
        <v>Keck et al</v>
      </c>
      <c r="E1688" s="24" t="str">
        <f>IFERROR(__xludf.DUMMYFUNCTION("""COMPUTED_VALUE"""),"WOS:000538978000005")</f>
        <v>WOS:000538978000005</v>
      </c>
      <c r="F1688" s="24" t="str">
        <f>IFERROR(__xludf.DUMMYFUNCTION("""COMPUTED_VALUE"""),"[""ELIGIBLE""]")</f>
        <v>["ELIGIBLE"]</v>
      </c>
    </row>
    <row r="1689">
      <c r="A1689" s="24" t="str">
        <f>IFERROR(__xludf.DUMMYFUNCTION("""COMPUTED_VALUE"""),"Effect of the veterinary ionophore monensin on the structure and activity of a tropical soil bacterial community")</f>
        <v>Effect of the veterinary ionophore monensin on the structure and activity of a tropical soil bacterial community</v>
      </c>
      <c r="B1689" s="24" t="str">
        <f>IFERROR(__xludf.DUMMYFUNCTION("""COMPUTED_VALUE"""),"Monensin (MON) is a coccidiostat used as a growth promoter that can reach the environment through fertilization with manure from farm animals. To verify whether field-relevant concentrations of this drug negatively influence the structure and activity of "&amp;"tropical soil bacteria, plate counts, CO2 efflux measurements, phospholipid fatty acids (PLFA) and community-level physiological profiling (CLPP) profiles were obtained for soil microcosms exposed to 1 or 10 mg kg(-1) of MON across 11 days. Although 53% ("&amp;"1 mg kg(-1)) to 40% (10 mg kg(-1)) of the MON concentrations added to the microcosms dissipated within 5days, a subtle concentration-dependent decrease in the number of culturable bacteria (&lt;1 log CFU g(-1)), reduced (-20 to -30%) or exacerbated (+25%) so"&amp;"il CO2 effluxes, a marked shift of non-bacterial fatty acids, and altered respiration of amines (1.22-fold decrease) and polymers (1.70-fold increase) were noted in some of the treatments. These results suggest that MON quickly killed some microorganisms "&amp;"and that the surviving populations were selected and metabolically stimulated. Consequently, MON should be monitored in agronomic and environmental systems as part of One Health efforts.")</f>
        <v>Monensin (MON) is a coccidiostat used as a growth promoter that can reach the environment through fertilization with manure from farm animals. To verify whether field-relevant concentrations of this drug negatively influence the structure and activity of tropical soil bacteria, plate counts, CO2 efflux measurements, phospholipid fatty acids (PLFA) and community-level physiological profiling (CLPP) profiles were obtained for soil microcosms exposed to 1 or 10 mg kg(-1) of MON across 11 days. Although 53% (1 mg kg(-1)) to 40% (10 mg kg(-1)) of the MON concentrations added to the microcosms dissipated within 5days, a subtle concentration-dependent decrease in the number of culturable bacteria (&lt;1 log CFU g(-1)), reduced (-20 to -30%) or exacerbated (+25%) soil CO2 effluxes, a marked shift of non-bacterial fatty acids, and altered respiration of amines (1.22-fold decrease) and polymers (1.70-fold increase) were noted in some of the treatments. These results suggest that MON quickly killed some microorganisms and that the surviving populations were selected and metabolically stimulated. Consequently, MON should be monitored in agronomic and environmental systems as part of One Health efforts.</v>
      </c>
      <c r="C1689" s="24" t="str">
        <f>IFERROR(__xludf.DUMMYFUNCTION("""COMPUTED_VALUE"""),"10.1080/03601234.2019.1673612")</f>
        <v>10.1080/03601234.2019.1673612</v>
      </c>
      <c r="D1689" s="24" t="str">
        <f>IFERROR(__xludf.DUMMYFUNCTION("""COMPUTED_VALUE"""),"Keck et al")</f>
        <v>Keck et al</v>
      </c>
      <c r="E1689" s="24" t="str">
        <f>IFERROR(__xludf.DUMMYFUNCTION("""COMPUTED_VALUE"""),"WOS:000513845600001")</f>
        <v>WOS:000513845600001</v>
      </c>
      <c r="F1689" s="24" t="str">
        <f>IFERROR(__xludf.DUMMYFUNCTION("""COMPUTED_VALUE"""),"[""ELIGIBLE""]")</f>
        <v>["ELIGIBLE"]</v>
      </c>
    </row>
    <row r="1690">
      <c r="A1690" s="24" t="str">
        <f>IFERROR(__xludf.DUMMYFUNCTION("""COMPUTED_VALUE"""),"Testing the Effects of an Introduced Palm on a Riparian Invertebrate Community in Southern California")</f>
        <v>Testing the Effects of an Introduced Palm on a Riparian Invertebrate Community in Southern California</v>
      </c>
      <c r="B1690" s="24" t="str">
        <f>IFERROR(__xludf.DUMMYFUNCTION("""COMPUTED_VALUE"""),"Despite the iconic association of palms with semi-arid regions, most are introduced and can invade natural areas. Along the San Diego River (San Diego, California, USA), the introduced Canary Island date palm (Phoenix canariensis) forms dense patches amon"&amp;"g native riparian shrubs like arroyo willow (Salix lasiolepis). The structural differences between the palm and native shrubs are visually obvious, but little is known about palm's effects on the ecosystem. We tested for the effects of the palm on a ripar"&amp;"ian invertebrate community in June 2011 by comparing the faunal and environmental variables associated with palm and willow canopies, trunks and ground beneath each species. The palm invertebrate community had lower abundance and diversity, fewer taxa fee"&amp;"ding on the host (e.g., specialized hemipterans), and more taxa likely using only the plant's physical structure (e.g., web-builders, oak moths, willow hemipterans). There were no observed effects on the ground-dwelling fauna. Faunal differences were due "&amp;"to the physical and trophic changes associated with palm presence, namely increased canopy density, unpalatable leaves, trunk rugosity, and litter accumulations. Palm presence and resulting community shifts may have further ecosystem-level effects through"&amp;" alteration of physical properties, food, and structural resources. These results were consistent with a recent study of invasive palm effects on desert spring arthropods, illustrating that effects may be relatively generalizable. Since spread of the palm"&amp;" is largely localized, but effects are dramatic where it does occur, we recommend combining our results with several further investigations in order to prioritize management decisions.")</f>
        <v>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v>
      </c>
      <c r="C1690" s="24" t="str">
        <f>IFERROR(__xludf.DUMMYFUNCTION("""COMPUTED_VALUE"""),"10.1371/journal.pone.0042460")</f>
        <v>10.1371/journal.pone.0042460</v>
      </c>
      <c r="D1690" s="24" t="str">
        <f>IFERROR(__xludf.DUMMYFUNCTION("""COMPUTED_VALUE"""),"Keck et al")</f>
        <v>Keck et al</v>
      </c>
      <c r="E1690" s="24" t="str">
        <f>IFERROR(__xludf.DUMMYFUNCTION("""COMPUTED_VALUE"""),"WOS:000307284100099")</f>
        <v>WOS:000307284100099</v>
      </c>
      <c r="F1690" s="24" t="str">
        <f>IFERROR(__xludf.DUMMYFUNCTION("""COMPUTED_VALUE"""),"[""ELIGIBLE""]")</f>
        <v>["ELIGIBLE"]</v>
      </c>
    </row>
    <row r="1691">
      <c r="A1691" s="24" t="str">
        <f>IFERROR(__xludf.DUMMYFUNCTION("""COMPUTED_VALUE"""),"Arsenic bioaccumulation in the soil fauna alters its gut microbiome and microbial arsenic biotransformation capacity")</f>
        <v>Arsenic bioaccumulation in the soil fauna alters its gut microbiome and microbial arsenic biotransformation capacity</v>
      </c>
      <c r="B1691" s="24" t="str">
        <f>IFERROR(__xludf.DUMMYFUNCTION("""COMPUTED_VALUE"""),"The biotransformation of arsenic mediated by microorganisms plays an important role in the arsenic biogeochemical cycle. However, the fate and biotransformation of arsenic in different soil fauna gut microbiota are largely unknown. Herein the effects of a"&amp;"rsenic contamination on five types of soil fauna were compared by examining variations in arsenic bioaccumulation, gut microbiota, and arsenic biotransformation genes (ABGs). Significant difference was observed in the arsenic bioaccumulation across severa"&amp;"l fauna body tissues, and Metaphire californica had the highest arsenic bioaccumulation, with a value of 107 +/- 1.41 mg kg-1. Arsenic exposure significantly altered overall patterns of ABGs; however, dominant genes involved in arsenic redox and other gen"&amp;"es involved in arsenic methylation and demethylation were not significantly changed across animals. Except for M. californica, the abundance of ABGs in other animal guts firstly increased and then decreased with increasing arsenic concentrations. In addit"&amp;"ion, exposure of soil fauna to arsenic led to shifts in the unique gutassociated bacterial community, but the magnitude of these changes varied significantly across ecological groups of soil fauna. A good correlation between the gut bacterial communities "&amp;"and ABG profiles was observed, suggesting that gut microbiota plays important roles in the biotransformation of arsenic. Overall, these results provide a universal profiling of a microbial community capable of arsenic biotransformation in different fauna "&amp;"guts. Considering the global distribution of soil fauna in the terrestrial ecosystem, this finding broadens our understanding of the hidden role of soil fauna in the arsenic bioaccumulation and biogeochemical cycle.")</f>
        <v>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v>
      </c>
      <c r="C1691" s="24" t="str">
        <f>IFERROR(__xludf.DUMMYFUNCTION("""COMPUTED_VALUE"""),"10.1016/j.jhazmat.2021.126018")</f>
        <v>10.1016/j.jhazmat.2021.126018</v>
      </c>
      <c r="D1691" s="24" t="str">
        <f>IFERROR(__xludf.DUMMYFUNCTION("""COMPUTED_VALUE"""),"Keck et al")</f>
        <v>Keck et al</v>
      </c>
      <c r="E1691" s="24" t="str">
        <f>IFERROR(__xludf.DUMMYFUNCTION("""COMPUTED_VALUE"""),"WOS:000668978700005")</f>
        <v>WOS:000668978700005</v>
      </c>
      <c r="F1691" s="24" t="str">
        <f>IFERROR(__xludf.DUMMYFUNCTION("""COMPUTED_VALUE"""),"[""ELIGIBLE""]")</f>
        <v>["ELIGIBLE"]</v>
      </c>
    </row>
    <row r="1692">
      <c r="A1692" s="24" t="str">
        <f>IFERROR(__xludf.DUMMYFUNCTION("""COMPUTED_VALUE"""),"Soil bacterial community structure and extracellular enzyme activities under different land use types in a long-term reclaimed wetland")</f>
        <v>Soil bacterial community structure and extracellular enzyme activities under different land use types in a long-term reclaimed wetland</v>
      </c>
      <c r="B1692" s="24" t="str">
        <f>IFERROR(__xludf.DUMMYFUNCTION("""COMPUTED_VALUE"""),"Purpose: This study was conducted to investigate shifts in the bacterial community structure and soil enzyme activities during long-term reclamation of different land use types in a freshwater wetland. Materials and methods: Illumina 16S rRNA gene amplifi"&amp;"cation and sequencing and soil extracellular enzymes were used to evaluate changes in bacterial community structure and potential function under four different land use types after 38 years of reclamation: abandoned wetland (AW), vegetable field (VF), pon"&amp;"d sediment (PS), rice field (RF) and natural wetland (NW). Results and discussion: Although bacterial rRNA gene alpha diversity remained unchanged, the bacterial community composition changed significantly under different land uses according to hydrologic"&amp;"al conditions. Under drying-wetting cycle conditions, RF harbored a similar bacterial community composition as NW, with Acidobacteriales, Holophagae, Planctomycetes, and Spirochaetae being dominant in both. Additionally, AW and VF as upland soil had signi"&amp;"ficantly higher abundance of Gemmatimonadates and Actinobacteria. The composition of permanently flooded soil (PS) had unique features and significantly enriched levels of Chlorobi. The shifts in bacterial community structure were mainly driven by soil mo"&amp;"isture content, as well as total organic C and N. However, variations in potential enzyme activities were better explained by soil properties than microbial community composition, suggesting high plasticity of the resident microbial community to environme"&amp;"ntal conditions. Conclusions: Rice field harbored a similar bacterial community structure as natural wetland, while the responses of enzyme activities for all land use types differed significantly. The distributions of bacterial community might be influen"&amp;"ced by hydrology, while extracellular enzyme activities were closely related to soil properties. Our results suggest that the function of the active microbial community should also be considered in environmental risk models as indicators of ecosystem conv"&amp;"ersion caused by land use and anthropogenic activity.")</f>
        <v>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v>
      </c>
      <c r="C1692" s="24" t="str">
        <f>IFERROR(__xludf.DUMMYFUNCTION("""COMPUTED_VALUE"""),"10.1007/s11368-019-02262-1")</f>
        <v>10.1007/s11368-019-02262-1</v>
      </c>
      <c r="D1692" s="24" t="str">
        <f>IFERROR(__xludf.DUMMYFUNCTION("""COMPUTED_VALUE"""),"Keck et al")</f>
        <v>Keck et al</v>
      </c>
      <c r="E1692" s="24" t="str">
        <f>IFERROR(__xludf.DUMMYFUNCTION("""COMPUTED_VALUE"""),"WOS:000464836300035")</f>
        <v>WOS:000464836300035</v>
      </c>
      <c r="F1692" s="24" t="str">
        <f>IFERROR(__xludf.DUMMYFUNCTION("""COMPUTED_VALUE"""),"[""ELIGIBLE""]")</f>
        <v>["ELIGIBLE"]</v>
      </c>
    </row>
    <row r="1693">
      <c r="A1693" s="24" t="str">
        <f>IFERROR(__xludf.DUMMYFUNCTION("""COMPUTED_VALUE"""),"Community rescue in experimental phytoplankton communities facing severe herbicide pollution")</f>
        <v>Community rescue in experimental phytoplankton communities facing severe herbicide pollution</v>
      </c>
      <c r="B1693" s="24" t="str">
        <f>IFERROR(__xludf.DUMMYFUNCTION("""COMPUTED_VALUE"""),"Community rescue occurs when ecological or evolutionary processes restore positive growth in a highly stressful environment that was lethal to the community in its ancestral form, thus averting biomass collapse in a deteriorating environment. Laboratory e"&amp;"vidence suggests that community rescue is most likely in high-biomass communities that have previously experienced moderate doses of sublethal stress. We assessed this result under more natural conditions, in a mesocosm experiment with phytoplankton commu"&amp;"nities exposed to the ubiquitous herbicide glyphosate. We tested whether community biomass and prior herbicide exposure would facilitate community rescue after severe contamination. We found that prior exposure to glyphosate was a very strong predictor of"&amp;" the rescue outcome, while high community biomass was not. Furthermore, although glyphosate had negative effects on diversity, it did not influence community composition significantly, suggesting a modest role for genus sorting in this rescue process. Our"&amp;" results expand the scope of community rescue theory to complex ecosystems and confirm that prior stress exposure is a key predictor of rescue. A mesocosm experiment shows that prior exposure to a herbicide stressor facilitates subsequent community rescue"&amp;", whereas high community biomass does not.")</f>
        <v>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v>
      </c>
      <c r="C1693" s="24" t="str">
        <f>IFERROR(__xludf.DUMMYFUNCTION("""COMPUTED_VALUE"""),"10.1038/s41559-020-1134-5")</f>
        <v>10.1038/s41559-020-1134-5</v>
      </c>
      <c r="D1693" s="24" t="str">
        <f>IFERROR(__xludf.DUMMYFUNCTION("""COMPUTED_VALUE"""),"Keck et al")</f>
        <v>Keck et al</v>
      </c>
      <c r="E1693" s="24" t="str">
        <f>IFERROR(__xludf.DUMMYFUNCTION("""COMPUTED_VALUE"""),"WOS:000517742500006")</f>
        <v>WOS:000517742500006</v>
      </c>
      <c r="F1693" s="24" t="str">
        <f>IFERROR(__xludf.DUMMYFUNCTION("""COMPUTED_VALUE"""),"[""ELIGIBLE""]")</f>
        <v>["ELIGIBLE"]</v>
      </c>
    </row>
    <row r="1694">
      <c r="A1694" s="24" t="str">
        <f>IFERROR(__xludf.DUMMYFUNCTION("""COMPUTED_VALUE"""),"Endophytic Bacterial Communities in Apple Leaves Are Minimally Impacted by Streptomycin Use for Fire Blight Management")</f>
        <v>Endophytic Bacterial Communities in Apple Leaves Are Minimally Impacted by Streptomycin Use for Fire Blight Management</v>
      </c>
      <c r="B1694" s="24" t="str">
        <f>IFERROR(__xludf.DUMMYFUNCTION("""COMPUTED_VALUE"""),"In apple fruit, streptomycin is routinely used to manage fire blight, a devastating disease that greatly affects commercial apple production. Applications of streptomycin may affect the endophytic bacterial communities, which are increasingly recognized f"&amp;"or their valuable roles in plant hosts. Altering these communities may have implications for plant health and selection for streptomycin resistance in off-target bacteria. In a previous study, we found rapid selection of streptomycin-resistant epiphytes f"&amp;"ollowing season-long streptomycin use, and now sought to investigate the season-long impact of streptomycin applications (one, three, or nine postbloom applications) on endophytic bacterial communities. Studies were conducted in two orchards, and both cul"&amp;"ture-dependent and independent methods were used to assess the bacterial endophytic community. Streptomycin programs were compared with untreated trees and two programs approved for organic production. Treatments minimally affected abundance of culturable"&amp;" endophytic bacteria as determined by culture-dependent methods. Similarly, there were no significant differences in relative bacterial abundance or community composition between treatments as determined by 16S ribosomal RNA high-throughput sequencing (cu"&amp;"lture independent). There were greater differences between orchards than between treatments, suggesting a stronger influence of locality. Communities were dominated by the families Pseudomonadaceae, Enterobacteriaceae, Desulfovibrionaceae, Bacillaceae, an"&amp;"d Burkholderiaceae, which are commonly described in other investigations of microbial communities of apple orchards. In addition, we found a high abundance of Amoebophiliaceae, a family dominated by arthropod parasites. Our results provide evidence that s"&amp;"eason-long applications of streptomycin in apple orchards have minimal impact on endophytic bacterial communities, which is in contrast to some reports on epiphytic communities.")</f>
        <v>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v>
      </c>
      <c r="C1694" s="24" t="str">
        <f>IFERROR(__xludf.DUMMYFUNCTION("""COMPUTED_VALUE"""),"10.1094/PBIOMES-11-20-0081-R")</f>
        <v>10.1094/PBIOMES-11-20-0081-R</v>
      </c>
      <c r="D1694" s="24" t="str">
        <f>IFERROR(__xludf.DUMMYFUNCTION("""COMPUTED_VALUE"""),"Keck et al")</f>
        <v>Keck et al</v>
      </c>
      <c r="E1694" s="24" t="str">
        <f>IFERROR(__xludf.DUMMYFUNCTION("""COMPUTED_VALUE"""),"WOS:000738716500009")</f>
        <v>WOS:000738716500009</v>
      </c>
      <c r="F1694" s="24" t="str">
        <f>IFERROR(__xludf.DUMMYFUNCTION("""COMPUTED_VALUE"""),"[""ELIGIBLE""]")</f>
        <v>["ELIGIBLE"]</v>
      </c>
    </row>
    <row r="1695">
      <c r="A1695" s="24" t="str">
        <f>IFERROR(__xludf.DUMMYFUNCTION("""COMPUTED_VALUE"""),"Antibiotics as chemical warfare across multiple taxonomic domains and trophic levels in brown food webs")</f>
        <v>Antibiotics as chemical warfare across multiple taxonomic domains and trophic levels in brown food webs</v>
      </c>
      <c r="B1695" s="24" t="str">
        <f>IFERROR(__xludf.DUMMYFUNCTION("""COMPUTED_VALUE"""),"Bacteria and fungi secrete antibiotics to suppress and kill other microbes, but can these compounds be agents of competition against macroorganisms? We explore how one competitive tactic, antibiotic production, can structure the composition and function o"&amp;"f brown food webs. This aspect of warfare between microbes and invertebrates is particularly important today as antibiotics are introduced into ecosystems via anthropogenic activities, but the ecological implications of these introductions are largely unk"&amp;"nown. We hypothesized that antimicrobial compounds act as agents of competition against invertebrate and microbial competitors. Using field-like mesocosms, we tested how antifungal and antibacterial compounds influence microbes, invertebrates, and decompo"&amp;"sition in the brown food web. Both antibiotics changed prokaryotic microbial community composition, but only the antibacterial changed invertebrate composition. Antibacterials reduced the abundance of invertebrate detritivores bv 34%. However, the additio"&amp;"n of antimicrobials did not ramify up the food web as predator abundances were unaffected. Decomposition rates did not change. To test the mechanisms of antibiotic effects, we provided antibiotic-laden water to individual invertebrate detritivores in sepa"&amp;"rate microcosm experiments. We found that the antibiotic compounds can directly harm invertebrate taxa, probably through a disruption of endosvmbionts. Combined, our results show that antibiotic compounds could be an effective weapon for microbes to compe"&amp;"te against both microbial and invertebrate competitors. In the context of human introductions, the detrimental effects of antibiotics on invertebrate communities indicates that the scope of this anthropogenic disturbance is much greater than previously ex"&amp;"pected.")</f>
        <v>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v>
      </c>
      <c r="C1695" s="24" t="str">
        <f>IFERROR(__xludf.DUMMYFUNCTION("""COMPUTED_VALUE"""),"10.1098/rspb.2019.1536")</f>
        <v>10.1098/rspb.2019.1536</v>
      </c>
      <c r="D1695" s="24" t="str">
        <f>IFERROR(__xludf.DUMMYFUNCTION("""COMPUTED_VALUE"""),"Keck et al")</f>
        <v>Keck et al</v>
      </c>
      <c r="E1695" s="24" t="str">
        <f>IFERROR(__xludf.DUMMYFUNCTION("""COMPUTED_VALUE"""),"WOS:000490560600006")</f>
        <v>WOS:000490560600006</v>
      </c>
      <c r="F1695" s="24" t="str">
        <f>IFERROR(__xludf.DUMMYFUNCTION("""COMPUTED_VALUE"""),"[""ELIGIBLE""]")</f>
        <v>["ELIGIBLE"]</v>
      </c>
    </row>
    <row r="1696">
      <c r="A1696" s="24" t="str">
        <f>IFERROR(__xludf.DUMMYFUNCTION("""COMPUTED_VALUE"""),"Environmental proteomics reveals taxonomic and functional changes in an enriched aquatic ecosystem")</f>
        <v>Environmental proteomics reveals taxonomic and functional changes in an enriched aquatic ecosystem</v>
      </c>
      <c r="B1696" s="24" t="str">
        <f>IFERROR(__xludf.DUMMYFUNCTION("""COMPUTED_VALUE"""),"Aquatic ecosystem enrichment can lead to distinct and irreversible changes to undesirable states. Understanding changes in active microbial community function and composition following organic matter loading in enriched ecosystems can help identify biomar"&amp;"kers of such state changes. In a field experiment, we enriched replicate aquatic ecosystems in the pitchers of the northern pitcher plant, Sarracenia purpurea. Shotgun metaproteomics using a custom metagenomic database identified proteins, molecular pathw"&amp;"ays, and contributing microbial taxa that differentiated control ecosystems from those that were enriched. The number of microbial taxa contributing to protein expression was comparable between treatments; however, taxonomic evenness was higher in control"&amp;"s. Functionally active bacterial composition differed significantly among treatments and was more divergent in control pitchers than in enriched pitchers. Aerobic and facultative anaerobic bacteria contributed most to identified proteins in control and en"&amp;"riched ecosystems, respectively. The molecular pathways and contributing taxa in enriched pitcher ecosystems were similar to those found in larger enriched aquatic ecosystems and are consistent with microbial processes occurring at the base of detrital fo"&amp;"od webs. Detectable differences between protein profiles of enriched and control ecosystems suggest that a time series of environmental proteomics data may identify protein biomarkers of impending state changes to enriched states.")</f>
        <v>Aquatic ecosystem enrichment can lead to distinct and irreversible changes to undesirable states. Understanding changes in active microbial community function and composition following organic matter loading in enriched ecosystems can help identify biomarkers of such state changes. In a field experiment, we enriched replicate aquatic ecosystems in the pitchers of the northern pitcher plant, Sarracenia purpurea. Shotgun metaproteomics using a custom metagenomic database identified proteins, molecular pathways, and contributing microbial taxa that differentiated control ecosystems from those that were enriched. The number of microbial taxa contributing to protein expression was comparable between treatments; however, taxonomic evenness was higher in controls. Functionally active bacterial composition differed significantly among treatments and was more divergent in control pitchers than in enriched pitchers. Aerobic and facultative anaerobic bacteria contributed most to identified proteins in control and enriched ecosystems, respectively. The molecular pathways and contributing taxa in enriched pitcher ecosystems were similar to those found in larger enriched aquatic ecosystems and are consistent with microbial processes occurring at the base of detrital food webs. Detectable differences between protein profiles of enriched and control ecosystems suggest that a time series of environmental proteomics data may identify protein biomarkers of impending state changes to enriched states.</v>
      </c>
      <c r="C1696" s="24" t="str">
        <f>IFERROR(__xludf.DUMMYFUNCTION("""COMPUTED_VALUE"""),"10.1002/ecs2.1954")</f>
        <v>10.1002/ecs2.1954</v>
      </c>
      <c r="D1696" s="24" t="str">
        <f>IFERROR(__xludf.DUMMYFUNCTION("""COMPUTED_VALUE"""),"Keck et al")</f>
        <v>Keck et al</v>
      </c>
      <c r="E1696" s="24" t="str">
        <f>IFERROR(__xludf.DUMMYFUNCTION("""COMPUTED_VALUE"""),"WOS:000414070800025")</f>
        <v>WOS:000414070800025</v>
      </c>
      <c r="F1696" s="24" t="str">
        <f>IFERROR(__xludf.DUMMYFUNCTION("""COMPUTED_VALUE"""),"[""ELIGIBLE""]")</f>
        <v>["ELIGIBLE"]</v>
      </c>
    </row>
    <row r="1697">
      <c r="A1697" s="24" t="str">
        <f>IFERROR(__xludf.DUMMYFUNCTION("""COMPUTED_VALUE"""),"Artificial light at night alter the impact of arsenic on microbial decomposers and leaf litter decomposition in streams")</f>
        <v>Artificial light at night alter the impact of arsenic on microbial decomposers and leaf litter decomposition in streams</v>
      </c>
      <c r="B1697" s="24" t="str">
        <f>IFERROR(__xludf.DUMMYFUNCTION("""COMPUTED_VALUE"""),"Artificial light at night (ALAN, also known as light pollution) has been proved to be a contributor to environmental change and a biodiversity threat worldwide, yet little is known about its potential interaction with different metal pollutants, such as a"&amp;"rsenic (As), one of the largest threats to aquatic ecosystems. To narrow this gap, an indoor microcosm study was performed using an ALAN simulation device to examine whether ALAN exposure altered the impact of arsenic on plant litter decomposition and its"&amp;" associated fungi. Results revealed that microbial decomposers involved in the conversion of As(III) to As(V), and ALAN exposure enhanced this effect; ALAN or arsenic only exposure altered fungal community composition and the correlations between fungi sp"&amp;"ecies, as well as stimulated or inhibited litter decomposition, respectively. The negative effects of arsenic on the decomposition of Pterocarya stenoptera leaf litter was alleviated by ALAN resulting in the enhanced photo degradation of leaf litter ligni"&amp;"n and microbiological oxidation of As(III) to As(V), the increased microbial biomass and CBH activity, as well as the enhanced correlations between CBH and litter decomposition rate. Overall, results expand our understanding of ALAN on environment and hig"&amp;"hlight the contribution of ALAN to the toxicity of arsenic in aquatic ecosystems.")</f>
        <v>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v>
      </c>
      <c r="C1697" s="24" t="str">
        <f>IFERROR(__xludf.DUMMYFUNCTION("""COMPUTED_VALUE"""),"10.1016/j.ecoenv.2019.110014")</f>
        <v>10.1016/j.ecoenv.2019.110014</v>
      </c>
      <c r="D1697" s="24" t="str">
        <f>IFERROR(__xludf.DUMMYFUNCTION("""COMPUTED_VALUE"""),"Keck et al")</f>
        <v>Keck et al</v>
      </c>
      <c r="E1697" s="24" t="str">
        <f>IFERROR(__xludf.DUMMYFUNCTION("""COMPUTED_VALUE"""),"WOS:000514011400021")</f>
        <v>WOS:000514011400021</v>
      </c>
      <c r="F1697" s="24" t="str">
        <f>IFERROR(__xludf.DUMMYFUNCTION("""COMPUTED_VALUE"""),"[""ELIGIBLE""]")</f>
        <v>["ELIGIBLE"]</v>
      </c>
    </row>
    <row r="1698">
      <c r="A1698" s="24" t="str">
        <f>IFERROR(__xludf.DUMMYFUNCTION("""COMPUTED_VALUE"""),"The effect of cadmium exposure on diversity of intestinal microbial community of Rana chensinensis tadpoles")</f>
        <v>The effect of cadmium exposure on diversity of intestinal microbial community of Rana chensinensis tadpoles</v>
      </c>
      <c r="B1698" s="24" t="str">
        <f>IFERROR(__xludf.DUMMYFUNCTION("""COMPUTED_VALUE"""),"Cadmium is a natural and widely distributed toxicant, and can be commonly found in environment. Intestinal microbiota plays a very important role in maintaining its host's health. The effects of cadmium on the intestinal microbiota composition and stabili"&amp;"ty of amphibians are little known. We exposed Rana chensinensis (R. chensinensis) embryos to different concentrations of cadmium (0, 112 and 448 mu g Cd L-1) until they reached Gosner stage 38, and analyzed their microbial communities using 16S rRNA ampli"&amp;"con sequencing. By measures of both alpha and beta diversity, intestinal microbial communities were significantly differentiated in 448 mu g Cd L-1 exposure groups. Cadmium exposure significantly altered the intestinal microflora diversity and composition"&amp;" of R. chensinensis. At the phylum level, it is worth noting that Fusobacteria and Spirochaetae were not detected in 448 mu g Cd L-1 exposure groups. Firmicutes rapidly decreased in 448 mu g Cd L-1 exposure group. At the genus level, Succinispira (Firmicu"&amp;"tes), Desulfovibrio (Proteobacteria) and Fusobacterium (Fusobacteria) vanished in 448 mu g Cd L-1 exposure groups. Our results demonstrate that cadmium exposure changed the composition and decreased the community diversity of intestinal microbiota of R. c"&amp;"hensinensis tadpoles. Our study may provide a new framework based on intestinal microbiota to evaluate the response of amphibians to environmental chemicals pollution.")</f>
        <v>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v>
      </c>
      <c r="C1698" s="24" t="str">
        <f>IFERROR(__xludf.DUMMYFUNCTION("""COMPUTED_VALUE"""),"10.1016/j.ecoenv.2018.02.022")</f>
        <v>10.1016/j.ecoenv.2018.02.022</v>
      </c>
      <c r="D1698" s="24" t="str">
        <f>IFERROR(__xludf.DUMMYFUNCTION("""COMPUTED_VALUE"""),"Keck et al")</f>
        <v>Keck et al</v>
      </c>
      <c r="E1698" s="24" t="str">
        <f>IFERROR(__xludf.DUMMYFUNCTION("""COMPUTED_VALUE"""),"WOS:000428360300002")</f>
        <v>WOS:000428360300002</v>
      </c>
      <c r="F1698" s="24" t="str">
        <f>IFERROR(__xludf.DUMMYFUNCTION("""COMPUTED_VALUE"""),"[""ELIGIBLE""]")</f>
        <v>["ELIGIBLE"]</v>
      </c>
    </row>
    <row r="1699">
      <c r="A1699" s="24" t="str">
        <f>IFERROR(__xludf.DUMMYFUNCTION("""COMPUTED_VALUE"""),"In Situ Effects of a Microplastic Mixture on the Community Structure of Benthic Macroinvertebrates in a Freshwater Pond")</f>
        <v>In Situ Effects of a Microplastic Mixture on the Community Structure of Benthic Macroinvertebrates in a Freshwater Pond</v>
      </c>
      <c r="B1699" s="24" t="str">
        <f>IFERROR(__xludf.DUMMYFUNCTION("""COMPUTED_VALUE"""),"Benthic communities contain some of the most threatened organisms in aquatic habitats due to different anthropogenic pressures. The high abundance of microplastics in sediments will continue to increase in the future, further increasing the probability of"&amp;" interactions between macroinvertebrates and microplastics. In the present study, a benthic community in a relatively pristine shallow pond was exposed either to an environmentally relevant high concentration of a microplastic mixture of 80 g m(-2) in the"&amp;" sediment, or a control sediment, without the addition of microplastics. The mixture of microplastics contained irregularly shaped polyethylene, polyvinyl chloride, and polyamide in a ratio of 50:25:25%, respectively. The in situ experiment lasted for 100"&amp;" d. The total number of taxa that colonized the microcosms was 22 (17 in the control and 18 in the microplastic treatment), and the colonization was not affected by the treatment. The most dominant group within the macroinvertebrate community was the dipt"&amp;"eran family Chironomidae, in both the control and the microplastic treatment. No significant differences in the abundance and biomass at a community level were recorded between the groups by permutational multivariate analysis of variance (F = 0.993, p = "&amp;"0.456 and F = 0.344, p = 0.797, respectively). The mixture of microplastics did not influence the abundance or biomass of the functional feeding groups (F = 1.810, p = 0.137 and F = 0.377, p = 0.736, respectively). The species richness, species abundance,"&amp;" species biomass, Shannon's diversity index, and Simpson's index of diversity showed no statistically significant differences between the control and treatment groups. Czekanowski's quantitative similarity index indicated that 84% of the community remaine"&amp;"d unaffected after microplastic exposure. Environ Toxicol Chem 2021;00:1-8. (c) 2021 SETAC")</f>
        <v>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v>
      </c>
      <c r="C1699" s="24" t="str">
        <f>IFERROR(__xludf.DUMMYFUNCTION("""COMPUTED_VALUE"""),"10.1002/etc.5119")</f>
        <v>10.1002/etc.5119</v>
      </c>
      <c r="D1699" s="24" t="str">
        <f>IFERROR(__xludf.DUMMYFUNCTION("""COMPUTED_VALUE"""),"Keck et al")</f>
        <v>Keck et al</v>
      </c>
      <c r="E1699" s="24" t="str">
        <f>IFERROR(__xludf.DUMMYFUNCTION("""COMPUTED_VALUE"""),"WOS:000667827600001")</f>
        <v>WOS:000667827600001</v>
      </c>
      <c r="F1699" s="24" t="str">
        <f>IFERROR(__xludf.DUMMYFUNCTION("""COMPUTED_VALUE"""),"[""ELIGIBLE""]")</f>
        <v>["ELIGIBLE"]</v>
      </c>
    </row>
    <row r="1700">
      <c r="A1700" s="24" t="str">
        <f>IFERROR(__xludf.DUMMYFUNCTION("""COMPUTED_VALUE"""),"A river-scale Lagrangian experiment examining controls on phytoplankton dynamics in the presence and absence of treated wastewater effluent high in ammonium")</f>
        <v>A river-scale Lagrangian experiment examining controls on phytoplankton dynamics in the presence and absence of treated wastewater effluent high in ammonium</v>
      </c>
      <c r="B1700" s="24" t="str">
        <f>IFERROR(__xludf.DUMMYFUNCTION("""COMPUTED_VALUE"""),"Phytoplankton are critical component of the food web in most large rivers and estuaries, and thus identifying dominant controls on phytoplankton abundance and species composition is important to scientists, managers, and policymakers. Recent studies from "&amp;"a variety of systems indicate that ammonium (NH4+) in treated wastewater effluent decreases primary production and alters phytoplankton species composition. However, these findings are based mainly on laboratory and enclosure studies, which may not adequa"&amp;"tely represent natural systems. To test effects of effluent high in ammonium on phytoplankton at the ecosystem scale, we conducted whole-river-scale experiments by halting discharges to the Sacramento River from the regional wastewater treatment plant (WW"&amp;"TP), and used a Lagrangian approach to compare changes in phytoplankton abundance and species composition in the presence (+EFF) and absence (-EFF) of effluent. Over 5 d of downstream travel from 20 km above to 50 km below the WWTP, chlorophyll concentrat"&amp;"ions declined from 15-25 to similar to 2.5 mu g L-1, irrespective of effluent addition. Benthic diatoms were dominant in most samples. We found no significant difference in phytoplankton abundance or species composition between +EFF and -EFF conditions. M"&amp;"oreover, greatest declines in chlorophyll occurred upstream of the WWTP where NH4+ concentrations were low. Grazing by clams and zooplankton could not account for observed losses, suggesting other factors such as hydrodynamics and light limitation were re"&amp;"sponsible for phytoplankton declines. These results highlight the advantages of conducting ecosystem-scale, Lagrangian-based experiments to understand the dynamic and complex interplay between physical, chemical, and biological factors that control phytop"&amp;"lankton populations.")</f>
        <v>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v>
      </c>
      <c r="C1700" s="24" t="str">
        <f>IFERROR(__xludf.DUMMYFUNCTION("""COMPUTED_VALUE"""),"10.1002/lno.10497")</f>
        <v>10.1002/lno.10497</v>
      </c>
      <c r="D1700" s="24" t="str">
        <f>IFERROR(__xludf.DUMMYFUNCTION("""COMPUTED_VALUE"""),"Keck et al")</f>
        <v>Keck et al</v>
      </c>
      <c r="E1700" s="24" t="str">
        <f>IFERROR(__xludf.DUMMYFUNCTION("""COMPUTED_VALUE"""),"WOS:000402907100024")</f>
        <v>WOS:000402907100024</v>
      </c>
      <c r="F1700" s="24" t="str">
        <f>IFERROR(__xludf.DUMMYFUNCTION("""COMPUTED_VALUE"""),"[""ELIGIBLE""]")</f>
        <v>["ELIGIBLE"]</v>
      </c>
    </row>
    <row r="1701">
      <c r="A1701" s="24" t="str">
        <f>IFERROR(__xludf.DUMMYFUNCTION("""COMPUTED_VALUE"""),"Host and tissue variations overshadow the response of boreal moss-associated fungal communities to increased nitrogen load")</f>
        <v>Host and tissue variations overshadow the response of boreal moss-associated fungal communities to increased nitrogen load</v>
      </c>
      <c r="B1701" s="24" t="str">
        <f>IFERROR(__xludf.DUMMYFUNCTION("""COMPUTED_VALUE"""),"Human activity has more than doubled the amount of nitrogen entering the global nitrogen cycle, and the boreal forest biome is a nitrogen-limited ecosystem sensitive to nitrogen load perturbation. Although bryophyte-associated microbes contribute signific"&amp;"antly to boreal forest ecosystem function, particularly in carbon and nitrogen cycling, little is known about their responses to anthropogenic global change. Amplicon pyrosequencing of the ITS2 region of rDNA was used to investigate how fungal communities"&amp;" associated with three bryophyte species responded to increased nitrogen loads in a long-term fertilization experiment in a boreal Picea abies forest in southern Norway. Overall, OTU richness, community composition and the relative abundance of specific e"&amp;"cological guilds were primarily influenced by host species identity and tissue type. Although not the primary factor affecting fungal communities, nitrogen addition did impact the abundance of specific guilds of fungi and the resulting overall community c"&amp;"omposition. Increased nitrogen loads decreased ectomycorrhizal abundance, with Amphinema, Cortinarius, Russula and Tylospora OTUs responding negatively to fertilization. Pathogen abundance increased with fertilization, particularly in the moss pathogen Eo"&amp;"cronartium. Saprophytic fungi were both positively and negatively impacted by the nitrogen addition, indicating a complex community level response. The overshadowing of the effects of increased nitrogen loads by variation related to host and tissue type h"&amp;"ighlights the complexity of bryophyte-associated microbial communities and the intricate nature of their responses to anthropogenic global change.")</f>
        <v>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v>
      </c>
      <c r="C1701" s="24" t="str">
        <f>IFERROR(__xludf.DUMMYFUNCTION("""COMPUTED_VALUE"""),"10.1111/mec.13938")</f>
        <v>10.1111/mec.13938</v>
      </c>
      <c r="D1701" s="24" t="str">
        <f>IFERROR(__xludf.DUMMYFUNCTION("""COMPUTED_VALUE"""),"Keck et al")</f>
        <v>Keck et al</v>
      </c>
      <c r="E1701" s="24" t="str">
        <f>IFERROR(__xludf.DUMMYFUNCTION("""COMPUTED_VALUE"""),"WOS:000393944000013")</f>
        <v>WOS:000393944000013</v>
      </c>
      <c r="F1701" s="24" t="str">
        <f>IFERROR(__xludf.DUMMYFUNCTION("""COMPUTED_VALUE"""),"[""ELIGIBLE""]")</f>
        <v>["ELIGIBLE"]</v>
      </c>
    </row>
    <row r="1702">
      <c r="A1702" s="24" t="str">
        <f>IFERROR(__xludf.DUMMYFUNCTION("""COMPUTED_VALUE"""),"Meta-transcriptomic profiling of functional variation of freshwater microbial communities induced by an antidepressant sertraline hydrochloride")</f>
        <v>Meta-transcriptomic profiling of functional variation of freshwater microbial communities induced by an antidepressant sertraline hydrochloride</v>
      </c>
      <c r="B1702" s="24" t="str">
        <f>IFERROR(__xludf.DUMMYFUNCTION("""COMPUTED_VALUE"""),"Sertraline hydrochloride (Ser-HCl) is an effective and commonly used antidepressant drug, which is also frequently detected in aquatic environments. Our previous research showed that Ser-HCl changes the community composition of aquatic microbiome, but the"&amp;" understanding of the expression of functional pathways in microbial communities is still incomplete; to address this knowledge gap, we used meta-transcriptomics analysis to evaluate the toxicity of Ser-HCl to natural aquatic microbial communities culture"&amp;"d in laboratory microcosms. Meta-transcriptomic results show that a 15-day exposure to 50 mu g/L Ser-HCl significantly changed the functional expression activity of aquatic microbial communities. Pathways related to lipid metabolism, energy metabolism, me"&amp;"mbrane transport function, and genetic information processing in the aquatic microbial community were severely inhibited under Ser-HCl treatment, but metabolism of cofactors and vitamins to alleviate biological toxicity after Ser-HCl exposure was enhanced"&amp;". Our study thus reveals details of the effects of sertraline on the functioning of aquatic microbiome. Due to the extensive use of Ser-HCl and its strong biological activity, it should not continue to be an overlooked pollutant. Therefore, more attention"&amp;" should be paid to the negative effects of such biologically active drugs on the expression of aquatic microbiome. (c) 2021 Elsevier B.V. All rights reserved.")</f>
        <v>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v>
      </c>
      <c r="C1702" s="24" t="str">
        <f>IFERROR(__xludf.DUMMYFUNCTION("""COMPUTED_VALUE"""),"10.1016/j.scitotenv.2021.147434")</f>
        <v>10.1016/j.scitotenv.2021.147434</v>
      </c>
      <c r="D1702" s="24" t="str">
        <f>IFERROR(__xludf.DUMMYFUNCTION("""COMPUTED_VALUE"""),"Keck et al")</f>
        <v>Keck et al</v>
      </c>
      <c r="E1702" s="24" t="str">
        <f>IFERROR(__xludf.DUMMYFUNCTION("""COMPUTED_VALUE"""),"WOS:000660250500010")</f>
        <v>WOS:000660250500010</v>
      </c>
      <c r="F1702" s="24" t="str">
        <f>IFERROR(__xludf.DUMMYFUNCTION("""COMPUTED_VALUE"""),"[""ELIGIBLE""]")</f>
        <v>["ELIGIBLE"]</v>
      </c>
    </row>
    <row r="1703">
      <c r="A1703" s="24" t="str">
        <f>IFERROR(__xludf.DUMMYFUNCTION("""COMPUTED_VALUE"""),"Epiphytic macrolichens as indicators of environmental alteration in northern Thailand")</f>
        <v>Epiphytic macrolichens as indicators of environmental alteration in northern Thailand</v>
      </c>
      <c r="B1703" s="24" t="str">
        <f>IFERROR(__xludf.DUMMYFUNCTION("""COMPUTED_VALUE"""),"Epiphytic lichens were sampled on mango trees (Mangifera spp.) in 32 sites in urban centres and surrounding rural areas in seven provinces of upper northern Thailand. Species were recorded on each tree and frequency estimated in a grid of ten 100-cm(2) un"&amp;"its. Analysis of macrolichen data showed that lichen diversity was inversely correlated with human population, and that lichen diversity was lowest in the cities with the highest population. The distribution and frequencies of species belonging to familie"&amp;"s Physciaceae and Parmeliaceae contributed to the groups identified by cluster analysis that corresponded to gradients in rainfall and population density. Comparison with modelled pollution data and local pollution records showed greater correspondence of"&amp;" lichen data with the effects of PM10 than with anthropogenic sulphur. (c) 2006 Elsevier Ltd. All rights reserved.")</f>
        <v>Epiphytic lichens were sampled on mango trees (Mangifera spp.) in 32 sites in urban centres and surrounding rural areas in seven provinces of upper northern Thailand. Species were recorded on each tree and frequency estimated in a grid of ten 100-cm(2) units. Analysis of macrolichen data showed that lichen diversity was inversely correlated with human population, and that lichen diversity was lowest in the cities with the highest population. The distribution and frequencies of species belonging to families Physciaceae and Parmeliaceae contributed to the groups identified by cluster analysis that corresponded to gradients in rainfall and population density. Comparison with modelled pollution data and local pollution records showed greater correspondence of lichen data with the effects of PM10 than with anthropogenic sulphur. (c) 2006 Elsevier Ltd. All rights reserved.</v>
      </c>
      <c r="C1703" s="24" t="str">
        <f>IFERROR(__xludf.DUMMYFUNCTION("""COMPUTED_VALUE"""),"10.1016/j.envpol.2006.03.044")</f>
        <v>10.1016/j.envpol.2006.03.044</v>
      </c>
      <c r="D1703" s="24" t="str">
        <f>IFERROR(__xludf.DUMMYFUNCTION("""COMPUTED_VALUE"""),"Keck et al")</f>
        <v>Keck et al</v>
      </c>
      <c r="E1703" s="24" t="str">
        <f>IFERROR(__xludf.DUMMYFUNCTION("""COMPUTED_VALUE"""),"WOS:000244971100011")</f>
        <v>WOS:000244971100011</v>
      </c>
      <c r="F1703" s="24" t="str">
        <f>IFERROR(__xludf.DUMMYFUNCTION("""COMPUTED_VALUE"""),"[""ELIGIBLE""]")</f>
        <v>["ELIGIBLE"]</v>
      </c>
    </row>
    <row r="1704">
      <c r="A1704" s="24" t="str">
        <f>IFERROR(__xludf.DUMMYFUNCTION("""COMPUTED_VALUE"""),"Environmental radiation alters the gut microbiome of the bank vole Myodes glareolus")</f>
        <v>Environmental radiation alters the gut microbiome of the bank vole Myodes glareolus</v>
      </c>
      <c r="B1704" s="24" t="str">
        <f>IFERROR(__xludf.DUMMYFUNCTION("""COMPUTED_VALUE"""),"Gut microbiota composition depends on many factors, although the impact of environmental pollution is largely unknown. We used amplicon sequencing of bacterial 16S rRNA genes to quantify whether anthropogenic radionuclides at Chernobyl (Ukraine) impact th"&amp;"e gut microbiome of the bank vole Myodes glareolus. Exposure to elevated levels of environmental radionuclides had no detectable effect on the gut community richness but was associated with an almost two-fold increase in the Firmicutes: Bacteroidetes rati"&amp;"o. Animals inhabiting uncontaminated areas had remarkably similar gut communities irrespective of their proximity to the nuclear power plant. Hence, samples could be classified to high-radiation or low-radiation sites based solely on microbial community w"&amp;"ith &gt;90% accuracy. Radiation-associated bacteria had distinct inferred functional profiles, including pathways involved in degradation, assimilation and transport of carbohydrates, xenobiotics biodegradation, and DNA repair. Our results suggest that expos"&amp;"ure to environmental radionuclides significantly alters vertebrate gut microbiota.")</f>
        <v>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v>
      </c>
      <c r="C1704" s="24" t="str">
        <f>IFERROR(__xludf.DUMMYFUNCTION("""COMPUTED_VALUE"""),"10.1038/s41396-018-0214-x")</f>
        <v>10.1038/s41396-018-0214-x</v>
      </c>
      <c r="D1704" s="24" t="str">
        <f>IFERROR(__xludf.DUMMYFUNCTION("""COMPUTED_VALUE"""),"Keck et al")</f>
        <v>Keck et al</v>
      </c>
      <c r="E1704" s="24" t="str">
        <f>IFERROR(__xludf.DUMMYFUNCTION("""COMPUTED_VALUE"""),"WOS:000447661300019")</f>
        <v>WOS:000447661300019</v>
      </c>
      <c r="F1704" s="24" t="str">
        <f>IFERROR(__xludf.DUMMYFUNCTION("""COMPUTED_VALUE"""),"[""ELIGIBLE""]")</f>
        <v>["ELIGIBLE"]</v>
      </c>
    </row>
    <row r="1705">
      <c r="A1705" s="24" t="str">
        <f>IFERROR(__xludf.DUMMYFUNCTION("""COMPUTED_VALUE"""),"Nanoplastics Induce More Serious Microbiota Dysbiosis and Inflammation in the Gut of Adult Zebrafish than Microplastics")</f>
        <v>Nanoplastics Induce More Serious Microbiota Dysbiosis and Inflammation in the Gut of Adult Zebrafish than Microplastics</v>
      </c>
      <c r="B1705" s="24" t="str">
        <f>IFERROR(__xludf.DUMMYFUNCTION("""COMPUTED_VALUE"""),"Microplastics (MPs) (&lt; 5 mm) and nanoplastics (NPs) (&lt; 100 nm) are emerging environmental pollutants and have been proved could cause a series of toxicity in aquatic organisms. In this study, the effects on gut microbiota of adult zebrafish exposed for 21"&amp;" days to 10 mu g/L and 1 mg/L of MPs (8 mu m) and NPs (80 nm) were evaluated. We analyzed the intestinal microbial community of zebrafish using high throughput sequencing of the 16S rRNA gene V3-V4 region and also performed transcriptional profiling of th"&amp;"e inflammation pathway related genes in the intestinal tissues. Our results showed that both spherical polystyrene MPs and NPs could induce microbiota dysbiosis in the gut of zebrafish. The flora diversity of gut microbiota significantly increased under a"&amp;" high concentration of NPs. At the phylum level, the abundance of Proteobacteria increased significantly and the abundance of Fusobacteria, Firmicutes and Verrucomicrobiota decreased significantly in the gut after 21-day exposure to 1 mg/L of both MPs and"&amp;" NPs. Furthermore, interestingly, the abundance of Actinobacteria decreased in the MPs treatment groups but increased in the NPs treatment groups. At the genus level, revealed that the relative abundance of Aeromonas significantly increased both in the MP"&amp;"s and NPs treatment groups. Moreover, it was observed that NPs increased mRNA levels of il8, il10, il1 beta and tnf alpha in the gut, but not in MPs exposure group, indicating that the NPs may have a more serious effect on the gut of zebrafish than MPs to"&amp;" induce microbiota dysbiosis and inflammation in the gut.")</f>
        <v>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v>
      </c>
      <c r="C1705" s="24" t="str">
        <f>IFERROR(__xludf.DUMMYFUNCTION("""COMPUTED_VALUE"""),"10.1007/s00128-021-03348-8")</f>
        <v>10.1007/s00128-021-03348-8</v>
      </c>
      <c r="D1705" s="24" t="str">
        <f>IFERROR(__xludf.DUMMYFUNCTION("""COMPUTED_VALUE"""),"Keck et al")</f>
        <v>Keck et al</v>
      </c>
      <c r="E1705" s="24" t="str">
        <f>IFERROR(__xludf.DUMMYFUNCTION("""COMPUTED_VALUE"""),"WOS:000684073700005")</f>
        <v>WOS:000684073700005</v>
      </c>
      <c r="F1705" s="24" t="str">
        <f>IFERROR(__xludf.DUMMYFUNCTION("""COMPUTED_VALUE"""),"[""ELIGIBLE""]")</f>
        <v>["ELIGIBLE"]</v>
      </c>
    </row>
    <row r="1706">
      <c r="A1706" s="24" t="str">
        <f>IFERROR(__xludf.DUMMYFUNCTION("""COMPUTED_VALUE"""),"Effect of heavy metals pollution on the composition and diversity of the intestinal microbial community of a pygmy grasshopper (Eucriotettix oculatus)")</f>
        <v>Effect of heavy metals pollution on the composition and diversity of the intestinal microbial community of a pygmy grasshopper (Eucriotettix oculatus)</v>
      </c>
      <c r="B1706" s="24" t="str">
        <f>IFERROR(__xludf.DUMMYFUNCTION("""COMPUTED_VALUE"""),"Heavy metal pollution in the environment is mostly manifested as a multi-elemental compound pollution. The effect of the long-term exposure to heavy metal pollution on the gut microbes of insects has remained unknown. For the current work, the population "&amp;"of Eucriotettix oculatus living in mining areas around the Diaojiang River with a history of hundreds of years of pollution, was selected along with the similar species living in non-mining areas to conduct a comparative study of their gut microbes. The m"&amp;"icrobial communities were analyzed using 16S rRNA amplicon sequencing. The results showed Proteobacteria to be dominant among gut microbes of E. oculatus, but the abundance of Proteobacteria was significantly increased when the insects were exposed to the"&amp;" environment with heavy metal pollution. The symbiotic bacteria belonging to genus Wolbachia were found to be dominant among the insect population from the non-mining area group, while the pathogenic bacteria belonging to Aeromonas were dominant among the"&amp;" insect population of the mining area group. The diversity analysis showed that the gut microbial community diversity of E. oculatus was reduced in the heavy metal pollution habitat. The analysis of the differences in the gut microbial population and meta"&amp;"bolic pathways of the two groups showed that the heavy metal pollution caused the increase in pathogenic bacteria among the gut microbes of E. oculatus, which might have a negative impact on the health of the host. At the same time, probiotics and the ben"&amp;"eficial metabolism pathways were also found to increase and enhance, helping the host to resist the damage caused by heavy metal stress. This might be one of the strategies used by E. oculatus to adapt to heavy metal pollution.")</f>
        <v>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v>
      </c>
      <c r="C1706" s="24" t="str">
        <f>IFERROR(__xludf.DUMMYFUNCTION("""COMPUTED_VALUE"""),"10.1016/j.ecoenv.2021.112582")</f>
        <v>10.1016/j.ecoenv.2021.112582</v>
      </c>
      <c r="D1706" s="24" t="str">
        <f>IFERROR(__xludf.DUMMYFUNCTION("""COMPUTED_VALUE"""),"Keck et al")</f>
        <v>Keck et al</v>
      </c>
      <c r="E1706" s="24" t="str">
        <f>IFERROR(__xludf.DUMMYFUNCTION("""COMPUTED_VALUE"""),"WOS:000696724900001")</f>
        <v>WOS:000696724900001</v>
      </c>
      <c r="F1706" s="24" t="str">
        <f>IFERROR(__xludf.DUMMYFUNCTION("""COMPUTED_VALUE"""),"[""ELIGIBLE""]")</f>
        <v>["ELIGIBLE"]</v>
      </c>
    </row>
    <row r="1707">
      <c r="A1707" s="24" t="str">
        <f>IFERROR(__xludf.DUMMYFUNCTION("""COMPUTED_VALUE"""),"Copper and chromium exposure affect chironomid larval microbiota composition")</f>
        <v>Copper and chromium exposure affect chironomid larval microbiota composition</v>
      </c>
      <c r="B1707" s="24" t="str">
        <f>IFERROR(__xludf.DUMMYFUNCTION("""COMPUTED_VALUE"""),"Chironomids are aquatic insects that are known to be pollution tolerant. We have recently demonstrated that endogenous chironomid microbiota protects its host from toxic metals. Following these findings, we hypothesized that under different environmental "&amp;"conditions, a different bacterial consortium will evolve. Our aim was to explore the change in chironomid larval microbiota composition triggered by exposure to toxic copper and hexavalent chromium. Chironomid larvae were collected from the environment an"&amp;"d treated in the laboratory with copper, hexavalent chromium, and no metal (control). After six days, the microbial composition of the surviving larvae was examined. We found a significant change in larval microbiota composition between the three treatmen"&amp;"ts and for different copper concentrations. The abundance of specific taxa varied significantly between the treatments. At the genus level, the abundance of some genera (e.g. Yersinia, Acinetobacter) increased in the presence of copper, and some genera (e"&amp;".g. Yersinia, Dysgonomonas, Delftia, Enterococcus) increased in the presence of hexavalent chromium, compared to the control. The change in the larval microbiota composition was rapid and metal-specific. We suggest that each larva hosts a consortium of ba"&amp;"cterial species that can proliferate under a specific environmental change and thus, protect the insect under unstable environmental conditions. (C) 2021 Elsevier B.V. All rights reserved.")</f>
        <v>Chironomids are aquatic insects that are known to be pollution tolerant. We have recently demonstrated that endogenous chironomid microbiota protects its host from toxic metals. Following these findings, we hypothesized that under different environmental conditions, a different bacterial consortium will evolve. Our aim was to explore the change in chironomid larval microbiota composition triggered by exposure to toxic copper and hexavalent chromium. Chironomid larvae were collected from the environment and treated in the laboratory with copper, hexavalent chromium, and no metal (control). After six days, the microbial composition of the surviving larvae was examined. We found a significant change in larval microbiota composition between the three treatments and for different copper concentrations. The abundance of specific taxa varied significantly between the treatments. At the genus level, the abundance of some genera (e.g. Yersinia, Acinetobacter) increased in the presence of copper, and some genera (e.g. Yersinia, Dysgonomonas, Delftia, Enterococcus) increased in the presence of hexavalent chromium, compared to the control. The change in the larval microbiota composition was rapid and metal-specific. We suggest that each larva hosts a consortium of bacterial species that can proliferate under a specific environmental change and thus, protect the insect under unstable environmental conditions. (C) 2021 Elsevier B.V. All rights reserved.</v>
      </c>
      <c r="C1707" s="24" t="str">
        <f>IFERROR(__xludf.DUMMYFUNCTION("""COMPUTED_VALUE"""),"10.1016/j.scitotenv.2021.145330")</f>
        <v>10.1016/j.scitotenv.2021.145330</v>
      </c>
      <c r="D1707" s="24" t="str">
        <f>IFERROR(__xludf.DUMMYFUNCTION("""COMPUTED_VALUE"""),"Keck et al")</f>
        <v>Keck et al</v>
      </c>
      <c r="E1707" s="24" t="str">
        <f>IFERROR(__xludf.DUMMYFUNCTION("""COMPUTED_VALUE"""),"WOS:000627895900092")</f>
        <v>WOS:000627895900092</v>
      </c>
      <c r="F1707" s="24" t="str">
        <f>IFERROR(__xludf.DUMMYFUNCTION("""COMPUTED_VALUE"""),"[""ELIGIBLE""]")</f>
        <v>["ELIGIBLE"]</v>
      </c>
    </row>
    <row r="1708">
      <c r="A1708" s="24" t="str">
        <f>IFERROR(__xludf.DUMMYFUNCTION("""COMPUTED_VALUE"""),"Degraded lands worth protecting: the biological importance of Southeast Asia's repeatedly logged forests")</f>
        <v>Degraded lands worth protecting: the biological importance of Southeast Asia's repeatedly logged forests</v>
      </c>
      <c r="B1708" s="24" t="str">
        <f>IFERROR(__xludf.DUMMYFUNCTION("""COMPUTED_VALUE"""),"Southeast Asia is a hotspot of imperilled biodiversity, owing to extensive logging and forest conversion to oil palm agriculture. The degraded forests that remain after multiple rounds of intensive logging are often assumed to be of little conservation va"&amp;"lue; consequently, there has been no concerted effort to prevent them from being converted to oil palm. However, no study has quantified the biodiversity of repeatedly logged forests. We compare the species richness and composition of birds and dung beetl"&amp;"es within unlogged (primary), once-logged and twice-logged forests in Sabah, Borneo. Logging had little effect on the overall richness of birds. Dung beetle richness declined following once-logging but did not decline further after twice-logging. The spec"&amp;"ies composition of bird and dung beetle communities was altered, particularly after the second logging rotation, but globally imperilled bird species (IUCN Red List) did not decline further after twice-logging. Remarkably, over 75 per cent of bird and dun"&amp;"g beetle species found in unlogged forest persisted within twice-logged forest. Although twice-logged forests have less biological value than primary and once-logged forests, they clearly provide important habitat for numerous bird and dung beetle species"&amp;". Preventing these degraded forests from being converted to oil palm should be a priority of policy-makers and conservationists.")</f>
        <v>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v>
      </c>
      <c r="C1708" s="24" t="str">
        <f>IFERROR(__xludf.DUMMYFUNCTION("""COMPUTED_VALUE"""),"10.1098/rspb.2010.1062")</f>
        <v>10.1098/rspb.2010.1062</v>
      </c>
      <c r="D1708" s="24" t="str">
        <f>IFERROR(__xludf.DUMMYFUNCTION("""COMPUTED_VALUE"""),"Keck et al")</f>
        <v>Keck et al</v>
      </c>
      <c r="E1708" s="24" t="str">
        <f>IFERROR(__xludf.DUMMYFUNCTION("""COMPUTED_VALUE"""),"WOS:000284554800012")</f>
        <v>WOS:000284554800012</v>
      </c>
      <c r="F1708" s="24" t="str">
        <f>IFERROR(__xludf.DUMMYFUNCTION("""COMPUTED_VALUE"""),"[""ELIGIBLE""]")</f>
        <v>["ELIGIBLE"]</v>
      </c>
    </row>
    <row r="1709">
      <c r="A1709" s="24" t="str">
        <f>IFERROR(__xludf.DUMMYFUNCTION("""COMPUTED_VALUE"""),"Long-term noise pollution affects seedling recruitment and community composition, with negative effects persisting after removal")</f>
        <v>Long-term noise pollution affects seedling recruitment and community composition, with negative effects persisting after removal</v>
      </c>
      <c r="B1709" s="24" t="str">
        <f>IFERROR(__xludf.DUMMYFUNCTION("""COMPUTED_VALUE"""),"Noise pollution can affect species' behaviours and distributions and may hold significant consequences for natural communities. While several studies have researched short-term effects of noise, no long-term research has examined whether observed patterns"&amp;" persist or if community recovery can occur. We used a long-term study system in New Mexico to examine the effects of continuous natural gas well noise exposure on seedling recruitment of foundational tree species (Pinus edulis, Juniperus osteosperma) and"&amp;" vegetation diversity. First, we examined seedling recruitment and vegetation diversity at plots where current noise levels have persisted for greater than 15 years. We then examined recruitment and diversity on plots where noise sources were recently rem"&amp;"oved or added. We found support for long-term negative effects of noise on tree seedling recruitment, evenness of woody plants and increasingly dissimilar vegetation communities with differences in noise levels. Furthermore, seedling recruitment and plant"&amp;" community composition did not recover following noise removal, possibly due in part to a lag in recovery among animals that disperse and pollinate plants. Our results add to the limited evidence that noise has cascading ecological effects. Moreover, thes"&amp;"e effects may be long lasting and noise removal may not lead to immediate recovery.")</f>
        <v>Noise pollution can affect species' behaviours and distributions and may hold significant consequences for natural communities. While several studies have researched short-term effects of noise, no long-term research has examined whether observed patterns persist or if community recovery can occur. We used a long-term study system in New Mexico to examine the effects of continuous natural gas well noise exposure on seedling recruitment of foundational tree species (Pinus edulis, Juniperus osteosperma) and vegetation diversity. First, we examined seedling recruitment and vegetation diversity at plots where current noise levels have persisted for greater than 15 years. We then examined recruitment and diversity on plots where noise sources were recently removed or added. We found support for long-term negative effects of noise on tree seedling recruitment, evenness of woody plants and increasingly dissimilar vegetation communities with differences in noise levels. Furthermore, seedling recruitment and plant community composition did not recover following noise removal, possibly due in part to a lag in recovery among animals that disperse and pollinate plants. Our results add to the limited evidence that noise has cascading ecological effects. Moreover, these effects may be long lasting and noise removal may not lead to immediate recovery.</v>
      </c>
      <c r="C1709" s="24" t="str">
        <f>IFERROR(__xludf.DUMMYFUNCTION("""COMPUTED_VALUE"""),"10.1098/rspb.2020.2906")</f>
        <v>10.1098/rspb.2020.2906</v>
      </c>
      <c r="D1709" s="24" t="str">
        <f>IFERROR(__xludf.DUMMYFUNCTION("""COMPUTED_VALUE"""),"Keck et al")</f>
        <v>Keck et al</v>
      </c>
      <c r="E1709" s="24" t="str">
        <f>IFERROR(__xludf.DUMMYFUNCTION("""COMPUTED_VALUE"""),"WOS:000738762100009")</f>
        <v>WOS:000738762100009</v>
      </c>
      <c r="F1709" s="24" t="str">
        <f>IFERROR(__xludf.DUMMYFUNCTION("""COMPUTED_VALUE"""),"[""ELIGIBLE""]")</f>
        <v>["ELIGIBLE"]</v>
      </c>
    </row>
    <row r="1710">
      <c r="A1710" s="24" t="str">
        <f>IFERROR(__xludf.DUMMYFUNCTION("""COMPUTED_VALUE"""),"Ecological Shifts in Mediterranean Coralligenous Assemblages Related to Gorgonian Forest Loss")</f>
        <v>Ecological Shifts in Mediterranean Coralligenous Assemblages Related to Gorgonian Forest Loss</v>
      </c>
      <c r="B1710" s="24" t="str">
        <f>IFERROR(__xludf.DUMMYFUNCTION("""COMPUTED_VALUE"""),"Mediterranean gorgonian forests are threatened by several human activities and are affected by climatic anomalies that have led to mass mortality events in recent decades. The ecological role of these habitats and the possible consequence of their loss ar"&amp;"e poorly understood. Effects of gorgonians on the recruitment of epibenthic organisms were investigated by manipulating presence of gorgonians on experimental panels at 24 m depth, for Eunicella cavolinii, and at 40 m depth, for Paramuricea clavata, at tw"&amp;"o sites: Tavolara Island (Tyrrhenian Sea) and Portofino Promontory (Ligurian Sea). After 4 months, the most abundant taxa on the panels were encrusting green algae, erect red algae and crustose coralline algae at 24 m depth and encrusting brown algae and "&amp;"erect red algae at 40 m depth. Assemblages on the panels were significantly affected by the presence of the gorgonians, although effects varied across sites and between gorgonian species. Species diversity and evenness were lower on panels with gorgonian "&amp;"branches. Growth of erect algae and recruitment of serpulid polychaetes were also affected by the presence of the gorgonians, primarily at Tavolara. Crustose coralline algae and erect sponges were more abundant on E. cavolinii panels at 24 m depth, while "&amp;"encrusting bryozoans were more abundant on P. clavata panels at 40 m depth. Effects of gorgonians on recruited assemblages could be due to microscale modification of hydrodynamics and sediment deposition rate, or by a shading effect reducing light intensi"&amp;"ty. Gorgonians may also intercept settling propagules, compete for food with the filter-feeders and/ or for space by producing allelochemicals. Presence of gorgonians mainly limits the growth of erect algae and enhances the abundance of encrusting algae a"&amp;"nd sessile invertebrates. Therefore, the gorgonian disappearances may cause a shift from assemblages characterised by crustose coralline algae to filamentous algae assemblages, decreasing complexity and resilience of coralligenous bioconstructions.")</f>
        <v>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v>
      </c>
      <c r="C1710" s="24" t="str">
        <f>IFERROR(__xludf.DUMMYFUNCTION("""COMPUTED_VALUE"""),"10.1371/journal.pone.0102782")</f>
        <v>10.1371/journal.pone.0102782</v>
      </c>
      <c r="D1710" s="24" t="str">
        <f>IFERROR(__xludf.DUMMYFUNCTION("""COMPUTED_VALUE"""),"Keck et al")</f>
        <v>Keck et al</v>
      </c>
      <c r="E1710" s="24" t="str">
        <f>IFERROR(__xludf.DUMMYFUNCTION("""COMPUTED_VALUE"""),"WOS:000339614100055")</f>
        <v>WOS:000339614100055</v>
      </c>
      <c r="F1710" s="24" t="str">
        <f>IFERROR(__xludf.DUMMYFUNCTION("""COMPUTED_VALUE"""),"[""ELIGIBLE""]")</f>
        <v>["ELIGIBLE"]</v>
      </c>
    </row>
    <row r="1711">
      <c r="A1711" s="24" t="str">
        <f>IFERROR(__xludf.DUMMYFUNCTION("""COMPUTED_VALUE"""),"Urban stress is associated with variation in microbial species composition-but not richness-in Manhattan")</f>
        <v>Urban stress is associated with variation in microbial species composition-but not richness-in Manhattan</v>
      </c>
      <c r="B1711" s="24" t="str">
        <f>IFERROR(__xludf.DUMMYFUNCTION("""COMPUTED_VALUE"""),"The biological diversity and composition of microorganisms influences both human health outcomes and ecological processes; therefore, understanding the factors that influence microbial biodiversity is key to creating healthy, functional landscapes in whic"&amp;"h to live. In general, biological diversity is predicted to be limited by habitat size, which for green areas is often reduced in cities, and by chronic disturbance (stress). These hypotheses have not previously been tested in microbial systems in direct "&amp;"comparison to macroorganisms. Here we analyzed bacterial, fungal and ant communities in small road medians (average area 0.0008 km(2)) and larger parks (average area 0.64 km(2)) across Manhattan (NYC). Bacterial species richness was not significantly diff"&amp;"erent between medians and parks, but community composition was significantly distinct. In contrast, ant communities differed both in composition and richness with fewer ant species in medians than parks. Fungi showed no significant variation in compositio"&amp;"n or richness but had few shared taxa between habitats or sites. The diversity and composition of microbes appears less sensitive to habitat patchiness or urban stress than those of macroorganisms. Microbes and their associated ecosystem services and func"&amp;"tions may be more resilient to the negative effects of urbanization than has been previously appreciated.")</f>
        <v>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v>
      </c>
      <c r="C1711" s="24" t="str">
        <f>IFERROR(__xludf.DUMMYFUNCTION("""COMPUTED_VALUE"""),"10.1038/ismej.2015.152")</f>
        <v>10.1038/ismej.2015.152</v>
      </c>
      <c r="D1711" s="24" t="str">
        <f>IFERROR(__xludf.DUMMYFUNCTION("""COMPUTED_VALUE"""),"Keck et al")</f>
        <v>Keck et al</v>
      </c>
      <c r="E1711" s="24" t="str">
        <f>IFERROR(__xludf.DUMMYFUNCTION("""COMPUTED_VALUE"""),"WOS:000370472500019")</f>
        <v>WOS:000370472500019</v>
      </c>
      <c r="F1711" s="24" t="str">
        <f>IFERROR(__xludf.DUMMYFUNCTION("""COMPUTED_VALUE"""),"[""ELIGIBLE""]")</f>
        <v>["ELIGIBLE"]</v>
      </c>
    </row>
    <row r="1712">
      <c r="A1712" s="24" t="str">
        <f>IFERROR(__xludf.DUMMYFUNCTION("""COMPUTED_VALUE"""),"Faecal bacterial communities from Mediterranean loggerhead sea turtles (Caretta caretta)")</f>
        <v>Faecal bacterial communities from Mediterranean loggerhead sea turtles (Caretta caretta)</v>
      </c>
      <c r="B1712" s="24" t="str">
        <f>IFERROR(__xludf.DUMMYFUNCTION("""COMPUTED_VALUE"""),"The loggerhead sea turtle (Caretta caretta) is the most widespread sea turtle species in the Mediterranean Sea and a relevant pollution 'flagship species'. Here, we profiled the faecal microbiota from 29 C. caretta from a rescue centre, and explored the i"&amp;"mpact of several variables linked to both the animal itself and the environment (i.e., tank water ecosystem). We show that loggerhead turtles share more gut microbiota features with carnivorous marine mammals, than with phylogenetically close, but herbivo"&amp;"rous, turtles, as a confirmation of the gut microbiota adaptive function to diet and environment. We also highlight a relation between the microbiota composition and the size (and consequently the age) of the turtles. Finally, we point out that the gut mi"&amp;"crobiota of sea turtles shows unexpectedly low exchange of microbes with the aquatic environment and is resilient to the stress induced by short-time captivity.")</f>
        <v>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v>
      </c>
      <c r="C1712" s="24" t="str">
        <f>IFERROR(__xludf.DUMMYFUNCTION("""COMPUTED_VALUE"""),"10.1111/1758-2229.12683")</f>
        <v>10.1111/1758-2229.12683</v>
      </c>
      <c r="D1712" s="24" t="str">
        <f>IFERROR(__xludf.DUMMYFUNCTION("""COMPUTED_VALUE"""),"Keck et al")</f>
        <v>Keck et al</v>
      </c>
      <c r="E1712" s="24" t="str">
        <f>IFERROR(__xludf.DUMMYFUNCTION("""COMPUTED_VALUE"""),"WOS:000468000600008")</f>
        <v>WOS:000468000600008</v>
      </c>
      <c r="F1712" s="24" t="str">
        <f>IFERROR(__xludf.DUMMYFUNCTION("""COMPUTED_VALUE"""),"[""ELIGIBLE""]")</f>
        <v>["ELIGIBLE"]</v>
      </c>
    </row>
    <row r="1713">
      <c r="A1713" s="24"/>
      <c r="B1713" s="24"/>
      <c r="C1713" s="24"/>
      <c r="D1713" s="24"/>
      <c r="E1713" s="24"/>
      <c r="F1713" s="24"/>
    </row>
    <row r="1714">
      <c r="A1714" s="24"/>
      <c r="B1714" s="24"/>
      <c r="C1714" s="24"/>
      <c r="D1714" s="24"/>
      <c r="E1714" s="24"/>
      <c r="F1714" s="24"/>
    </row>
    <row r="1715">
      <c r="A1715" s="24"/>
      <c r="B1715" s="24"/>
      <c r="C1715" s="24"/>
      <c r="D1715" s="24"/>
      <c r="E1715" s="24"/>
      <c r="F1715" s="24"/>
    </row>
    <row r="1716">
      <c r="A1716" s="24"/>
      <c r="B1716" s="24"/>
      <c r="C1716" s="24"/>
      <c r="D1716" s="24"/>
      <c r="E1716" s="24"/>
      <c r="F1716" s="24"/>
    </row>
    <row r="1717">
      <c r="A1717" s="24"/>
      <c r="B1717" s="24"/>
      <c r="C1717" s="24"/>
      <c r="D1717" s="24"/>
      <c r="E1717" s="24"/>
      <c r="F1717" s="24"/>
    </row>
    <row r="1718">
      <c r="A1718" s="24"/>
      <c r="B1718" s="24"/>
      <c r="C1718" s="24"/>
      <c r="D1718" s="24"/>
      <c r="E1718" s="24"/>
      <c r="F1718" s="24"/>
    </row>
    <row r="1719">
      <c r="A1719" s="24"/>
      <c r="B1719" s="24"/>
      <c r="C1719" s="24"/>
      <c r="D1719" s="24"/>
      <c r="E1719" s="24"/>
      <c r="F1719" s="24"/>
    </row>
    <row r="1720">
      <c r="A1720" s="24"/>
      <c r="B1720" s="24"/>
      <c r="C1720" s="24"/>
      <c r="D1720" s="24"/>
      <c r="E1720" s="24"/>
      <c r="F1720" s="24"/>
    </row>
    <row r="1721">
      <c r="A1721" s="24"/>
      <c r="B1721" s="24"/>
      <c r="C1721" s="24"/>
      <c r="D1721" s="24"/>
      <c r="E1721" s="24"/>
      <c r="F1721" s="24"/>
    </row>
    <row r="1722">
      <c r="A1722" s="24"/>
      <c r="B1722" s="24"/>
      <c r="C1722" s="24"/>
      <c r="D1722" s="24"/>
      <c r="E1722" s="24"/>
      <c r="F1722" s="24"/>
    </row>
    <row r="1723">
      <c r="A1723" s="24"/>
      <c r="B1723" s="24"/>
      <c r="C1723" s="24"/>
      <c r="D1723" s="24"/>
      <c r="E1723" s="24"/>
      <c r="F1723" s="24"/>
    </row>
    <row r="1724">
      <c r="A1724" s="24"/>
      <c r="B1724" s="24"/>
      <c r="C1724" s="24"/>
      <c r="D1724" s="24"/>
      <c r="E1724" s="24"/>
      <c r="F1724" s="24"/>
    </row>
    <row r="1725">
      <c r="A1725" s="24"/>
      <c r="B1725" s="24"/>
      <c r="C1725" s="24"/>
      <c r="D1725" s="24"/>
      <c r="E1725" s="24"/>
      <c r="F1725" s="24"/>
    </row>
    <row r="1726">
      <c r="A1726" s="24"/>
      <c r="B1726" s="24"/>
      <c r="C1726" s="24"/>
      <c r="D1726" s="24"/>
      <c r="E1726" s="24"/>
      <c r="F1726" s="24"/>
    </row>
    <row r="1727">
      <c r="A1727" s="24"/>
      <c r="B1727" s="24"/>
      <c r="C1727" s="24"/>
      <c r="D1727" s="24"/>
      <c r="E1727" s="24"/>
      <c r="F1727" s="24"/>
    </row>
    <row r="1728">
      <c r="A1728" s="24"/>
      <c r="B1728" s="24"/>
      <c r="C1728" s="24"/>
      <c r="D1728" s="24"/>
      <c r="E1728" s="24"/>
      <c r="F1728" s="24"/>
    </row>
    <row r="1729">
      <c r="A1729" s="24"/>
      <c r="B1729" s="24"/>
      <c r="C1729" s="24"/>
      <c r="D1729" s="24"/>
      <c r="E1729" s="24"/>
      <c r="F1729" s="24"/>
    </row>
    <row r="1730">
      <c r="A1730" s="24"/>
      <c r="B1730" s="24"/>
      <c r="C1730" s="24"/>
      <c r="D1730" s="24"/>
      <c r="E1730" s="24"/>
      <c r="F1730" s="24"/>
    </row>
    <row r="1731">
      <c r="A1731" s="24"/>
      <c r="B1731" s="24"/>
      <c r="C1731" s="24"/>
      <c r="D1731" s="24"/>
      <c r="E1731" s="24"/>
      <c r="F1731" s="24"/>
    </row>
    <row r="1732">
      <c r="A1732" s="24"/>
      <c r="B1732" s="24"/>
      <c r="C1732" s="24"/>
      <c r="D1732" s="24"/>
      <c r="E1732" s="24"/>
      <c r="F1732" s="24"/>
    </row>
    <row r="1733">
      <c r="A1733" s="24"/>
      <c r="B1733" s="24"/>
      <c r="C1733" s="24"/>
      <c r="D1733" s="24"/>
      <c r="E1733" s="24"/>
      <c r="F1733" s="24"/>
    </row>
    <row r="1734">
      <c r="A1734" s="24"/>
      <c r="B1734" s="24"/>
      <c r="C1734" s="24"/>
      <c r="D1734" s="24"/>
      <c r="E1734" s="24"/>
      <c r="F1734" s="24"/>
    </row>
    <row r="1735">
      <c r="A1735" s="24"/>
      <c r="B1735" s="24"/>
      <c r="C1735" s="24"/>
      <c r="D1735" s="24"/>
      <c r="E1735" s="24"/>
      <c r="F1735" s="24"/>
    </row>
    <row r="1736">
      <c r="A1736" s="24"/>
      <c r="B1736" s="24"/>
      <c r="C1736" s="24"/>
      <c r="D1736" s="24"/>
      <c r="E1736" s="24"/>
      <c r="F1736" s="24"/>
    </row>
    <row r="1737">
      <c r="A1737" s="24"/>
      <c r="B1737" s="24"/>
      <c r="C1737" s="24"/>
      <c r="D1737" s="24"/>
      <c r="E1737" s="24"/>
      <c r="F1737" s="24"/>
    </row>
    <row r="1738">
      <c r="A1738" s="24"/>
      <c r="B1738" s="24"/>
      <c r="C1738" s="24"/>
      <c r="D1738" s="24"/>
      <c r="E1738" s="24"/>
      <c r="F1738" s="24"/>
    </row>
    <row r="1739">
      <c r="A1739" s="24"/>
      <c r="B1739" s="24"/>
      <c r="C1739" s="24"/>
      <c r="D1739" s="24"/>
      <c r="E1739" s="24"/>
      <c r="F1739" s="24"/>
    </row>
    <row r="1740">
      <c r="A1740" s="24"/>
      <c r="B1740" s="24"/>
      <c r="C1740" s="24"/>
      <c r="D1740" s="24"/>
      <c r="E1740" s="24"/>
      <c r="F1740" s="24"/>
    </row>
    <row r="1741">
      <c r="A1741" s="24"/>
      <c r="B1741" s="24"/>
      <c r="C1741" s="24"/>
      <c r="D1741" s="24"/>
      <c r="E1741" s="24"/>
      <c r="F1741" s="24"/>
    </row>
    <row r="1742">
      <c r="A1742" s="24"/>
      <c r="B1742" s="24"/>
      <c r="C1742" s="24"/>
      <c r="D1742" s="24"/>
      <c r="E1742" s="24"/>
      <c r="F1742" s="24"/>
    </row>
    <row r="1743">
      <c r="A1743" s="24"/>
      <c r="B1743" s="24"/>
      <c r="C1743" s="24"/>
      <c r="D1743" s="24"/>
      <c r="E1743" s="24"/>
      <c r="F1743" s="24"/>
    </row>
    <row r="1744">
      <c r="A1744" s="24"/>
      <c r="B1744" s="24"/>
      <c r="C1744" s="24"/>
      <c r="D1744" s="24"/>
      <c r="E1744" s="24"/>
      <c r="F1744" s="24"/>
    </row>
    <row r="1745">
      <c r="A1745" s="24"/>
      <c r="B1745" s="24"/>
      <c r="C1745" s="24"/>
      <c r="D1745" s="24"/>
      <c r="E1745" s="24"/>
      <c r="F1745" s="24"/>
    </row>
    <row r="1746">
      <c r="A1746" s="24"/>
      <c r="B1746" s="24"/>
      <c r="C1746" s="24"/>
      <c r="D1746" s="24"/>
      <c r="E1746" s="24"/>
      <c r="F1746" s="24"/>
    </row>
    <row r="1747">
      <c r="A1747" s="24"/>
      <c r="B1747" s="24"/>
      <c r="C1747" s="24"/>
      <c r="D1747" s="24"/>
      <c r="E1747" s="24"/>
      <c r="F1747" s="24"/>
    </row>
    <row r="1748">
      <c r="A1748" s="24"/>
      <c r="B1748" s="24"/>
      <c r="C1748" s="24"/>
      <c r="D1748" s="24"/>
      <c r="E1748" s="24"/>
      <c r="F1748" s="24"/>
    </row>
    <row r="1749">
      <c r="A1749" s="24"/>
      <c r="B1749" s="24"/>
      <c r="C1749" s="24"/>
      <c r="D1749" s="24"/>
      <c r="E1749" s="24"/>
      <c r="F1749" s="24"/>
    </row>
    <row r="1750">
      <c r="A1750" s="24"/>
      <c r="B1750" s="24"/>
      <c r="C1750" s="24"/>
      <c r="D1750" s="24"/>
      <c r="E1750" s="24"/>
      <c r="F1750" s="24"/>
    </row>
    <row r="1751">
      <c r="A1751" s="24"/>
      <c r="B1751" s="24"/>
      <c r="C1751" s="24"/>
      <c r="D1751" s="24"/>
      <c r="E1751" s="24"/>
      <c r="F1751" s="24"/>
    </row>
    <row r="1752">
      <c r="A1752" s="24"/>
      <c r="B1752" s="24"/>
      <c r="C1752" s="24"/>
      <c r="D1752" s="24"/>
      <c r="E1752" s="24"/>
      <c r="F1752" s="24"/>
    </row>
    <row r="1753">
      <c r="A1753" s="24"/>
      <c r="B1753" s="24"/>
      <c r="C1753" s="24"/>
      <c r="D1753" s="24"/>
      <c r="E1753" s="24"/>
      <c r="F1753" s="24"/>
    </row>
    <row r="1754">
      <c r="A1754" s="24"/>
      <c r="B1754" s="24"/>
      <c r="C1754" s="24"/>
      <c r="D1754" s="24"/>
      <c r="E1754" s="24"/>
      <c r="F1754" s="24"/>
    </row>
    <row r="1755">
      <c r="A1755" s="24"/>
      <c r="B1755" s="24"/>
      <c r="C1755" s="24"/>
      <c r="D1755" s="24"/>
      <c r="E1755" s="24"/>
      <c r="F1755" s="24"/>
    </row>
    <row r="1756">
      <c r="A1756" s="24"/>
      <c r="B1756" s="24"/>
      <c r="C1756" s="24"/>
      <c r="D1756" s="24"/>
      <c r="E1756" s="24"/>
      <c r="F1756" s="24"/>
    </row>
    <row r="1757">
      <c r="A1757" s="24"/>
      <c r="B1757" s="24"/>
      <c r="C1757" s="24"/>
      <c r="D1757" s="24"/>
      <c r="E1757" s="24"/>
      <c r="F1757" s="24"/>
    </row>
    <row r="1758">
      <c r="A1758" s="24"/>
      <c r="B1758" s="24"/>
      <c r="C1758" s="24"/>
      <c r="D1758" s="24"/>
      <c r="E1758" s="24"/>
      <c r="F1758" s="24"/>
    </row>
    <row r="1759">
      <c r="A1759" s="24"/>
      <c r="B1759" s="24"/>
      <c r="C1759" s="24"/>
      <c r="D1759" s="24"/>
      <c r="E1759" s="24"/>
      <c r="F1759" s="24"/>
    </row>
    <row r="1760">
      <c r="A1760" s="24"/>
      <c r="B1760" s="24"/>
      <c r="C1760" s="24"/>
      <c r="D1760" s="24"/>
      <c r="E1760" s="24"/>
      <c r="F1760" s="24"/>
    </row>
    <row r="1761">
      <c r="A1761" s="24"/>
      <c r="B1761" s="24"/>
      <c r="C1761" s="24"/>
      <c r="D1761" s="24"/>
      <c r="E1761" s="24"/>
      <c r="F1761" s="24"/>
    </row>
    <row r="1762">
      <c r="A1762" s="24"/>
      <c r="B1762" s="24"/>
      <c r="C1762" s="24"/>
      <c r="D1762" s="24"/>
      <c r="E1762" s="24"/>
      <c r="F1762" s="24"/>
    </row>
    <row r="1763">
      <c r="A1763" s="24"/>
      <c r="B1763" s="24"/>
      <c r="C1763" s="24"/>
      <c r="D1763" s="24"/>
      <c r="E1763" s="24"/>
      <c r="F1763" s="24"/>
    </row>
    <row r="1764">
      <c r="A1764" s="24"/>
      <c r="B1764" s="24"/>
      <c r="C1764" s="24"/>
      <c r="D1764" s="24"/>
      <c r="E1764" s="24"/>
      <c r="F1764" s="24"/>
    </row>
    <row r="1765">
      <c r="A1765" s="24"/>
      <c r="B1765" s="24"/>
      <c r="C1765" s="24"/>
      <c r="D1765" s="24"/>
      <c r="E1765" s="24"/>
      <c r="F1765" s="24"/>
    </row>
    <row r="1766">
      <c r="A1766" s="24"/>
      <c r="B1766" s="24"/>
      <c r="C1766" s="24"/>
      <c r="D1766" s="24"/>
      <c r="E1766" s="24"/>
      <c r="F1766" s="24"/>
    </row>
    <row r="1767">
      <c r="A1767" s="24"/>
      <c r="B1767" s="24"/>
      <c r="C1767" s="24"/>
      <c r="D1767" s="24"/>
      <c r="E1767" s="24"/>
      <c r="F1767" s="24"/>
    </row>
    <row r="1768">
      <c r="A1768" s="24"/>
      <c r="B1768" s="24"/>
      <c r="C1768" s="24"/>
      <c r="D1768" s="24"/>
      <c r="E1768" s="24"/>
      <c r="F1768" s="24"/>
    </row>
    <row r="1769">
      <c r="A1769" s="24"/>
      <c r="B1769" s="24"/>
      <c r="C1769" s="24"/>
      <c r="D1769" s="24"/>
      <c r="E1769" s="24"/>
      <c r="F1769" s="24"/>
    </row>
    <row r="1770">
      <c r="A1770" s="24"/>
      <c r="B1770" s="24"/>
      <c r="C1770" s="24"/>
      <c r="D1770" s="24"/>
      <c r="E1770" s="24"/>
      <c r="F1770" s="24"/>
    </row>
    <row r="1771">
      <c r="A1771" s="24"/>
      <c r="B1771" s="24"/>
      <c r="C1771" s="24"/>
      <c r="D1771" s="24"/>
      <c r="E1771" s="24"/>
      <c r="F1771" s="24"/>
    </row>
    <row r="1772">
      <c r="A1772" s="24"/>
      <c r="B1772" s="24"/>
      <c r="C1772" s="24"/>
      <c r="D1772" s="24"/>
      <c r="E1772" s="24"/>
      <c r="F1772" s="24"/>
    </row>
    <row r="1773">
      <c r="A1773" s="24"/>
      <c r="B1773" s="24"/>
      <c r="C1773" s="24"/>
      <c r="D1773" s="24"/>
      <c r="E1773" s="24"/>
      <c r="F1773" s="24"/>
    </row>
    <row r="1774">
      <c r="A1774" s="24"/>
      <c r="B1774" s="24"/>
      <c r="C1774" s="24"/>
      <c r="D1774" s="24"/>
      <c r="E1774" s="24"/>
      <c r="F1774" s="24"/>
    </row>
    <row r="1775">
      <c r="A1775" s="24"/>
      <c r="B1775" s="24"/>
      <c r="C1775" s="24"/>
      <c r="D1775" s="24"/>
      <c r="E1775" s="24"/>
      <c r="F1775" s="24"/>
    </row>
    <row r="1776">
      <c r="A1776" s="24"/>
      <c r="B1776" s="24"/>
      <c r="C1776" s="24"/>
      <c r="D1776" s="24"/>
      <c r="E1776" s="24"/>
      <c r="F1776" s="24"/>
    </row>
    <row r="1777">
      <c r="A1777" s="24"/>
      <c r="B1777" s="24"/>
      <c r="C1777" s="24"/>
      <c r="D1777" s="24"/>
      <c r="E1777" s="24"/>
      <c r="F1777" s="24"/>
    </row>
    <row r="1778">
      <c r="A1778" s="24"/>
      <c r="B1778" s="24"/>
      <c r="C1778" s="24"/>
      <c r="D1778" s="24"/>
      <c r="E1778" s="24"/>
      <c r="F1778" s="24"/>
    </row>
    <row r="1779">
      <c r="A1779" s="24"/>
      <c r="B1779" s="24"/>
      <c r="C1779" s="24"/>
      <c r="D1779" s="24"/>
      <c r="E1779" s="24"/>
      <c r="F1779" s="24"/>
    </row>
    <row r="1780">
      <c r="A1780" s="24"/>
      <c r="B1780" s="24"/>
      <c r="C1780" s="24"/>
      <c r="D1780" s="24"/>
      <c r="E1780" s="24"/>
      <c r="F1780" s="24"/>
    </row>
    <row r="1781">
      <c r="A1781" s="24"/>
      <c r="B1781" s="24"/>
      <c r="C1781" s="24"/>
      <c r="D1781" s="24"/>
      <c r="E1781" s="24"/>
      <c r="F1781" s="24"/>
    </row>
    <row r="1782">
      <c r="A1782" s="24"/>
      <c r="B1782" s="24"/>
      <c r="C1782" s="24"/>
      <c r="D1782" s="24"/>
      <c r="E1782" s="24"/>
      <c r="F1782" s="24"/>
    </row>
    <row r="1783">
      <c r="A1783" s="24"/>
      <c r="B1783" s="24"/>
      <c r="C1783" s="24"/>
      <c r="D1783" s="24"/>
      <c r="E1783" s="24"/>
      <c r="F1783" s="24"/>
    </row>
    <row r="1784">
      <c r="A1784" s="24"/>
      <c r="B1784" s="24"/>
      <c r="C1784" s="24"/>
      <c r="D1784" s="24"/>
      <c r="E1784" s="24"/>
      <c r="F1784" s="24"/>
    </row>
    <row r="1785">
      <c r="A1785" s="24"/>
      <c r="B1785" s="24"/>
      <c r="C1785" s="24"/>
      <c r="D1785" s="24"/>
      <c r="E1785" s="24"/>
      <c r="F1785" s="24"/>
    </row>
    <row r="1786">
      <c r="A1786" s="24"/>
      <c r="B1786" s="24"/>
      <c r="C1786" s="24"/>
      <c r="D1786" s="24"/>
      <c r="E1786" s="24"/>
      <c r="F1786" s="24"/>
    </row>
    <row r="1787">
      <c r="A1787" s="24"/>
      <c r="B1787" s="24"/>
      <c r="C1787" s="24"/>
      <c r="D1787" s="24"/>
      <c r="E1787" s="24"/>
      <c r="F1787" s="24"/>
    </row>
    <row r="1788">
      <c r="A1788" s="24"/>
      <c r="B1788" s="24"/>
      <c r="C1788" s="24"/>
      <c r="D1788" s="24"/>
      <c r="E1788" s="24"/>
      <c r="F1788" s="24"/>
    </row>
    <row r="1789">
      <c r="A1789" s="24"/>
      <c r="B1789" s="24"/>
      <c r="C1789" s="24"/>
      <c r="D1789" s="24"/>
      <c r="E1789" s="24"/>
      <c r="F1789" s="24"/>
    </row>
    <row r="1790">
      <c r="A1790" s="24"/>
      <c r="B1790" s="24"/>
      <c r="C1790" s="24"/>
      <c r="D1790" s="24"/>
      <c r="E1790" s="24"/>
      <c r="F1790" s="24"/>
    </row>
    <row r="1791">
      <c r="A1791" s="24"/>
      <c r="B1791" s="24"/>
      <c r="C1791" s="24"/>
      <c r="D1791" s="24"/>
      <c r="E1791" s="24"/>
      <c r="F1791" s="24"/>
    </row>
    <row r="1792">
      <c r="A1792" s="24"/>
      <c r="B1792" s="24"/>
      <c r="C1792" s="24"/>
      <c r="D1792" s="24"/>
      <c r="E1792" s="24"/>
      <c r="F1792" s="24"/>
    </row>
    <row r="1793">
      <c r="A1793" s="24"/>
      <c r="B1793" s="24"/>
      <c r="C1793" s="24"/>
      <c r="D1793" s="24"/>
      <c r="E1793" s="24"/>
      <c r="F1793" s="24"/>
    </row>
    <row r="1794">
      <c r="A1794" s="24"/>
      <c r="B1794" s="24"/>
      <c r="C1794" s="24"/>
      <c r="D1794" s="24"/>
      <c r="E1794" s="24"/>
      <c r="F1794" s="24"/>
    </row>
    <row r="1795">
      <c r="A1795" s="24"/>
      <c r="B1795" s="24"/>
      <c r="C1795" s="24"/>
      <c r="D1795" s="24"/>
      <c r="E1795" s="24"/>
      <c r="F1795" s="24"/>
    </row>
    <row r="1796">
      <c r="A1796" s="24"/>
      <c r="B1796" s="24"/>
      <c r="C1796" s="24"/>
      <c r="D1796" s="24"/>
      <c r="E1796" s="24"/>
      <c r="F1796" s="24"/>
    </row>
    <row r="1797">
      <c r="A1797" s="24"/>
      <c r="B1797" s="24"/>
      <c r="C1797" s="24"/>
      <c r="D1797" s="24"/>
      <c r="E1797" s="24"/>
      <c r="F1797" s="24"/>
    </row>
    <row r="1798">
      <c r="A1798" s="24"/>
      <c r="B1798" s="24"/>
      <c r="C1798" s="24"/>
      <c r="D1798" s="24"/>
      <c r="E1798" s="24"/>
      <c r="F1798" s="24"/>
    </row>
    <row r="1799">
      <c r="A1799" s="24"/>
      <c r="B1799" s="24"/>
      <c r="C1799" s="24"/>
      <c r="D1799" s="24"/>
      <c r="E1799" s="24"/>
      <c r="F1799" s="24"/>
    </row>
    <row r="1800">
      <c r="A1800" s="24"/>
      <c r="B1800" s="24"/>
      <c r="C1800" s="24"/>
      <c r="D1800" s="24"/>
      <c r="E1800" s="24"/>
      <c r="F1800" s="24"/>
    </row>
    <row r="1801">
      <c r="A1801" s="24"/>
      <c r="B1801" s="24"/>
      <c r="C1801" s="24"/>
      <c r="D1801" s="24"/>
      <c r="E1801" s="24"/>
      <c r="F1801" s="24"/>
    </row>
    <row r="1802">
      <c r="A1802" s="24"/>
      <c r="B1802" s="24"/>
      <c r="C1802" s="24"/>
      <c r="D1802" s="24"/>
      <c r="E1802" s="24"/>
      <c r="F1802" s="24"/>
    </row>
    <row r="1803">
      <c r="A1803" s="24"/>
      <c r="B1803" s="24"/>
      <c r="C1803" s="24"/>
      <c r="D1803" s="24"/>
      <c r="E1803" s="24"/>
      <c r="F1803" s="24"/>
    </row>
    <row r="1804">
      <c r="A1804" s="24"/>
      <c r="B1804" s="24"/>
      <c r="C1804" s="24"/>
      <c r="D1804" s="24"/>
      <c r="E1804" s="24"/>
      <c r="F1804" s="24"/>
    </row>
    <row r="1805">
      <c r="A1805" s="24"/>
      <c r="B1805" s="24"/>
      <c r="C1805" s="24"/>
      <c r="D1805" s="24"/>
      <c r="E1805" s="24"/>
      <c r="F1805" s="24"/>
    </row>
    <row r="1806">
      <c r="A1806" s="24"/>
      <c r="B1806" s="24"/>
      <c r="C1806" s="24"/>
      <c r="D1806" s="24"/>
      <c r="E1806" s="24"/>
      <c r="F1806" s="24"/>
    </row>
    <row r="1807">
      <c r="A1807" s="24"/>
      <c r="B1807" s="24"/>
      <c r="C1807" s="24"/>
      <c r="D1807" s="24"/>
      <c r="E1807" s="24"/>
      <c r="F1807" s="24"/>
    </row>
    <row r="1808">
      <c r="A1808" s="24"/>
      <c r="B1808" s="24"/>
      <c r="C1808" s="24"/>
      <c r="D1808" s="24"/>
      <c r="E1808" s="24"/>
      <c r="F1808" s="24"/>
    </row>
    <row r="1809">
      <c r="A1809" s="24"/>
      <c r="B1809" s="24"/>
      <c r="C1809" s="24"/>
      <c r="D1809" s="24"/>
      <c r="E1809" s="24"/>
      <c r="F1809" s="24"/>
    </row>
    <row r="1810">
      <c r="A1810" s="24"/>
      <c r="B1810" s="24"/>
      <c r="C1810" s="24"/>
      <c r="D1810" s="24"/>
      <c r="E1810" s="24"/>
      <c r="F1810" s="24"/>
    </row>
    <row r="1811">
      <c r="A1811" s="24"/>
      <c r="B1811" s="24"/>
      <c r="C1811" s="24"/>
      <c r="D1811" s="24"/>
      <c r="E1811" s="24"/>
      <c r="F1811" s="24"/>
    </row>
    <row r="1812">
      <c r="A1812" s="24"/>
      <c r="B1812" s="24"/>
      <c r="C1812" s="24"/>
      <c r="D1812" s="24"/>
      <c r="E1812" s="24"/>
      <c r="F1812" s="24"/>
    </row>
    <row r="1813">
      <c r="A1813" s="24"/>
      <c r="B1813" s="24"/>
      <c r="C1813" s="24"/>
      <c r="D1813" s="24"/>
      <c r="E1813" s="24"/>
      <c r="F1813" s="24"/>
    </row>
    <row r="1814">
      <c r="A1814" s="24"/>
      <c r="B1814" s="24"/>
      <c r="C1814" s="24"/>
      <c r="D1814" s="24"/>
      <c r="E1814" s="24"/>
      <c r="F1814" s="24"/>
    </row>
    <row r="1815">
      <c r="A1815" s="24"/>
      <c r="B1815" s="24"/>
      <c r="C1815" s="24"/>
      <c r="D1815" s="24"/>
      <c r="E1815" s="24"/>
      <c r="F1815" s="24"/>
    </row>
    <row r="1816">
      <c r="A1816" s="24"/>
      <c r="B1816" s="24"/>
      <c r="C1816" s="24"/>
      <c r="D1816" s="24"/>
      <c r="E1816" s="24"/>
      <c r="F1816" s="24"/>
    </row>
    <row r="1817">
      <c r="A1817" s="24"/>
      <c r="B1817" s="24"/>
      <c r="C1817" s="24"/>
      <c r="D1817" s="24"/>
      <c r="E1817" s="24"/>
      <c r="F1817" s="24"/>
    </row>
    <row r="1818">
      <c r="A1818" s="24"/>
      <c r="B1818" s="24"/>
      <c r="C1818" s="24"/>
      <c r="D1818" s="24"/>
      <c r="E1818" s="24"/>
      <c r="F1818" s="24"/>
    </row>
    <row r="1819">
      <c r="A1819" s="24"/>
      <c r="B1819" s="24"/>
      <c r="C1819" s="24"/>
      <c r="D1819" s="24"/>
      <c r="E1819" s="24"/>
      <c r="F1819" s="24"/>
    </row>
    <row r="1820">
      <c r="A1820" s="24"/>
      <c r="B1820" s="24"/>
      <c r="C1820" s="24"/>
      <c r="D1820" s="24"/>
      <c r="E1820" s="24"/>
      <c r="F1820" s="24"/>
    </row>
    <row r="1821">
      <c r="A1821" s="24"/>
      <c r="B1821" s="24"/>
      <c r="C1821" s="24"/>
      <c r="D1821" s="24"/>
      <c r="E1821" s="24"/>
      <c r="F1821" s="24"/>
    </row>
    <row r="1822">
      <c r="A1822" s="24"/>
      <c r="B1822" s="24"/>
      <c r="C1822" s="24"/>
      <c r="D1822" s="24"/>
      <c r="E1822" s="24"/>
      <c r="F1822" s="24"/>
    </row>
    <row r="1823">
      <c r="A1823" s="24"/>
      <c r="B1823" s="24"/>
      <c r="C1823" s="24"/>
      <c r="D1823" s="24"/>
      <c r="E1823" s="24"/>
      <c r="F1823" s="24"/>
    </row>
    <row r="1824">
      <c r="A1824" s="24"/>
      <c r="B1824" s="24"/>
      <c r="C1824" s="24"/>
      <c r="D1824" s="24"/>
      <c r="E1824" s="24"/>
      <c r="F1824" s="24"/>
    </row>
    <row r="1825">
      <c r="A1825" s="24"/>
      <c r="B1825" s="24"/>
      <c r="C1825" s="24"/>
      <c r="D1825" s="24"/>
      <c r="E1825" s="24"/>
      <c r="F1825" s="24"/>
    </row>
    <row r="1826">
      <c r="A1826" s="24"/>
      <c r="B1826" s="24"/>
      <c r="C1826" s="24"/>
      <c r="D1826" s="24"/>
      <c r="E1826" s="24"/>
      <c r="F1826" s="24"/>
    </row>
    <row r="1827">
      <c r="A1827" s="24"/>
      <c r="B1827" s="24"/>
      <c r="C1827" s="24"/>
      <c r="D1827" s="24"/>
      <c r="E1827" s="24"/>
      <c r="F1827" s="24"/>
    </row>
    <row r="1828">
      <c r="A1828" s="24"/>
      <c r="B1828" s="24"/>
      <c r="C1828" s="24"/>
      <c r="D1828" s="24"/>
      <c r="E1828" s="24"/>
      <c r="F1828" s="24"/>
    </row>
    <row r="1829">
      <c r="A1829" s="24"/>
      <c r="B1829" s="24"/>
      <c r="C1829" s="24"/>
      <c r="D1829" s="24"/>
      <c r="E1829" s="24"/>
      <c r="F1829" s="24"/>
    </row>
    <row r="1830">
      <c r="A1830" s="24"/>
      <c r="B1830" s="24"/>
      <c r="C1830" s="24"/>
      <c r="D1830" s="24"/>
      <c r="E1830" s="24"/>
      <c r="F1830" s="24"/>
    </row>
    <row r="1831">
      <c r="A1831" s="24"/>
      <c r="B1831" s="24"/>
      <c r="C1831" s="24"/>
      <c r="D1831" s="24"/>
      <c r="E1831" s="24"/>
      <c r="F1831" s="24"/>
    </row>
    <row r="1832">
      <c r="A1832" s="24"/>
      <c r="B1832" s="24"/>
      <c r="C1832" s="24"/>
      <c r="D1832" s="24"/>
      <c r="E1832" s="24"/>
      <c r="F1832" s="24"/>
    </row>
    <row r="1833">
      <c r="A1833" s="24"/>
      <c r="B1833" s="24"/>
      <c r="C1833" s="24"/>
      <c r="D1833" s="24"/>
      <c r="E1833" s="24"/>
      <c r="F1833" s="24"/>
    </row>
    <row r="1834">
      <c r="A1834" s="24"/>
      <c r="B1834" s="24"/>
      <c r="C1834" s="24"/>
      <c r="D1834" s="24"/>
      <c r="E1834" s="24"/>
      <c r="F1834" s="24"/>
    </row>
    <row r="1835">
      <c r="A1835" s="24"/>
      <c r="B1835" s="24"/>
      <c r="C1835" s="24"/>
      <c r="D1835" s="24"/>
      <c r="E1835" s="24"/>
      <c r="F1835" s="24"/>
    </row>
    <row r="1836">
      <c r="A1836" s="24"/>
      <c r="B1836" s="24"/>
      <c r="C1836" s="24"/>
      <c r="D1836" s="24"/>
      <c r="E1836" s="24"/>
      <c r="F1836" s="24"/>
    </row>
    <row r="1837">
      <c r="A1837" s="24"/>
      <c r="B1837" s="24"/>
      <c r="C1837" s="24"/>
      <c r="D1837" s="24"/>
      <c r="E1837" s="24"/>
      <c r="F1837" s="24"/>
    </row>
    <row r="1838">
      <c r="A1838" s="24"/>
      <c r="B1838" s="24"/>
      <c r="C1838" s="24"/>
      <c r="D1838" s="24"/>
      <c r="E1838" s="24"/>
      <c r="F1838" s="24"/>
    </row>
    <row r="1839">
      <c r="A1839" s="24"/>
      <c r="B1839" s="24"/>
      <c r="C1839" s="24"/>
      <c r="D1839" s="24"/>
      <c r="E1839" s="24"/>
      <c r="F1839" s="24"/>
    </row>
    <row r="1840">
      <c r="A1840" s="24"/>
      <c r="B1840" s="24"/>
      <c r="C1840" s="24"/>
      <c r="D1840" s="24"/>
      <c r="E1840" s="24"/>
      <c r="F1840" s="24"/>
    </row>
    <row r="1841">
      <c r="A1841" s="24"/>
      <c r="B1841" s="24"/>
      <c r="C1841" s="24"/>
      <c r="D1841" s="24"/>
      <c r="E1841" s="24"/>
      <c r="F1841" s="24"/>
    </row>
    <row r="1842">
      <c r="A1842" s="24"/>
      <c r="B1842" s="24"/>
      <c r="C1842" s="24"/>
      <c r="D1842" s="24"/>
      <c r="E1842" s="24"/>
      <c r="F1842" s="24"/>
    </row>
    <row r="1843">
      <c r="A1843" s="24"/>
      <c r="B1843" s="24"/>
      <c r="C1843" s="24"/>
      <c r="D1843" s="24"/>
      <c r="E1843" s="24"/>
      <c r="F1843" s="24"/>
    </row>
    <row r="1844">
      <c r="A1844" s="24"/>
      <c r="B1844" s="24"/>
      <c r="C1844" s="24"/>
      <c r="D1844" s="24"/>
      <c r="E1844" s="24"/>
      <c r="F1844" s="24"/>
    </row>
    <row r="1845">
      <c r="A1845" s="24"/>
      <c r="B1845" s="24"/>
      <c r="C1845" s="24"/>
      <c r="D1845" s="24"/>
      <c r="E1845" s="24"/>
      <c r="F1845" s="24"/>
    </row>
    <row r="1846">
      <c r="A1846" s="24"/>
      <c r="B1846" s="24"/>
      <c r="C1846" s="24"/>
      <c r="D1846" s="24"/>
      <c r="E1846" s="24"/>
      <c r="F1846" s="24"/>
    </row>
    <row r="1847">
      <c r="A1847" s="24"/>
      <c r="B1847" s="24"/>
      <c r="C1847" s="24"/>
      <c r="D1847" s="24"/>
      <c r="E1847" s="24"/>
      <c r="F1847" s="24"/>
    </row>
    <row r="1848">
      <c r="A1848" s="24"/>
      <c r="B1848" s="24"/>
      <c r="C1848" s="24"/>
      <c r="D1848" s="24"/>
      <c r="E1848" s="24"/>
      <c r="F1848" s="24"/>
    </row>
    <row r="1849">
      <c r="A1849" s="24"/>
      <c r="B1849" s="24"/>
      <c r="C1849" s="24"/>
      <c r="D1849" s="24"/>
      <c r="E1849" s="24"/>
      <c r="F1849" s="24"/>
    </row>
    <row r="1850">
      <c r="A1850" s="24"/>
      <c r="B1850" s="24"/>
      <c r="C1850" s="24"/>
      <c r="D1850" s="24"/>
      <c r="E1850" s="24"/>
      <c r="F1850" s="24"/>
    </row>
    <row r="1851">
      <c r="A1851" s="24"/>
      <c r="B1851" s="24"/>
      <c r="C1851" s="24"/>
      <c r="D1851" s="24"/>
      <c r="E1851" s="24"/>
      <c r="F1851" s="24"/>
    </row>
    <row r="1852">
      <c r="A1852" s="24"/>
      <c r="B1852" s="24"/>
      <c r="C1852" s="24"/>
      <c r="D1852" s="24"/>
      <c r="E1852" s="24"/>
      <c r="F1852" s="24"/>
    </row>
    <row r="1853">
      <c r="A1853" s="24"/>
      <c r="B1853" s="24"/>
      <c r="C1853" s="24"/>
      <c r="D1853" s="24"/>
      <c r="E1853" s="24"/>
      <c r="F1853" s="24"/>
    </row>
    <row r="1854">
      <c r="A1854" s="24"/>
      <c r="B1854" s="24"/>
      <c r="C1854" s="24"/>
      <c r="D1854" s="24"/>
      <c r="E1854" s="24"/>
      <c r="F1854" s="24"/>
    </row>
    <row r="1855">
      <c r="A1855" s="24"/>
      <c r="B1855" s="24"/>
      <c r="C1855" s="24"/>
      <c r="D1855" s="24"/>
      <c r="E1855" s="24"/>
      <c r="F1855" s="24"/>
    </row>
    <row r="1856">
      <c r="A1856" s="24"/>
      <c r="B1856" s="24"/>
      <c r="C1856" s="24"/>
      <c r="D1856" s="24"/>
      <c r="E1856" s="24"/>
      <c r="F1856" s="24"/>
    </row>
    <row r="1857">
      <c r="A1857" s="24"/>
      <c r="B1857" s="24"/>
      <c r="C1857" s="24"/>
      <c r="D1857" s="24"/>
      <c r="E1857" s="24"/>
      <c r="F1857" s="24"/>
    </row>
    <row r="1858">
      <c r="A1858" s="24"/>
      <c r="B1858" s="24"/>
      <c r="C1858" s="24"/>
      <c r="D1858" s="24"/>
      <c r="E1858" s="24"/>
      <c r="F1858" s="24"/>
    </row>
    <row r="1859">
      <c r="A1859" s="24"/>
      <c r="B1859" s="24"/>
      <c r="C1859" s="24"/>
      <c r="D1859" s="24"/>
      <c r="E1859" s="24"/>
      <c r="F1859" s="24"/>
    </row>
    <row r="1860">
      <c r="A1860" s="24"/>
      <c r="B1860" s="24"/>
      <c r="C1860" s="24"/>
      <c r="D1860" s="24"/>
      <c r="E1860" s="24"/>
      <c r="F1860" s="24"/>
    </row>
    <row r="1861">
      <c r="A1861" s="24"/>
      <c r="B1861" s="24"/>
      <c r="C1861" s="24"/>
      <c r="D1861" s="24"/>
      <c r="E1861" s="24"/>
      <c r="F1861" s="24"/>
    </row>
    <row r="1862">
      <c r="A1862" s="24"/>
      <c r="B1862" s="24"/>
      <c r="C1862" s="24"/>
      <c r="D1862" s="24"/>
      <c r="E1862" s="24"/>
      <c r="F1862" s="24"/>
    </row>
    <row r="1863">
      <c r="A1863" s="24"/>
      <c r="B1863" s="24"/>
      <c r="C1863" s="24"/>
      <c r="D1863" s="24"/>
      <c r="E1863" s="24"/>
      <c r="F1863" s="24"/>
    </row>
    <row r="1864">
      <c r="A1864" s="24"/>
      <c r="B1864" s="24"/>
      <c r="C1864" s="24"/>
      <c r="D1864" s="24"/>
      <c r="E1864" s="24"/>
      <c r="F1864" s="24"/>
    </row>
    <row r="1865">
      <c r="A1865" s="24"/>
      <c r="B1865" s="24"/>
      <c r="C1865" s="24"/>
      <c r="D1865" s="24"/>
      <c r="E1865" s="24"/>
      <c r="F1865" s="24"/>
    </row>
    <row r="1866">
      <c r="A1866" s="24"/>
      <c r="B1866" s="24"/>
      <c r="C1866" s="24"/>
      <c r="D1866" s="24"/>
      <c r="E1866" s="24"/>
      <c r="F1866" s="24"/>
    </row>
    <row r="1867">
      <c r="A1867" s="24"/>
      <c r="B1867" s="24"/>
      <c r="C1867" s="24"/>
      <c r="D1867" s="24"/>
      <c r="E1867" s="24"/>
      <c r="F1867" s="24"/>
    </row>
    <row r="1868">
      <c r="A1868" s="24"/>
      <c r="B1868" s="24"/>
      <c r="C1868" s="24"/>
      <c r="D1868" s="24"/>
      <c r="E1868" s="24"/>
      <c r="F1868" s="24"/>
    </row>
    <row r="1869">
      <c r="A1869" s="24"/>
      <c r="B1869" s="24"/>
      <c r="C1869" s="24"/>
      <c r="D1869" s="24"/>
      <c r="E1869" s="24"/>
      <c r="F1869" s="24"/>
    </row>
    <row r="1870">
      <c r="A1870" s="24"/>
      <c r="B1870" s="24"/>
      <c r="C1870" s="24"/>
      <c r="D1870" s="24"/>
      <c r="E1870" s="24"/>
      <c r="F1870" s="24"/>
    </row>
    <row r="1871">
      <c r="A1871" s="24"/>
      <c r="B1871" s="24"/>
      <c r="C1871" s="24"/>
      <c r="D1871" s="24"/>
      <c r="E1871" s="24"/>
      <c r="F1871" s="24"/>
    </row>
    <row r="1872">
      <c r="A1872" s="24"/>
      <c r="B1872" s="24"/>
      <c r="C1872" s="24"/>
      <c r="D1872" s="24"/>
      <c r="E1872" s="24"/>
      <c r="F1872" s="24"/>
    </row>
    <row r="1873">
      <c r="A1873" s="24"/>
      <c r="B1873" s="24"/>
      <c r="C1873" s="24"/>
      <c r="D1873" s="24"/>
      <c r="E1873" s="24"/>
      <c r="F1873" s="24"/>
    </row>
    <row r="1874">
      <c r="A1874" s="24"/>
      <c r="B1874" s="24"/>
      <c r="C1874" s="24"/>
      <c r="D1874" s="24"/>
      <c r="E1874" s="24"/>
      <c r="F1874" s="24"/>
    </row>
    <row r="1875">
      <c r="A1875" s="24"/>
      <c r="B1875" s="24"/>
      <c r="C1875" s="24"/>
      <c r="D1875" s="24"/>
      <c r="E1875" s="24"/>
      <c r="F1875" s="24"/>
    </row>
    <row r="1876">
      <c r="A1876" s="24"/>
      <c r="B1876" s="24"/>
      <c r="C1876" s="24"/>
      <c r="D1876" s="24"/>
      <c r="E1876" s="24"/>
      <c r="F1876" s="24"/>
    </row>
    <row r="1877">
      <c r="A1877" s="24"/>
      <c r="B1877" s="24"/>
      <c r="C1877" s="24"/>
      <c r="D1877" s="24"/>
      <c r="E1877" s="24"/>
      <c r="F1877" s="24"/>
    </row>
    <row r="1878">
      <c r="A1878" s="24"/>
      <c r="B1878" s="24"/>
      <c r="C1878" s="24"/>
      <c r="D1878" s="24"/>
      <c r="E1878" s="24"/>
      <c r="F1878" s="24"/>
    </row>
    <row r="1879">
      <c r="A1879" s="24"/>
      <c r="B1879" s="24"/>
      <c r="C1879" s="24"/>
      <c r="D1879" s="24"/>
      <c r="E1879" s="24"/>
      <c r="F1879" s="24"/>
    </row>
    <row r="1880">
      <c r="A1880" s="24"/>
      <c r="B1880" s="24"/>
      <c r="C1880" s="24"/>
      <c r="D1880" s="24"/>
      <c r="E1880" s="24"/>
      <c r="F1880" s="24"/>
    </row>
    <row r="1881">
      <c r="A1881" s="24"/>
      <c r="B1881" s="24"/>
      <c r="C1881" s="24"/>
      <c r="D1881" s="24"/>
      <c r="E1881" s="24"/>
      <c r="F1881" s="24"/>
    </row>
    <row r="1882">
      <c r="A1882" s="24"/>
      <c r="B1882" s="24"/>
      <c r="C1882" s="24"/>
      <c r="D1882" s="24"/>
      <c r="E1882" s="24"/>
      <c r="F1882" s="24"/>
    </row>
    <row r="1883">
      <c r="A1883" s="24"/>
      <c r="B1883" s="24"/>
      <c r="C1883" s="24"/>
      <c r="D1883" s="24"/>
      <c r="E1883" s="24"/>
      <c r="F1883" s="24"/>
    </row>
    <row r="1884">
      <c r="A1884" s="24"/>
      <c r="B1884" s="24"/>
      <c r="C1884" s="24"/>
      <c r="D1884" s="24"/>
      <c r="E1884" s="24"/>
      <c r="F1884" s="24"/>
    </row>
    <row r="1885">
      <c r="A1885" s="24"/>
      <c r="B1885" s="24"/>
      <c r="C1885" s="24"/>
      <c r="D1885" s="24"/>
      <c r="E1885" s="24"/>
      <c r="F1885" s="24"/>
    </row>
    <row r="1886">
      <c r="A1886" s="24"/>
      <c r="B1886" s="24"/>
      <c r="C1886" s="24"/>
      <c r="D1886" s="24"/>
      <c r="E1886" s="24"/>
      <c r="F1886" s="24"/>
    </row>
    <row r="1887">
      <c r="A1887" s="24"/>
      <c r="B1887" s="24"/>
      <c r="C1887" s="24"/>
      <c r="D1887" s="24"/>
      <c r="E1887" s="24"/>
      <c r="F1887" s="24"/>
    </row>
    <row r="1888">
      <c r="A1888" s="24"/>
      <c r="B1888" s="24"/>
      <c r="C1888" s="24"/>
      <c r="D1888" s="24"/>
      <c r="E1888" s="24"/>
      <c r="F1888" s="24"/>
    </row>
    <row r="1889">
      <c r="A1889" s="24"/>
      <c r="B1889" s="24"/>
      <c r="C1889" s="24"/>
      <c r="D1889" s="24"/>
      <c r="E1889" s="24"/>
      <c r="F1889" s="24"/>
    </row>
    <row r="1890">
      <c r="A1890" s="24"/>
      <c r="B1890" s="24"/>
      <c r="C1890" s="24"/>
      <c r="D1890" s="24"/>
      <c r="E1890" s="24"/>
      <c r="F1890" s="24"/>
    </row>
    <row r="1891">
      <c r="A1891" s="24"/>
      <c r="B1891" s="24"/>
      <c r="C1891" s="24"/>
      <c r="D1891" s="24"/>
      <c r="E1891" s="24"/>
      <c r="F1891" s="24"/>
    </row>
    <row r="1892">
      <c r="A1892" s="24"/>
      <c r="B1892" s="24"/>
      <c r="C1892" s="24"/>
      <c r="D1892" s="24"/>
      <c r="E1892" s="24"/>
      <c r="F1892" s="24"/>
    </row>
    <row r="1893">
      <c r="A1893" s="24"/>
      <c r="B1893" s="24"/>
      <c r="C1893" s="24"/>
      <c r="D1893" s="24"/>
      <c r="E1893" s="24"/>
      <c r="F1893" s="24"/>
    </row>
    <row r="1894">
      <c r="A1894" s="24"/>
      <c r="B1894" s="24"/>
      <c r="C1894" s="24"/>
      <c r="D1894" s="24"/>
      <c r="E1894" s="24"/>
      <c r="F1894" s="24"/>
    </row>
    <row r="1895">
      <c r="A1895" s="24"/>
      <c r="B1895" s="24"/>
      <c r="C1895" s="24"/>
      <c r="D1895" s="24"/>
      <c r="E1895" s="24"/>
      <c r="F1895" s="24"/>
    </row>
    <row r="1896">
      <c r="A1896" s="24"/>
      <c r="B1896" s="24"/>
      <c r="C1896" s="24"/>
      <c r="D1896" s="24"/>
      <c r="E1896" s="24"/>
      <c r="F1896" s="24"/>
    </row>
    <row r="1897">
      <c r="A1897" s="24"/>
      <c r="B1897" s="24"/>
      <c r="C1897" s="24"/>
      <c r="D1897" s="24"/>
      <c r="E1897" s="24"/>
      <c r="F1897" s="24"/>
    </row>
    <row r="1898">
      <c r="A1898" s="24"/>
      <c r="B1898" s="24"/>
      <c r="C1898" s="24"/>
      <c r="D1898" s="24"/>
      <c r="E1898" s="24"/>
      <c r="F1898" s="24"/>
    </row>
    <row r="1899">
      <c r="A1899" s="24"/>
      <c r="B1899" s="24"/>
      <c r="C1899" s="24"/>
      <c r="D1899" s="24"/>
      <c r="E1899" s="24"/>
      <c r="F1899" s="24"/>
    </row>
    <row r="1900">
      <c r="A1900" s="24"/>
      <c r="B1900" s="24"/>
      <c r="C1900" s="24"/>
      <c r="D1900" s="24"/>
      <c r="E1900" s="24"/>
      <c r="F1900" s="24"/>
    </row>
    <row r="1901">
      <c r="A1901" s="24"/>
      <c r="B1901" s="24"/>
      <c r="C1901" s="24"/>
      <c r="D1901" s="24"/>
      <c r="E1901" s="24"/>
      <c r="F1901" s="24"/>
    </row>
    <row r="1902">
      <c r="A1902" s="24"/>
      <c r="B1902" s="24"/>
      <c r="C1902" s="24"/>
      <c r="D1902" s="24"/>
      <c r="E1902" s="24"/>
      <c r="F1902" s="24"/>
    </row>
    <row r="1903">
      <c r="A1903" s="24"/>
      <c r="B1903" s="24"/>
      <c r="C1903" s="24"/>
      <c r="D1903" s="24"/>
      <c r="E1903" s="24"/>
      <c r="F1903" s="24"/>
    </row>
    <row r="1904">
      <c r="A1904" s="24"/>
      <c r="B1904" s="24"/>
      <c r="C1904" s="24"/>
      <c r="D1904" s="24"/>
      <c r="E1904" s="24"/>
      <c r="F1904" s="24"/>
    </row>
    <row r="1905">
      <c r="A1905" s="24"/>
      <c r="B1905" s="24"/>
      <c r="C1905" s="24"/>
      <c r="D1905" s="24"/>
      <c r="E1905" s="24"/>
      <c r="F1905" s="24"/>
    </row>
    <row r="1906">
      <c r="A1906" s="24"/>
      <c r="B1906" s="24"/>
      <c r="C1906" s="24"/>
      <c r="D1906" s="24"/>
      <c r="E1906" s="24"/>
      <c r="F1906" s="24"/>
    </row>
    <row r="1907">
      <c r="A1907" s="24"/>
      <c r="B1907" s="24"/>
      <c r="C1907" s="24"/>
      <c r="D1907" s="24"/>
      <c r="E1907" s="24"/>
      <c r="F1907" s="24"/>
    </row>
    <row r="1908">
      <c r="A1908" s="24"/>
      <c r="B1908" s="24"/>
      <c r="C1908" s="24"/>
      <c r="D1908" s="24"/>
      <c r="E1908" s="24"/>
      <c r="F1908" s="24"/>
    </row>
    <row r="1909">
      <c r="A1909" s="24"/>
      <c r="B1909" s="24"/>
      <c r="C1909" s="24"/>
      <c r="D1909" s="24"/>
      <c r="E1909" s="24"/>
      <c r="F1909" s="24"/>
    </row>
    <row r="1910">
      <c r="A1910" s="24"/>
      <c r="B1910" s="24"/>
      <c r="C1910" s="24"/>
      <c r="D1910" s="24"/>
      <c r="E1910" s="24"/>
      <c r="F1910" s="24"/>
    </row>
    <row r="1911">
      <c r="A1911" s="24"/>
      <c r="B1911" s="24"/>
      <c r="C1911" s="24"/>
      <c r="D1911" s="24"/>
      <c r="E1911" s="24"/>
      <c r="F1911" s="24"/>
    </row>
    <row r="1912">
      <c r="A1912" s="24"/>
      <c r="B1912" s="24"/>
      <c r="C1912" s="24"/>
      <c r="D1912" s="24"/>
      <c r="E1912" s="24"/>
      <c r="F1912" s="24"/>
    </row>
    <row r="1913">
      <c r="A1913" s="24"/>
      <c r="B1913" s="24"/>
      <c r="C1913" s="24"/>
      <c r="D1913" s="24"/>
      <c r="E1913" s="24"/>
      <c r="F1913" s="24"/>
    </row>
    <row r="1914">
      <c r="A1914" s="24"/>
      <c r="B1914" s="24"/>
      <c r="C1914" s="24"/>
      <c r="D1914" s="24"/>
      <c r="E1914" s="24"/>
      <c r="F1914" s="24"/>
    </row>
    <row r="1915">
      <c r="A1915" s="24"/>
      <c r="B1915" s="24"/>
      <c r="C1915" s="24"/>
      <c r="D1915" s="24"/>
      <c r="E1915" s="24"/>
      <c r="F1915" s="24"/>
    </row>
    <row r="1916">
      <c r="A1916" s="24"/>
      <c r="B1916" s="24"/>
      <c r="C1916" s="24"/>
      <c r="D1916" s="24"/>
      <c r="E1916" s="24"/>
      <c r="F1916" s="24"/>
    </row>
    <row r="1917">
      <c r="A1917" s="24"/>
      <c r="B1917" s="24"/>
      <c r="C1917" s="24"/>
      <c r="D1917" s="24"/>
      <c r="E1917" s="24"/>
      <c r="F1917" s="24"/>
    </row>
    <row r="1918">
      <c r="A1918" s="24"/>
      <c r="B1918" s="24"/>
      <c r="C1918" s="24"/>
      <c r="D1918" s="24"/>
      <c r="E1918" s="24"/>
      <c r="F1918" s="24"/>
    </row>
    <row r="1919">
      <c r="A1919" s="24"/>
      <c r="B1919" s="24"/>
      <c r="C1919" s="24"/>
      <c r="D1919" s="24"/>
      <c r="E1919" s="24"/>
      <c r="F1919" s="24"/>
    </row>
    <row r="1920">
      <c r="A1920" s="24"/>
      <c r="B1920" s="24"/>
      <c r="C1920" s="24"/>
      <c r="D1920" s="24"/>
      <c r="E1920" s="24"/>
      <c r="F1920" s="24"/>
    </row>
    <row r="1921">
      <c r="A1921" s="24"/>
      <c r="B1921" s="24"/>
      <c r="C1921" s="24"/>
      <c r="D1921" s="24"/>
      <c r="E1921" s="24"/>
      <c r="F1921" s="24"/>
    </row>
    <row r="1922">
      <c r="A1922" s="24"/>
      <c r="B1922" s="24"/>
      <c r="C1922" s="24"/>
      <c r="D1922" s="24"/>
      <c r="E1922" s="24"/>
      <c r="F1922" s="24"/>
    </row>
    <row r="1923">
      <c r="A1923" s="24"/>
      <c r="B1923" s="24"/>
      <c r="C1923" s="24"/>
      <c r="D1923" s="24"/>
      <c r="E1923" s="24"/>
      <c r="F1923" s="24"/>
    </row>
    <row r="1924">
      <c r="A1924" s="24"/>
      <c r="B1924" s="24"/>
      <c r="C1924" s="24"/>
      <c r="D1924" s="24"/>
      <c r="E1924" s="24"/>
      <c r="F1924" s="24"/>
    </row>
    <row r="1925">
      <c r="A1925" s="24"/>
      <c r="B1925" s="24"/>
      <c r="C1925" s="24"/>
      <c r="D1925" s="24"/>
      <c r="E1925" s="24"/>
      <c r="F1925" s="24"/>
    </row>
    <row r="1926">
      <c r="A1926" s="24"/>
      <c r="B1926" s="24"/>
      <c r="C1926" s="24"/>
      <c r="D1926" s="24"/>
      <c r="E1926" s="24"/>
      <c r="F1926" s="24"/>
    </row>
    <row r="1927">
      <c r="A1927" s="24"/>
      <c r="B1927" s="24"/>
      <c r="C1927" s="24"/>
      <c r="D1927" s="24"/>
      <c r="E1927" s="24"/>
      <c r="F1927" s="24"/>
    </row>
    <row r="1928">
      <c r="A1928" s="24"/>
      <c r="B1928" s="24"/>
      <c r="C1928" s="24"/>
      <c r="D1928" s="24"/>
      <c r="E1928" s="24"/>
      <c r="F1928" s="24"/>
    </row>
    <row r="1929">
      <c r="A1929" s="24"/>
      <c r="B1929" s="24"/>
      <c r="C1929" s="24"/>
      <c r="D1929" s="24"/>
      <c r="E1929" s="24"/>
      <c r="F1929" s="24"/>
    </row>
    <row r="1930">
      <c r="A1930" s="24"/>
      <c r="B1930" s="24"/>
      <c r="C1930" s="24"/>
      <c r="D1930" s="24"/>
      <c r="E1930" s="24"/>
      <c r="F1930" s="24"/>
    </row>
    <row r="1931">
      <c r="A1931" s="24"/>
      <c r="B1931" s="24"/>
      <c r="C1931" s="24"/>
      <c r="D1931" s="24"/>
      <c r="E1931" s="24"/>
      <c r="F1931" s="24"/>
    </row>
    <row r="1932">
      <c r="A1932" s="24"/>
      <c r="B1932" s="24"/>
      <c r="C1932" s="24"/>
      <c r="D1932" s="24"/>
      <c r="E1932" s="24"/>
      <c r="F1932" s="24"/>
    </row>
    <row r="1933">
      <c r="A1933" s="24"/>
      <c r="B1933" s="24"/>
      <c r="C1933" s="24"/>
      <c r="D1933" s="24"/>
      <c r="E1933" s="24"/>
      <c r="F1933" s="24"/>
    </row>
    <row r="1934">
      <c r="A1934" s="24"/>
      <c r="B1934" s="24"/>
      <c r="C1934" s="24"/>
      <c r="D1934" s="24"/>
      <c r="E1934" s="24"/>
      <c r="F1934" s="24"/>
    </row>
    <row r="1935">
      <c r="A1935" s="24"/>
      <c r="B1935" s="24"/>
      <c r="C1935" s="24"/>
      <c r="D1935" s="24"/>
      <c r="E1935" s="24"/>
      <c r="F1935" s="24"/>
    </row>
    <row r="1936">
      <c r="A1936" s="24"/>
      <c r="B1936" s="24"/>
      <c r="C1936" s="24"/>
      <c r="D1936" s="24"/>
      <c r="E1936" s="24"/>
      <c r="F1936" s="24"/>
    </row>
    <row r="1937">
      <c r="A1937" s="24"/>
      <c r="B1937" s="24"/>
      <c r="C1937" s="24"/>
      <c r="D1937" s="24"/>
      <c r="E1937" s="24"/>
      <c r="F1937" s="24"/>
    </row>
    <row r="1938">
      <c r="A1938" s="24"/>
      <c r="B1938" s="24"/>
      <c r="C1938" s="24"/>
      <c r="D1938" s="24"/>
      <c r="E1938" s="24"/>
      <c r="F1938" s="24"/>
    </row>
    <row r="1939">
      <c r="A1939" s="24"/>
      <c r="B1939" s="24"/>
      <c r="C1939" s="24"/>
      <c r="D1939" s="24"/>
      <c r="E1939" s="24"/>
      <c r="F1939" s="24"/>
    </row>
    <row r="1940">
      <c r="A1940" s="24"/>
      <c r="B1940" s="24"/>
      <c r="C1940" s="24"/>
      <c r="D1940" s="24"/>
      <c r="E1940" s="24"/>
      <c r="F1940" s="24"/>
    </row>
    <row r="1941">
      <c r="A1941" s="24"/>
      <c r="B1941" s="24"/>
      <c r="C1941" s="24"/>
      <c r="D1941" s="24"/>
      <c r="E1941" s="24"/>
      <c r="F1941" s="24"/>
    </row>
    <row r="1942">
      <c r="A1942" s="24"/>
      <c r="B1942" s="24"/>
      <c r="C1942" s="24"/>
      <c r="D1942" s="24"/>
      <c r="E1942" s="24"/>
      <c r="F1942" s="24"/>
    </row>
    <row r="1943">
      <c r="A1943" s="24"/>
      <c r="B1943" s="24"/>
      <c r="C1943" s="24"/>
      <c r="D1943" s="24"/>
      <c r="E1943" s="24"/>
      <c r="F1943" s="24"/>
    </row>
    <row r="1944">
      <c r="A1944" s="24"/>
      <c r="B1944" s="24"/>
      <c r="C1944" s="24"/>
      <c r="D1944" s="24"/>
      <c r="E1944" s="24"/>
      <c r="F1944" s="24"/>
    </row>
    <row r="1945">
      <c r="A1945" s="24"/>
      <c r="B1945" s="24"/>
      <c r="C1945" s="24"/>
      <c r="D1945" s="24"/>
      <c r="E1945" s="24"/>
      <c r="F1945" s="24"/>
    </row>
    <row r="1946">
      <c r="A1946" s="24"/>
      <c r="B1946" s="24"/>
      <c r="C1946" s="24"/>
      <c r="D1946" s="24"/>
      <c r="E1946" s="24"/>
      <c r="F1946" s="24"/>
    </row>
    <row r="1947">
      <c r="A1947" s="24"/>
      <c r="B1947" s="24"/>
      <c r="C1947" s="24"/>
      <c r="D1947" s="24"/>
      <c r="E1947" s="24"/>
      <c r="F1947" s="24"/>
    </row>
    <row r="1948">
      <c r="A1948" s="24"/>
      <c r="B1948" s="24"/>
      <c r="C1948" s="24"/>
      <c r="D1948" s="24"/>
      <c r="E1948" s="24"/>
      <c r="F1948" s="24"/>
    </row>
    <row r="1949">
      <c r="A1949" s="24"/>
      <c r="B1949" s="24"/>
      <c r="C1949" s="24"/>
      <c r="D1949" s="24"/>
      <c r="E1949" s="24"/>
      <c r="F1949" s="24"/>
    </row>
    <row r="1950">
      <c r="A1950" s="24"/>
      <c r="B1950" s="24"/>
      <c r="C1950" s="24"/>
      <c r="D1950" s="24"/>
      <c r="E1950" s="24"/>
      <c r="F1950" s="24"/>
    </row>
    <row r="1951">
      <c r="A1951" s="24"/>
      <c r="B1951" s="24"/>
      <c r="C1951" s="24"/>
      <c r="D1951" s="24"/>
      <c r="E1951" s="24"/>
      <c r="F1951" s="24"/>
    </row>
    <row r="1952">
      <c r="A1952" s="24"/>
      <c r="B1952" s="24"/>
      <c r="C1952" s="24"/>
      <c r="D1952" s="24"/>
      <c r="E1952" s="24"/>
      <c r="F1952" s="24"/>
    </row>
    <row r="1953">
      <c r="A1953" s="24"/>
      <c r="B1953" s="24"/>
      <c r="C1953" s="24"/>
      <c r="D1953" s="24"/>
      <c r="E1953" s="24"/>
      <c r="F1953" s="24"/>
    </row>
    <row r="1954">
      <c r="A1954" s="24"/>
      <c r="B1954" s="24"/>
      <c r="C1954" s="24"/>
      <c r="D1954" s="24"/>
      <c r="E1954" s="24"/>
      <c r="F1954" s="24"/>
    </row>
    <row r="1955">
      <c r="A1955" s="24"/>
      <c r="B1955" s="24"/>
      <c r="C1955" s="24"/>
      <c r="D1955" s="24"/>
      <c r="E1955" s="24"/>
      <c r="F1955" s="24"/>
    </row>
    <row r="1956">
      <c r="A1956" s="24"/>
      <c r="B1956" s="24"/>
      <c r="C1956" s="24"/>
      <c r="D1956" s="24"/>
      <c r="E1956" s="24"/>
      <c r="F1956" s="24"/>
    </row>
    <row r="1957">
      <c r="A1957" s="24"/>
      <c r="B1957" s="24"/>
      <c r="C1957" s="24"/>
      <c r="D1957" s="24"/>
      <c r="E1957" s="24"/>
      <c r="F1957" s="24"/>
    </row>
    <row r="1958">
      <c r="A1958" s="24"/>
      <c r="B1958" s="24"/>
      <c r="C1958" s="24"/>
      <c r="D1958" s="24"/>
      <c r="E1958" s="24"/>
      <c r="F1958" s="24"/>
    </row>
    <row r="1959">
      <c r="A1959" s="24"/>
      <c r="B1959" s="24"/>
      <c r="C1959" s="24"/>
      <c r="D1959" s="24"/>
      <c r="E1959" s="24"/>
      <c r="F1959" s="24"/>
    </row>
    <row r="1960">
      <c r="A1960" s="24"/>
      <c r="B1960" s="24"/>
      <c r="C1960" s="24"/>
      <c r="D1960" s="24"/>
      <c r="E1960" s="24"/>
      <c r="F1960" s="24"/>
    </row>
    <row r="1961">
      <c r="A1961" s="24"/>
      <c r="B1961" s="24"/>
      <c r="C1961" s="24"/>
      <c r="D1961" s="24"/>
      <c r="E1961" s="24"/>
      <c r="F1961" s="24"/>
    </row>
    <row r="1962">
      <c r="A1962" s="24"/>
      <c r="B1962" s="24"/>
      <c r="C1962" s="24"/>
      <c r="D1962" s="24"/>
      <c r="E1962" s="24"/>
      <c r="F1962" s="24"/>
    </row>
    <row r="1963">
      <c r="A1963" s="24"/>
      <c r="B1963" s="24"/>
      <c r="C1963" s="24"/>
      <c r="D1963" s="24"/>
      <c r="E1963" s="24"/>
      <c r="F1963" s="24"/>
    </row>
    <row r="1964">
      <c r="A1964" s="24"/>
      <c r="B1964" s="24"/>
      <c r="C1964" s="24"/>
      <c r="D1964" s="24"/>
      <c r="E1964" s="24"/>
      <c r="F1964" s="24"/>
    </row>
    <row r="1965">
      <c r="A1965" s="24"/>
      <c r="B1965" s="24"/>
      <c r="C1965" s="24"/>
      <c r="D1965" s="24"/>
      <c r="E1965" s="24"/>
      <c r="F1965" s="24"/>
    </row>
    <row r="1966">
      <c r="A1966" s="24"/>
      <c r="B1966" s="24"/>
      <c r="C1966" s="24"/>
      <c r="D1966" s="24"/>
      <c r="E1966" s="24"/>
      <c r="F1966" s="24"/>
    </row>
    <row r="1967">
      <c r="A1967" s="24"/>
      <c r="B1967" s="24"/>
      <c r="C1967" s="24"/>
      <c r="D1967" s="24"/>
      <c r="E1967" s="24"/>
      <c r="F1967" s="24"/>
    </row>
    <row r="1968">
      <c r="A1968" s="24"/>
      <c r="B1968" s="24"/>
      <c r="C1968" s="24"/>
      <c r="D1968" s="24"/>
      <c r="E1968" s="24"/>
      <c r="F1968" s="24"/>
    </row>
    <row r="1969">
      <c r="A1969" s="24"/>
      <c r="B1969" s="24"/>
      <c r="C1969" s="24"/>
      <c r="D1969" s="24"/>
      <c r="E1969" s="24"/>
      <c r="F1969" s="24"/>
    </row>
    <row r="1970">
      <c r="A1970" s="24"/>
      <c r="B1970" s="24"/>
      <c r="C1970" s="24"/>
      <c r="D1970" s="24"/>
      <c r="E1970" s="24"/>
      <c r="F1970" s="24"/>
    </row>
    <row r="1971">
      <c r="A1971" s="24"/>
      <c r="B1971" s="24"/>
      <c r="C1971" s="24"/>
      <c r="D1971" s="24"/>
      <c r="E1971" s="24"/>
      <c r="F1971" s="24"/>
    </row>
    <row r="1972">
      <c r="A1972" s="24"/>
      <c r="B1972" s="24"/>
      <c r="C1972" s="24"/>
      <c r="D1972" s="24"/>
      <c r="E1972" s="24"/>
      <c r="F1972" s="24"/>
    </row>
    <row r="1973">
      <c r="A1973" s="24"/>
      <c r="B1973" s="24"/>
      <c r="C1973" s="24"/>
      <c r="D1973" s="24"/>
      <c r="E1973" s="24"/>
      <c r="F1973" s="24"/>
    </row>
    <row r="1974">
      <c r="A1974" s="24"/>
      <c r="B1974" s="24"/>
      <c r="C1974" s="24"/>
      <c r="D1974" s="24"/>
      <c r="E1974" s="24"/>
      <c r="F1974" s="24"/>
    </row>
    <row r="1975">
      <c r="A1975" s="24"/>
      <c r="B1975" s="24"/>
      <c r="C1975" s="24"/>
      <c r="D1975" s="24"/>
      <c r="E1975" s="24"/>
      <c r="F1975" s="24"/>
    </row>
    <row r="1976">
      <c r="A1976" s="24"/>
      <c r="B1976" s="24"/>
      <c r="C1976" s="24"/>
      <c r="D1976" s="24"/>
      <c r="E1976" s="24"/>
      <c r="F1976" s="24"/>
    </row>
    <row r="1977">
      <c r="A1977" s="24"/>
      <c r="B1977" s="24"/>
      <c r="C1977" s="24"/>
      <c r="D1977" s="24"/>
      <c r="E1977" s="24"/>
      <c r="F1977" s="24"/>
    </row>
    <row r="1978">
      <c r="A1978" s="24"/>
      <c r="B1978" s="24"/>
      <c r="C1978" s="24"/>
      <c r="D1978" s="24"/>
      <c r="E1978" s="24"/>
      <c r="F1978" s="24"/>
    </row>
    <row r="1979">
      <c r="A1979" s="24"/>
      <c r="B1979" s="24"/>
      <c r="C1979" s="24"/>
      <c r="D1979" s="24"/>
      <c r="E1979" s="24"/>
      <c r="F1979" s="24"/>
    </row>
    <row r="1980">
      <c r="A1980" s="24"/>
      <c r="B1980" s="24"/>
      <c r="C1980" s="24"/>
      <c r="D1980" s="24"/>
      <c r="E1980" s="24"/>
      <c r="F1980" s="24"/>
    </row>
    <row r="1981">
      <c r="A1981" s="24"/>
      <c r="B1981" s="24"/>
      <c r="C1981" s="24"/>
      <c r="D1981" s="24"/>
      <c r="E1981" s="24"/>
      <c r="F1981" s="24"/>
    </row>
    <row r="1982">
      <c r="A1982" s="24"/>
      <c r="B1982" s="24"/>
      <c r="C1982" s="24"/>
      <c r="D1982" s="24"/>
      <c r="E1982" s="24"/>
      <c r="F1982" s="24"/>
    </row>
    <row r="1983">
      <c r="A1983" s="24"/>
      <c r="B1983" s="24"/>
      <c r="C1983" s="24"/>
      <c r="D1983" s="24"/>
      <c r="E1983" s="24"/>
      <c r="F1983" s="24"/>
    </row>
    <row r="1984">
      <c r="A1984" s="24"/>
      <c r="B1984" s="24"/>
      <c r="C1984" s="24"/>
      <c r="D1984" s="24"/>
      <c r="E1984" s="24"/>
      <c r="F1984" s="24"/>
    </row>
    <row r="1985">
      <c r="A1985" s="24"/>
      <c r="B1985" s="24"/>
      <c r="C1985" s="24"/>
      <c r="D1985" s="24"/>
      <c r="E1985" s="24"/>
      <c r="F1985" s="24"/>
    </row>
    <row r="1986">
      <c r="A1986" s="24"/>
      <c r="B1986" s="24"/>
      <c r="C1986" s="24"/>
      <c r="D1986" s="24"/>
      <c r="E1986" s="24"/>
      <c r="F1986" s="24"/>
    </row>
    <row r="1987">
      <c r="A1987" s="24"/>
      <c r="B1987" s="24"/>
      <c r="C1987" s="24"/>
      <c r="D1987" s="24"/>
      <c r="E1987" s="24"/>
      <c r="F1987" s="24"/>
    </row>
    <row r="1988">
      <c r="A1988" s="24"/>
      <c r="B1988" s="24"/>
      <c r="C1988" s="24"/>
      <c r="D1988" s="24"/>
      <c r="E1988" s="24"/>
      <c r="F1988" s="24"/>
    </row>
    <row r="1989">
      <c r="A1989" s="24"/>
      <c r="B1989" s="24"/>
      <c r="C1989" s="24"/>
      <c r="D1989" s="24"/>
      <c r="E1989" s="24"/>
      <c r="F1989" s="24"/>
    </row>
    <row r="1990">
      <c r="A1990" s="24"/>
      <c r="B1990" s="24"/>
      <c r="C1990" s="24"/>
      <c r="D1990" s="24"/>
      <c r="E1990" s="24"/>
      <c r="F1990" s="24"/>
    </row>
    <row r="1991">
      <c r="A1991" s="24"/>
      <c r="B1991" s="24"/>
      <c r="C1991" s="24"/>
      <c r="D1991" s="24"/>
      <c r="E1991" s="24"/>
      <c r="F1991" s="24"/>
    </row>
    <row r="1992">
      <c r="A1992" s="24"/>
      <c r="B1992" s="24"/>
      <c r="C1992" s="24"/>
      <c r="D1992" s="24"/>
      <c r="E1992" s="24"/>
      <c r="F1992" s="24"/>
    </row>
    <row r="1993">
      <c r="A1993" s="24"/>
      <c r="B1993" s="24"/>
      <c r="C1993" s="24"/>
      <c r="D1993" s="24"/>
      <c r="E1993" s="24"/>
      <c r="F1993" s="24"/>
    </row>
    <row r="1994">
      <c r="A1994" s="24"/>
      <c r="B1994" s="24"/>
      <c r="C1994" s="24"/>
      <c r="D1994" s="24"/>
      <c r="E1994" s="24"/>
      <c r="F1994" s="24"/>
    </row>
    <row r="1995">
      <c r="A1995" s="24"/>
      <c r="B1995" s="24"/>
      <c r="C1995" s="24"/>
      <c r="D1995" s="24"/>
      <c r="E1995" s="24"/>
      <c r="F1995" s="24"/>
    </row>
    <row r="1996">
      <c r="A1996" s="24"/>
      <c r="B1996" s="24"/>
      <c r="C1996" s="24"/>
      <c r="D1996" s="24"/>
      <c r="E1996" s="24"/>
      <c r="F1996" s="24"/>
    </row>
    <row r="1997">
      <c r="A1997" s="24"/>
      <c r="B1997" s="24"/>
      <c r="C1997" s="24"/>
      <c r="D1997" s="24"/>
      <c r="E1997" s="24"/>
      <c r="F1997" s="24"/>
    </row>
    <row r="1998">
      <c r="A1998" s="24"/>
      <c r="B1998" s="24"/>
      <c r="C1998" s="24"/>
      <c r="D1998" s="24"/>
      <c r="E1998" s="24"/>
      <c r="F1998"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tr">
        <f>IFERROR(__xludf.DUMMYFUNCTION("IMPORTRANGE(""https://docs.google.com/spreadsheets/d/167MwQN9tAbzFkeQJFcVS61Ihv0KHe0QIV_fi3splKOg/edit?gid=1140249707#gid=1140249707"", ""Serving Labels - Screening (418)!A:F"")"),"Article Title")</f>
        <v>Article Title</v>
      </c>
      <c r="B1" s="24" t="str">
        <f>IFERROR(__xludf.DUMMYFUNCTION("""COMPUTED_VALUE"""),"Abstract")</f>
        <v>Abstract</v>
      </c>
      <c r="C1" s="24" t="str">
        <f>IFERROR(__xludf.DUMMYFUNCTION("""COMPUTED_VALUE"""),"DOI")</f>
        <v>DOI</v>
      </c>
      <c r="D1" s="24" t="str">
        <f>IFERROR(__xludf.DUMMYFUNCTION("""COMPUTED_VALUE"""),"source")</f>
        <v>source</v>
      </c>
      <c r="E1" s="24" t="str">
        <f>IFERROR(__xludf.DUMMYFUNCTION("""COMPUTED_VALUE"""),"UT (Unique WOS ID)")</f>
        <v>UT (Unique WOS ID)</v>
      </c>
      <c r="F1" s="24" t="str">
        <f>IFERROR(__xludf.DUMMYFUNCTION("""COMPUTED_VALUE"""),"eligbility")</f>
        <v>eligbility</v>
      </c>
    </row>
    <row r="2">
      <c r="A2" s="24" t="str">
        <f>IFERROR(__xludf.DUMMYFUNCTION("""COMPUTED_VALUE"""),"Genetic structure of brown pelicans (Pelecanus occidentalis) in the northern Gulf of Mexico in the context of human management and disturbance")</f>
        <v>Genetic structure of brown pelicans (Pelecanus occidentalis) in the northern Gulf of Mexico in the context of human management and disturbance</v>
      </c>
      <c r="B2" s="24" t="str">
        <f>IFERROR(__xludf.DUMMYFUNCTION("""COMPUTED_VALUE"""),"Environmental disturbances, both natural and anthropogenic, have the capacity to substantially impact animal behavior and abundance, which can in turn influence patterns of genetic diversity and gene flow. However, little empirical information is availabl"&amp;"e on the nature and degree of such changes due to the relative rarity of longitudinal genetic sampling of wild populations at appropriate intervals. Addressing this knowledge gap is therefore of interest to evolutionary biologists, policy makers, and mana"&amp;"gers. In the past half century, populations of the brown pelican (Pelecanus occidentalis) in the southeastern United States have been exposed to regional extirpations, translocations, colony losses, and oil spills, but potential impacts on genetic diversi"&amp;"ty and population structure remain unknown. To investigate the cumulative impacts of recent disturbances and management actions, we analyzed seven microsatellite loci using genetic samples collected from 540 nestlings across twelve pelican colonies from t"&amp;"wo time periods, corresponding to before (n = 305) and after (n = 235) the 2010 Deepwater Horizon oil spill. Pre-2010 populations in Texas were significantly differentiated from Louisiana, Alabama, and Florida populations to the east, with reintroduced po"&amp;"pulations in southeastern Louisiana having less genetic diversity than sites in Texas, consistent with a recent bottleneck. In contrast, there was no evidence of a geographic component to genetic structure among colonies sampled after the spill, consisten"&amp;"t with increased dispersal among sites following the event. This pattern may be associated with reduced philopatry in response to colony abandonment in the areas most heavily impacted by the Deepwater Horizon event, though other factors (e.g., rehabilitat"&amp;"ion and translocation of oiled birds or colony loss due to erosion and tropical storms) were likely also involved. Future monitoring is necessary to determine if bottlenecks and loss of genetic variation are associated with the oil spill over time, and is"&amp;" recommended for other systems in which disturbance effects may be inferred via repeated genetic sampling.")</f>
        <v>Environmental disturbances, both natural and anthropogenic, have the capacity to substantially impact animal behavior and abundance, which can in turn influence patterns of genetic diversity and gene flow. However, little empirical information is available on the nature and degree of such changes due to the relative rarity of longitudinal genetic sampling of wild populations at appropriate intervals. Addressing this knowledge gap is therefore of interest to evolutionary biologists, policy makers, and managers. In the past half century, populations of the brown pelican (Pelecanus occidentalis) in the southeastern United States have been exposed to regional extirpations, translocations, colony losses, and oil spills, but potential impacts on genetic diversity and population structure remain unknown. To investigate the cumulative impacts of recent disturbances and management actions, we analyzed seven microsatellite loci using genetic samples collected from 540 nestlings across twelve pelican colonies from two time periods, corresponding to before (n = 305) and after (n = 235) the 2010 Deepwater Horizon oil spill. Pre-2010 populations in Texas were significantly differentiated from Louisiana, Alabama, and Florida populations to the east, with reintroduced populations in southeastern Louisiana having less genetic diversity than sites in Texas, consistent with a recent bottleneck. In contrast, there was no evidence of a geographic component to genetic structure among colonies sampled after the spill, consistent with increased dispersal among sites following the event. This pattern may be associated with reduced philopatry in response to colony abandonment in the areas most heavily impacted by the Deepwater Horizon event, though other factors (e.g., rehabilitation and translocation of oiled birds or colony loss due to erosion and tropical storms) were likely also involved. Future monitoring is necessary to determine if bottlenecks and loss of genetic variation are associated with the oil spill over time, and is recommended for other systems in which disturbance effects may be inferred via repeated genetic sampling.</v>
      </c>
      <c r="C2" s="24" t="str">
        <f>IFERROR(__xludf.DUMMYFUNCTION("""COMPUTED_VALUE"""),"10.1371/journal.pone.0185309")</f>
        <v>10.1371/journal.pone.0185309</v>
      </c>
      <c r="D2" s="24" t="str">
        <f>IFERROR(__xludf.DUMMYFUNCTION("""COMPUTED_VALUE"""),"shaw et al")</f>
        <v>shaw et al</v>
      </c>
      <c r="E2" s="24" t="str">
        <f>IFERROR(__xludf.DUMMYFUNCTION("""COMPUTED_VALUE"""),"WOS:000412163100020")</f>
        <v>WOS:000412163100020</v>
      </c>
      <c r="F2" s="24" t="str">
        <f>IFERROR(__xludf.DUMMYFUNCTION("""COMPUTED_VALUE"""),"[""ELIGIBLE""]")</f>
        <v>["ELIGIBLE"]</v>
      </c>
    </row>
    <row r="3">
      <c r="A3" s="24" t="str">
        <f>IFERROR(__xludf.DUMMYFUNCTION("""COMPUTED_VALUE"""),"Changes in population size and genetic diversity of a raptor species occurring in the boreal forest of Saskatchewan")</f>
        <v>Changes in population size and genetic diversity of a raptor species occurring in the boreal forest of Saskatchewan</v>
      </c>
      <c r="B3" s="24" t="str">
        <f>IFERROR(__xludf.DUMMYFUNCTION("""COMPUTED_VALUE"""),"The American Kestrel (Falco sparverius) is one of North America's most common raptors. However, recent data reveals a decrease in the number of individuals at both migration and nesting sites, sparking concern that the North American subspecies (F. s. spa"&amp;"rverius) may be in decline. In this study we used long-term monitoring data to examine whether a decrease observed in a study population of breeding F. s. sparverius in the boreal forests of Saskatchewan over the past two decades coincided with a loss in "&amp;"genetic diversity. While count data collected showed a significant decline in occupancy of nest boxes, genetic summary statistics and Bayesian modeling methods revealed evidence for a population expansion occurring in the decades directly before the start"&amp;" of the nest box program. The initial contradictory nature of the count and genetic data was resolved when the results examined together revealed that the detected changes in population size coincided with changes in land-use around the study site, sugges"&amp;"ting that the shifts in numbers of F. s. sparverius may represent the subspecies' ability to respond rapidly to changes in suitable habitat. This study highlights the importance of integrating both genetic and population data into studies that examine cha"&amp;"nges in population size, especially for a migratory species where the connections between breeding sites and landscape changes may be fluid and rapid.")</f>
        <v>The American Kestrel (Falco sparverius) is one of North America's most common raptors. However, recent data reveals a decrease in the number of individuals at both migration and nesting sites, sparking concern that the North American subspecies (F. s. sparverius) may be in decline. In this study we used long-term monitoring data to examine whether a decrease observed in a study population of breeding F. s. sparverius in the boreal forests of Saskatchewan over the past two decades coincided with a loss in genetic diversity. While count data collected showed a significant decline in occupancy of nest boxes, genetic summary statistics and Bayesian modeling methods revealed evidence for a population expansion occurring in the decades directly before the start of the nest box program. The initial contradictory nature of the count and genetic data was resolved when the results examined together revealed that the detected changes in population size coincided with changes in land-use around the study site, suggesting that the shifts in numbers of F. s. sparverius may represent the subspecies' ability to respond rapidly to changes in suitable habitat. This study highlights the importance of integrating both genetic and population data into studies that examine changes in population size, especially for a migratory species where the connections between breeding sites and landscape changes may be fluid and rapid.</v>
      </c>
      <c r="C3" s="24" t="str">
        <f>IFERROR(__xludf.DUMMYFUNCTION("""COMPUTED_VALUE"""),"10.1007/s10592-014-0677-x")</f>
        <v>10.1007/s10592-014-0677-x</v>
      </c>
      <c r="D3" s="24" t="str">
        <f>IFERROR(__xludf.DUMMYFUNCTION("""COMPUTED_VALUE"""),"shaw et al")</f>
        <v>shaw et al</v>
      </c>
      <c r="E3" s="24" t="str">
        <f>IFERROR(__xludf.DUMMYFUNCTION("""COMPUTED_VALUE"""),"WOS:000354375500004")</f>
        <v>WOS:000354375500004</v>
      </c>
      <c r="F3" s="24" t="str">
        <f>IFERROR(__xludf.DUMMYFUNCTION("""COMPUTED_VALUE"""),"[""ELIGIBLE""]")</f>
        <v>["ELIGIBLE"]</v>
      </c>
    </row>
    <row r="4">
      <c r="A4" s="24" t="str">
        <f>IFERROR(__xludf.DUMMYFUNCTION("""COMPUTED_VALUE"""),"Influence of forest fragmentation on an endangered large-bodied lemur in northwestern Madagascar")</f>
        <v>Influence of forest fragmentation on an endangered large-bodied lemur in northwestern Madagascar</v>
      </c>
      <c r="B4" s="24" t="str">
        <f>IFERROR(__xludf.DUMMYFUNCTION("""COMPUTED_VALUE"""),"Madagascar's diverse and mostly endemic fauna and flora suffer from recent landscape changes that are primarily caused by high levels of human activities. The loss and fragmentation of forest habitats are well known consequences of human activities. In th"&amp;"is study, we investigate the effects of forest fragmentation on presence, abundance and genetic diversity in a larger-bodied lemur species, Lepilemur edwardsi, in northwestern Madagascar. In addition, we characterized the genetic differentiation among pop"&amp;"ulations and demographic changes. We found L. edwardsi at only 13 (76.5%) of 17 visited sites, I I of which were situated in the Ankarafantsika National Park (ANP). We captured between two and 17 individuals per site. We sequenced the mtDNA d-loop of all "&amp;"samples and genotyped 14 microsatellite loci in two exemplary populations for demographic analyses. A negative influence on forest fragmentation could be detected, since the fragments had a lower genetic diversity than sites in the ANP. Genetic differenti"&amp;"ation between populations ranged from low to high but was almost always significant. A typical pattern of isolation-by-distance could not be detected and the data could rather be interpreted as results of random genetic drift. The data furthermore reveale"&amp;"d signals of a demographic collapse of about two orders of magnitude in the two exemplary sites. This decline probably started during the last few hundred years of intensified human disturbances and population growth. Given the results of this study, urge"&amp;"nt conservation actions are needed and should concentrate on an effective protection of the few remaining populations in order to ensure the long-term survival of L. edwardsi. (C) 2009 Elsevier Ltd. All rights reserved.")</f>
        <v>Madagascar's diverse and mostly endemic fauna and flora suffer from recent landscape changes that are primarily caused by high levels of human activities. The loss and fragmentation of forest habitats are well known consequences of human activities. In this study, we investigate the effects of forest fragmentation on presence, abundance and genetic diversity in a larger-bodied lemur species, Lepilemur edwardsi, in northwestern Madagascar. In addition, we characterized the genetic differentiation among populations and demographic changes. We found L. edwardsi at only 13 (76.5%) of 17 visited sites, I I of which were situated in the Ankarafantsika National Park (ANP). We captured between two and 17 individuals per site. We sequenced the mtDNA d-loop of all samples and genotyped 14 microsatellite loci in two exemplary populations for demographic analyses. A negative influence on forest fragmentation could be detected, since the fragments had a lower genetic diversity than sites in the ANP. Genetic differentiation between populations ranged from low to high but was almost always significant. A typical pattern of isolation-by-distance could not be detected and the data could rather be interpreted as results of random genetic drift. The data furthermore revealed signals of a demographic collapse of about two orders of magnitude in the two exemplary sites. This decline probably started during the last few hundred years of intensified human disturbances and population growth. Given the results of this study, urgent conservation actions are needed and should concentrate on an effective protection of the few remaining populations in order to ensure the long-term survival of L. edwardsi. (C) 2009 Elsevier Ltd. All rights reserved.</v>
      </c>
      <c r="C4" s="24" t="str">
        <f>IFERROR(__xludf.DUMMYFUNCTION("""COMPUTED_VALUE"""),"10.1016/j.biocon.2009.05.026")</f>
        <v>10.1016/j.biocon.2009.05.026</v>
      </c>
      <c r="D4" s="24" t="str">
        <f>IFERROR(__xludf.DUMMYFUNCTION("""COMPUTED_VALUE"""),"shaw et al")</f>
        <v>shaw et al</v>
      </c>
      <c r="E4" s="24" t="str">
        <f>IFERROR(__xludf.DUMMYFUNCTION("""COMPUTED_VALUE"""),"WOS:000272100100006")</f>
        <v>WOS:000272100100006</v>
      </c>
      <c r="F4" s="24" t="str">
        <f>IFERROR(__xludf.DUMMYFUNCTION("""COMPUTED_VALUE"""),"[""ELIGIBLE""]")</f>
        <v>["ELIGIBLE"]</v>
      </c>
    </row>
    <row r="5">
      <c r="A5" s="24" t="str">
        <f>IFERROR(__xludf.DUMMYFUNCTION("""COMPUTED_VALUE"""),"Genetic Diversity and Its Spatial Distribution in Self-Regenerating Norway Spruce and Scots Pine Stands")</f>
        <v>Genetic Diversity and Its Spatial Distribution in Self-Regenerating Norway Spruce and Scots Pine Stands</v>
      </c>
      <c r="B5" s="24" t="str">
        <f>IFERROR(__xludf.DUMMYFUNCTION("""COMPUTED_VALUE"""),"Tree genetic diversity is among the most important factors determining the sustainability of forest ecosystems. The main aim of the present study was to track possible changes in genetic diversity of regenerating populations of Norway spruce (Picea abies "&amp;"(L.) H. Karst) and Scots pine (Pinus sylvestris L.) in areas subjected either to a natural disturbance (windthrows and subsequent clear-cutting of the affected spruce stand) or to a changed land-use legacy (pine regeneration on abandoned agricultural land"&amp;") with the aim of testing whether the new forest generation retains the genetic diversity of the putative maternal stand. Eight highly polymorphic microsatellite loci were used to reveal the genetic diversity and its spatial distribution in the studied tr"&amp;"ee populations. Self-regenerating juveniles of Norway spruce and Scots pine were spatially random and as genetically diverse as in the putative maternal populations. Genetic differentiation between putatively maternal trees and regenerating juveniles was "&amp;"low for both species. A high genetic diversity and random spatial genetic structure revealed in the regenerating populations provides a basis for the formation of evolutionary and ecologically sound stands able to adapt to ever-changing climatic condition"&amp;"s. Information on the genetic dynamics of the studied natural populations of long-lived coniferous tree species may be important for evaluating possible changes in genetic diversity at a local scale following forest ecosystem disturbances and changes in l"&amp;"and-use legacies.")</f>
        <v>Tree genetic diversity is among the most important factors determining the sustainability of forest ecosystems. The main aim of the present study was to track possible changes in genetic diversity of regenerating populations of Norway spruce (Picea abies (L.) H. Karst) and Scots pine (Pinus sylvestris L.) in areas subjected either to a natural disturbance (windthrows and subsequent clear-cutting of the affected spruce stand) or to a changed land-use legacy (pine regeneration on abandoned agricultural land) with the aim of testing whether the new forest generation retains the genetic diversity of the putative maternal stand. Eight highly polymorphic microsatellite loci were used to reveal the genetic diversity and its spatial distribution in the studied tree populations. Self-regenerating juveniles of Norway spruce and Scots pine were spatially random and as genetically diverse as in the putative maternal populations. Genetic differentiation between putatively maternal trees and regenerating juveniles was low for both species. A high genetic diversity and random spatial genetic structure revealed in the regenerating populations provides a basis for the formation of evolutionary and ecologically sound stands able to adapt to ever-changing climatic conditions. Information on the genetic dynamics of the studied natural populations of long-lived coniferous tree species may be important for evaluating possible changes in genetic diversity at a local scale following forest ecosystem disturbances and changes in land-use legacies.</v>
      </c>
      <c r="C5" s="24" t="str">
        <f>IFERROR(__xludf.DUMMYFUNCTION("""COMPUTED_VALUE"""),"10.3390/f8120470")</f>
        <v>10.3390/f8120470</v>
      </c>
      <c r="D5" s="24" t="str">
        <f>IFERROR(__xludf.DUMMYFUNCTION("""COMPUTED_VALUE"""),"shaw et al")</f>
        <v>shaw et al</v>
      </c>
      <c r="E5" s="24" t="str">
        <f>IFERROR(__xludf.DUMMYFUNCTION("""COMPUTED_VALUE"""),"WOS:000419210800011")</f>
        <v>WOS:000419210800011</v>
      </c>
      <c r="F5" s="24" t="str">
        <f>IFERROR(__xludf.DUMMYFUNCTION("""COMPUTED_VALUE"""),"[""ELIGIBLE""]")</f>
        <v>["ELIGIBLE"]</v>
      </c>
    </row>
    <row r="6">
      <c r="A6" s="24" t="str">
        <f>IFERROR(__xludf.DUMMYFUNCTION("""COMPUTED_VALUE"""),"Genetic diversity through time and space: diversity and demographic history from natural history specimens and serially sampled contemporary populations of the threatened Gouldian finch (Erythrura gouldiae)")</f>
        <v>Genetic diversity through time and space: diversity and demographic history from natural history specimens and serially sampled contemporary populations of the threatened Gouldian finch (Erythrura gouldiae)</v>
      </c>
      <c r="B6" s="24" t="str">
        <f>IFERROR(__xludf.DUMMYFUNCTION("""COMPUTED_VALUE"""),"Declines in population size can compromise the viability of populations by reducing the effective population size (N-e), which may result in loss of genetic diversity and inbreeding. Temporal population genetic data can be a powerful tool for testing the "&amp;"presence and severity of reductions in N-e. The Gouldian finch (Erythrura gouldiae) is a flagship for conservation of Australian monsoonal savanna species. This species underwent severe population declines in the twentieth century due to land use changes "&amp;"associated with European colonization. Microsatellite and mitochondrial genetic data from Gouldian finch samples sourced from natural history collections prior to land use changes were compared with contemporary samples to estimate the severity of decline"&amp;" in effective population size and to detect changes in gene flow. These data show that Gouldian finch decline was not as severe as some sources suggest, and that population genetic connectivity has not changed following land use changes in the twentieth c"&amp;"entury. Multiple estimators of current N-e using genetic data from consecutive years suggest the Gouldian finch N-e is likely between a few hundred and a few thousand individuals, with some estimates within the range considered of conservation concern. Th"&amp;"is work has identified the need to genetically characterize populations in Queensland, and to understand critical demographic parameters (e.g. lifespan) in the Gouldian finch. Understanding these factors is vital to further improve genetic estimates of po"&amp;"pulation size, key to the formation of appropriate conservation management of this species.")</f>
        <v>Declines in population size can compromise the viability of populations by reducing the effective population size (N-e), which may result in loss of genetic diversity and inbreeding. Temporal population genetic data can be a powerful tool for testing the presence and severity of reductions in N-e. The Gouldian finch (Erythrura gouldiae) is a flagship for conservation of Australian monsoonal savanna species. This species underwent severe population declines in the twentieth century due to land use changes associated with European colonization. Microsatellite and mitochondrial genetic data from Gouldian finch samples sourced from natural history collections prior to land use changes were compared with contemporary samples to estimate the severity of decline in effective population size and to detect changes in gene flow. These data show that Gouldian finch decline was not as severe as some sources suggest, and that population genetic connectivity has not changed following land use changes in the twentieth century. Multiple estimators of current N-e using genetic data from consecutive years suggest the Gouldian finch N-e is likely between a few hundred and a few thousand individuals, with some estimates within the range considered of conservation concern. This work has identified the need to genetically characterize populations in Queensland, and to understand critical demographic parameters (e.g. lifespan) in the Gouldian finch. Understanding these factors is vital to further improve genetic estimates of population size, key to the formation of appropriate conservation management of this species.</v>
      </c>
      <c r="C6" s="24" t="str">
        <f>IFERROR(__xludf.DUMMYFUNCTION("""COMPUTED_VALUE"""),"10.1007/s10592-018-1051-1")</f>
        <v>10.1007/s10592-018-1051-1</v>
      </c>
      <c r="D6" s="24" t="str">
        <f>IFERROR(__xludf.DUMMYFUNCTION("""COMPUTED_VALUE"""),"shaw et al")</f>
        <v>shaw et al</v>
      </c>
      <c r="E6" s="24" t="str">
        <f>IFERROR(__xludf.DUMMYFUNCTION("""COMPUTED_VALUE"""),"WOS:000432992100019")</f>
        <v>WOS:000432992100019</v>
      </c>
      <c r="F6" s="24" t="str">
        <f>IFERROR(__xludf.DUMMYFUNCTION("""COMPUTED_VALUE"""),"[""ELIGIBLE""]")</f>
        <v>["ELIGIBLE"]</v>
      </c>
    </row>
    <row r="7">
      <c r="A7" s="24" t="str">
        <f>IFERROR(__xludf.DUMMYFUNCTION("""COMPUTED_VALUE"""),"Analyses of historical and current populations of black grouse in Central Europe reveal strong effects of genetic drift and loss of genetic diversity")</f>
        <v>Analyses of historical and current populations of black grouse in Central Europe reveal strong effects of genetic drift and loss of genetic diversity</v>
      </c>
      <c r="B7" s="24" t="str">
        <f>IFERROR(__xludf.DUMMYFUNCTION("""COMPUTED_VALUE"""),"Black grouse (Tetrao tetrix) in Central Europe have undergone a severe contraction of their range in recent decades with only a few small isolated remaining populations. Here we compare genetic diversity of two contemporary isolated populations (Sallandse"&amp;" Heuvelrug, Netherlands and Luneburger Heide, Germany) with historical samples from the same region collected within the last one hundred years. We use markers with both putatively neutral and functional variation to test whether the present small and hig"&amp;"hly fragmented populations hold lower genetic diversity compared to the former larger population. For this we applied three different types of genetic markers: nine microsatellites and 21 single nucleotide polymorphisms (SNPs), both sets which have been f"&amp;"ound to be neutral, and two functional major histocompatibility complex (MHC) genes for which there is evidence they are under selection. The contemporary small isolated populations displayed lower neutral genetic diversity compared to the corresponding h"&amp;"istorical samples. Furthermore, samples from Denmark showed that this now extinct population displayed lower genetic variation in the period immediately prior to the local extinction. Population structure was more pronounced among contemporary populations"&amp;" compared to historical populations for microsatellites and SNPs. This effect was not as distinct for MHC which is consistent with the possibility that MHC has been subjected to balancing selection in the past, a process which maintains genetic variation "&amp;"and may minimize population structure for such markers. Genetic differentiation among the present populations highlights the strong effects of population decline on the genetic structure of natural populations, which can be ultimately attributed to habita"&amp;"t loss following anthropogenic land use changes.")</f>
        <v>Black grouse (Tetrao tetrix) in Central Europe have undergone a severe contraction of their range in recent decades with only a few small isolated remaining populations. Here we compare genetic diversity of two contemporary isolated populations (Sallandse Heuvelrug, Netherlands and Luneburger Heide, Germany) with historical samples from the same region collected within the last one hundred years. We use markers with both putatively neutral and functional variation to test whether the present small and highly fragmented populations hold lower genetic diversity compared to the former larger population. For this we applied three different types of genetic markers: nine microsatellites and 21 single nucleotide polymorphisms (SNPs), both sets which have been found to be neutral, and two functional major histocompatibility complex (MHC) genes for which there is evidence they are under selection. The contemporary small isolated populations displayed lower neutral genetic diversity compared to the corresponding historical samples. Furthermore, samples from Denmark showed that this now extinct population displayed lower genetic variation in the period immediately prior to the local extinction. Population structure was more pronounced among contemporary populations compared to historical populations for microsatellites and SNPs. This effect was not as distinct for MHC which is consistent with the possibility that MHC has been subjected to balancing selection in the past, a process which maintains genetic variation and may minimize population structure for such markers. Genetic differentiation among the present populations highlights the strong effects of population decline on the genetic structure of natural populations, which can be ultimately attributed to habitat loss following anthropogenic land use changes.</v>
      </c>
      <c r="C7" s="24" t="str">
        <f>IFERROR(__xludf.DUMMYFUNCTION("""COMPUTED_VALUE"""),"10.1007/s10592-014-0610-3")</f>
        <v>10.1007/s10592-014-0610-3</v>
      </c>
      <c r="D7" s="24" t="str">
        <f>IFERROR(__xludf.DUMMYFUNCTION("""COMPUTED_VALUE"""),"shaw et al")</f>
        <v>shaw et al</v>
      </c>
      <c r="E7" s="24" t="str">
        <f>IFERROR(__xludf.DUMMYFUNCTION("""COMPUTED_VALUE"""),"WOS:000342174700016")</f>
        <v>WOS:000342174700016</v>
      </c>
      <c r="F7" s="24" t="str">
        <f>IFERROR(__xludf.DUMMYFUNCTION("""COMPUTED_VALUE"""),"[""ELIGIBLE""]")</f>
        <v>["ELIGIBLE"]</v>
      </c>
    </row>
    <row r="8">
      <c r="A8" s="24" t="str">
        <f>IFERROR(__xludf.DUMMYFUNCTION("""COMPUTED_VALUE"""),"Genetic consequences of human forest exploitation in two colobus monkeys in Guinea Bissau")</f>
        <v>Genetic consequences of human forest exploitation in two colobus monkeys in Guinea Bissau</v>
      </c>
      <c r="B8" s="24" t="str">
        <f>IFERROR(__xludf.DUMMYFUNCTION("""COMPUTED_VALUE"""),"The ability of forest-dwelling species to adapt to changes in their habitat is being increasingly challenged by the rapid pace of human-induced forest degradation. Understanding the effect of such environmental changes on biodiversity requires comparative"&amp;" analyses across species living within the same habitats. We investigated the effect of forest exploitation on the genetic structure and demography of two sympatric arboreal primates showing differences in their socioecology: the Western black-and-white c"&amp;"olobus (Colobus polykomos) and Temminck's red colobus (Procolobus badius temminckii). We conducted the study in a fragmented and human-impacted forest in Guinea Bissau. Using microsatellite data from six C. polykomos and eight P. b. temminckii social grou"&amp;"ps, we found that in C polykomos the distribution of genetic diversity followed an isolation-by-distance pattern whereas for P. b. temminckii, the results suggested restriction in female dispersal. We detected a strong, recent bottleneck for both primates"&amp;", which we inferred to have resulted from the anthropogenic exploitation of forest resources in the last centuries. The bottleneck signal was stronger for P. b. temminckii as a likely consequence of its larger estimated ancestral population size. Finally,"&amp;" we discussed the different analytical approaches used. Our results confirm that P. b. temminckii is more affected by habitat changes than C polykomos, despite being phylogenetically close. Nonetheless, the low estimated effective population sizes and the"&amp;" known demographic changes indicate that both species are severely threatened by human forest exploitation, requiring urgent conservation action. (C) 2015 Elsevier Ltd. All rights reserved.")</f>
        <v>The ability of forest-dwelling species to adapt to changes in their habitat is being increasingly challenged by the rapid pace of human-induced forest degradation. Understanding the effect of such environmental changes on biodiversity requires comparative analyses across species living within the same habitats. We investigated the effect of forest exploitation on the genetic structure and demography of two sympatric arboreal primates showing differences in their socioecology: the Western black-and-white colobus (Colobus polykomos) and Temminck's red colobus (Procolobus badius temminckii). We conducted the study in a fragmented and human-impacted forest in Guinea Bissau. Using microsatellite data from six C. polykomos and eight P. b. temminckii social groups, we found that in C polykomos the distribution of genetic diversity followed an isolation-by-distance pattern whereas for P. b. temminckii, the results suggested restriction in female dispersal. We detected a strong, recent bottleneck for both primates, which we inferred to have resulted from the anthropogenic exploitation of forest resources in the last centuries. The bottleneck signal was stronger for P. b. temminckii as a likely consequence of its larger estimated ancestral population size. Finally, we discussed the different analytical approaches used. Our results confirm that P. b. temminckii is more affected by habitat changes than C polykomos, despite being phylogenetically close. Nonetheless, the low estimated effective population sizes and the known demographic changes indicate that both species are severely threatened by human forest exploitation, requiring urgent conservation action. (C) 2015 Elsevier Ltd. All rights reserved.</v>
      </c>
      <c r="C8" s="24" t="str">
        <f>IFERROR(__xludf.DUMMYFUNCTION("""COMPUTED_VALUE"""),"10.1016/j.biocon.2015.12.019")</f>
        <v>10.1016/j.biocon.2015.12.019</v>
      </c>
      <c r="D8" s="24" t="str">
        <f>IFERROR(__xludf.DUMMYFUNCTION("""COMPUTED_VALUE"""),"shaw et al")</f>
        <v>shaw et al</v>
      </c>
      <c r="E8" s="24" t="str">
        <f>IFERROR(__xludf.DUMMYFUNCTION("""COMPUTED_VALUE"""),"WOS:000369456300023")</f>
        <v>WOS:000369456300023</v>
      </c>
      <c r="F8" s="24" t="str">
        <f>IFERROR(__xludf.DUMMYFUNCTION("""COMPUTED_VALUE"""),"[""ELIGIBLE""]")</f>
        <v>["ELIGIBLE"]</v>
      </c>
    </row>
    <row r="9">
      <c r="A9" s="24" t="str">
        <f>IFERROR(__xludf.DUMMYFUNCTION("""COMPUTED_VALUE"""),"Spatial and temporal genetic dynamics of the grasshopper Oedaleus decorus revealed by museum genomics")</f>
        <v>Spatial and temporal genetic dynamics of the grasshopper Oedaleus decorus revealed by museum genomics</v>
      </c>
      <c r="B9" s="24" t="str">
        <f>IFERROR(__xludf.DUMMYFUNCTION("""COMPUTED_VALUE"""),"Analyzing genetic variation through time and space is important to identify key evolutionary and ecological processes in populations. However, using contemporary genetic data to infer the dynamics of genetic diversity may be at risk of a bias, as inferenc"&amp;"es are performed from a set of extant populations, setting aside unavailable, rare, or now extinct lineages. Here, we took advantage of new developments in next-generation sequencing to analyze the spatial and temporal genetic dynamics of the grasshopper "&amp;"Oedaleus decorus, a steppic Southwestern-Palearctic species. We applied a recently developed hybridization capture (hyRAD) protocol that allows retrieving orthologous sequences even from degraded DNA characteristic of museum specimens. We identified singl"&amp;"e nucleotide polymorphisms in 68 historical and 51 modern samples in order to (i) unravel the spatial genetic structure across part of the species distribution and (ii) assess the loss of genetic diversity over the past century in Swiss populations. Our r"&amp;"esults revealed (i) the presence of three potential glacial refugia spread across the European continent and converging spatially in the Alpine area. In addition, and despite a limited population sample size, our results indicate (ii) a loss of allelic ri"&amp;"chness in contemporary Swiss populations compared to historical populations, whereas levels of expected heterozygosities were not significantly different. This observation is compatible with an increase in the bottleneck magnitude experienced by central E"&amp;"uropean populations of O.decorus following human-mediated land-use change impacting steppic habitats. Our results confirm that application of hyRAD to museum samples produces valuable information to study genetic processes across time and space.")</f>
        <v>Analyzing genetic variation through time and space is important to identify key evolutionary and ecological processes in populations. However, using contemporary genetic data to infer the dynamics of genetic diversity may be at risk of a bias, as inferences are performed from a set of extant populations, setting aside unavailable, rare, or now extinct lineages. Here, we took advantage of new developments in next-generation sequencing to analyze the spatial and temporal genetic dynamics of the grasshopper Oedaleus decorus, a steppic Southwestern-Palearctic species. We applied a recently developed hybridization capture (hyRAD) protocol that allows retrieving orthologous sequences even from degraded DNA characteristic of museum specimens. We identified single nucleotide polymorphisms in 68 historical and 51 modern samples in order to (i) unravel the spatial genetic structure across part of the species distribution and (ii) assess the loss of genetic diversity over the past century in Swiss populations. Our results revealed (i) the presence of three potential glacial refugia spread across the European continent and converging spatially in the Alpine area. In addition, and despite a limited population sample size, our results indicate (ii) a loss of allelic richness in contemporary Swiss populations compared to historical populations, whereas levels of expected heterozygosities were not significantly different. This observation is compatible with an increase in the bottleneck magnitude experienced by central European populations of O.decorus following human-mediated land-use change impacting steppic habitats. Our results confirm that application of hyRAD to museum samples produces valuable information to study genetic processes across time and space.</v>
      </c>
      <c r="C9" s="24" t="str">
        <f>IFERROR(__xludf.DUMMYFUNCTION("""COMPUTED_VALUE"""),"10.1002/ece3.3699")</f>
        <v>10.1002/ece3.3699</v>
      </c>
      <c r="D9" s="24" t="str">
        <f>IFERROR(__xludf.DUMMYFUNCTION("""COMPUTED_VALUE"""),"shaw et al")</f>
        <v>shaw et al</v>
      </c>
      <c r="E9" s="24" t="str">
        <f>IFERROR(__xludf.DUMMYFUNCTION("""COMPUTED_VALUE"""),"WOS:000423807900005")</f>
        <v>WOS:000423807900005</v>
      </c>
      <c r="F9" s="24" t="str">
        <f>IFERROR(__xludf.DUMMYFUNCTION("""COMPUTED_VALUE"""),"[""ELIGIBLE""]")</f>
        <v>["ELIGIBLE"]</v>
      </c>
    </row>
    <row r="10">
      <c r="A10" s="24" t="str">
        <f>IFERROR(__xludf.DUMMYFUNCTION("""COMPUTED_VALUE"""),"SEED-MEDIATED CONNECTIVITY AMONG FRAGMENTED POPULATIONS OF QUERCUS CASTANEA (FAGACEAE) IN A MEXICAN LANDSCAPE")</f>
        <v>SEED-MEDIATED CONNECTIVITY AMONG FRAGMENTED POPULATIONS OF QUERCUS CASTANEA (FAGACEAE) IN A MEXICAN LANDSCAPE</v>
      </c>
      <c r="B10" s="24" t="str">
        <f>IFERROR(__xludf.DUMMYFUNCTION("""COMPUTED_VALUE"""),"Premise of study: Anthropogenic fragmentation is an ongoing process in many forested areas that may create loss of connectivity among tree populations and constitutes a serious threat to ecological and genetic processes. We tested the central hypothesis t"&amp;"hat seed dispersal mitigates the impact of fragmentation by comparing connectivity and genetic diversity of adult vs. seedling populations in recently fragmented populations of the Mexican red oak Quercus castanea. Methods: Adult individuals, established "&amp;"before fragmentation, and seedlings, established after fragmentation, were sampled at 33 forest fragments of variable size (0.2 to 294 ha) within the Cuitzeo basin, Michoacan state, and genotyped using seven highly polymorphic chloroplast microsatellite m"&amp;"arkers (cpSSRs). To test whether seed dispersal retains connectivity among fragmented populations, we compared genetic diversity and connectivity networks between adults and progeny and determined the effect of fragment size on these values. Key results: "&amp;"Seventy haplotypes were identified, 63 in the adults and 60 in the seedlings, with average within-population diversity (h(S)) values of 0.624 in the adults and 0.630 in the seedlings. A positive correlation of genetic diversity values with fragment size w"&amp;"as found in the seedling populations but not in the adult populations. The network connectivity analysis revealed lower connectivity among seedling populations than among adults. The number of connections (edges) as well as other network properties, such "&amp;"as betweenness centrality, node degree and closeness, were significantly lower in the seedlings network. Conclusions: Habitat fragmentation in this landscape is disrupting seed-dispersal-mediated genetic connectivity among extant populations.")</f>
        <v>Premise of study: Anthropogenic fragmentation is an ongoing process in many forested areas that may create loss of connectivity among tree populations and constitutes a serious threat to ecological and genetic processes. We tested the central hypothesis that seed dispersal mitigates the impact of fragmentation by comparing connectivity and genetic diversity of adult vs. seedling populations in recently fragmented populations of the Mexican red oak Quercus castanea. Methods: Adult individuals, established before fragmentation, and seedlings, established after fragmentation, were sampled at 33 forest fragments of variable size (0.2 to 294 ha) within the Cuitzeo basin, Michoacan state, and genotyped using seven highly polymorphic chloroplast microsatellite markers (cpSSRs). To test whether seed dispersal retains connectivity among fragmented populations, we compared genetic diversity and connectivity networks between adults and progeny and determined the effect of fragment size on these values. Key results: Seventy haplotypes were identified, 63 in the adults and 60 in the seedlings, with average within-population diversity (h(S)) values of 0.624 in the adults and 0.630 in the seedlings. A positive correlation of genetic diversity values with fragment size was found in the seedling populations but not in the adult populations. The network connectivity analysis revealed lower connectivity among seedling populations than among adults. The number of connections (edges) as well as other network properties, such as betweenness centrality, node degree and closeness, were significantly lower in the seedlings network. Conclusions: Habitat fragmentation in this landscape is disrupting seed-dispersal-mediated genetic connectivity among extant populations.</v>
      </c>
      <c r="C10" s="24" t="str">
        <f>IFERROR(__xludf.DUMMYFUNCTION("""COMPUTED_VALUE"""),"10.3732/ajb.1200396")</f>
        <v>10.3732/ajb.1200396</v>
      </c>
      <c r="D10" s="24" t="str">
        <f>IFERROR(__xludf.DUMMYFUNCTION("""COMPUTED_VALUE"""),"shaw et al")</f>
        <v>shaw et al</v>
      </c>
      <c r="E10" s="24" t="str">
        <f>IFERROR(__xludf.DUMMYFUNCTION("""COMPUTED_VALUE"""),"WOS:000325173800014")</f>
        <v>WOS:000325173800014</v>
      </c>
      <c r="F10" s="24" t="str">
        <f>IFERROR(__xludf.DUMMYFUNCTION("""COMPUTED_VALUE"""),"[""ELIGIBLE""]")</f>
        <v>["ELIGIBLE"]</v>
      </c>
    </row>
    <row r="11">
      <c r="A11" s="24" t="str">
        <f>IFERROR(__xludf.DUMMYFUNCTION("""COMPUTED_VALUE"""),"Selection for Earlier Flowering Crop Associated with Climatic Variations in the Sahel")</f>
        <v>Selection for Earlier Flowering Crop Associated with Climatic Variations in the Sahel</v>
      </c>
      <c r="B11" s="24" t="str">
        <f>IFERROR(__xludf.DUMMYFUNCTION("""COMPUTED_VALUE"""),"Climate changes will have an impact on food production and will require costly adaptive responses. Adapting to a changing environment will be particularly challenging in sub-Saharan Africa where climate change is expected to have a major impact. However, "&amp;"one important phenomenon that is often overlooked and is poorly documented is the ability of agro-systems to rapidly adapt to environmental variations. Such an adaptation could proceed by the adoption of new varieties or by the adaptation of varieties to "&amp;"a changing environment. In this study, we analyzed these two processes in one of the driest agro-ecosystems in Africa, the Sahel. We performed a detailed study in Niger where pearl millet is the main crop and covers 65% of the cultivated area. To assess h"&amp;"ow the agro-system is responding to recent recurrent drought, we analyzed samples of pearl millet landraces collected in the same villages in 1976 and 2003 throughout the entire cultivated area of Niger. We studied phenological and morphological differenc"&amp;"es in the 1976 and 2003 collections by comparing them over three cropping seasons in a common garden experiment. We found no major changes in the main cultivated varieties or in their genetic diversity. However, we observed a significant shift in adaptive"&amp;" traits. Compared to the 1976 samples, samples collected in 2003 displayed a shorter lifecycle, and a reduction in plant and spike size. We also found that an early flowering allele at the PHYC locus increased in frequency between 1976 and 2003. The incre"&amp;"ase exceeded the effect of drift and sampling, suggesting a direct effect of selection for earliness on this gene. We conclude that recurrent drought can lead to selection for earlier flowering in a major Sahelian crop. Surprisingly, these results suggest"&amp;" that diffusion of crop varieties is not the main driver of short term adaptation to climatic variation.")</f>
        <v>Climate changes will have an impact on food production and will require costly adaptive responses. Adapting to a changing environment will be particularly challenging in sub-Saharan Africa where climate change is expected to have a major impact. However, one important phenomenon that is often overlooked and is poorly documented is the ability of agro-systems to rapidly adapt to environmental variations. Such an adaptation could proceed by the adoption of new varieties or by the adaptation of varieties to a changing environment. In this study, we analyzed these two processes in one of the driest agro-ecosystems in Africa, the Sahel. We performed a detailed study in Niger where pearl millet is the main crop and covers 65% of the cultivated area. To assess how the agro-system is responding to recent recurrent drought, we analyzed samples of pearl millet landraces collected in the same villages in 1976 and 2003 throughout the entire cultivated area of Niger. We studied phenological and morphological differences in the 1976 and 2003 collections by comparing them over three cropping seasons in a common garden experiment. We found no major changes in the main cultivated varieties or in their genetic diversity. However, we observed a significant shift in adaptive traits. Compared to the 1976 samples, samples collected in 2003 displayed a shorter lifecycle, and a reduction in plant and spike size. We also found that an early flowering allele at the PHYC locus increased in frequency between 1976 and 2003. The increase exceeded the effect of drift and sampling, suggesting a direct effect of selection for earliness on this gene. We conclude that recurrent drought can lead to selection for earlier flowering in a major Sahelian crop. Surprisingly, these results suggest that diffusion of crop varieties is not the main driver of short term adaptation to climatic variation.</v>
      </c>
      <c r="C11" s="24" t="str">
        <f>IFERROR(__xludf.DUMMYFUNCTION("""COMPUTED_VALUE"""),"10.1371/journal.pone.0019563")</f>
        <v>10.1371/journal.pone.0019563</v>
      </c>
      <c r="D11" s="24" t="str">
        <f>IFERROR(__xludf.DUMMYFUNCTION("""COMPUTED_VALUE"""),"shaw et al")</f>
        <v>shaw et al</v>
      </c>
      <c r="E11" s="24" t="str">
        <f>IFERROR(__xludf.DUMMYFUNCTION("""COMPUTED_VALUE"""),"WOS:000290224800034")</f>
        <v>WOS:000290224800034</v>
      </c>
      <c r="F11" s="24" t="str">
        <f>IFERROR(__xludf.DUMMYFUNCTION("""COMPUTED_VALUE"""),"[""ELIGIBLE""]")</f>
        <v>["ELIGIBLE"]</v>
      </c>
    </row>
    <row r="12">
      <c r="A12" s="24" t="str">
        <f>IFERROR(__xludf.DUMMYFUNCTION("""COMPUTED_VALUE"""),"Climate change and human colonization triggered habitat loss and fragmentation in Madagascar")</f>
        <v>Climate change and human colonization triggered habitat loss and fragmentation in Madagascar</v>
      </c>
      <c r="B12" s="24" t="str">
        <f>IFERROR(__xludf.DUMMYFUNCTION("""COMPUTED_VALUE"""),"The relative effect of past climate fluctuations and anthropogenic activities on current biome distribution is subject to increasing attention, notably in biodiversity hot spots. In Madagascar, where humans arrived in the last similar to 4 to 5,000years, "&amp;"the exact causes of the demise of large vertebrates that cohabited with humans are yet unclear. The prevailing narrative holds that Madagascar was covered with forest before human arrival and that the expansion of grasslands was the result of human-driven"&amp;" deforestation. However, recent studies have shown that vegetation and fauna structure substantially fluctuated during the Holocene. Here, we study the Holocene history of habitat fragmentation in the north of Madagascar using a population genetics approa"&amp;"ch. To do so, we infer the demographic history of two northern Madagascar neighbouring, congeneric and critically endangered forest dwelling lemur speciesPropithecus tattersalli and Propithecus perrieriusing population genetic analyses. Our results highli"&amp;"ght the necessity to consider population structure and changes in connectivity in demographic history inferences. We show that both species underwent demographic fluctuations which most likely occurred after the mid-Holocene transition. While mid-Holocene"&amp;" climate change probably triggered major demographic changes in the two lemur species range and connectivity, human settlements that expanded over the last four millennia in northern Madagascar likely played a role in the loss and fragmentation of the for"&amp;"est cover.")</f>
        <v>The relative effect of past climate fluctuations and anthropogenic activities on current biome distribution is subject to increasing attention, notably in biodiversity hot spots. In Madagascar, where humans arrived in the last similar to 4 to 5,000years, the exact causes of the demise of large vertebrates that cohabited with humans are yet unclear. The prevailing narrative holds that Madagascar was covered with forest before human arrival and that the expansion of grasslands was the result of human-driven deforestation. However, recent studies have shown that vegetation and fauna structure substantially fluctuated during the Holocene. Here, we study the Holocene history of habitat fragmentation in the north of Madagascar using a population genetics approach. To do so, we infer the demographic history of two northern Madagascar neighbouring, congeneric and critically endangered forest dwelling lemur speciesPropithecus tattersalli and Propithecus perrieriusing population genetic analyses. Our results highlight the necessity to consider population structure and changes in connectivity in demographic history inferences. We show that both species underwent demographic fluctuations which most likely occurred after the mid-Holocene transition. While mid-Holocene climate change probably triggered major demographic changes in the two lemur species range and connectivity, human settlements that expanded over the last four millennia in northern Madagascar likely played a role in the loss and fragmentation of the forest cover.</v>
      </c>
      <c r="C12" s="24" t="str">
        <f>IFERROR(__xludf.DUMMYFUNCTION("""COMPUTED_VALUE"""),"10.1111/mec.14173")</f>
        <v>10.1111/mec.14173</v>
      </c>
      <c r="D12" s="24" t="str">
        <f>IFERROR(__xludf.DUMMYFUNCTION("""COMPUTED_VALUE"""),"shaw et al")</f>
        <v>shaw et al</v>
      </c>
      <c r="E12" s="24" t="str">
        <f>IFERROR(__xludf.DUMMYFUNCTION("""COMPUTED_VALUE"""),"WOS:000413375500026")</f>
        <v>WOS:000413375500026</v>
      </c>
      <c r="F12" s="24" t="str">
        <f>IFERROR(__xludf.DUMMYFUNCTION("""COMPUTED_VALUE"""),"[""ELIGIBLE""]")</f>
        <v>["ELIGIBLE"]</v>
      </c>
    </row>
    <row r="13">
      <c r="A13" s="24" t="str">
        <f>IFERROR(__xludf.DUMMYFUNCTION("""COMPUTED_VALUE"""),"Spatiotemporal genetic structure of anadromous Arctic char (Salvelinus alpinus) populations in a region experiencing pronounced climate change")</f>
        <v>Spatiotemporal genetic structure of anadromous Arctic char (Salvelinus alpinus) populations in a region experiencing pronounced climate change</v>
      </c>
      <c r="B13" s="24" t="str">
        <f>IFERROR(__xludf.DUMMYFUNCTION("""COMPUTED_VALUE"""),"We examined spatio-temporal genetic variation at 53 single nucleotide polymorphisms in anadromous Arctic char populations from Western Greenland, a region experiencing pronounced climate change. The study was based on contemporary and historical samples, "&amp;"the latter represented by DNA extracted from otoliths and scales from the 1950s-1960s. We investigated whether genetic population structure was temporarily stable or unstable, the latter due to relatively small spawning and nursery areas combined with a h"&amp;"arsh Arctic environment. Furthermore, in order to evaluate the potential for adaptive responses and local adaptation we estimated effective population size (N-e) and migration rate (m). Temporal stability of genetic population structure was suggested, bas"&amp;"ed on a hierarchical analysis of genetic differentiation showing much higher differentiation among samples from different populations (F-CT = 0.091) than among temporal samples from the same populations (F-SC = 0.01). This was further supported by a neigh"&amp;"bor-joining tree and assignment of individuals that showed high contingency between historical and contemporary samples. Estimates of N-e were high (&gt; 500) in three out of four populations, with a lower estimate in one population potentially reflecting fi"&amp;"shing pressure or suboptimal environmental conditions. Estimates of m were in most cases low, ae 0.01. N-e and m estimates suggest a potential for adaptive responses and local adaptation. However, long generation time may also cause adaptive responses by "&amp;"microevolution to be unable to track climate change, especially considering the low migration rates that reduce potential evolutionary rescue by gene flow from populations better adapted to the altered environments.")</f>
        <v>We examined spatio-temporal genetic variation at 53 single nucleotide polymorphisms in anadromous Arctic char populations from Western Greenland, a region experiencing pronounced climate change. The study was based on contemporary and historical samples, the latter represented by DNA extracted from otoliths and scales from the 1950s-1960s. We investigated whether genetic population structure was temporarily stable or unstable, the latter due to relatively small spawning and nursery areas combined with a harsh Arctic environment. Furthermore, in order to evaluate the potential for adaptive responses and local adaptation we estimated effective population size (N-e) and migration rate (m). Temporal stability of genetic population structure was suggested, based on a hierarchical analysis of genetic differentiation showing much higher differentiation among samples from different populations (F-CT = 0.091) than among temporal samples from the same populations (F-SC = 0.01). This was further supported by a neighbor-joining tree and assignment of individuals that showed high contingency between historical and contemporary samples. Estimates of N-e were high (&gt; 500) in three out of four populations, with a lower estimate in one population potentially reflecting fishing pressure or suboptimal environmental conditions. Estimates of m were in most cases low, ae 0.01. N-e and m estimates suggest a potential for adaptive responses and local adaptation. However, long generation time may also cause adaptive responses by microevolution to be unable to track climate change, especially considering the low migration rates that reduce potential evolutionary rescue by gene flow from populations better adapted to the altered environments.</v>
      </c>
      <c r="C13" s="24" t="str">
        <f>IFERROR(__xludf.DUMMYFUNCTION("""COMPUTED_VALUE"""),"10.1007/s10592-018-1047-x")</f>
        <v>10.1007/s10592-018-1047-x</v>
      </c>
      <c r="D13" s="24" t="str">
        <f>IFERROR(__xludf.DUMMYFUNCTION("""COMPUTED_VALUE"""),"shaw et al")</f>
        <v>shaw et al</v>
      </c>
      <c r="E13" s="24" t="str">
        <f>IFERROR(__xludf.DUMMYFUNCTION("""COMPUTED_VALUE"""),"WOS:000432992100015")</f>
        <v>WOS:000432992100015</v>
      </c>
      <c r="F13" s="24" t="str">
        <f>IFERROR(__xludf.DUMMYFUNCTION("""COMPUTED_VALUE"""),"[""ELIGIBLE""]")</f>
        <v>["ELIGIBLE"]</v>
      </c>
    </row>
    <row r="14">
      <c r="A14" s="24" t="str">
        <f>IFERROR(__xludf.DUMMYFUNCTION("""COMPUTED_VALUE"""),"Temporal and spatial instability in neutral and adaptive (MHC) genetic variation in marginal salmon populations")</f>
        <v>Temporal and spatial instability in neutral and adaptive (MHC) genetic variation in marginal salmon populations</v>
      </c>
      <c r="B14" s="24" t="str">
        <f>IFERROR(__xludf.DUMMYFUNCTION("""COMPUTED_VALUE"""),"The role of marginal populations for the long-term maintenance of species' genetic diversity and evolutionary potential is particularly timely in view of the range shifts caused by climate change. The Centre-Periphery hypothesis predicts that marginal pop"&amp;"ulations should bear reduced genetic diversity and have low evolutionary potential. We analysed temporal stability at neutral microsatellite and adaptive MHC genetic variation over five decades in four marginal Atlantic salmon populations located at the s"&amp;"outhern limit of the species' distribution with a complicated demographic history, which includes stocking with foreign and native salmon for at least 2 decades. We found a temporal increase in neutral genetic variation, as well as temporal instability in"&amp;" population structuring, highlighting the importance of temporal analyses in studies that examine the genetic diversity of peripheral populations at the margins of the species' range, particularly in face of climate change.")</f>
        <v>The role of marginal populations for the long-term maintenance of species' genetic diversity and evolutionary potential is particularly timely in view of the range shifts caused by climate change. The Centre-Periphery hypothesis predicts that marginal populations should bear reduced genetic diversity and have low evolutionary potential. We analysed temporal stability at neutral microsatellite and adaptive MHC genetic variation over five decades in four marginal Atlantic salmon populations located at the southern limit of the species' distribution with a complicated demographic history, which includes stocking with foreign and native salmon for at least 2 decades. We found a temporal increase in neutral genetic variation, as well as temporal instability in population structuring, highlighting the importance of temporal analyses in studies that examine the genetic diversity of peripheral populations at the margins of the species' range, particularly in face of climate change.</v>
      </c>
      <c r="C14" s="24" t="str">
        <f>IFERROR(__xludf.DUMMYFUNCTION("""COMPUTED_VALUE"""),"10.1038/srep42416")</f>
        <v>10.1038/srep42416</v>
      </c>
      <c r="D14" s="24" t="str">
        <f>IFERROR(__xludf.DUMMYFUNCTION("""COMPUTED_VALUE"""),"shaw et al")</f>
        <v>shaw et al</v>
      </c>
      <c r="E14" s="24" t="str">
        <f>IFERROR(__xludf.DUMMYFUNCTION("""COMPUTED_VALUE"""),"WOS:000393939200001")</f>
        <v>WOS:000393939200001</v>
      </c>
      <c r="F14" s="24" t="str">
        <f>IFERROR(__xludf.DUMMYFUNCTION("""COMPUTED_VALUE"""),"[""ELIGIBLE""]")</f>
        <v>["ELIGIBLE"]</v>
      </c>
    </row>
    <row r="15">
      <c r="A15" s="24" t="str">
        <f>IFERROR(__xludf.DUMMYFUNCTION("""COMPUTED_VALUE"""),"Genotypic and phenotypic changes in wild barley (Hordeum vulgare subsp spontaneum) during a period of climate change in Jordan")</f>
        <v>Genotypic and phenotypic changes in wild barley (Hordeum vulgare subsp spontaneum) during a period of climate change in Jordan</v>
      </c>
      <c r="B15" s="24" t="str">
        <f>IFERROR(__xludf.DUMMYFUNCTION("""COMPUTED_VALUE"""),"Climate change and other anthropogenic disturbances can lead to the loss of genetic variation and thereby affect evolutionary potential and survival of plant populations in the wild. We examined these predictions in the primary wild relative of barley, Ho"&amp;"rdeum vulgare L. subsp. spontaneum (K. Koch) Thell., within its center of diversity, in Jordan. Changes in genotypic and phenotypic diversity were assessed using seed samples collected in 1981 and 2012 from the same 18 sites across Jordan. The overall pop"&amp;"ulation structure was conserved, but we observed an increase of within population genetic diversity and a reduction in population differentiation. Phenotypic variation differed among years and sites but the magnitude and direction of change variated among"&amp;" sites. While the sampled region became significantly hotter and drier during this period, simple correlation models did not support association between measures of climate change and the observed genetic and phenotypic changes. Agricultural activities th"&amp;"at promote disturbance and demographic fluctuations may affect crop wild relatives that grow in agricultural landscapes, in unexpected ways. The observed increase in genetic diversity within populations might be explained by increased migration or by an a"&amp;"dvantage of increased genetic variation in the face of variable environmental conditions. This study provides a new perspective on the range of possible responses of crop wild relatives to environmental pressures.")</f>
        <v>Climate change and other anthropogenic disturbances can lead to the loss of genetic variation and thereby affect evolutionary potential and survival of plant populations in the wild. We examined these predictions in the primary wild relative of barley, Hordeum vulgare L. subsp. spontaneum (K. Koch) Thell., within its center of diversity, in Jordan. Changes in genotypic and phenotypic diversity were assessed using seed samples collected in 1981 and 2012 from the same 18 sites across Jordan. The overall population structure was conserved, but we observed an increase of within population genetic diversity and a reduction in population differentiation. Phenotypic variation differed among years and sites but the magnitude and direction of change variated among sites. While the sampled region became significantly hotter and drier during this period, simple correlation models did not support association between measures of climate change and the observed genetic and phenotypic changes. Agricultural activities that promote disturbance and demographic fluctuations may affect crop wild relatives that grow in agricultural landscapes, in unexpected ways. The observed increase in genetic diversity within populations might be explained by increased migration or by an advantage of increased genetic variation in the face of variable environmental conditions. This study provides a new perspective on the range of possible responses of crop wild relatives to environmental pressures.</v>
      </c>
      <c r="C15" s="24" t="str">
        <f>IFERROR(__xludf.DUMMYFUNCTION("""COMPUTED_VALUE"""),"10.1007/s10722-016-0437-5")</f>
        <v>10.1007/s10722-016-0437-5</v>
      </c>
      <c r="D15" s="24" t="str">
        <f>IFERROR(__xludf.DUMMYFUNCTION("""COMPUTED_VALUE"""),"shaw et al")</f>
        <v>shaw et al</v>
      </c>
      <c r="E15" s="24" t="str">
        <f>IFERROR(__xludf.DUMMYFUNCTION("""COMPUTED_VALUE"""),"WOS:000404901300015")</f>
        <v>WOS:000404901300015</v>
      </c>
      <c r="F15" s="24" t="str">
        <f>IFERROR(__xludf.DUMMYFUNCTION("""COMPUTED_VALUE"""),"[""ELIGIBLE""]")</f>
        <v>["ELIGIBLE"]</v>
      </c>
    </row>
    <row r="16">
      <c r="A16" s="24" t="str">
        <f>IFERROR(__xludf.DUMMYFUNCTION("""COMPUTED_VALUE"""),"Genetic change for earlier migration timing in a pink salmon population")</f>
        <v>Genetic change for earlier migration timing in a pink salmon population</v>
      </c>
      <c r="B16" s="24" t="str">
        <f>IFERROR(__xludf.DUMMYFUNCTION("""COMPUTED_VALUE"""),"To predict how climate change will influence populations, it is necessary to understand the mechanisms, particularly microevolution and phenotypic plasticity, that allow populations to persist in novel environmental conditions. Although evidence for clima"&amp;"te-induced phenotypic change in populations is widespread, evidence documenting that these phenotypic changes are due to microevolution is exceedingly rare. In this study, we use 32 years of genetic data (17 complete generations) to determine whether ther"&amp;"e has been a genetic change towards earlier migration timing in a population of pink salmon that shows phenotypic change; average migration time occurs nearly two weeks earlier than it did 40 years ago. Experimental genetic data support the hypothesis tha"&amp;"t there has been directional selection for earlier migration timing, resulting in a substantial decrease in the late-migrating phenotype (from more than 30% to less than 10% of the total abundance). From 1983 to 2011, there was a significant decrease-over"&amp;" threefold-in the frequency of a genetic marker for late-migration timing, but there were minimal changes in allele frequencies at other neutral loci. These results demonstrate that there has been rapid microevolution for earlier migration timing in this "&amp;"population. Circadian rhythm genes, however, did not show any evidence for selective changes from 1993 to 2009.")</f>
        <v>To predict how climate change will influence populations, it is necessary to understand the mechanisms, particularly microevolution and phenotypic plasticity, that allow populations to persist in novel environmental conditions. Although evidence for climate-induced phenotypic change in populations is widespread, evidence documenting that these phenotypic changes are due to microevolution is exceedingly rare. In this study, we use 32 years of genetic data (17 complete generations) to determine whether there has been a genetic change towards earlier migration timing in a population of pink salmon that shows phenotypic change; average migration time occurs nearly two weeks earlier than it did 40 years ago. Experimental genetic data support the hypothesis that there has been directional selection for earlier migration timing, resulting in a substantial decrease in the late-migrating phenotype (from more than 30% to less than 10% of the total abundance). From 1983 to 2011, there was a significant decrease-over threefold-in the frequency of a genetic marker for late-migration timing, but there were minimal changes in allele frequencies at other neutral loci. These results demonstrate that there has been rapid microevolution for earlier migration timing in this population. Circadian rhythm genes, however, did not show any evidence for selective changes from 1993 to 2009.</v>
      </c>
      <c r="C16" s="24" t="str">
        <f>IFERROR(__xludf.DUMMYFUNCTION("""COMPUTED_VALUE"""),"10.1098/rspb.2012.1158")</f>
        <v>10.1098/rspb.2012.1158</v>
      </c>
      <c r="D16" s="24" t="str">
        <f>IFERROR(__xludf.DUMMYFUNCTION("""COMPUTED_VALUE"""),"shaw et al")</f>
        <v>shaw et al</v>
      </c>
      <c r="E16" s="24" t="str">
        <f>IFERROR(__xludf.DUMMYFUNCTION("""COMPUTED_VALUE"""),"WOS:000307780400031")</f>
        <v>WOS:000307780400031</v>
      </c>
      <c r="F16" s="24" t="str">
        <f>IFERROR(__xludf.DUMMYFUNCTION("""COMPUTED_VALUE"""),"[""ELIGIBLE""]")</f>
        <v>["ELIGIBLE"]</v>
      </c>
    </row>
    <row r="17">
      <c r="A17" s="24" t="str">
        <f>IFERROR(__xludf.DUMMYFUNCTION("""COMPUTED_VALUE"""),"Birds, nutrients, and climate change: mtDNA haplotype diversity of Arctic Daphnia on Svalbard revisited")</f>
        <v>Birds, nutrients, and climate change: mtDNA haplotype diversity of Arctic Daphnia on Svalbard revisited</v>
      </c>
      <c r="B17" s="24" t="str">
        <f>IFERROR(__xludf.DUMMYFUNCTION("""COMPUTED_VALUE"""),"Ecosystems in the high Arctic are in transition due to climate change and species shifts. On the Svalbard archipelago, the average annual temperature has increased by more than 2 A degrees C over the past 30 years, and there has been a striking increase i"&amp;"n breeding populations of geese. Birds serve as a dominant source of nutrients (via faeces) and may also serve as vectors of dispersal of many small aquatic organisms. We compared samples of species and haplotype composition of the dominant freshwater cru"&amp;"stacean Daphnia spp., from 1992, and those resampled in 2014 to see if these major impacts on Arctic freshwater ecosystems may also have affected this key grazer over the past three decades. The study covers tundra ponds that vary in levels of nutrients, "&amp;"abundance, and diversity of birds. Comparison of genetic mitochondrial DNA sequences revealed little change in haplotype and nucleotide diversity between 1992 and 2014, but higher species and haplotype diversity were found in nutrient-rich ponds that host"&amp;"ed large migratory bird populations. This could either reflect that high nutrient levels allow for the maintenance of higher levels of genetic diversity (i.e. haplotypes, lineages), that birds serve as vectors for the dispersal of clones, or likely a comb"&amp;"ination of both mechanisms.")</f>
        <v>Ecosystems in the high Arctic are in transition due to climate change and species shifts. On the Svalbard archipelago, the average annual temperature has increased by more than 2 A degrees C over the past 30 years, and there has been a striking increase in breeding populations of geese. Birds serve as a dominant source of nutrients (via faeces) and may also serve as vectors of dispersal of many small aquatic organisms. We compared samples of species and haplotype composition of the dominant freshwater crustacean Daphnia spp., from 1992, and those resampled in 2014 to see if these major impacts on Arctic freshwater ecosystems may also have affected this key grazer over the past three decades. The study covers tundra ponds that vary in levels of nutrients, abundance, and diversity of birds. Comparison of genetic mitochondrial DNA sequences revealed little change in haplotype and nucleotide diversity between 1992 and 2014, but higher species and haplotype diversity were found in nutrient-rich ponds that hosted large migratory bird populations. This could either reflect that high nutrient levels allow for the maintenance of higher levels of genetic diversity (i.e. haplotypes, lineages), that birds serve as vectors for the dispersal of clones, or likely a combination of both mechanisms.</v>
      </c>
      <c r="C17" s="24" t="str">
        <f>IFERROR(__xludf.DUMMYFUNCTION("""COMPUTED_VALUE"""),"10.1007/s00300-015-1868-8")</f>
        <v>10.1007/s00300-015-1868-8</v>
      </c>
      <c r="D17" s="24" t="str">
        <f>IFERROR(__xludf.DUMMYFUNCTION("""COMPUTED_VALUE"""),"shaw et al")</f>
        <v>shaw et al</v>
      </c>
      <c r="E17" s="24" t="str">
        <f>IFERROR(__xludf.DUMMYFUNCTION("""COMPUTED_VALUE"""),"WOS:000381405400006")</f>
        <v>WOS:000381405400006</v>
      </c>
      <c r="F17" s="24" t="str">
        <f>IFERROR(__xludf.DUMMYFUNCTION("""COMPUTED_VALUE"""),"[""ELIGIBLE""]")</f>
        <v>["ELIGIBLE"]</v>
      </c>
    </row>
    <row r="18">
      <c r="A18" s="24" t="str">
        <f>IFERROR(__xludf.DUMMYFUNCTION("""COMPUTED_VALUE"""),"Limited Dispersal and Significant Fine - Scale Genetic Structure in a Tropical Montane Parrot Species")</f>
        <v>Limited Dispersal and Significant Fine - Scale Genetic Structure in a Tropical Montane Parrot Species</v>
      </c>
      <c r="B18" s="24" t="str">
        <f>IFERROR(__xludf.DUMMYFUNCTION("""COMPUTED_VALUE"""),"Tropical montane ecosystems are biodiversity hotspots harbouring many endemics that are confined to specific habitat types within narrow altitudinal ranges. While deforestation put these ecosystems under threat, we still lack knowledge about how heterogen"&amp;"eous environments like the montane tropics promote population connectivity and persistence. We investigated the fine-scale genetic structure of the two largest subpopulations of the endangered El Oro parakeet (Pyrrhura orcesi) endemic to the Ecuadorian An"&amp;"des. Specifically, we assessed the genetic divergence between three sites separated by small geographic distances but characterized by a heterogeneous habitat structure. Although geographical distances between sites are small (3-17 km), we found genetic d"&amp;"ifferentiation between all sites. Even though dispersal capacity is generally high in parrots, our findings indicate that dispersal is limited even on this small geographic scale. Individual genotype assignment revealed similar genetic divergence across a"&amp;" valley (similar to 3 km distance) compared to a continuous mountain range (similar to 13 km distance). Our findings suggest that geographic barriers promote genetic divergence even on small spatial scales in this endangered endemic species. These results"&amp;" may have important implications for many other threatened and endemic species, particularly given the upslope shift of species predicted from climate change.")</f>
        <v>Tropical montane ecosystems are biodiversity hotspots harbouring many endemics that are confined to specific habitat types within narrow altitudinal ranges. While deforestation put these ecosystems under threat, we still lack knowledge about how heterogeneous environments like the montane tropics promote population connectivity and persistence. We investigated the fine-scale genetic structure of the two largest subpopulations of the endangered El Oro parakeet (Pyrrhura orcesi) endemic to the Ecuadorian Andes. Specifically, we assessed the genetic divergence between three sites separated by small geographic distances but characterized by a heterogeneous habitat structure. Although geographical distances between sites are small (3-17 km), we found genetic differentiation between all sites. Even though dispersal capacity is generally high in parrots, our findings indicate that dispersal is limited even on this small geographic scale. Individual genotype assignment revealed similar genetic divergence across a valley (similar to 3 km distance) compared to a continuous mountain range (similar to 13 km distance). Our findings suggest that geographic barriers promote genetic divergence even on small spatial scales in this endangered endemic species. These results may have important implications for many other threatened and endemic species, particularly given the upslope shift of species predicted from climate change.</v>
      </c>
      <c r="C18" s="24" t="str">
        <f>IFERROR(__xludf.DUMMYFUNCTION("""COMPUTED_VALUE"""),"10.1371/journal.pone.0169165")</f>
        <v>10.1371/journal.pone.0169165</v>
      </c>
      <c r="D18" s="24" t="str">
        <f>IFERROR(__xludf.DUMMYFUNCTION("""COMPUTED_VALUE"""),"shaw et al")</f>
        <v>shaw et al</v>
      </c>
      <c r="E18" s="24" t="str">
        <f>IFERROR(__xludf.DUMMYFUNCTION("""COMPUTED_VALUE"""),"WOS:000391226900080")</f>
        <v>WOS:000391226900080</v>
      </c>
      <c r="F18" s="24" t="str">
        <f>IFERROR(__xludf.DUMMYFUNCTION("""COMPUTED_VALUE"""),"[""ELIGIBLE""]")</f>
        <v>["ELIGIBLE"]</v>
      </c>
    </row>
    <row r="19">
      <c r="A19" s="24" t="str">
        <f>IFERROR(__xludf.DUMMYFUNCTION("""COMPUTED_VALUE"""),"Very Low Population Structure in a Highly Mobile and Wide-Ranging Endangered Bird Species")</f>
        <v>Very Low Population Structure in a Highly Mobile and Wide-Ranging Endangered Bird Species</v>
      </c>
      <c r="B19" s="24" t="str">
        <f>IFERROR(__xludf.DUMMYFUNCTION("""COMPUTED_VALUE"""),"The loss of biodiversity following fragmentation and degradation of habitat is a major issue in conservation biology. As competition for resources increases following habitat loss and fragmentation, severe population declines may occur even in common, hig"&amp;"hly mobile species; such demographic decline may cause changes within the population structure of the species. The regent honeyeater, Anthochaera phrygia, is a highly nomadic woodland bird once common in its native southeast Australia. It has experienced "&amp;"a sharp decline in abundance since the late 1970s, following clearing of large areas of its preferred habitat, boxironbark woodland, within the last 200 years. A captive breeding program has been established as part of efforts to restore this species. Thi"&amp;"s study used genetic data to examine the range-wide population structure of regent honeyeaters, including spatial structure, its change through time, sex differences in philopatry and mobility, and genetic differences between the captive and wild populati"&amp;"ons. There was low genetic differentiation between birds captured in different geographic areas. Despite the recent demographic decline, low spatial structure appears to have some temporal consistency. Both sexes appear to be highly mobile, and there does"&amp;" not seem to be significant genetic differentiation between the captive and wild populations. We conclude that management efforts for survival of this species, including habitat protection, restoration, and release of captive-bred birds into the wild, can"&amp;" treat the species as effectively a single genetic population.")</f>
        <v>The loss of biodiversity following fragmentation and degradation of habitat is a major issue in conservation biology. As competition for resources increases following habitat loss and fragmentation, severe population declines may occur even in common, highly mobile species; such demographic decline may cause changes within the population structure of the species. The regent honeyeater, Anthochaera phrygia, is a highly nomadic woodland bird once common in its native southeast Australia. It has experienced a sharp decline in abundance since the late 1970s, following clearing of large areas of its preferred habitat, boxironbark woodland, within the last 200 years. A captive breeding program has been established as part of efforts to restore this species. This study used genetic data to examine the range-wide population structure of regent honeyeaters, including spatial structure, its change through time, sex differences in philopatry and mobility, and genetic differences between the captive and wild populations. There was low genetic differentiation between birds captured in different geographic areas. Despite the recent demographic decline, low spatial structure appears to have some temporal consistency. Both sexes appear to be highly mobile, and there does not seem to be significant genetic differentiation between the captive and wild populations. We conclude that management efforts for survival of this species, including habitat protection, restoration, and release of captive-bred birds into the wild, can treat the species as effectively a single genetic population.</v>
      </c>
      <c r="C19" s="24" t="str">
        <f>IFERROR(__xludf.DUMMYFUNCTION("""COMPUTED_VALUE"""),"10.1371/journal.pone.0143746")</f>
        <v>10.1371/journal.pone.0143746</v>
      </c>
      <c r="D19" s="24" t="str">
        <f>IFERROR(__xludf.DUMMYFUNCTION("""COMPUTED_VALUE"""),"shaw et al")</f>
        <v>shaw et al</v>
      </c>
      <c r="E19" s="24" t="str">
        <f>IFERROR(__xludf.DUMMYFUNCTION("""COMPUTED_VALUE"""),"WOS:000366903300026")</f>
        <v>WOS:000366903300026</v>
      </c>
      <c r="F19" s="24" t="str">
        <f>IFERROR(__xludf.DUMMYFUNCTION("""COMPUTED_VALUE"""),"[""ELIGIBLE""]")</f>
        <v>["ELIGIBLE"]</v>
      </c>
    </row>
    <row r="20">
      <c r="A20" s="24" t="str">
        <f>IFERROR(__xludf.DUMMYFUNCTION("""COMPUTED_VALUE"""),"Effective Population Size Dynamics and the Demographic Collapse of Bornean Orang-Utans")</f>
        <v>Effective Population Size Dynamics and the Demographic Collapse of Bornean Orang-Utans</v>
      </c>
      <c r="B20" s="24" t="str">
        <f>IFERROR(__xludf.DUMMYFUNCTION("""COMPUTED_VALUE"""),"Bornean orang-utans experienced a major demographic decline and local extirpations during the Pleistocene and Holocene due to climate change, the arrival of modern humans, of farmers and recent commercially-driven habitat loss and fragmentation. The recen"&amp;"t loss of habitat and its dramatic fragmentation has affected the patterns of genetic variability and differentiation among the remaining populations and increased the extinction risk of the most isolated ones. However, the contribution of recent demograp"&amp;"hic events to such genetic patterns is still not fully clear. Indeed, it can be difficult to separate the effects of recent anthropogenic fragmentation from the genetic signature of prehistoric demographic events. Here, we investigated the genetic structu"&amp;"re and population size dynamics of orang-utans from different sites. Altogether 126 individuals were analyzed and a full-likelihood Bayesian approach was applied. All sites exhibited clear signals of population decline. Population structure is known to ge"&amp;"nerate spurious bottleneck signals and we found that it does indeed contribute to the signals observed. However, population structure alone does not easily explain the observed patterns. The dating of the population decline varied across sites but was alw"&amp;"ays within the 200-2000 years period. This suggests that in some sites at least, orang-utan populations were affected by demographic events that started before the recent anthropogenic effects that occurred in Borneo. These results do not mean that the re"&amp;"cent forest exploitation did not leave its genetic mark on orang-utans but suggests that the genetic pool of orang-utans is also impacted by more ancient events. While we cannot identify the main cause for this decline, our results suggests that the decli"&amp;"ne may be related to the arrival of the first farmers or climatic events, and that more theoretical work is needed to understand how multiple demographic events impact the genome of species and how we can assess their relative contributions.")</f>
        <v>Bornean orang-utans experienced a major demographic decline and local extirpations during the Pleistocene and Holocene due to climate change, the arrival of modern humans, of farmers and recent commercially-driven habitat loss and fragmentation. The recent loss of habitat and its dramatic fragmentation has affected the patterns of genetic variability and differentiation among the remaining populations and increased the extinction risk of the most isolated ones. However, the contribution of recent demographic events to such genetic patterns is still not fully clear. Indeed, it can be difficult to separate the effects of recent anthropogenic fragmentation from the genetic signature of prehistoric demographic events. Here, we investigated the genetic structure and population size dynamics of orang-utans from different sites. Altogether 126 individuals were analyzed and a full-likelihood Bayesian approach was applied. All sites exhibited clear signals of population decline. Population structure is known to generate spurious bottleneck signals and we found that it does indeed contribute to the signals observed. However, population structure alone does not easily explain the observed patterns. The dating of the population decline varied across sites but was always within the 200-2000 years period. This suggests that in some sites at least, orang-utan populations were affected by demographic events that started before the recent anthropogenic effects that occurred in Borneo. These results do not mean that the recent forest exploitation did not leave its genetic mark on orang-utans but suggests that the genetic pool of orang-utans is also impacted by more ancient events. While we cannot identify the main cause for this decline, our results suggests that the decline may be related to the arrival of the first farmers or climatic events, and that more theoretical work is needed to understand how multiple demographic events impact the genome of species and how we can assess their relative contributions.</v>
      </c>
      <c r="C20" s="24" t="str">
        <f>IFERROR(__xludf.DUMMYFUNCTION("""COMPUTED_VALUE"""),"10.1371/journal.pone.0049429")</f>
        <v>10.1371/journal.pone.0049429</v>
      </c>
      <c r="D20" s="24" t="str">
        <f>IFERROR(__xludf.DUMMYFUNCTION("""COMPUTED_VALUE"""),"shaw et al")</f>
        <v>shaw et al</v>
      </c>
      <c r="E20" s="24" t="str">
        <f>IFERROR(__xludf.DUMMYFUNCTION("""COMPUTED_VALUE"""),"WOS:000311272300042")</f>
        <v>WOS:000311272300042</v>
      </c>
      <c r="F20" s="24" t="str">
        <f>IFERROR(__xludf.DUMMYFUNCTION("""COMPUTED_VALUE"""),"[""ELIGIBLE""]")</f>
        <v>["ELIGIBLE"]</v>
      </c>
    </row>
    <row r="21">
      <c r="A21" s="24" t="str">
        <f>IFERROR(__xludf.DUMMYFUNCTION("""COMPUTED_VALUE"""),"Quantifying temporal change in plant population attributes: insights from a resurrection approach")</f>
        <v>Quantifying temporal change in plant population attributes: insights from a resurrection approach</v>
      </c>
      <c r="B21" s="24" t="str">
        <f>IFERROR(__xludf.DUMMYFUNCTION("""COMPUTED_VALUE"""),"Rapid evolution in annual plants can be quantified by comparing phenotypic and genetic changes between past and contemporary individuals from the same populations over several generations. Such knowledge will help understand the response of plants to rapi"&amp;"d environmental shifts, such as the ones imposed by global climate change. To that end, we undertook a resurrection approach in Spanish populations of the annual plant Arabidopsis thallana that were sampled twice over a decade. Annual weather records were"&amp;" compared to their historical records to extract patterns of climatic shifts over time. We evaluated the differences between samplings in flowering time, a key life-history trait with adaptive significance, with a field experiment. We also estimated genet"&amp;"ic diversity and differentiation based on neutral nuclear markers and nucleotide diversity in candidate flowering time (FRI and FLC) and seed dormancy (DOG1) genes. The role of genetic drift was estimated by computing effective population sizes with the t"&amp;"emporal method. Overall, two climatic scenarios were detected: intense warming with increased precipitation and moderate warming with decreased precipitation. The average flowering time varied little between samplings. Instead, within-population variation"&amp;" in flowering time exhibited a decreasing trend over time. Substantial temporal changes in genetic diversity and differentiation were observed with both nuclear microsatellites and candidate genes in all populations, which were interpreted as the result o"&amp;"f natural demographic fluctuations. We conclude that drought stress caused by moderate warming with decreased precipitation may have the potential to reduce within-population variation in key life-cycle traits, perhaps as a result of stabilizing selection"&amp;" on them, and to constrain the genetic differentiation over time. Besides, the demographic behaviour of populations probably accounts for the substantial temporal patterns of genetic variation, while keeping rather constant those of phenotypic variation.")</f>
        <v>Rapid evolution in annual plants can be quantified by comparing phenotypic and genetic changes between past and contemporary individuals from the same populations over several generations. Such knowledge will help understand the response of plants to rapid environmental shifts, such as the ones imposed by global climate change. To that end, we undertook a resurrection approach in Spanish populations of the annual plant Arabidopsis thallana that were sampled twice over a decade. Annual weather records were compared to their historical records to extract patterns of climatic shifts over time. We evaluated the differences between samplings in flowering time, a key life-history trait with adaptive significance, with a field experiment. We also estimated genetic diversity and differentiation based on neutral nuclear markers and nucleotide diversity in candidate flowering time (FRI and FLC) and seed dormancy (DOG1) genes. The role of genetic drift was estimated by computing effective population sizes with the temporal method. Overall, two climatic scenarios were detected: intense warming with increased precipitation and moderate warming with decreased precipitation. The average flowering time varied little between samplings. Instead, within-population variation in flowering time exhibited a decreasing trend over time. Substantial temporal changes in genetic diversity and differentiation were observed with both nuclear microsatellites and candidate genes in all populations, which were interpreted as the result of natural demographic fluctuations. We conclude that drought stress caused by moderate warming with decreased precipitation may have the potential to reduce within-population variation in key life-cycle traits, perhaps as a result of stabilizing selection on them, and to constrain the genetic differentiation over time. Besides, the demographic behaviour of populations probably accounts for the substantial temporal patterns of genetic variation, while keeping rather constant those of phenotypic variation.</v>
      </c>
      <c r="C21" s="24" t="str">
        <f>IFERROR(__xludf.DUMMYFUNCTION("""COMPUTED_VALUE"""),"10.1093/aobpla/ply063")</f>
        <v>10.1093/aobpla/ply063</v>
      </c>
      <c r="D21" s="24" t="str">
        <f>IFERROR(__xludf.DUMMYFUNCTION("""COMPUTED_VALUE"""),"shaw et al")</f>
        <v>shaw et al</v>
      </c>
      <c r="E21" s="24" t="str">
        <f>IFERROR(__xludf.DUMMYFUNCTION("""COMPUTED_VALUE"""),"WOS:000450011500015")</f>
        <v>WOS:000450011500015</v>
      </c>
      <c r="F21" s="24" t="str">
        <f>IFERROR(__xludf.DUMMYFUNCTION("""COMPUTED_VALUE"""),"[""ELIGIBLE""]")</f>
        <v>["ELIGIBLE"]</v>
      </c>
    </row>
    <row r="22">
      <c r="A22" s="24" t="str">
        <f>IFERROR(__xludf.DUMMYFUNCTION("""COMPUTED_VALUE"""),"Contemporary evolution of plant reproductive strategies under global change is revealed by stored seeds")</f>
        <v>Contemporary evolution of plant reproductive strategies under global change is revealed by stored seeds</v>
      </c>
      <c r="B22" s="24" t="str">
        <f>IFERROR(__xludf.DUMMYFUNCTION("""COMPUTED_VALUE"""),"Global change is expected to impose new selection pressures on natural populations. Phenotypic responses, such as earlier phenology in response to climate warming, have been repeatedly observed in the field. The recent pollinator decline is also expected "&amp;"to change selection on reproductive traits in flowering plants. However, it remains unclear whether short-term adaptation of plant reproductive strategies occurs in response to global change. In this study, we report the evolution of some important reprod"&amp;"uctive traits of the annual self-incompatible weed Centaurea cyanus. In a common garden experiment, we germinated stored seeds, sampled 18years apart from the same location, in a region where warmer springs and indices of pollinator decline have been repo"&amp;"rted. Compared to the ancestral population (1992), our results showed that plants of the descendant population (2010) flowered earlier and also produced larger capitula with longer receptivity and a larger floral display. Q(ST)-F-ST comparisons indicated "&amp;"that natural selection has likely contributed to the evolution of some of the traits investigated. Lower F-ST within temporal samples than among spatial samples further suggests a limited role of gene flow from neighbouring populations. We therefore propo"&amp;"se that trait shifts could partly be due to adaptation to global change.")</f>
        <v>Global change is expected to impose new selection pressures on natural populations. Phenotypic responses, such as earlier phenology in response to climate warming, have been repeatedly observed in the field. The recent pollinator decline is also expected to change selection on reproductive traits in flowering plants. However, it remains unclear whether short-term adaptation of plant reproductive strategies occurs in response to global change. In this study, we report the evolution of some important reproductive traits of the annual self-incompatible weed Centaurea cyanus. In a common garden experiment, we germinated stored seeds, sampled 18years apart from the same location, in a region where warmer springs and indices of pollinator decline have been reported. Compared to the ancestral population (1992), our results showed that plants of the descendant population (2010) flowered earlier and also produced larger capitula with longer receptivity and a larger floral display. Q(ST)-F-ST comparisons indicated that natural selection has likely contributed to the evolution of some of the traits investigated. Lower F-ST within temporal samples than among spatial samples further suggests a limited role of gene flow from neighbouring populations. We therefore propose that trait shifts could partly be due to adaptation to global change.</v>
      </c>
      <c r="C22" s="24" t="str">
        <f>IFERROR(__xludf.DUMMYFUNCTION("""COMPUTED_VALUE"""),"10.1111/jeb.12603")</f>
        <v>10.1111/jeb.12603</v>
      </c>
      <c r="D22" s="24" t="str">
        <f>IFERROR(__xludf.DUMMYFUNCTION("""COMPUTED_VALUE"""),"shaw et al")</f>
        <v>shaw et al</v>
      </c>
      <c r="E22" s="24" t="str">
        <f>IFERROR(__xludf.DUMMYFUNCTION("""COMPUTED_VALUE"""),"WOS:000353295200003")</f>
        <v>WOS:000353295200003</v>
      </c>
      <c r="F22" s="24" t="str">
        <f>IFERROR(__xludf.DUMMYFUNCTION("""COMPUTED_VALUE"""),"[""ELIGIBLE""]")</f>
        <v>["ELIGIBLE"]</v>
      </c>
    </row>
    <row r="23">
      <c r="A23" s="24" t="str">
        <f>IFERROR(__xludf.DUMMYFUNCTION("""COMPUTED_VALUE"""),"Genetic signatures through space, time and multiple disturbances in a ubiquitous brooding coral")</f>
        <v>Genetic signatures through space, time and multiple disturbances in a ubiquitous brooding coral</v>
      </c>
      <c r="B23" s="24" t="str">
        <f>IFERROR(__xludf.DUMMYFUNCTION("""COMPUTED_VALUE"""),"The predominance of self-recruitment in many reef-building corals has fundamental and complex consequences for their genetic diversity, population persistence and responses to climate change. Knowledge of genetic structure over local scales needs to be pl"&amp;"aced within a broad spatial context, and also integrated with genetic monitoring through time to disentangle these consequences. Here, we examined patterns of genetic diversity over multiple spatio-temporal scales across tropical Australia in the ubiquito"&amp;"us brooding coral, Seriatopora hystrix. We also analysed complimentary environmental and demographic data to elucidate the seascape drivers of these patterns. Large genetic differences were detected between the east vs. west coasts of Australia. In northw"&amp;"est Australia, geographic differentiation dominated genetic structure over multiple scales. However, three sympatric lineages were detected at the largest offshore reef system (Scott Reef). Similar to the differences observed among putative species in eas"&amp;"tern Australia, these lineages were associated with different levels of wave exposure. Local genetic structure within the Scott Reef system was relatively stable over 10 years, but temporal differences were observed that reflected small but important gene"&amp;"tic changes over a few generations during recovery after severe bleaching. These results highlight the importance of self-recruitment together with occasional longer distance connectivity for the persistence of a metapopulation across spatially and tempor"&amp;"ally variable environments. Our multidimensional research provides a foundation for further long-term genetic monitoring to inform conservation strategies and highlights that sampling scales, ecological effects and cryptic diversity are important consider"&amp;"ations to develop realistic understanding of the evolutionary resilience of corals.")</f>
        <v>The predominance of self-recruitment in many reef-building corals has fundamental and complex consequences for their genetic diversity, population persistence and responses to climate change. Knowledge of genetic structure over local scales needs to be placed within a broad spatial context, and also integrated with genetic monitoring through time to disentangle these consequences. Here, we examined patterns of genetic diversity over multiple spatio-temporal scales across tropical Australia in the ubiquitous brooding coral, Seriatopora hystrix. We also analysed complimentary environmental and demographic data to elucidate the seascape drivers of these patterns. Large genetic differences were detected between the east vs. west coasts of Australia. In northwest Australia, geographic differentiation dominated genetic structure over multiple scales. However, three sympatric lineages were detected at the largest offshore reef system (Scott Reef). Similar to the differences observed among putative species in eastern Australia, these lineages were associated with different levels of wave exposure. Local genetic structure within the Scott Reef system was relatively stable over 10 years, but temporal differences were observed that reflected small but important genetic changes over a few generations during recovery after severe bleaching. These results highlight the importance of self-recruitment together with occasional longer distance connectivity for the persistence of a metapopulation across spatially and temporally variable environments. Our multidimensional research provides a foundation for further long-term genetic monitoring to inform conservation strategies and highlights that sampling scales, ecological effects and cryptic diversity are important considerations to develop realistic understanding of the evolutionary resilience of corals.</v>
      </c>
      <c r="C23" s="24" t="str">
        <f>IFERROR(__xludf.DUMMYFUNCTION("""COMPUTED_VALUE"""),"10.1111/mec.14559")</f>
        <v>10.1111/mec.14559</v>
      </c>
      <c r="D23" s="24" t="str">
        <f>IFERROR(__xludf.DUMMYFUNCTION("""COMPUTED_VALUE"""),"shaw et al")</f>
        <v>shaw et al</v>
      </c>
      <c r="E23" s="24" t="str">
        <f>IFERROR(__xludf.DUMMYFUNCTION("""COMPUTED_VALUE"""),"WOS:000430919600006")</f>
        <v>WOS:000430919600006</v>
      </c>
      <c r="F23" s="24" t="str">
        <f>IFERROR(__xludf.DUMMYFUNCTION("""COMPUTED_VALUE"""),"[""ELIGIBLE""]")</f>
        <v>["ELIGIBLE"]</v>
      </c>
    </row>
    <row r="24">
      <c r="A24" s="24" t="str">
        <f>IFERROR(__xludf.DUMMYFUNCTION("""COMPUTED_VALUE"""),"Location and disturbance affect population genetic structure in four coral species of the genus Acropora on the Great Barrier Reef")</f>
        <v>Location and disturbance affect population genetic structure in four coral species of the genus Acropora on the Great Barrier Reef</v>
      </c>
      <c r="B24" s="24" t="str">
        <f>IFERROR(__xludf.DUMMYFUNCTION("""COMPUTED_VALUE"""),"The impact of a mass bleaching event on temporal and spatial population genetic structure in 4 scleractinian coral species in the Acropora aspera group was studied around the Palm Islands in the central Great Barrier Reef. Species status of sympatric popu"&amp;"lations of 2 of the 4 species, A. millepora and A. spathulata, was confirmed by the population genetic data; these species have recently been separated based on morphological and breeding characters. Spatial analyses of population samples from 2004 detect"&amp;"ed differences in the level of gene flow among locations. No significant genetic differentiation was inferred between conspecific populations at Orpheus and Pelorus Islands, which are both located in the northern part of the island group and separated by "&amp;"similar to 1000 m. In contrast, all populations at Fantome Island were genetically differentiated, despite this island being located only 11 km south. Sampling of A. millepora and A. pulchra in the year prior to the 1998 mass bleaching event enabled a tem"&amp;"poral comparison across this event. The genetic composition of these populations changed between 1997 and 2004, but patterns of genetic differentiation among locations were similar in 1997 and 2004. Extensive mortality of these species following the 1998 "&amp;"bleaching event did not cause an apparent reduction in genetic diversity and identical multi-locus genotypes were encountered in both temporal samples, suggesting that re-growth of surviving genotypes contributed to the recovery of these populations. Comp"&amp;"arisons among the 4 study species revealed lower genetic diversity in A. papillare, consistent with its low abundance throughout its distributional range.")</f>
        <v>The impact of a mass bleaching event on temporal and spatial population genetic structure in 4 scleractinian coral species in the Acropora aspera group was studied around the Palm Islands in the central Great Barrier Reef. Species status of sympatric populations of 2 of the 4 species, A. millepora and A. spathulata, was confirmed by the population genetic data; these species have recently been separated based on morphological and breeding characters. Spatial analyses of population samples from 2004 detected differences in the level of gene flow among locations. No significant genetic differentiation was inferred between conspecific populations at Orpheus and Pelorus Islands, which are both located in the northern part of the island group and separated by similar to 1000 m. In contrast, all populations at Fantome Island were genetically differentiated, despite this island being located only 11 km south. Sampling of A. millepora and A. pulchra in the year prior to the 1998 mass bleaching event enabled a temporal comparison across this event. The genetic composition of these populations changed between 1997 and 2004, but patterns of genetic differentiation among locations were similar in 1997 and 2004. Extensive mortality of these species following the 1998 bleaching event did not cause an apparent reduction in genetic diversity and identical multi-locus genotypes were encountered in both temporal samples, suggesting that re-growth of surviving genotypes contributed to the recovery of these populations. Comparisons among the 4 study species revealed lower genetic diversity in A. papillare, consistent with its low abundance throughout its distributional range.</v>
      </c>
      <c r="C24" s="24" t="str">
        <f>IFERROR(__xludf.DUMMYFUNCTION("""COMPUTED_VALUE"""),"10.3354/meps08740")</f>
        <v>10.3354/meps08740</v>
      </c>
      <c r="D24" s="24" t="str">
        <f>IFERROR(__xludf.DUMMYFUNCTION("""COMPUTED_VALUE"""),"shaw et al")</f>
        <v>shaw et al</v>
      </c>
      <c r="E24" s="24" t="str">
        <f>IFERROR(__xludf.DUMMYFUNCTION("""COMPUTED_VALUE"""),"WOS:000283446400003")</f>
        <v>WOS:000283446400003</v>
      </c>
      <c r="F24" s="24" t="str">
        <f>IFERROR(__xludf.DUMMYFUNCTION("""COMPUTED_VALUE"""),"[""ELIGIBLE""]")</f>
        <v>["ELIGIBLE"]</v>
      </c>
    </row>
    <row r="25">
      <c r="A25" s="24" t="str">
        <f>IFERROR(__xludf.DUMMYFUNCTION("""COMPUTED_VALUE"""),"Reduction of Genetic Diversity of the Harpy Eagle in Brazilian Tropical Forests")</f>
        <v>Reduction of Genetic Diversity of the Harpy Eagle in Brazilian Tropical Forests</v>
      </c>
      <c r="B25" s="24" t="str">
        <f>IFERROR(__xludf.DUMMYFUNCTION("""COMPUTED_VALUE"""),"Habitat loss and fragmentation intensify the effects of genetic drift and endogamy, reducing genetic variability of populations with serious consequences for wildlife conservation. The Harpy Eagle (Harpia harpyja) is a forest dwelling species that is cons"&amp;"idered near threatened and suffers from habitat loss in the forests of the Neotropical region. In this study, 72 historical and current samples were assessed using eight autosomal microsatellite markers to investigate the distribution of genetic diversity"&amp;" of the Harpy Eagle of the Amazonian and Atlantic forests in Brazil. The results showed that the genetic diversity of Harpy Eagle decreased in the regions where deforestation is intense in the southern Amazon and Atlantic Forest.")</f>
        <v>Habitat loss and fragmentation intensify the effects of genetic drift and endogamy, reducing genetic variability of populations with serious consequences for wildlife conservation. The Harpy Eagle (Harpia harpyja) is a forest dwelling species that is considered near threatened and suffers from habitat loss in the forests of the Neotropical region. In this study, 72 historical and current samples were assessed using eight autosomal microsatellite markers to investigate the distribution of genetic diversity of the Harpy Eagle of the Amazonian and Atlantic forests in Brazil. The results showed that the genetic diversity of Harpy Eagle decreased in the regions where deforestation is intense in the southern Amazon and Atlantic Forest.</v>
      </c>
      <c r="C25" s="24" t="str">
        <f>IFERROR(__xludf.DUMMYFUNCTION("""COMPUTED_VALUE"""),"10.1371/journal.pone.0148902")</f>
        <v>10.1371/journal.pone.0148902</v>
      </c>
      <c r="D25" s="24" t="str">
        <f>IFERROR(__xludf.DUMMYFUNCTION("""COMPUTED_VALUE"""),"shaw et al")</f>
        <v>shaw et al</v>
      </c>
      <c r="E25" s="24" t="str">
        <f>IFERROR(__xludf.DUMMYFUNCTION("""COMPUTED_VALUE"""),"WOS:000370054100071")</f>
        <v>WOS:000370054100071</v>
      </c>
      <c r="F25" s="24" t="str">
        <f>IFERROR(__xludf.DUMMYFUNCTION("""COMPUTED_VALUE"""),"[""ELIGIBLE""]")</f>
        <v>["ELIGIBLE"]</v>
      </c>
    </row>
    <row r="26">
      <c r="A26" s="24" t="str">
        <f>IFERROR(__xludf.DUMMYFUNCTION("""COMPUTED_VALUE"""),"The Genetic Effects of Ecological Disturbance: Flooding in Jumping Mice")</f>
        <v>The Genetic Effects of Ecological Disturbance: Flooding in Jumping Mice</v>
      </c>
      <c r="B26" s="24" t="str">
        <f>IFERROR(__xludf.DUMMYFUNCTION("""COMPUTED_VALUE"""),"Pacific jumping mice (Zapus trinotatus) live in riparian habitats that are discontinuously distributed and subject to regular flooding. Both of these characteristics have a spatial component. Habitat-restricted dispersal frequently leads to spatial geneti"&amp;"c structure among individuals, and flooding often imposes spatially specific mortality. Here I report that following a severe flood, an interaction between these factors resulted in an immediate reduction of genetic diversity and genetic divergence of the"&amp;" postflood population. Survival was spatially biased toward more closely related individuals, and this was propagated throughout the postflood population by changes in reproduction. Not only did the number of closely related breeding pairs increase, but s"&amp;"o did the production of offspring by individuals. These changes precipitated strong genetic effects, including a reduction in observed heterozygosity, an increase in relatedness, a doubling of inbreeding levels, and significant genetic divergence from pre"&amp;"vious years.")</f>
        <v>Pacific jumping mice (Zapus trinotatus) live in riparian habitats that are discontinuously distributed and subject to regular flooding. Both of these characteristics have a spatial component. Habitat-restricted dispersal frequently leads to spatial genetic structure among individuals, and flooding often imposes spatially specific mortality. Here I report that following a severe flood, an interaction between these factors resulted in an immediate reduction of genetic diversity and genetic divergence of the postflood population. Survival was spatially biased toward more closely related individuals, and this was propagated throughout the postflood population by changes in reproduction. Not only did the number of closely related breeding pairs increase, but so did the production of offspring by individuals. These changes precipitated strong genetic effects, including a reduction in observed heterozygosity, an increase in relatedness, a doubling of inbreeding levels, and significant genetic divergence from previous years.</v>
      </c>
      <c r="C26" s="24" t="str">
        <f>IFERROR(__xludf.DUMMYFUNCTION("""COMPUTED_VALUE"""),"10.1086/648606")</f>
        <v>10.1086/648606</v>
      </c>
      <c r="D26" s="24" t="str">
        <f>IFERROR(__xludf.DUMMYFUNCTION("""COMPUTED_VALUE"""),"shaw et al")</f>
        <v>shaw et al</v>
      </c>
      <c r="E26" s="24" t="str">
        <f>IFERROR(__xludf.DUMMYFUNCTION("""COMPUTED_VALUE"""),"WOS:000272372200014")</f>
        <v>WOS:000272372200014</v>
      </c>
      <c r="F26" s="24" t="str">
        <f>IFERROR(__xludf.DUMMYFUNCTION("""COMPUTED_VALUE"""),"[""ELIGIBLE""]")</f>
        <v>["ELIGIBLE"]</v>
      </c>
    </row>
    <row r="27">
      <c r="A27" s="24" t="str">
        <f>IFERROR(__xludf.DUMMYFUNCTION("""COMPUTED_VALUE"""),"Rapid loss of genetic variation in an endangered possum")</f>
        <v>Rapid loss of genetic variation in an endangered possum</v>
      </c>
      <c r="B27" s="24" t="str">
        <f>IFERROR(__xludf.DUMMYFUNCTION("""COMPUTED_VALUE"""),"The endangered mountain pygmy possum is the only Australian marsupial that hibernates under snow cover. Most of its alpine habitat was burnt by a rare fire in 2003, and habitat loss and disturbance have also occurred owing to ski resort development. Here "&amp;"we show that there has been a rapid loss of genetic variation following habitat loss associated with resort development, but no detectable loss of alleles or decrease in heterozygosity following the fire.")</f>
        <v>The endangered mountain pygmy possum is the only Australian marsupial that hibernates under snow cover. Most of its alpine habitat was burnt by a rare fire in 2003, and habitat loss and disturbance have also occurred owing to ski resort development. Here we show that there has been a rapid loss of genetic variation following habitat loss associated with resort development, but no detectable loss of alleles or decrease in heterozygosity following the fire.</v>
      </c>
      <c r="C27" s="24" t="str">
        <f>IFERROR(__xludf.DUMMYFUNCTION("""COMPUTED_VALUE"""),"10.1098/rsbl.2007.0454")</f>
        <v>10.1098/rsbl.2007.0454</v>
      </c>
      <c r="D27" s="24" t="str">
        <f>IFERROR(__xludf.DUMMYFUNCTION("""COMPUTED_VALUE"""),"shaw et al")</f>
        <v>shaw et al</v>
      </c>
      <c r="E27" s="24" t="str">
        <f>IFERROR(__xludf.DUMMYFUNCTION("""COMPUTED_VALUE"""),"WOS:000252212900043")</f>
        <v>WOS:000252212900043</v>
      </c>
      <c r="F27" s="24" t="str">
        <f>IFERROR(__xludf.DUMMYFUNCTION("""COMPUTED_VALUE"""),"[""ELIGIBLE""]")</f>
        <v>["ELIGIBLE"]</v>
      </c>
    </row>
    <row r="28">
      <c r="A28" s="24" t="str">
        <f>IFERROR(__xludf.DUMMYFUNCTION("""COMPUTED_VALUE"""),"Connectivity rescues genetic diversity after a demographic bottleneck in a butterfly population network")</f>
        <v>Connectivity rescues genetic diversity after a demographic bottleneck in a butterfly population network</v>
      </c>
      <c r="B28" s="24" t="str">
        <f>IFERROR(__xludf.DUMMYFUNCTION("""COMPUTED_VALUE"""),"Demographic bottlenecks that occur when populations fluctuate in size erode genetic diversity, but that diversity can be recovered through immigration. Connectivity among populations and habitat patches in the landscape enhances immigration and should in "&amp;"turn facilitate recovery of genetic diversity after a sudden reduction in population size. For the conservation of genetic diversity, it may therefore be particularly important to maintain connectivity in the face of factors that increase demographic inst"&amp;"ability, such as climate change. However, a direct link between connectivity and recovery of genetic diversity after a demographic bottleneck has not been clearly demonstrated in an empirical system. Here, we show that connectivity of habitat patches in t"&amp;"he landscape contributes to the maintenance of genetic diversity after a demographic bottleneck. We were able to monitor genetic diversity in a network of populations of the alpine butterfly, Parnassius smintheus, before, during, and after a severe reduct"&amp;"ion in population size that lasted two generations. We found that allelic diversity in the network declined after the demographic bottleneck but that less allelic diversity was lost from populations occupying habitat patches with higher connectivity. Furt"&amp;"hermore, the effect of connectivity on allelic diversity was important during the demographic recovery phase. Our results demonstrate directly the ability of connectivity to mediate the rescue of genetic diversity in a natural system.")</f>
        <v>Demographic bottlenecks that occur when populations fluctuate in size erode genetic diversity, but that diversity can be recovered through immigration. Connectivity among populations and habitat patches in the landscape enhances immigration and should in turn facilitate recovery of genetic diversity after a sudden reduction in population size. For the conservation of genetic diversity, it may therefore be particularly important to maintain connectivity in the face of factors that increase demographic instability, such as climate change. However, a direct link between connectivity and recovery of genetic diversity after a demographic bottleneck has not been clearly demonstrated in an empirical system. Here, we show that connectivity of habitat patches in the landscape contributes to the maintenance of genetic diversity after a demographic bottleneck. We were able to monitor genetic diversity in a network of populations of the alpine butterfly, Parnassius smintheus, before, during, and after a severe reduction in population size that lasted two generations. We found that allelic diversity in the network declined after the demographic bottleneck but that less allelic diversity was lost from populations occupying habitat patches with higher connectivity. Furthermore, the effect of connectivity on allelic diversity was important during the demographic recovery phase. Our results demonstrate directly the ability of connectivity to mediate the rescue of genetic diversity in a natural system.</v>
      </c>
      <c r="C28" s="24" t="str">
        <f>IFERROR(__xludf.DUMMYFUNCTION("""COMPUTED_VALUE"""),"10.1073/pnas.1600865113")</f>
        <v>10.1073/pnas.1600865113</v>
      </c>
      <c r="D28" s="24" t="str">
        <f>IFERROR(__xludf.DUMMYFUNCTION("""COMPUTED_VALUE"""),"shaw et al")</f>
        <v>shaw et al</v>
      </c>
      <c r="E28" s="24" t="str">
        <f>IFERROR(__xludf.DUMMYFUNCTION("""COMPUTED_VALUE"""),"WOS:000383954700047")</f>
        <v>WOS:000383954700047</v>
      </c>
      <c r="F28" s="24" t="str">
        <f>IFERROR(__xludf.DUMMYFUNCTION("""COMPUTED_VALUE"""),"[""ELIGIBLE""]")</f>
        <v>["ELIGIBLE"]</v>
      </c>
    </row>
    <row r="29">
      <c r="A29" s="24" t="str">
        <f>IFERROR(__xludf.DUMMYFUNCTION("""COMPUTED_VALUE"""),"Phenotypic and genotypic changes in French populations of Phytophthora infestans: are invasive clones the most aggressive?")</f>
        <v>Phenotypic and genotypic changes in French populations of Phytophthora infestans: are invasive clones the most aggressive?</v>
      </c>
      <c r="B29" s="24" t="str">
        <f>IFERROR(__xludf.DUMMYFUNCTION("""COMPUTED_VALUE"""),"The main objective of this investigation was to test the always more aggressive' hypothesis, often advocated to explain lineage replacements in clonal populations of the potato late blight oomycete Phytophthora infestans. To this end, genotypic and pathog"&amp;"enicity data on 1274 French isolates of P. infestans, collected over the period 2001-2008, were analysed. Overall, the populations sampled showed limited genetic diversity, with four multilocus lineages (1_A1, 2_A1, 8_A1 and 13_A2) accounting for over 80%"&amp;" of the isolates collected. As in other West European countries, drastic changes in these dominant clonal lineages were observed over the course of the 8years, particularly in the appearance and propagation of the clone 13_A2. However, invasiveness of clo"&amp;"nes was not associated with higher aggressiveness; on the contrary, dominant clones had generally low or moderate aggressiveness relative to others present at the same time within the same populations. This finding challenges the link between invasive beh"&amp;"aviour and increased aggressiveness often assumed for this biotrophic pathogen, and could reflect the existence of a trade-off between intra-season and inter-season transmission. This would be consistent with the concept of inclusive fitness, which involv"&amp;"es the abilities to both reproduce and survive.")</f>
        <v>The main objective of this investigation was to test the always more aggressive' hypothesis, often advocated to explain lineage replacements in clonal populations of the potato late blight oomycete Phytophthora infestans. To this end, genotypic and pathogenicity data on 1274 French isolates of P. infestans, collected over the period 2001-2008, were analysed. Overall, the populations sampled showed limited genetic diversity, with four multilocus lineages (1_A1, 2_A1, 8_A1 and 13_A2) accounting for over 80% of the isolates collected. As in other West European countries, drastic changes in these dominant clonal lineages were observed over the course of the 8years, particularly in the appearance and propagation of the clone 13_A2. However, invasiveness of clones was not associated with higher aggressiveness; on the contrary, dominant clones had generally low or moderate aggressiveness relative to others present at the same time within the same populations. This finding challenges the link between invasive behaviour and increased aggressiveness often assumed for this biotrophic pathogen, and could reflect the existence of a trade-off between intra-season and inter-season transmission. This would be consistent with the concept of inclusive fitness, which involves the abilities to both reproduce and survive.</v>
      </c>
      <c r="C29" s="24" t="str">
        <f>IFERROR(__xludf.DUMMYFUNCTION("""COMPUTED_VALUE"""),"10.1111/ppa.12441")</f>
        <v>10.1111/ppa.12441</v>
      </c>
      <c r="D29" s="24" t="str">
        <f>IFERROR(__xludf.DUMMYFUNCTION("""COMPUTED_VALUE"""),"shaw et al")</f>
        <v>shaw et al</v>
      </c>
      <c r="E29" s="24" t="str">
        <f>IFERROR(__xludf.DUMMYFUNCTION("""COMPUTED_VALUE"""),"WOS:000373943900007")</f>
        <v>WOS:000373943900007</v>
      </c>
      <c r="F29" s="24" t="str">
        <f>IFERROR(__xludf.DUMMYFUNCTION("""COMPUTED_VALUE"""),"[""ELIGIBLE""]")</f>
        <v>["ELIGIBLE"]</v>
      </c>
    </row>
    <row r="30">
      <c r="A30" s="24" t="str">
        <f>IFERROR(__xludf.DUMMYFUNCTION("""COMPUTED_VALUE"""),"Climate-induced range contraction drives genetic erosion in an alpine mammal")</f>
        <v>Climate-induced range contraction drives genetic erosion in an alpine mammal</v>
      </c>
      <c r="B30" s="24" t="str">
        <f>IFERROR(__xludf.DUMMYFUNCTION("""COMPUTED_VALUE"""),"Increasing documentation of changes in the distribution of species provides evidence of climate change impacts(1), yet surprisingly little empirical work has endeavoured to quantify how such recent and rapid changes impact genetic diversity(2). Here we co"&amp;"mpare modern and historical specimens spanning a century to quantify the population genetic effects of a climate-driven elevational range contraction in the alpine chipmunk, Tamias alpinus, in Yosemite National Park, USA. Previous work showed that T. alpi"&amp;"nus responded to warming in the park by retracting its lower elevational limit upslope by more than 500 m, whereas the closely related chipmunk T. speciosus remained stable(3,4). Consistent with a reduced and more fragmented range, we found a decline in o"&amp;"verall genetic diversity and increased genetic subdivision in T. alpinus. In contrast, there were no significant genetic changes in T. speciosus over the same time period. This study demonstrates genetic erosion accompanying a climate-induced range reduct"&amp;"ion and points to decreasing size and increasing fragmentation of montane populations as a result of global warming.")</f>
        <v>Increasing documentation of changes in the distribution of species provides evidence of climate change impacts(1), yet surprisingly little empirical work has endeavoured to quantify how such recent and rapid changes impact genetic diversity(2). Here we compare modern and historical specimens spanning a century to quantify the population genetic effects of a climate-driven elevational range contraction in the alpine chipmunk, Tamias alpinus, in Yosemite National Park, USA. Previous work showed that T. alpinus responded to warming in the park by retracting its lower elevational limit upslope by more than 500 m, whereas the closely related chipmunk T. speciosus remained stable(3,4). Consistent with a reduced and more fragmented range, we found a decline in overall genetic diversity and increased genetic subdivision in T. alpinus. In contrast, there were no significant genetic changes in T. speciosus over the same time period. This study demonstrates genetic erosion accompanying a climate-induced range reduction and points to decreasing size and increasing fragmentation of montane populations as a result of global warming.</v>
      </c>
      <c r="C30" s="24" t="str">
        <f>IFERROR(__xludf.DUMMYFUNCTION("""COMPUTED_VALUE"""),"10.1038/NCLIMATE1415")</f>
        <v>10.1038/NCLIMATE1415</v>
      </c>
      <c r="D30" s="24" t="str">
        <f>IFERROR(__xludf.DUMMYFUNCTION("""COMPUTED_VALUE"""),"shaw et al")</f>
        <v>shaw et al</v>
      </c>
      <c r="E30" s="24" t="str">
        <f>IFERROR(__xludf.DUMMYFUNCTION("""COMPUTED_VALUE"""),"WOS:000302672800024")</f>
        <v>WOS:000302672800024</v>
      </c>
      <c r="F30" s="24" t="str">
        <f>IFERROR(__xludf.DUMMYFUNCTION("""COMPUTED_VALUE"""),"[""ELIGIBLE""]")</f>
        <v>["ELIGIBLE"]</v>
      </c>
    </row>
    <row r="31">
      <c r="A31" s="24" t="str">
        <f>IFERROR(__xludf.DUMMYFUNCTION("""COMPUTED_VALUE"""),"Effects of Cold Winters on the Genetic Diversity of an Estuarine Fish, the Spotted Seatrout")</f>
        <v>Effects of Cold Winters on the Genetic Diversity of an Estuarine Fish, the Spotted Seatrout</v>
      </c>
      <c r="B31" s="24" t="str">
        <f>IFERROR(__xludf.DUMMYFUNCTION("""COMPUTED_VALUE"""),"Spotted Seatrout Cynoscion nebulosus are recreationally important fish that have been harvested in South Carolina for centuries. The Spotted Seatrout in South Carolina suffered substantial declines in estuarine abundance during the cold winters of 2000, 2"&amp;"009, and 2010, when water temperatures dropped below their tolerance threshold. As these population declines may result in genetic bottlenecks and their repetitive occurrence over a short timescale could reduce the population's adaptive potential, we esti"&amp;"mated the genetic diversity and effective population size (N-e) of the Charleston Harbor Spotted Seatrout population at six time points related to recent cold winters using a suite of 13 microsatellite markers. Grouping individuals by year-class (fish spa"&amp;"wned in the same year) was the most appropriate and effective method for measuring interannual fluctuations in observed and expected heterozygosity and allelic richness, superior to partitioning fish by collection year. The genetic diversity of Spotted Se"&amp;"atrout was significantly influenced by catch per unit effort, although only minor changes were observed and N-e remained high. Short overlapping generations appear to allow Spotted Seatrout to genetically recover during population growth and maintain mode"&amp;"rate levels of genetic diversity.")</f>
        <v>Spotted Seatrout Cynoscion nebulosus are recreationally important fish that have been harvested in South Carolina for centuries. The Spotted Seatrout in South Carolina suffered substantial declines in estuarine abundance during the cold winters of 2000, 2009, and 2010, when water temperatures dropped below their tolerance threshold. As these population declines may result in genetic bottlenecks and their repetitive occurrence over a short timescale could reduce the population's adaptive potential, we estimated the genetic diversity and effective population size (N-e) of the Charleston Harbor Spotted Seatrout population at six time points related to recent cold winters using a suite of 13 microsatellite markers. Grouping individuals by year-class (fish spawned in the same year) was the most appropriate and effective method for measuring interannual fluctuations in observed and expected heterozygosity and allelic richness, superior to partitioning fish by collection year. The genetic diversity of Spotted Seatrout was significantly influenced by catch per unit effort, although only minor changes were observed and N-e remained high. Short overlapping generations appear to allow Spotted Seatrout to genetically recover during population growth and maintain moderate levels of genetic diversity.</v>
      </c>
      <c r="C31" s="24" t="str">
        <f>IFERROR(__xludf.DUMMYFUNCTION("""COMPUTED_VALUE"""),"10.1080/19425120.2016.1152333")</f>
        <v>10.1080/19425120.2016.1152333</v>
      </c>
      <c r="D31" s="24" t="str">
        <f>IFERROR(__xludf.DUMMYFUNCTION("""COMPUTED_VALUE"""),"shaw et al")</f>
        <v>shaw et al</v>
      </c>
      <c r="E31" s="24" t="str">
        <f>IFERROR(__xludf.DUMMYFUNCTION("""COMPUTED_VALUE"""),"WOS:000379770200020")</f>
        <v>WOS:000379770200020</v>
      </c>
      <c r="F31" s="24" t="str">
        <f>IFERROR(__xludf.DUMMYFUNCTION("""COMPUTED_VALUE"""),"[""ELIGIBLE""]")</f>
        <v>["ELIGIBLE"]</v>
      </c>
    </row>
    <row r="32">
      <c r="A32" s="24" t="str">
        <f>IFERROR(__xludf.DUMMYFUNCTION("""COMPUTED_VALUE"""),"Range-wide fragmentation in a threatened fish associated with post-European settlement modification in the Murray-Darling Basin, Australia")</f>
        <v>Range-wide fragmentation in a threatened fish associated with post-European settlement modification in the Murray-Darling Basin, Australia</v>
      </c>
      <c r="B32" s="24" t="str">
        <f>IFERROR(__xludf.DUMMYFUNCTION("""COMPUTED_VALUE"""),"Distinguishing the relative influence of historic (i.e. natural) versus anthropogenic factors in metapopulation structure is an important but often overlooked step in management programs of threatened species. Biotas in freshwater wetlands and floodplains"&amp;", such as those in the Murray-Darling Basin (MDB)-one of Australia's most impacted ecosystems, are particularly susceptible to anthropogenic fragmentation. Here we present a comprehensive multilocus assessment of genetic variation in the threatened southe"&amp;"rn pygmy perch Nannoperca australis (578 individuals; 45 localities; microsatellite, allozyme and mitochondrial DNA datasets), an ecological specialist with low dispersal potential. We assess patterns of spatial structure and genetic diversity in populati"&amp;"ons spanning the highly fragmented MDB and test whether recent anthropogenic modification has disrupted range-wide connectivity. We detected strong and hierarchical population structure, very low genetic diversity and lack of contemporary gene flow across"&amp;" the MDB. In contrast, the apparent absence of pronounced or long-term phylogeographic structure suggests that observed population divergences generally do not reflect deeply historic natural fragmentation. Coalescent-based analyses supported this inferen"&amp;"ce, revealing that divergence times between populations from the upper and lower MDB fall into the period of European settlement. It appears that the observed contemporary isolation of populations is partly explained by the severe modification of the MDB "&amp;"post-dating the onset of European settlement. Our integrated approach substantially improves the interpretation of how fragmentation impacts present-day biodiversity. It also provides novel contributions for risk-assessing management actions in the contex"&amp;"t of captive breeding and translocations of small freshwater fishes, a group of increasing global conservation concern.")</f>
        <v>Distinguishing the relative influence of historic (i.e. natural) versus anthropogenic factors in metapopulation structure is an important but often overlooked step in management programs of threatened species. Biotas in freshwater wetlands and floodplains, such as those in the Murray-Darling Basin (MDB)-one of Australia's most impacted ecosystems, are particularly susceptible to anthropogenic fragmentation. Here we present a comprehensive multilocus assessment of genetic variation in the threatened southern pygmy perch Nannoperca australis (578 individuals; 45 localities; microsatellite, allozyme and mitochondrial DNA datasets), an ecological specialist with low dispersal potential. We assess patterns of spatial structure and genetic diversity in populations spanning the highly fragmented MDB and test whether recent anthropogenic modification has disrupted range-wide connectivity. We detected strong and hierarchical population structure, very low genetic diversity and lack of contemporary gene flow across the MDB. In contrast, the apparent absence of pronounced or long-term phylogeographic structure suggests that observed population divergences generally do not reflect deeply historic natural fragmentation. Coalescent-based analyses supported this inference, revealing that divergence times between populations from the upper and lower MDB fall into the period of European settlement. It appears that the observed contemporary isolation of populations is partly explained by the severe modification of the MDB post-dating the onset of European settlement. Our integrated approach substantially improves the interpretation of how fragmentation impacts present-day biodiversity. It also provides novel contributions for risk-assessing management actions in the context of captive breeding and translocations of small freshwater fishes, a group of increasing global conservation concern.</v>
      </c>
      <c r="C32" s="24" t="str">
        <f>IFERROR(__xludf.DUMMYFUNCTION("""COMPUTED_VALUE"""),"10.1007/s10592-016-0868-8")</f>
        <v>10.1007/s10592-016-0868-8</v>
      </c>
      <c r="D32" s="24" t="str">
        <f>IFERROR(__xludf.DUMMYFUNCTION("""COMPUTED_VALUE"""),"shaw et al")</f>
        <v>shaw et al</v>
      </c>
      <c r="E32" s="24" t="str">
        <f>IFERROR(__xludf.DUMMYFUNCTION("""COMPUTED_VALUE"""),"WOS:000387222200012")</f>
        <v>WOS:000387222200012</v>
      </c>
      <c r="F32" s="24" t="str">
        <f>IFERROR(__xludf.DUMMYFUNCTION("""COMPUTED_VALUE"""),"[""ELIGIBLE""]")</f>
        <v>["ELIGIBLE"]</v>
      </c>
    </row>
    <row r="33">
      <c r="A33" s="24" t="str">
        <f>IFERROR(__xludf.DUMMYFUNCTION("""COMPUTED_VALUE"""),"Population genetics of south European Atlantic salmon under global change")</f>
        <v>Population genetics of south European Atlantic salmon under global change</v>
      </c>
      <c r="B33" s="24" t="str">
        <f>IFERROR(__xludf.DUMMYFUNCTION("""COMPUTED_VALUE"""),"Populations at the edge of species distributions are especially vulnerable to climate change. Genetic changes as well as modification of their population structure are expected as reactions to global warming. Atlantic salmon (Salmo salar) inhabiting south"&amp;" France has been chosen as a model for studying the effect of global warming in marginal populations during the last 15 years. Increased gene flow between neighboring populations and dichotomy of maturation age between sexes have been identified as two ma"&amp;"in population changes significantly associated with high values of the North Atlantic Oscillation index, a global climate indicator. Although occurrence of isolated populations in each river (or even tributary) is a paradigm for this species, at least in "&amp;"northern areas, increased gene flow between rivers is forecasted as long as climate warming increases, favoring metapopulations at regional level.")</f>
        <v>Populations at the edge of species distributions are especially vulnerable to climate change. Genetic changes as well as modification of their population structure are expected as reactions to global warming. Atlantic salmon (Salmo salar) inhabiting south France has been chosen as a model for studying the effect of global warming in marginal populations during the last 15 years. Increased gene flow between neighboring populations and dichotomy of maturation age between sexes have been identified as two main population changes significantly associated with high values of the North Atlantic Oscillation index, a global climate indicator. Although occurrence of isolated populations in each river (or even tributary) is a paradigm for this species, at least in northern areas, increased gene flow between rivers is forecasted as long as climate warming increases, favoring metapopulations at regional level.</v>
      </c>
      <c r="C33" s="24" t="str">
        <f>IFERROR(__xludf.DUMMYFUNCTION("""COMPUTED_VALUE"""),"10.1111/j.1365-2486.2009.01922.x")</f>
        <v>10.1111/j.1365-2486.2009.01922.x</v>
      </c>
      <c r="D33" s="24" t="str">
        <f>IFERROR(__xludf.DUMMYFUNCTION("""COMPUTED_VALUE"""),"shaw et al")</f>
        <v>shaw et al</v>
      </c>
      <c r="E33" s="24" t="str">
        <f>IFERROR(__xludf.DUMMYFUNCTION("""COMPUTED_VALUE"""),"WOS:000274419200004")</f>
        <v>WOS:000274419200004</v>
      </c>
      <c r="F33" s="24" t="str">
        <f>IFERROR(__xludf.DUMMYFUNCTION("""COMPUTED_VALUE"""),"[""ELIGIBLE""]")</f>
        <v>["ELIGIBLE"]</v>
      </c>
    </row>
    <row r="34">
      <c r="A34" s="24" t="str">
        <f>IFERROR(__xludf.DUMMYFUNCTION("""COMPUTED_VALUE"""),"Combining genetic and demographic data for prioritizing conservation actions: insights from a threatened fish species")</f>
        <v>Combining genetic and demographic data for prioritizing conservation actions: insights from a threatened fish species</v>
      </c>
      <c r="B34" s="24" t="str">
        <f>IFERROR(__xludf.DUMMYFUNCTION("""COMPUTED_VALUE"""),"Prioritizing and making efficient conservation plans for threatened populations requires information at both evolutionary and ecological timescales. Nevertheless, few studies integrate multidisciplinary approaches, mainly because of the difficulty for con"&amp;"servationists to assess simultaneously the evolutionary and ecological status of populations. Here, we sought to demonstrate how combining genetic and demographic analyses allows prioritizing and initiating conservation plans. To do so, we combined snapsh"&amp;"ot microsatellite data and a 30-year-long demographic survey on a threatened freshwater fish species (Parachondrostoma toxostoma) at the river basin scale. Our results revealed low levels of genetic diversity and weak effective population sizes (&lt;63 indiv"&amp;"iduals) in all populations. We further detected severe bottlenecks dating back to the last centuries (200-800 years ago), which may explain the differentiation of certain populations. The demographic survey revealed a general decrease in the spatial distr"&amp;"ibution and abundance of P. toxostoma over the last three decades. We conclude that demo-genetic approaches are essential for (1) identifying populations for which both evolutionary and ecological extinction risks are high; and (2) proposing conservation "&amp;"plans targeted toward these at risk populations, and accounting for the evolutionary history of populations. We suggest that demo-genetic approaches should be the norm in conservation practices.")</f>
        <v>Prioritizing and making efficient conservation plans for threatened populations requires information at both evolutionary and ecological timescales. Nevertheless, few studies integrate multidisciplinary approaches, mainly because of the difficulty for conservationists to assess simultaneously the evolutionary and ecological status of populations. Here, we sought to demonstrate how combining genetic and demographic analyses allows prioritizing and initiating conservation plans. To do so, we combined snapshot microsatellite data and a 30-year-long demographic survey on a threatened freshwater fish species (Parachondrostoma toxostoma) at the river basin scale. Our results revealed low levels of genetic diversity and weak effective population sizes (&lt;63 individuals) in all populations. We further detected severe bottlenecks dating back to the last centuries (200-800 years ago), which may explain the differentiation of certain populations. The demographic survey revealed a general decrease in the spatial distribution and abundance of P. toxostoma over the last three decades. We conclude that demo-genetic approaches are essential for (1) identifying populations for which both evolutionary and ecological extinction risks are high; and (2) proposing conservation plans targeted toward these at risk populations, and accounting for the evolutionary history of populations. We suggest that demo-genetic approaches should be the norm in conservation practices.</v>
      </c>
      <c r="C34" s="24" t="str">
        <f>IFERROR(__xludf.DUMMYFUNCTION("""COMPUTED_VALUE"""),"10.1002/ece3.645")</f>
        <v>10.1002/ece3.645</v>
      </c>
      <c r="D34" s="24" t="str">
        <f>IFERROR(__xludf.DUMMYFUNCTION("""COMPUTED_VALUE"""),"shaw et al")</f>
        <v>shaw et al</v>
      </c>
      <c r="E34" s="24" t="str">
        <f>IFERROR(__xludf.DUMMYFUNCTION("""COMPUTED_VALUE"""),"WOS:000323200800024")</f>
        <v>WOS:000323200800024</v>
      </c>
      <c r="F34" s="24" t="str">
        <f>IFERROR(__xludf.DUMMYFUNCTION("""COMPUTED_VALUE"""),"[""ELIGIBLE""]")</f>
        <v>["ELIGIBLE"]</v>
      </c>
    </row>
    <row r="35">
      <c r="A35" s="24" t="str">
        <f>IFERROR(__xludf.DUMMYFUNCTION("""COMPUTED_VALUE"""),"A range-wide genetic bottleneck overwhelms contemporary landscape factors and local abundance in shaping genetic patterns of an alpine butterfly (Lepidoptera: Pieridae: Colias behrii)")</f>
        <v>A range-wide genetic bottleneck overwhelms contemporary landscape factors and local abundance in shaping genetic patterns of an alpine butterfly (Lepidoptera: Pieridae: Colias behrii)</v>
      </c>
      <c r="B35" s="24" t="str">
        <f>IFERROR(__xludf.DUMMYFUNCTION("""COMPUTED_VALUE"""),"Spatial and environmental heterogeneity are major factors in structuring species distributions in alpine landscapes. These landscapes have also been affected by glacial advances and retreats, causing alpine taxa to undergo range shifts and demographic cha"&amp;"nges. These nonequilibrium population dynamics have the potential to obscure the effects of environmental factors on the distribution of genetic variation. Here, we investigate how demographic change and environmental factors influence genetic variation i"&amp;"n the alpine butterfly Colias behrii. Data from 14 microsatellite loci provide evidence of bottlenecks in all population samples. We test several alternative models of demography using approximate Bayesian computation (ABC), with the results favouring a m"&amp;"odel in which a recent bottleneck precedes rapid population growth. Applying independent calibrations to microsatellite loci and a nuclear gene, we estimate that this bottleneck affected both northern and southern populations 531281 years ago, coinciding "&amp;"with a period of global cooling. Using regression approaches, we attempt to separate the effects of population structure, geographical distance and landscape on patterns of population genetic differentiation. Only 40% of the variation in FST is explained "&amp;"by these models, with geographical distance and least-cost distance among meadow patches selected as the best predictors. Various measures of genetic diversity within populations are also decoupled from estimates of local abundance and habitat patch chara"&amp;"cteristics. Our results demonstrate that demographic change can have a disproportionate influence on genetic diversity in alpine species, contrasting with other studies that suggest landscape features control contemporary demographic processes in high-ele"&amp;"vation environments.")</f>
        <v>Spatial and environmental heterogeneity are major factors in structuring species distributions in alpine landscapes. These landscapes have also been affected by glacial advances and retreats, causing alpine taxa to undergo range shifts and demographic changes. These nonequilibrium population dynamics have the potential to obscure the effects of environmental factors on the distribution of genetic variation. Here, we investigate how demographic change and environmental factors influence genetic variation in the alpine butterfly Colias behrii. Data from 14 microsatellite loci provide evidence of bottlenecks in all population samples. We test several alternative models of demography using approximate Bayesian computation (ABC), with the results favouring a model in which a recent bottleneck precedes rapid population growth. Applying independent calibrations to microsatellite loci and a nuclear gene, we estimate that this bottleneck affected both northern and southern populations 531281 years ago, coinciding with a period of global cooling. Using regression approaches, we attempt to separate the effects of population structure, geographical distance and landscape on patterns of population genetic differentiation. Only 40% of the variation in FST is explained by these models, with geographical distance and least-cost distance among meadow patches selected as the best predictors. Various measures of genetic diversity within populations are also decoupled from estimates of local abundance and habitat patch characteristics. Our results demonstrate that demographic change can have a disproportionate influence on genetic diversity in alpine species, contrasting with other studies that suggest landscape features control contemporary demographic processes in high-elevation environments.</v>
      </c>
      <c r="C35" s="24" t="str">
        <f>IFERROR(__xludf.DUMMYFUNCTION("""COMPUTED_VALUE"""),"10.1111/j.1365-294X.2012.05696.x")</f>
        <v>10.1111/j.1365-294X.2012.05696.x</v>
      </c>
      <c r="D35" s="24" t="str">
        <f>IFERROR(__xludf.DUMMYFUNCTION("""COMPUTED_VALUE"""),"shaw et al")</f>
        <v>shaw et al</v>
      </c>
      <c r="E35" s="24" t="str">
        <f>IFERROR(__xludf.DUMMYFUNCTION("""COMPUTED_VALUE"""),"WOS:000308047100010")</f>
        <v>WOS:000308047100010</v>
      </c>
      <c r="F35" s="24" t="str">
        <f>IFERROR(__xludf.DUMMYFUNCTION("""COMPUTED_VALUE"""),"[""ELIGIBLE""]")</f>
        <v>["ELIGIBLE"]</v>
      </c>
    </row>
    <row r="36">
      <c r="A36" s="24" t="str">
        <f>IFERROR(__xludf.DUMMYFUNCTION("""COMPUTED_VALUE"""),"Phenotypic plasticity allows the Mediterranean parsley frog Pelodytes punctatus to exploit two temporal niches under continuous gene flow")</f>
        <v>Phenotypic plasticity allows the Mediterranean parsley frog Pelodytes punctatus to exploit two temporal niches under continuous gene flow</v>
      </c>
      <c r="B36" s="24" t="str">
        <f>IFERROR(__xludf.DUMMYFUNCTION("""COMPUTED_VALUE"""),"Environmental changes, such as climate change, lead to the opening of new niches. In such situations, species that adapt to new niches can survive and/or expand their ranges. However, gene flow can hamper genetic adaptation to new environments. Alternativ"&amp;"ely, recent models have highlighted the importance of phenotypic plasticity in tracking environmental change. Here, we investigate whether phenotypic plasticity or genetic evolution (or both) allows an amphibian species to exploit two divergent climatic n"&amp;"iches. In the Mediterranean region, the parsley frog Pelodytes punctatus breeds both in spring, as do most other species, and in autumn, a temporal niche not exploited by most other species, but which may become increasingly important with global warming."&amp;" Conditions of development are dramatically different between the two seasons and deeply impact tadpole life-history traits. To determine whether these temporal niches are exploited by two genetically differentiated subpopulations, or whether the bimodal "&amp;"phenology arises in a panmictic population displaying plastic life-history traits, we use two complementary approaches. We measure both molecular genetic differentiation and quantitative-trait differentiation between spring and autumn cohorts, using micro"&amp;"satellites and common garden experiments, respectively. Seasonal cohorts were not genetically differentiated and differences in tadpole life history between cohorts were not maintained in laboratory conditions. We conclude that phenotypic plasticity, rath"&amp;"er than genetic adaptation, allows Parsley frog to exploit two contrasting temporal niches.")</f>
        <v>Environmental changes, such as climate change, lead to the opening of new niches. In such situations, species that adapt to new niches can survive and/or expand their ranges. However, gene flow can hamper genetic adaptation to new environments. Alternatively, recent models have highlighted the importance of phenotypic plasticity in tracking environmental change. Here, we investigate whether phenotypic plasticity or genetic evolution (or both) allows an amphibian species to exploit two divergent climatic niches. In the Mediterranean region, the parsley frog Pelodytes punctatus breeds both in spring, as do most other species, and in autumn, a temporal niche not exploited by most other species, but which may become increasingly important with global warming. Conditions of development are dramatically different between the two seasons and deeply impact tadpole life-history traits. To determine whether these temporal niches are exploited by two genetically differentiated subpopulations, or whether the bimodal phenology arises in a panmictic population displaying plastic life-history traits, we use two complementary approaches. We measure both molecular genetic differentiation and quantitative-trait differentiation between spring and autumn cohorts, using microsatellites and common garden experiments, respectively. Seasonal cohorts were not genetically differentiated and differences in tadpole life history between cohorts were not maintained in laboratory conditions. We conclude that phenotypic plasticity, rather than genetic adaptation, allows Parsley frog to exploit two contrasting temporal niches.</v>
      </c>
      <c r="C36" s="24" t="str">
        <f>IFERROR(__xludf.DUMMYFUNCTION("""COMPUTED_VALUE"""),"10.1111/j.1365-294X.2011.05420.x")</f>
        <v>10.1111/j.1365-294X.2011.05420.x</v>
      </c>
      <c r="D36" s="24" t="str">
        <f>IFERROR(__xludf.DUMMYFUNCTION("""COMPUTED_VALUE"""),"shaw et al")</f>
        <v>shaw et al</v>
      </c>
      <c r="E36" s="24" t="str">
        <f>IFERROR(__xludf.DUMMYFUNCTION("""COMPUTED_VALUE"""),"WOS:000299416900008")</f>
        <v>WOS:000299416900008</v>
      </c>
      <c r="F36" s="24" t="str">
        <f>IFERROR(__xludf.DUMMYFUNCTION("""COMPUTED_VALUE"""),"[""ELIGIBLE""]")</f>
        <v>["ELIGIBLE"]</v>
      </c>
    </row>
    <row r="37">
      <c r="A37" s="24" t="str">
        <f>IFERROR(__xludf.DUMMYFUNCTION("""COMPUTED_VALUE"""),"Long-term genetic monitoring of a riverine dragonfly, Orthetrum coerulescens (Odonata: Libellulidae]: Direct anthropogenic impact versus climate change effects")</f>
        <v>Long-term genetic monitoring of a riverine dragonfly, Orthetrum coerulescens (Odonata: Libellulidae]: Direct anthropogenic impact versus climate change effects</v>
      </c>
      <c r="B37" s="24" t="str">
        <f>IFERROR(__xludf.DUMMYFUNCTION("""COMPUTED_VALUE"""),"Modern conservationists call for long term genetic monitoring datasets to evaluate and understand the impact of human activities on natural ecosystems and species on a global but also local scale. However, long-term monitoring datasets are still rare but "&amp;"in high demand to correctly identify, evaluate and respond to environmental changes. In the presented study, a population of the riverine dragonfly, Orthetrum coerulescens (Odonata: Libellulidae), was monitored over a time period from 1989 to 2013. Study "&amp;"site was an artificial irrigation ditch in one of the last European stone steppes and nature heritage, the Crau in Southern France. This artificial riverine habitat has an unusual high diversity of odonate species, prominent indicators for evaluating fres"&amp;"hwater habitats. A clearing of the canal and destruction of the bank vegetation in 1996 was assumed to have great negative impact on the odonate larval and adult populations. Two mitochondrial markers (CO1 &amp; ND1) and a panel of nuclear microsatellite loci"&amp;" were used to assess the genetic diversity. Over time they revealed a dramatic decline in diversity parameters between the years 2004 and 2007, however not between 1996 and 1997. From 2007 onwards the population shows a stabilizing trend but has not reach"&amp;"ed the amount of genetic variation found at the beginning of this survey. This decline cannot be referred to the clearing of the canal or any other direct anthropogenic impact. Instead, it is most likely that the populations decay was due to by extreme we"&amp;"ather conditions during the specific years. A severe drought was recorded for the summer months of these years, leading to reduced water levels in the canal causing also other water parameters to change, and therefore impacting temperature sensitive river"&amp;"ine habitat specialists like the O. coerulescens in a significant way. The data provide important insights into population genetic dynamics and metrics not always congruent with traditional monitoring data (e.g. abundance); a fact that should be regarded "&amp;"with caution when management plans for developed landscapes are designed.")</f>
        <v>Modern conservationists call for long term genetic monitoring datasets to evaluate and understand the impact of human activities on natural ecosystems and species on a global but also local scale. However, long-term monitoring datasets are still rare but in high demand to correctly identify, evaluate and respond to environmental changes. In the presented study, a population of the riverine dragonfly, Orthetrum coerulescens (Odonata: Libellulidae), was monitored over a time period from 1989 to 2013. Study site was an artificial irrigation ditch in one of the last European stone steppes and nature heritage, the Crau in Southern France. This artificial riverine habitat has an unusual high diversity of odonate species, prominent indicators for evaluating freshwater habitats. A clearing of the canal and destruction of the bank vegetation in 1996 was assumed to have great negative impact on the odonate larval and adult populations. Two mitochondrial markers (CO1 &amp; ND1) and a panel of nuclear microsatellite loci were used to assess the genetic diversity. Over time they revealed a dramatic decline in diversity parameters between the years 2004 and 2007, however not between 1996 and 1997. From 2007 onwards the population shows a stabilizing trend but has not reached the amount of genetic variation found at the beginning of this survey. This decline cannot be referred to the clearing of the canal or any other direct anthropogenic impact. Instead, it is most likely that the populations decay was due to by extreme weather conditions during the specific years. A severe drought was recorded for the summer months of these years, leading to reduced water levels in the canal causing also other water parameters to change, and therefore impacting temperature sensitive riverine habitat specialists like the O. coerulescens in a significant way. The data provide important insights into population genetic dynamics and metrics not always congruent with traditional monitoring data (e.g. abundance); a fact that should be regarded with caution when management plans for developed landscapes are designed.</v>
      </c>
      <c r="C37" s="24" t="str">
        <f>IFERROR(__xludf.DUMMYFUNCTION("""COMPUTED_VALUE"""),"10.1371/journal.pone.0178014")</f>
        <v>10.1371/journal.pone.0178014</v>
      </c>
      <c r="D37" s="24" t="str">
        <f>IFERROR(__xludf.DUMMYFUNCTION("""COMPUTED_VALUE"""),"shaw et al")</f>
        <v>shaw et al</v>
      </c>
      <c r="E37" s="24" t="str">
        <f>IFERROR(__xludf.DUMMYFUNCTION("""COMPUTED_VALUE"""),"WOS:000402063000018")</f>
        <v>WOS:000402063000018</v>
      </c>
      <c r="F37" s="24" t="str">
        <f>IFERROR(__xludf.DUMMYFUNCTION("""COMPUTED_VALUE"""),"[""ELIGIBLE""]")</f>
        <v>["ELIGIBLE"]</v>
      </c>
    </row>
    <row r="38">
      <c r="A38" s="24" t="str">
        <f>IFERROR(__xludf.DUMMYFUNCTION("""COMPUTED_VALUE"""),"Historical DNA reveals the demographic history of Atlantic cod (Gadus morhua) in medieval and early modern Iceland")</f>
        <v>Historical DNA reveals the demographic history of Atlantic cod (Gadus morhua) in medieval and early modern Iceland</v>
      </c>
      <c r="B38" s="24" t="str">
        <f>IFERROR(__xludf.DUMMYFUNCTION("""COMPUTED_VALUE"""),"Atlantic cod (Gadus morhua) vertebrae from archaeological sites were used to study the history of the Icelandic Atlantic cod population in the time period of 1500-1990. Specifically, we used coalescence modelling to estimate population size and fluctuatio"&amp;"ns from the sequence diversity at the cytochrome b (cytb) and Pantophysin I (PanI) loci. The models are consistent with an expanding population during the warm medieval period, large historical effective population size (NE), a marked bottleneck event at "&amp;"1400-1500 and a decrease in NE in early modern times. The model results are corroborated by the reduction of haplotype and nucleotide variation over time and pairwise population distance as a significant portion of nucleotide variation partitioned across "&amp;"the 1550 time mark. The mean age of the historical fished stock is high in medieval times with a truncation in age in early modern times. The population size crash coincides with a period of known cooling in the North Atlantic, and we conclude that the co"&amp;"llapse may be related to climate or climate-induced ecosystem change.")</f>
        <v>Atlantic cod (Gadus morhua) vertebrae from archaeological sites were used to study the history of the Icelandic Atlantic cod population in the time period of 1500-1990. Specifically, we used coalescence modelling to estimate population size and fluctuations from the sequence diversity at the cytochrome b (cytb) and Pantophysin I (PanI) loci. The models are consistent with an expanding population during the warm medieval period, large historical effective population size (NE), a marked bottleneck event at 1400-1500 and a decrease in NE in early modern times. The model results are corroborated by the reduction of haplotype and nucleotide variation over time and pairwise population distance as a significant portion of nucleotide variation partitioned across the 1550 time mark. The mean age of the historical fished stock is high in medieval times with a truncation in age in early modern times. The population size crash coincides with a period of known cooling in the North Atlantic, and we conclude that the collapse may be related to climate or climate-induced ecosystem change.</v>
      </c>
      <c r="C38" s="24" t="str">
        <f>IFERROR(__xludf.DUMMYFUNCTION("""COMPUTED_VALUE"""),"10.1098/rspb.2013.2976")</f>
        <v>10.1098/rspb.2013.2976</v>
      </c>
      <c r="D38" s="24" t="str">
        <f>IFERROR(__xludf.DUMMYFUNCTION("""COMPUTED_VALUE"""),"shaw et al")</f>
        <v>shaw et al</v>
      </c>
      <c r="E38" s="24" t="str">
        <f>IFERROR(__xludf.DUMMYFUNCTION("""COMPUTED_VALUE"""),"WOS:000332382000025")</f>
        <v>WOS:000332382000025</v>
      </c>
      <c r="F38" s="24" t="str">
        <f>IFERROR(__xludf.DUMMYFUNCTION("""COMPUTED_VALUE"""),"[""ELIGIBLE""]")</f>
        <v>["ELIGIBLE"]</v>
      </c>
    </row>
    <row r="39">
      <c r="A39" s="24" t="str">
        <f>IFERROR(__xludf.DUMMYFUNCTION("""COMPUTED_VALUE"""),"Effective population size dynamics reveal impacts of historic climatic events and recent anthropogenic pressure in African elephants")</f>
        <v>Effective population size dynamics reveal impacts of historic climatic events and recent anthropogenic pressure in African elephants</v>
      </c>
      <c r="B39" s="24" t="str">
        <f>IFERROR(__xludf.DUMMYFUNCTION("""COMPUTED_VALUE"""),"Two hundred years of elephant hunting for ivory, peaking in 1970-1980s, caused local extirpations and massive population declines across Africa. The resulting genetic impacts on surviving populations have not been studied, despite the importance of unders"&amp;"tanding the evolutionary repercussions of such human-mediated events on this keystone species. Using Bayesian coalescent-based genetic methods to evaluate time-specific changes in effective population size, we analysed genetic variation in 20 highly polym"&amp;"orphic microsatellite loci from 400 elephants inhabiting the greater Samburu-Laikipia region of northern Kenya. This area experienced a decline of between 80% and 90% in the last few decades when ivory harvesting was rampant. The most significant change i"&amp;"n effective population size, however, occurred approximately 2500 years ago during a mid-Holocene period of climatic drying in tropical Africa. Contrary to expectations, detailed analyses of four contemporary age-based cohorts showed that the peak poachin"&amp;"g epidemic in the 1970s caused detectable temporary genetic impacts, with genetic diversity rebounding as juveniles surviving the poaching era became reproductively mature. This study demonstrates the importance of climatic history in shaping the distribu"&amp;"tion and genetic history of a keystone species and highlights the utility of coalescent-based demographic approaches in unravelling ancestral demographic events despite a lack of ancient samples. Unique insights into the genetic signature of mid-Holocene "&amp;"climatic change in Africa and effects of recent poaching pressure on elephants are discussed.")</f>
        <v>Two hundred years of elephant hunting for ivory, peaking in 1970-1980s, caused local extirpations and massive population declines across Africa. The resulting genetic impacts on surviving populations have not been studied, despite the importance of understanding the evolutionary repercussions of such human-mediated events on this keystone species. Using Bayesian coalescent-based genetic methods to evaluate time-specific changes in effective population size, we analysed genetic variation in 20 highly polymorphic microsatellite loci from 400 elephants inhabiting the greater Samburu-Laikipia region of northern Kenya. This area experienced a decline of between 80% and 90% in the last few decades when ivory harvesting was rampant. The most significant change in effective population size, however, occurred approximately 2500 years ago during a mid-Holocene period of climatic drying in tropical Africa. Contrary to expectations, detailed analyses of four contemporary age-based cohorts showed that the peak poaching epidemic in the 1970s caused detectable temporary genetic impacts, with genetic diversity rebounding as juveniles surviving the poaching era became reproductively mature. This study demonstrates the importance of climatic history in shaping the distribution and genetic history of a keystone species and highlights the utility of coalescent-based demographic approaches in unravelling ancestral demographic events despite a lack of ancient samples. Unique insights into the genetic signature of mid-Holocene climatic change in Africa and effects of recent poaching pressure on elephants are discussed.</v>
      </c>
      <c r="C39" s="24" t="str">
        <f>IFERROR(__xludf.DUMMYFUNCTION("""COMPUTED_VALUE"""),"10.1111/j.1365-294X.2008.03871.x")</f>
        <v>10.1111/j.1365-294X.2008.03871.x</v>
      </c>
      <c r="D39" s="24" t="str">
        <f>IFERROR(__xludf.DUMMYFUNCTION("""COMPUTED_VALUE"""),"shaw et al")</f>
        <v>shaw et al</v>
      </c>
      <c r="E39" s="24" t="str">
        <f>IFERROR(__xludf.DUMMYFUNCTION("""COMPUTED_VALUE"""),"WOS:000259448800004")</f>
        <v>WOS:000259448800004</v>
      </c>
      <c r="F39" s="24" t="str">
        <f>IFERROR(__xludf.DUMMYFUNCTION("""COMPUTED_VALUE"""),"[""ELIGIBLE""]")</f>
        <v>["ELIGIBLE"]</v>
      </c>
    </row>
    <row r="40">
      <c r="A40" s="24" t="str">
        <f>IFERROR(__xludf.DUMMYFUNCTION("""COMPUTED_VALUE"""),"Two decades of genetic consistency in a reproductive population in the face of exploitation: patterns of adult and larval walleye (Sander vitreus) from Lake Erie's Maumee River")</f>
        <v>Two decades of genetic consistency in a reproductive population in the face of exploitation: patterns of adult and larval walleye (Sander vitreus) from Lake Erie's Maumee River</v>
      </c>
      <c r="B40" s="24" t="str">
        <f>IFERROR(__xludf.DUMMYFUNCTION("""COMPUTED_VALUE"""),"Analyses of genetic variability and allelic composition in a species exhibiting reproductive fidelity to natal sites may provide important ecological indication of temporal population dynamics, facilitating understanding responses to past disturbances and"&amp;" future climate change. The walleye is an ecologically and economically valuable species, whose largest fishery centers in Lake Erie of the Laurentian Great Lakes; it exhibits reproductive site fidelity, despite otherwise wide-ranging dispersal. We tested"&amp;" whether genetic composition and diversity have remained temporally stable in Lake Erie's Maumee River, which is the largest and most highly fished spawning run. This population has experienced over a century of exploitation, habitat alterations, and poll"&amp;"ution, which may have affected genetic structure and might influence future sustainability. Fourteen nuclear DNA microsatellite loci were analyzed from 744 spawning run walleye to test genetic patterns across: (1) years (N = 12, spanning 1995-2013), (2) b"&amp;"irth year cohorts, (3) the sexes, (4) those reproducing earlier (ages 2-6) versus later (7 or older) in life, and (5) the adults versus larvae. Results indicated stability in genetic diversity levels (mean H (O) = 0.76 +/- A 0.03) and allelic composition "&amp;"across years (F (ST) = 0.000-0.006, NS), cohorts (F (ST) = 0.000-0.013, NS), sexes (F (ST) = 0.000, NS), earlier versus later reproduction (F (ST) = 0.000, NS), and between the larvae and adults (F (ST) = 0.000-0.004, NS). Number of breeders and effective"&amp;" population size were substantial and consistent. This reproductive population thus has maintained genetic stability and high diversity, despite intensive anthropogenic pressures.")</f>
        <v>Analyses of genetic variability and allelic composition in a species exhibiting reproductive fidelity to natal sites may provide important ecological indication of temporal population dynamics, facilitating understanding responses to past disturbances and future climate change. The walleye is an ecologically and economically valuable species, whose largest fishery centers in Lake Erie of the Laurentian Great Lakes; it exhibits reproductive site fidelity, despite otherwise wide-ranging dispersal. We tested whether genetic composition and diversity have remained temporally stable in Lake Erie's Maumee River, which is the largest and most highly fished spawning run. This population has experienced over a century of exploitation, habitat alterations, and pollution, which may have affected genetic structure and might influence future sustainability. Fourteen nuclear DNA microsatellite loci were analyzed from 744 spawning run walleye to test genetic patterns across: (1) years (N = 12, spanning 1995-2013), (2) birth year cohorts, (3) the sexes, (4) those reproducing earlier (ages 2-6) versus later (7 or older) in life, and (5) the adults versus larvae. Results indicated stability in genetic diversity levels (mean H (O) = 0.76 +/- A 0.03) and allelic composition across years (F (ST) = 0.000-0.006, NS), cohorts (F (ST) = 0.000-0.013, NS), sexes (F (ST) = 0.000, NS), earlier versus later reproduction (F (ST) = 0.000, NS), and between the larvae and adults (F (ST) = 0.000-0.004, NS). Number of breeders and effective population size were substantial and consistent. This reproductive population thus has maintained genetic stability and high diversity, despite intensive anthropogenic pressures.</v>
      </c>
      <c r="C40" s="24" t="str">
        <f>IFERROR(__xludf.DUMMYFUNCTION("""COMPUTED_VALUE"""),"10.1007/s10592-016-0866-x")</f>
        <v>10.1007/s10592-016-0866-x</v>
      </c>
      <c r="D40" s="24" t="str">
        <f>IFERROR(__xludf.DUMMYFUNCTION("""COMPUTED_VALUE"""),"shaw et al")</f>
        <v>shaw et al</v>
      </c>
      <c r="E40" s="24" t="str">
        <f>IFERROR(__xludf.DUMMYFUNCTION("""COMPUTED_VALUE"""),"WOS:000387222200010")</f>
        <v>WOS:000387222200010</v>
      </c>
      <c r="F40" s="24" t="str">
        <f>IFERROR(__xludf.DUMMYFUNCTION("""COMPUTED_VALUE"""),"[""ELIGIBLE""]")</f>
        <v>["ELIGIBLE"]</v>
      </c>
    </row>
    <row r="41">
      <c r="A41" s="24" t="str">
        <f>IFERROR(__xludf.DUMMYFUNCTION("""COMPUTED_VALUE"""),"Spatio-temporal dynamics of genetic diversity in Sorghum bicolor in Niger")</f>
        <v>Spatio-temporal dynamics of genetic diversity in Sorghum bicolor in Niger</v>
      </c>
      <c r="B41" s="24" t="str">
        <f>IFERROR(__xludf.DUMMYFUNCTION("""COMPUTED_VALUE"""),"The dynamics of crop genetic diversity need to be assessed to draw up monitoring and conservation priorities. However, few surveys have been conducted in centres of diversity. Sub-Saharan Africa is the centre of origin of sorghum. Most Sahel countries hav"&amp;"e been faced with major human, environmental and social changes in recent decades, which are suspected to cause genetic erosion. Sorghum is the second staple cereal in Niger, a centre of diversity for this crop. Niger was submitted to recurrent drought pe"&amp;"riod and to major social changes during these last decades. We report here on a spatio-temporal analysis of sorghum genetic diversity, conducted in 71 villages covering the rainfall gradient and range of agro-ecological conditions in Niger's agricultural "&amp;"areas. We used 28 microsatellite markers and applied spatial and genetic clustering methods to investigate change in genetic diversity over a 26-year period (1976-2003). Global genetic differentiation between the two collections was very low (F (st) = 0.0"&amp;"025). Most of the spatial clusters presented no major differentiation, as measured by F (st), and showed stability or an increase in allelic richness, except for two of them located in eastern Niger. The genetic clusters identified by Bayesian analysis di"&amp;"d not show a major change between the two collections in the distribution of accessions between them or in their spatial location. These results suggest that farmers' management has globally preserved sorghum genetic diversity in Niger.")</f>
        <v>The dynamics of crop genetic diversity need to be assessed to draw up monitoring and conservation priorities. However, few surveys have been conducted in centres of diversity. Sub-Saharan Africa is the centre of origin of sorghum. Most Sahel countries have been faced with major human, environmental and social changes in recent decades, which are suspected to cause genetic erosion. Sorghum is the second staple cereal in Niger, a centre of diversity for this crop. Niger was submitted to recurrent drought period and to major social changes during these last decades. We report here on a spatio-temporal analysis of sorghum genetic diversity, conducted in 71 villages covering the rainfall gradient and range of agro-ecological conditions in Niger's agricultural areas. We used 28 microsatellite markers and applied spatial and genetic clustering methods to investigate change in genetic diversity over a 26-year period (1976-2003). Global genetic differentiation between the two collections was very low (F (st) = 0.0025). Most of the spatial clusters presented no major differentiation, as measured by F (st), and showed stability or an increase in allelic richness, except for two of them located in eastern Niger. The genetic clusters identified by Bayesian analysis did not show a major change between the two collections in the distribution of accessions between them or in their spatial location. These results suggest that farmers' management has globally preserved sorghum genetic diversity in Niger.</v>
      </c>
      <c r="C41" s="24" t="str">
        <f>IFERROR(__xludf.DUMMYFUNCTION("""COMPUTED_VALUE"""),"10.1007/s00122-009-1257-1")</f>
        <v>10.1007/s00122-009-1257-1</v>
      </c>
      <c r="D41" s="24" t="str">
        <f>IFERROR(__xludf.DUMMYFUNCTION("""COMPUTED_VALUE"""),"shaw et al")</f>
        <v>shaw et al</v>
      </c>
      <c r="E41" s="24" t="str">
        <f>IFERROR(__xludf.DUMMYFUNCTION("""COMPUTED_VALUE"""),"WOS:000276674500003")</f>
        <v>WOS:000276674500003</v>
      </c>
      <c r="F41" s="24" t="str">
        <f>IFERROR(__xludf.DUMMYFUNCTION("""COMPUTED_VALUE"""),"[""ELIGIBLE""]")</f>
        <v>["ELIGIBLE"]</v>
      </c>
    </row>
    <row r="42">
      <c r="A42" s="24" t="str">
        <f>IFERROR(__xludf.DUMMYFUNCTION("""COMPUTED_VALUE"""),"Pleistocene climatic oscillations rather than recent human disturbance influence genetic diversity in one of the world's highest treeline species")</f>
        <v>Pleistocene climatic oscillations rather than recent human disturbance influence genetic diversity in one of the world's highest treeline species</v>
      </c>
      <c r="B42" s="24" t="str">
        <f>IFERROR(__xludf.DUMMYFUNCTION("""COMPUTED_VALUE"""),"PREMISE OF THE STUDY: Biological responses to climatic change usually leave imprints on the genetic diversity and structure of plants. Information on the current genetic diversity and structure of dominant tree species has facilitated our general understa"&amp;"nding of phylogeographical patterns. METHODS: Using amplified fragment length polymorphism (AFLPs), we compared genetic diversity and structure of 384 adults of P. tarapacana with those of 384 seedlings across 32 forest sites spanning a latitudinal gradie"&amp;"nt of 600 km occurring between 4100 m and 5000 m a.s.l. in Polylepis tarapacana (Rosaceae), one of the world's highest treeline species endemic to the central Andes. KEY RESULTS: Moderate to high levels of genetic diversity and low genetic differentiation"&amp;" were detected in both adults and seedlings, with levels of genetic diversity and differentiation being almost identical. Four slightly genetically divergent clusters were identified that accorded to differing geographical regions. Genetic diversity decre"&amp;"ased from south to north and with increasing precipitation for adults and seedlings, but there was no relationship to elevation. CONCLUSIONS: Our study shows that, unlike the case for other Andean treeline species, recent human activities have not affecte"&amp;"d the genetic structure of P. tarapacana, possibly because its inhospitable habitat is unsuitable for agriculture. The current genetic pattern of P. tarapacana points to a historically more widespread distribution at lower altitudes, which allowed conside"&amp;"rable gene flow possibly during the glacial periods of the Pleistocene epoch, and also suggests that the northern Argentinean Andes may have served as a refugium for historical populations.")</f>
        <v>PREMISE OF THE STUDY: Biological responses to climatic change usually leave imprints on the genetic diversity and structure of plants. Information on the current genetic diversity and structure of dominant tree species has facilitated our general understanding of phylogeographical patterns. METHODS: Using amplified fragment length polymorphism (AFLPs), we compared genetic diversity and structure of 384 adults of P. tarapacana with those of 384 seedlings across 32 forest sites spanning a latitudinal gradient of 600 km occurring between 4100 m and 5000 m a.s.l. in Polylepis tarapacana (Rosaceae), one of the world's highest treeline species endemic to the central Andes. KEY RESULTS: Moderate to high levels of genetic diversity and low genetic differentiation were detected in both adults and seedlings, with levels of genetic diversity and differentiation being almost identical. Four slightly genetically divergent clusters were identified that accorded to differing geographical regions. Genetic diversity decreased from south to north and with increasing precipitation for adults and seedlings, but there was no relationship to elevation. CONCLUSIONS: Our study shows that, unlike the case for other Andean treeline species, recent human activities have not affected the genetic structure of P. tarapacana, possibly because its inhospitable habitat is unsuitable for agriculture. The current genetic pattern of P. tarapacana points to a historically more widespread distribution at lower altitudes, which allowed considerable gene flow possibly during the glacial periods of the Pleistocene epoch, and also suggests that the northern Argentinean Andes may have served as a refugium for historical populations.</v>
      </c>
      <c r="C42" s="24" t="str">
        <f>IFERROR(__xludf.DUMMYFUNCTION("""COMPUTED_VALUE"""),"10.3732/ajb.1500131")</f>
        <v>10.3732/ajb.1500131</v>
      </c>
      <c r="D42" s="24" t="str">
        <f>IFERROR(__xludf.DUMMYFUNCTION("""COMPUTED_VALUE"""),"shaw et al")</f>
        <v>shaw et al</v>
      </c>
      <c r="E42" s="24" t="str">
        <f>IFERROR(__xludf.DUMMYFUNCTION("""COMPUTED_VALUE"""),"WOS:000362855900012")</f>
        <v>WOS:000362855900012</v>
      </c>
      <c r="F42" s="24" t="str">
        <f>IFERROR(__xludf.DUMMYFUNCTION("""COMPUTED_VALUE"""),"[""ELIGIBLE""]")</f>
        <v>["ELIGIBLE"]</v>
      </c>
    </row>
    <row r="43">
      <c r="A43" s="24" t="str">
        <f>IFERROR(__xludf.DUMMYFUNCTION("""COMPUTED_VALUE"""),"A genomewide catalogue of single nucleotide polymorphisms in white-beaked and Atlantic white-sided dolphins")</f>
        <v>A genomewide catalogue of single nucleotide polymorphisms in white-beaked and Atlantic white-sided dolphins</v>
      </c>
      <c r="B43" s="24" t="str">
        <f>IFERROR(__xludf.DUMMYFUNCTION("""COMPUTED_VALUE"""),"The field of population genetics is rapidly moving into population genomics as the quantity of data generated by high-throughput sequencing platforms increases. In this study, we used restriction-site-associated DNA sequencing (RADSeq) to recover genomewi"&amp;"de genotypes from 70 white-beaked (Lagenorhynchus albirostris) and 43 Atlantic white-sided dolphins (L. acutus) gathered throughout their north-east Atlantic distribution range. Both species are at a high risk of being negatively affected by climate chang"&amp;"e. Here, we provide a resource of 38 240 RAD-tags and 52 981 nuclear SNPs shared between both species. We have estimated overall higher levels of nucleotide diversity in white-sided (pi = 0.0492 +/- 0.0006%) than in white-beaked dolphins (pi = 0.0300 +/- "&amp;"0.0004%). White-sided dolphins sampled in the Faroe Islands, belonging to two pods (N = 7 and N = 11), showed similar levels of diversity (pi = 0.0317 +/- 0.0007% and 0.0267 +/- 0.0006%, respectively) compared to unrelated individuals of the same species "&amp;"sampled elsewhere (e. g. pi = 0.0285 +/- 0.0007% for 11 Scottish individuals). No evidence of higher levels of kinship within pods can be derived from our analyses. When identifying the most likely number of genetic clusters among our sample set, we obtai"&amp;"ned an estimate of two to four clusters, corresponding to both species and possibly, two further clusters within each species. A higher diversity and lower population structuring was encountered in white-sided dolphins from the north-east Atlantic, in lin"&amp;"e with their preference for pelagic waters, as opposed to white-beaked dolphins that have a more patchy distribution, mainly across continental shelves.")</f>
        <v>The field of population genetics is rapidly moving into population genomics as the quantity of data generated by high-throughput sequencing platforms increases. In this study, we used restriction-site-associated DNA sequencing (RADSeq) to recover genomewide genotypes from 70 white-beaked (Lagenorhynchus albirostris) and 43 Atlantic white-sided dolphins (L. acutus) gathered throughout their north-east Atlantic distribution range. Both species are at a high risk of being negatively affected by climate change. Here, we provide a resource of 38 240 RAD-tags and 52 981 nuclear SNPs shared between both species. We have estimated overall higher levels of nucleotide diversity in white-sided (pi = 0.0492 +/- 0.0006%) than in white-beaked dolphins (pi = 0.0300 +/- 0.0004%). White-sided dolphins sampled in the Faroe Islands, belonging to two pods (N = 7 and N = 11), showed similar levels of diversity (pi = 0.0317 +/- 0.0007% and 0.0267 +/- 0.0006%, respectively) compared to unrelated individuals of the same species sampled elsewhere (e. g. pi = 0.0285 +/- 0.0007% for 11 Scottish individuals). No evidence of higher levels of kinship within pods can be derived from our analyses. When identifying the most likely number of genetic clusters among our sample set, we obtained an estimate of two to four clusters, corresponding to both species and possibly, two further clusters within each species. A higher diversity and lower population structuring was encountered in white-sided dolphins from the north-east Atlantic, in line with their preference for pelagic waters, as opposed to white-beaked dolphins that have a more patchy distribution, mainly across continental shelves.</v>
      </c>
      <c r="C43" s="24" t="str">
        <f>IFERROR(__xludf.DUMMYFUNCTION("""COMPUTED_VALUE"""),"10.1111/1755-0998.12427")</f>
        <v>10.1111/1755-0998.12427</v>
      </c>
      <c r="D43" s="24" t="str">
        <f>IFERROR(__xludf.DUMMYFUNCTION("""COMPUTED_VALUE"""),"shaw et al")</f>
        <v>shaw et al</v>
      </c>
      <c r="E43" s="24" t="str">
        <f>IFERROR(__xludf.DUMMYFUNCTION("""COMPUTED_VALUE"""),"WOS:000369141000026")</f>
        <v>WOS:000369141000026</v>
      </c>
      <c r="F43" s="24" t="str">
        <f>IFERROR(__xludf.DUMMYFUNCTION("""COMPUTED_VALUE"""),"[""ELIGIBLE""]")</f>
        <v>["ELIGIBLE"]</v>
      </c>
    </row>
    <row r="44">
      <c r="A44" s="24" t="str">
        <f>IFERROR(__xludf.DUMMYFUNCTION("""COMPUTED_VALUE"""),"Assessing changes in functional connectivity in a desert bighorn sheep metapopulation after two generations")</f>
        <v>Assessing changes in functional connectivity in a desert bighorn sheep metapopulation after two generations</v>
      </c>
      <c r="B44" s="24" t="str">
        <f>IFERROR(__xludf.DUMMYFUNCTION("""COMPUTED_VALUE"""),"Determining how species move across complex and fragmented landscapes and interact with human-made barriers is a major research focus in conservation. Studies estimating functional connectivity from movement, dispersal or gene flow usually rely on a singl"&amp;"e study period and rarely consider variation over time. We contrasted genetic structure and gene flow across barriers for a metapopulation of desert bighorn sheep (Ovis canadensis nelsoni) using genotypes collected 2000-2003 and 2013-2015. Based on the re"&amp;"cently observed but unexpected spread of a respiratory pathogen across an interstate highway previously identified as a barrier to gene flow, we hypothesized that bighorn sheep changed how they interacted with that barrier, and that shifts in metapopulati"&amp;"on structure influenced gene flow, genetic diversity and connectivity. Population assignment tests, genetic structure and genetic recapture demonstrated that bighorn sheep crossed the interstate highway in at least one location in 2013-2015, sharply reduc"&amp;"ing genetic structure between two populations, but supported conclusions of an earlier study that such crossings were very infrequent or unknown in 2000-2003. A recently expanded population established new links and caused decreases in genetic structure a"&amp;"mong multiple populations. Genetic diversity showed only slight increases in populations linked by new connections. Genetic structure and assignments revealed other previously undetected changes in movements and distribution, but much was consistent. Thus"&amp;", we observed changes in both structural and functional connectivity over just two generations, but only in specific locations. Movement patterns of species should be revisited periodically to enable informed management, particularly in dynamic and fragme"&amp;"nted systems.")</f>
        <v>Determining how species move across complex and fragmented landscapes and interact with human-made barriers is a major research focus in conservation. Studies estimating functional connectivity from movement, dispersal or gene flow usually rely on a single study period and rarely consider variation over time. We contrasted genetic structure and gene flow across barriers for a metapopulation of desert bighorn sheep (Ovis canadensis nelsoni) using genotypes collected 2000-2003 and 2013-2015. Based on the recently observed but unexpected spread of a respiratory pathogen across an interstate highway previously identified as a barrier to gene flow, we hypothesized that bighorn sheep changed how they interacted with that barrier, and that shifts in metapopulation structure influenced gene flow, genetic diversity and connectivity. Population assignment tests, genetic structure and genetic recapture demonstrated that bighorn sheep crossed the interstate highway in at least one location in 2013-2015, sharply reducing genetic structure between two populations, but supported conclusions of an earlier study that such crossings were very infrequent or unknown in 2000-2003. A recently expanded population established new links and caused decreases in genetic structure among multiple populations. Genetic diversity showed only slight increases in populations linked by new connections. Genetic structure and assignments revealed other previously undetected changes in movements and distribution, but much was consistent. Thus, we observed changes in both structural and functional connectivity over just two generations, but only in specific locations. Movement patterns of species should be revisited periodically to enable informed management, particularly in dynamic and fragmented systems.</v>
      </c>
      <c r="C44" s="24" t="str">
        <f>IFERROR(__xludf.DUMMYFUNCTION("""COMPUTED_VALUE"""),"10.1111/mec.14586")</f>
        <v>10.1111/mec.14586</v>
      </c>
      <c r="D44" s="24" t="str">
        <f>IFERROR(__xludf.DUMMYFUNCTION("""COMPUTED_VALUE"""),"shaw et al")</f>
        <v>shaw et al</v>
      </c>
      <c r="E44" s="24" t="str">
        <f>IFERROR(__xludf.DUMMYFUNCTION("""COMPUTED_VALUE"""),"WOS:000433589000002")</f>
        <v>WOS:000433589000002</v>
      </c>
      <c r="F44" s="24" t="str">
        <f>IFERROR(__xludf.DUMMYFUNCTION("""COMPUTED_VALUE"""),"[""ELIGIBLE""]")</f>
        <v>["ELIGIBLE"]</v>
      </c>
    </row>
    <row r="45">
      <c r="A45" s="24" t="str">
        <f>IFERROR(__xludf.DUMMYFUNCTION("""COMPUTED_VALUE"""),"Increased mitochondrial DNA diversity in ancient Columbia River basin Chinook salmon Oncorhynchus tshawytscha")</f>
        <v>Increased mitochondrial DNA diversity in ancient Columbia River basin Chinook salmon Oncorhynchus tshawytscha</v>
      </c>
      <c r="B45" s="24" t="str">
        <f>IFERROR(__xludf.DUMMYFUNCTION("""COMPUTED_VALUE"""),"The Columbia River and its tributaries provide essential spawning and rearing habitat for many salmonid species, including Chinook salmon (Oncorhynchus tshawytscha). Chinook salmon were historically abundant throughout the basin and Native Americans in th"&amp;"e region relied heavily on these fish for thousands of years. Following the arrival of Europeans in the 1800s, salmon in the basin experienced broad declines linked to overfishing, water diversion projects, habitat destruction, connectivity reduction, int"&amp;"rogression with hatchery-origin fish, and hydropower development. Despite historical abundance, many native salmonids are now at risk of extinction. Research and management related to Chinook salmon is usually explored under what are termed  the four H's "&amp;": habitat, harvest, hatcheries, and hydropower; here we explore a fifth H, history. Patterns of prehistoric and contemporary mitochondrial DNA variation from Chinook salmon were analyzed to characterize and compare population genetic diversity prior to re"&amp;"cent alterations and, thus, elucidate a deeper history for this species. A total of 346 ancient and 366 contemporary samples were processed during this study. Species was determined for 130 of the ancient samples and control region haplotypes of 84 of the"&amp;"se were sequenced. Diversity estimates from these 84 ancient Chinook salmon were compared to 379 contemporary samples. Our analysis provides the first direct measure of reduced genetic diversity for Chinook salmon from the ancient to the contemporary peri"&amp;"od, as measured both in direct loss of mitochondrial haplotypes and reductions in haplotype and nucleotide diversity. However, these losses do not appear equal across the basin, with higher losses of diversity in the mid-Columbia than in the Snake subbasi"&amp;"n. The results are unexpected, as the two groups were predicted to share a common history as parts of the larger Columbia River Basin, and instead indicate that Chinook salmon in these subbasins may have divergent demographic histories.")</f>
        <v>The Columbia River and its tributaries provide essential spawning and rearing habitat for many salmonid species, including Chinook salmon (Oncorhynchus tshawytscha). Chinook salmon were historically abundant throughout the basin and Native Americans in the region relied heavily on these fish for thousands of years. Following the arrival of Europeans in the 1800s, salmon in the basin experienced broad declines linked to overfishing, water diversion projects, habitat destruction, connectivity reduction, introgression with hatchery-origin fish, and hydropower development. Despite historical abundance, many native salmonids are now at risk of extinction. Research and management related to Chinook salmon is usually explored under what are termed  the four H's : habitat, harvest, hatcheries, and hydropower; here we explore a fifth H, history. Patterns of prehistoric and contemporary mitochondrial DNA variation from Chinook salmon were analyzed to characterize and compare population genetic diversity prior to recent alterations and, thus, elucidate a deeper history for this species. A total of 346 ancient and 366 contemporary samples were processed during this study. Species was determined for 130 of the ancient samples and control region haplotypes of 84 of these were sequenced. Diversity estimates from these 84 ancient Chinook salmon were compared to 379 contemporary samples. Our analysis provides the first direct measure of reduced genetic diversity for Chinook salmon from the ancient to the contemporary period, as measured both in direct loss of mitochondrial haplotypes and reductions in haplotype and nucleotide diversity. However, these losses do not appear equal across the basin, with higher losses of diversity in the mid-Columbia than in the Snake subbasin. The results are unexpected, as the two groups were predicted to share a common history as parts of the larger Columbia River Basin, and instead indicate that Chinook salmon in these subbasins may have divergent demographic histories.</v>
      </c>
      <c r="C45" s="24" t="str">
        <f>IFERROR(__xludf.DUMMYFUNCTION("""COMPUTED_VALUE"""),"10.1371/journal.pone.0190059")</f>
        <v>10.1371/journal.pone.0190059</v>
      </c>
      <c r="D45" s="24" t="str">
        <f>IFERROR(__xludf.DUMMYFUNCTION("""COMPUTED_VALUE"""),"shaw et al")</f>
        <v>shaw et al</v>
      </c>
      <c r="E45" s="24" t="str">
        <f>IFERROR(__xludf.DUMMYFUNCTION("""COMPUTED_VALUE"""),"WOS:000419689600030")</f>
        <v>WOS:000419689600030</v>
      </c>
      <c r="F45" s="24" t="str">
        <f>IFERROR(__xludf.DUMMYFUNCTION("""COMPUTED_VALUE"""),"[""ELIGIBLE""]")</f>
        <v>["ELIGIBLE"]</v>
      </c>
    </row>
    <row r="46">
      <c r="A46" s="24" t="str">
        <f>IFERROR(__xludf.DUMMYFUNCTION("""COMPUTED_VALUE"""),"Elucidating the spatio-temporal dynamics of an emerging wildlife pathogen using approximate Bayesian computation")</f>
        <v>Elucidating the spatio-temporal dynamics of an emerging wildlife pathogen using approximate Bayesian computation</v>
      </c>
      <c r="B46" s="24" t="str">
        <f>IFERROR(__xludf.DUMMYFUNCTION("""COMPUTED_VALUE"""),"Emerging pathogens constitute a severe threat for human health and biodiversity. Determining the status (native or non-native) of emerging pathogens, and tracing back their spatio-temporal dynamics, is crucial to understand the eco-evolutionary factors pr"&amp;"omoting their emergence, to control their spread and mitigate their impacts. However, tracing back the spatio-temporal dynamics of emerging wildlife pathogens is challenging because (i) they are often neglected until they become sufficiently abundant and "&amp;"pose socio-economical concerns and (ii) their geographical range is often little known. Here, we combined classical population genetics tools and approximate Bayesian computation (i.e. ABC) to retrace the dynamics of Tracheliastes polycolpus, a poorly doc"&amp;"umented pathogenic ectoparasite emerging in Western Europe that threatens several freshwater fish species. Our results strongly suggest that populations of T. polycolpus in France emerged from individuals originating from a unique genetic pool that were m"&amp;"ost likely introduced in the 1920s in central France. From this initial population, three waves of colonization occurred into peripheral watersheds within the next two decades. We further demonstrated that populations remained at low densities, and hence "&amp;"undetectable, during 10 years before a major demographic expansion occurred, and before its official detection in France. These findings corroborate and expand the few historical records available for this emerging pathogen. More generally, our study demo"&amp;"nstrates how ABC can be used to determine the status, reconstruct the colonization history and infer key evolutionary parameters of emerging wildlife pathogens with low data availability, and for which samples from the putative native area are inaccessibl"&amp;"e.")</f>
        <v>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v>
      </c>
      <c r="C46" s="24" t="str">
        <f>IFERROR(__xludf.DUMMYFUNCTION("""COMPUTED_VALUE"""),"10.1111/mec.13401")</f>
        <v>10.1111/mec.13401</v>
      </c>
      <c r="D46" s="24" t="str">
        <f>IFERROR(__xludf.DUMMYFUNCTION("""COMPUTED_VALUE"""),"shaw et al")</f>
        <v>shaw et al</v>
      </c>
      <c r="E46" s="24" t="str">
        <f>IFERROR(__xludf.DUMMYFUNCTION("""COMPUTED_VALUE"""),"WOS:000363564200005")</f>
        <v>WOS:000363564200005</v>
      </c>
      <c r="F46" s="24" t="str">
        <f>IFERROR(__xludf.DUMMYFUNCTION("""COMPUTED_VALUE"""),"[""ELIGIBLE""]")</f>
        <v>["ELIGIBLE"]</v>
      </c>
    </row>
    <row r="47">
      <c r="A47" s="24" t="str">
        <f>IFERROR(__xludf.DUMMYFUNCTION("""COMPUTED_VALUE"""),"Ancient and Contemporary DNA Reveal a Pre-Human Decline but No Population Bottleneck Associated with Recent Human Persecution in the Kea (Nestor notabilis)")</f>
        <v>Ancient and Contemporary DNA Reveal a Pre-Human Decline but No Population Bottleneck Associated with Recent Human Persecution in the Kea (Nestor notabilis)</v>
      </c>
      <c r="B47" s="24" t="str">
        <f>IFERROR(__xludf.DUMMYFUNCTION("""COMPUTED_VALUE"""),"The impact of population bottlenecks is an important factor to consider when assessing species survival. Population declines can considerably limit the evolutionary potential of species and make them more susceptible to stochastic events. New Zealand has "&amp;"a well documented history of decline of endemic avifauna related to human colonization. Here, we investigate the genetic effects of a recent population decline in the endangered kea (Nestor notabilis). Kea have undergone a long-lasting persecution between"&amp;" the late 1800s to 1970s where an estimated 150,000 kea were culled under a governmental bounty scheme. Kea now number 1,000-5,000 individuals in the wild and it is likely that the recent population decline may have reduced the genetic diversity of the sp"&amp;"ecies. Comparison of contemporary (n = 410), historical (n = 15) and fossil samples (n = 4) showed a loss of mitochondrial diversity since the end of the last glaciation (Otiran Glacial) but no loss of overall genetic diversity associated with the cull. M"&amp;"icrosatellite data indicated a recent bottleneck for only one population and a range-wide decline in N-e dating back some 300 - 6,000 years ago, a period predating European arrival in NZ. These results suggest that despite a recent human persecution, kea "&amp;"might have experienced a large population decline before stabilizing in numbers prior to human settlement of New Zealand in response to Holocene changes in habitat distribution. Our study therefore highlights the need to understand the respective effects "&amp;"of climate change and human activities on endangered species dynamics when proposing conservation guidelines.")</f>
        <v>The impact of population bottlenecks is an important factor to consider when assessing species survival. Population declines can considerably limit the evolutionary potential of species and make them more susceptible to stochastic events. New Zealand has a well documented history of decline of endemic avifauna related to human colonization. Here, we investigate the genetic effects of a recent population decline in the endangered kea (Nestor notabilis). Kea have undergone a long-lasting persecution between the late 1800s to 1970s where an estimated 150,000 kea were culled under a governmental bounty scheme. Kea now number 1,000-5,000 individuals in the wild and it is likely that the recent population decline may have reduced the genetic diversity of the species. Comparison of contemporary (n = 410), historical (n = 15) and fossil samples (n = 4) showed a loss of mitochondrial diversity since the end of the last glaciation (Otiran Glacial) but no loss of overall genetic diversity associated with the cull. Microsatellite data indicated a recent bottleneck for only one population and a range-wide decline in N-e dating back some 300 - 6,000 years ago, a period predating European arrival in NZ. These results suggest that despite a recent human persecution, kea might have experienced a large population decline before stabilizing in numbers prior to human settlement of New Zealand in response to Holocene changes in habitat distribution. Our study therefore highlights the need to understand the respective effects of climate change and human activities on endangered species dynamics when proposing conservation guidelines.</v>
      </c>
      <c r="C47" s="24" t="str">
        <f>IFERROR(__xludf.DUMMYFUNCTION("""COMPUTED_VALUE"""),"10.1371/journal.pone.0118522")</f>
        <v>10.1371/journal.pone.0118522</v>
      </c>
      <c r="D47" s="24" t="str">
        <f>IFERROR(__xludf.DUMMYFUNCTION("""COMPUTED_VALUE"""),"shaw et al")</f>
        <v>shaw et al</v>
      </c>
      <c r="E47" s="24" t="str">
        <f>IFERROR(__xludf.DUMMYFUNCTION("""COMPUTED_VALUE"""),"WOS:000350213200057")</f>
        <v>WOS:000350213200057</v>
      </c>
      <c r="F47" s="24" t="str">
        <f>IFERROR(__xludf.DUMMYFUNCTION("""COMPUTED_VALUE"""),"[""ELIGIBLE""]")</f>
        <v>["ELIGIBLE"]</v>
      </c>
    </row>
    <row r="48">
      <c r="A48" s="24" t="str">
        <f>IFERROR(__xludf.DUMMYFUNCTION("""COMPUTED_VALUE"""),"Short-term genetic consequences of habitat loss and fragmentation for the neotropical palm Oenocarpus bataua")</f>
        <v>Short-term genetic consequences of habitat loss and fragmentation for the neotropical palm Oenocarpus bataua</v>
      </c>
      <c r="B48" s="24" t="str">
        <f>IFERROR(__xludf.DUMMYFUNCTION("""COMPUTED_VALUE"""),"Habitat loss and fragmentation may impact animal-mediated dispersal of seed and pollen, and a key question is how the genetic attributes of plant populations respond to these changes. Theory predicts that genetic diversity may be less sensitive to such di"&amp;"sruptions in the short term, whereas inbreeding and genetic structure may respond more strongly. However, results from studies to date vary in relation to species, context and the parameter being assessed, triggering calls for more empirical studies, espe"&amp;"cially from the tropics, where plant-animal dispersal mutualisms are both disproportionately common and at risk. We compared the genetic characteristics of adults and recruits in a long-lived palm Oenocarpus bataua in a recently fragmented landscape (&lt;2 g"&amp;"enerations) in northwest Ecuador using a suite of 10 polymorphic microsatellite markers. We sampled individuals from six forest fragments and one nearby continuous forest. Our goal was to assess short-term consequences of fragmentation, with a focus on ho"&amp;"w well empirical data from this system follow theoretical expectations. Mostly congruent with predictions, we found stronger genetic differentiation and fine-scale spatial genetic structure among recruits in fragments compared with recruits in continuous "&amp;"forest, but we did not record differences in genetic diversity or inbreeding, nor did we record any differences between adults in fragments and adults in continuous forest. Our findings suggest that genetic characteristics of populations vary in their sen"&amp;"sitivity to change in response to habitat loss and fragmentation, and that fine-scale spatial genetic structure may be a particularly useful indicator of genetic change in recently fragmented landscapes.")</f>
        <v>Habitat loss and fragmentation may impact animal-mediated dispersal of seed and pollen, and a key question is how the genetic attributes of plant populations respond to these changes. Theory predicts that genetic diversity may be less sensitive to such disruptions in the short term, whereas inbreeding and genetic structure may respond more strongly. However, results from studies to date vary in relation to species, context and the parameter being assessed, triggering calls for more empirical studies, especially from the tropics, where plant-animal dispersal mutualisms are both disproportionately common and at risk. We compared the genetic characteristics of adults and recruits in a long-lived palm Oenocarpus bataua in a recently fragmented landscape (&lt;2 generations) in northwest Ecuador using a suite of 10 polymorphic microsatellite markers. We sampled individuals from six forest fragments and one nearby continuous forest. Our goal was to assess short-term consequences of fragmentation, with a focus on how well empirical data from this system follow theoretical expectations. Mostly congruent with predictions, we found stronger genetic differentiation and fine-scale spatial genetic structure among recruits in fragments compared with recruits in continuous forest, but we did not record differences in genetic diversity or inbreeding, nor did we record any differences between adults in fragments and adults in continuous forest. Our findings suggest that genetic characteristics of populations vary in their sensitivity to change in response to habitat loss and fragmentation, and that fine-scale spatial genetic structure may be a particularly useful indicator of genetic change in recently fragmented landscapes.</v>
      </c>
      <c r="C48" s="24" t="str">
        <f>IFERROR(__xludf.DUMMYFUNCTION("""COMPUTED_VALUE"""),"10.1038/hdy.2015.35")</f>
        <v>10.1038/hdy.2015.35</v>
      </c>
      <c r="D48" s="24" t="str">
        <f>IFERROR(__xludf.DUMMYFUNCTION("""COMPUTED_VALUE"""),"shaw et al")</f>
        <v>shaw et al</v>
      </c>
      <c r="E48" s="24" t="str">
        <f>IFERROR(__xludf.DUMMYFUNCTION("""COMPUTED_VALUE"""),"WOS:000362824300001")</f>
        <v>WOS:000362824300001</v>
      </c>
      <c r="F48" s="24" t="str">
        <f>IFERROR(__xludf.DUMMYFUNCTION("""COMPUTED_VALUE"""),"[""ELIGIBLE""]")</f>
        <v>["ELIGIBLE"]</v>
      </c>
    </row>
    <row r="49">
      <c r="A49" s="24" t="str">
        <f>IFERROR(__xludf.DUMMYFUNCTION("""COMPUTED_VALUE"""),"Genetic Restoration of the Florida Panther")</f>
        <v>Genetic Restoration of the Florida Panther</v>
      </c>
      <c r="B49" s="24" t="str">
        <f>IFERROR(__xludf.DUMMYFUNCTION("""COMPUTED_VALUE"""),"The rediscovery of remnant Florida panthers (Puma concolor coryi) in southern Florida swamplands prompted a program to protect and stabilize the population. In 1995, conservation managers translocated eight female pumas (P. c. stanleyana) from Texas to in"&amp;"crease depleted genetic diversity, improve population numbers, and reverse indications of inbreeding depression. We have assessed the demographic, population-genetic, and biomedical consequences of this restoration experiment and show that panther numbers"&amp;" increased threefold, genetic heterozygosity doubled, survival and fitness measures improved, and inbreeding correlates declined significantly. Although these results are encouraging, continued habitat loss, persistent inbreeding, infectious agents, and p"&amp;"ossible habitat saturation pose new dilemmas. This intensive management program illustrates the challenges of maintaining populations of large predators worldwide.")</f>
        <v>The rediscovery of remnant Florida panthers (Puma concolor coryi) in southern Florida swamplands prompted a program to protect and stabilize the population. In 1995, conservation managers translocated eight female pumas (P. c. stanleyana) from Texas to increase depleted genetic diversity, improve population numbers, and reverse indications of inbreeding depression. We have assessed the demographic, population-genetic, and biomedical consequences of this restoration experiment and show that panther numbers increased threefold, genetic heterozygosity doubled, survival and fitness measures improved, and inbreeding correlates declined significantly. Although these results are encouraging, continued habitat loss, persistent inbreeding, infectious agents, and possible habitat saturation pose new dilemmas. This intensive management program illustrates the challenges of maintaining populations of large predators worldwide.</v>
      </c>
      <c r="C49" s="24" t="str">
        <f>IFERROR(__xludf.DUMMYFUNCTION("""COMPUTED_VALUE"""),"10.1126/science.1192891")</f>
        <v>10.1126/science.1192891</v>
      </c>
      <c r="D49" s="24" t="str">
        <f>IFERROR(__xludf.DUMMYFUNCTION("""COMPUTED_VALUE"""),"shaw et al")</f>
        <v>shaw et al</v>
      </c>
      <c r="E49" s="24" t="str">
        <f>IFERROR(__xludf.DUMMYFUNCTION("""COMPUTED_VALUE"""),"WOS:000282098100040")</f>
        <v>WOS:000282098100040</v>
      </c>
      <c r="F49" s="24" t="str">
        <f>IFERROR(__xludf.DUMMYFUNCTION("""COMPUTED_VALUE"""),"[""ELIGIBLE""]")</f>
        <v>["ELIGIBLE"]</v>
      </c>
    </row>
    <row r="50">
      <c r="A50" s="24" t="str">
        <f>IFERROR(__xludf.DUMMYFUNCTION("""COMPUTED_VALUE"""),"Unraveling natural versus anthropogenic effects on genetic diversity within the southeastern beach mouse (Peromyscus polionotus niveiventris)")</f>
        <v>Unraveling natural versus anthropogenic effects on genetic diversity within the southeastern beach mouse (Peromyscus polionotus niveiventris)</v>
      </c>
      <c r="B50" s="24" t="str">
        <f>IFERROR(__xludf.DUMMYFUNCTION("""COMPUTED_VALUE"""),"Anthropogenic habitat loss is among the greatest threats to biodiversity. Populations undergoing fragmentation and loss of habitat are also threatened by erosion of genetic diversity. However, contemporary genetic diversity may be the legacy of natural pr"&amp;"ocesses acting prior to anthropogenic influences. Measurements of genetic diversity from contemporary and historical samples can evaluate the relative impact of natural and anthropogenic effects on its status. We investigated the genetic diversity of a th"&amp;"reatened subspecies occupying Atlantic Coast barrier islands of Florida, Peromyscus polionotus niveiventris (southeastern beach mouse). To test for recent loss of genetic diversity, we compared cyt b data from museum samples (historical-prior to human imp"&amp;"act) with contemporary samples throughout their range. Ten microsatellite loci were genotyped for samples from the contemporary range, to determine current population interconnectedness and structure. The results using cyt b data revealed no statistically"&amp;" significant loss of genetic diversity between historical and contemporary populations of P. p. niveiventris. Both nuclear and mitochondrial data support our conclusion that the observed capture and conservation of historical genetic diversity is explaine"&amp;"d by the large federally protected region of continuous habitat that remains with minimal human impact. Whereas, the two disjunct populations isolated by anthropogenic habitat destruction, exhibit significant losses of genetic diversity. Collectively, the"&amp;"se findings offer a sound basis from which to formulate a conservation strategy to maintain the genetic diversity of P. p. niveiventris. Furthermore, our study underscores the importance of large expanses of continuous habitat within the geographic range "&amp;"of species to facilitate the maintenance of genetic integrity.")</f>
        <v>Anthropogenic habitat loss is among the greatest threats to biodiversity. Populations undergoing fragmentation and loss of habitat are also threatened by erosion of genetic diversity. However, contemporary genetic diversity may be the legacy of natural processes acting prior to anthropogenic influences. Measurements of genetic diversity from contemporary and historical samples can evaluate the relative impact of natural and anthropogenic effects on its status. We investigated the genetic diversity of a threatened subspecies occupying Atlantic Coast barrier islands of Florida, Peromyscus polionotus niveiventris (southeastern beach mouse). To test for recent loss of genetic diversity, we compared cyt b data from museum samples (historical-prior to human impact) with contemporary samples throughout their range. Ten microsatellite loci were genotyped for samples from the contemporary range, to determine current population interconnectedness and structure. The results using cyt b data revealed no statistically significant loss of genetic diversity between historical and contemporary populations of P. p. niveiventris. Both nuclear and mitochondrial data support our conclusion that the observed capture and conservation of historical genetic diversity is explained by the large federally protected region of continuous habitat that remains with minimal human impact. Whereas, the two disjunct populations isolated by anthropogenic habitat destruction, exhibit significant losses of genetic diversity. Collectively, these findings offer a sound basis from which to formulate a conservation strategy to maintain the genetic diversity of P. p. niveiventris. Furthermore, our study underscores the importance of large expanses of continuous habitat within the geographic range of species to facilitate the maintenance of genetic integrity.</v>
      </c>
      <c r="C50" s="24" t="str">
        <f>IFERROR(__xludf.DUMMYFUNCTION("""COMPUTED_VALUE"""),"10.1007/s10592-012-0417-z")</f>
        <v>10.1007/s10592-012-0417-z</v>
      </c>
      <c r="D50" s="24" t="str">
        <f>IFERROR(__xludf.DUMMYFUNCTION("""COMPUTED_VALUE"""),"shaw et al")</f>
        <v>shaw et al</v>
      </c>
      <c r="E50" s="24" t="str">
        <f>IFERROR(__xludf.DUMMYFUNCTION("""COMPUTED_VALUE"""),"WOS:000310642300018")</f>
        <v>WOS:000310642300018</v>
      </c>
      <c r="F50" s="24" t="str">
        <f>IFERROR(__xludf.DUMMYFUNCTION("""COMPUTED_VALUE"""),"[""ELIGIBLE""]")</f>
        <v>["ELIGIBLE"]</v>
      </c>
    </row>
    <row r="51">
      <c r="A51" s="24" t="str">
        <f>IFERROR(__xludf.DUMMYFUNCTION("""COMPUTED_VALUE"""),"Cryptic changes in the genetic structure of a highly clonal coral population and the relationship with ecological performance")</f>
        <v>Cryptic changes in the genetic structure of a highly clonal coral population and the relationship with ecological performance</v>
      </c>
      <c r="B51" s="24" t="str">
        <f>IFERROR(__xludf.DUMMYFUNCTION("""COMPUTED_VALUE"""),"Elkhorn coral, Acropora palmata, relies heavily on clonal propagation and often displays low genotypic (clonal) diversity. Populations in the Florida Keys experienced rapid declines in tissue cover between 2004 and 2006, largely due to hurricanes and dise"&amp;"ase, but remained stable from 2006 to 2010. All elkhorn colonies in 150 m(2) permanent study plots were genotyped in 2006 (n = 15 plots) and 2010 (n = 24 plots), and plots sampled in both years were examined for changes in allelic and genotypic diversity "&amp;"during this period of stable ecological abundance. Overall, genetic diversity of Florida plots was low and declined further over the 4-yr period; seven of the 36 original genets and two of 67 alleles (among five microsatellite loci) were lost completely f"&amp;"rom the sampled population, and an additional 15 alleles were lost from individual reefs. In 2010, Florida plots (similar to 19 colonies) contained an average of 2.2 +/- A 1.38 (mean +/- A SD) genets with a significant negative correlation between colony "&amp;"abundance and genotypic diversity. When scaled to total tissue abundance, genotypic diversity is even lower, with 43 % of genets below the size of sexual maturity. We examined the hypothesized positive relationship of local genotypic diversity with ecolog"&amp;"ical performance measures. In Florida plots (n = 15), genotypic diversity was not significantly correlated with tissue loss associated with chronic predation, nor with acute disease and storm-fragmentation events, though this relationship may be obscured "&amp;"by the low range of observed diversity and potential confounding with abundance. When more diverse plots in Cura double dagger ao (n = 9) were examined, genotypic diversity was not significantly correlated with resistance during an acute storm disturbance"&amp;" or rate of recovery following disturbance. Cryptic loss of genetic diversity occurred in the apparently stable Florida population and confirms that stable or even increasing abundance does not necessarily indicate genetic stability.")</f>
        <v>Elkhorn coral, Acropora palmata, relies heavily on clonal propagation and often displays low genotypic (clonal) diversity. Populations in the Florida Keys experienced rapid declines in tissue cover between 2004 and 2006, largely due to hurricanes and disease, but remained stable from 2006 to 2010. All elkhorn colonies in 150 m(2) permanent study plots were genotyped in 2006 (n = 15 plots) and 2010 (n = 24 plots), and plots sampled in both years were examined for changes in allelic and genotypic diversity during this period of stable ecological abundance. Overall, genetic diversity of Florida plots was low and declined further over the 4-yr period; seven of the 36 original genets and two of 67 alleles (among five microsatellite loci) were lost completely from the sampled population, and an additional 15 alleles were lost from individual reefs. In 2010, Florida plots (similar to 19 colonies) contained an average of 2.2 +/- A 1.38 (mean +/- A SD) genets with a significant negative correlation between colony abundance and genotypic diversity. When scaled to total tissue abundance, genotypic diversity is even lower, with 43 % of genets below the size of sexual maturity. We examined the hypothesized positive relationship of local genotypic diversity with ecological performance measures. In Florida plots (n = 15), genotypic diversity was not significantly correlated with tissue loss associated with chronic predation, nor with acute disease and storm-fragmentation events, though this relationship may be obscured by the low range of observed diversity and potential confounding with abundance. When more diverse plots in Cura double dagger ao (n = 9) were examined, genotypic diversity was not significantly correlated with resistance during an acute storm disturbance or rate of recovery following disturbance. Cryptic loss of genetic diversity occurred in the apparently stable Florida population and confirms that stable or even increasing abundance does not necessarily indicate genetic stability.</v>
      </c>
      <c r="C51" s="24" t="str">
        <f>IFERROR(__xludf.DUMMYFUNCTION("""COMPUTED_VALUE"""),"10.1007/s00338-014-1157-y")</f>
        <v>10.1007/s00338-014-1157-y</v>
      </c>
      <c r="D51" s="24" t="str">
        <f>IFERROR(__xludf.DUMMYFUNCTION("""COMPUTED_VALUE"""),"shaw et al")</f>
        <v>shaw et al</v>
      </c>
      <c r="E51" s="24" t="str">
        <f>IFERROR(__xludf.DUMMYFUNCTION("""COMPUTED_VALUE"""),"WOS:000340395300005")</f>
        <v>WOS:000340395300005</v>
      </c>
      <c r="F51" s="24" t="str">
        <f>IFERROR(__xludf.DUMMYFUNCTION("""COMPUTED_VALUE"""),"[""ELIGIBLE""]")</f>
        <v>["ELIGIBLE"]</v>
      </c>
    </row>
    <row r="52">
      <c r="A52" s="24" t="str">
        <f>IFERROR(__xludf.DUMMYFUNCTION("""COMPUTED_VALUE"""),"Recent Demographic History and Present Fine-Scale Structure in the Northwest Atlantic Leatherback (Dermochelys coriacea) Turtle Population")</f>
        <v>Recent Demographic History and Present Fine-Scale Structure in the Northwest Atlantic Leatherback (Dermochelys coriacea) Turtle Population</v>
      </c>
      <c r="B52" s="24" t="str">
        <f>IFERROR(__xludf.DUMMYFUNCTION("""COMPUTED_VALUE"""),"The leatherback turtle Dermochelys coriacea is the most widely distributed sea turtle species in the world. It exhibits complex life traits: female homing and migration, migrations of juveniles and males that remain poorly known, and a strong climatic inf"&amp;"luence on resources, breeding success and sex-ratio. It is consequently challenging to understand population dynamics. Leatherbacks are critically endangered, yet the group from the Northwest Atlantic is currently considered to be under lower risk than ot"&amp;"her populations while hosting some of the largest rookeries. Here, we investigated the genetic diversity and the demographic history of contrasted rookeries from this group, namely two large nesting populations in French Guiana, and a smaller one in the F"&amp;"rench West Indies. We used 10 microsatellite loci, of which four are newly isolated, and mitochondrial DNA sequences of the control region and cytochrome b. Both mitochondrial and nuclear markers revealed that the Northwest Atlantic stock of leatherbacks "&amp;"derives from a single ancestral origin, but show current genetic structuration at the scale of nesting sites, with the maintenance of migrants amongst rookeries. Low nuclear genetic diversities are related to founder effects that followed consequent bottl"&amp;"enecks during the late Pleistocene/Holocene. Most probably in response to climatic oscillations, with a possible influence of early human hunting, female effective population sizes collapsed from 2 million to 200. Evidence of founder effects and high numb"&amp;"ers of migrants make it possible to reconsider the population dynamics of the species, formerly considered as a metapopulation model: we propose a more relaxed island model, which we expect to be a key element in the currently observed recovering of popul"&amp;"ations. Although these Northwest Atlantic rookeries should be considered as a single evolutionary unit, we stress that local conservation efforts remain necessary since each nesting site hosts part of the genetic diversity and species history.")</f>
        <v>The leatherback turtle Dermochelys coriacea is the most widely distributed sea turtle species in the world. It exhibits complex life traits: female homing and migration, migrations of juveniles and males that remain poorly known, and a strong climatic influence on resources, breeding success and sex-ratio. It is consequently challenging to understand population dynamics. Leatherbacks are critically endangered, yet the group from the Northwest Atlantic is currently considered to be under lower risk than other populations while hosting some of the largest rookeries. Here, we investigated the genetic diversity and the demographic history of contrasted rookeries from this group, namely two large nesting populations in French Guiana, and a smaller one in the French West Indies. We used 10 microsatellite loci, of which four are newly isolated, and mitochondrial DNA sequences of the control region and cytochrome b. Both mitochondrial and nuclear markers revealed that the Northwest Atlantic stock of leatherbacks derives from a single ancestral origin, but show current genetic structuration at the scale of nesting sites, with the maintenance of migrants amongst rookeries. Low nuclear genetic diversities are related to founder effects that followed consequent bottlenecks during the late Pleistocene/Holocene. Most probably in response to climatic oscillations, with a possible influence of early human hunting, female effective population sizes collapsed from 2 million to 200. Evidence of founder effects and high numbers of migrants make it possible to reconsider the population dynamics of the species, formerly considered as a metapopulation model: we propose a more relaxed island model, which we expect to be a key element in the currently observed recovering of populations. Although these Northwest Atlantic rookeries should be considered as a single evolutionary unit, we stress that local conservation efforts remain necessary since each nesting site hosts part of the genetic diversity and species history.</v>
      </c>
      <c r="C52" s="24" t="str">
        <f>IFERROR(__xludf.DUMMYFUNCTION("""COMPUTED_VALUE"""),"10.1371/journal.pone.0058061")</f>
        <v>10.1371/journal.pone.0058061</v>
      </c>
      <c r="D52" s="24" t="str">
        <f>IFERROR(__xludf.DUMMYFUNCTION("""COMPUTED_VALUE"""),"shaw et al")</f>
        <v>shaw et al</v>
      </c>
      <c r="E52" s="24" t="str">
        <f>IFERROR(__xludf.DUMMYFUNCTION("""COMPUTED_VALUE"""),"WOS:000316849200029")</f>
        <v>WOS:000316849200029</v>
      </c>
      <c r="F52" s="24" t="str">
        <f>IFERROR(__xludf.DUMMYFUNCTION("""COMPUTED_VALUE"""),"[""ELIGIBLE""]")</f>
        <v>["ELIGIBLE"]</v>
      </c>
    </row>
    <row r="53">
      <c r="A53" s="24" t="str">
        <f>IFERROR(__xludf.DUMMYFUNCTION("""COMPUTED_VALUE"""),"Temporal changes in allelic variation among Cape Dwarf Chameleons, Bradypodion pumilum, inhabiting a transformed, semi-urban wetland")</f>
        <v>Temporal changes in allelic variation among Cape Dwarf Chameleons, Bradypodion pumilum, inhabiting a transformed, semi-urban wetland</v>
      </c>
      <c r="B53" s="24" t="str">
        <f>IFERROR(__xludf.DUMMYFUNCTION("""COMPUTED_VALUE"""),"The Cape Dwarf Chameleon, Bradypodion pumilum, is threatened by extensive habitat loss and transformation in the Western Cape Province of South Africa. As a result, the species exists as a collection of populations inhabiting an increasingly fragmented la"&amp;"ndscape within a critically endangered ecosystem. In this study we monitored microsatellite genetic variation in one of these populations of B. pumilum across a three-year period. From the results of a temporary site-vacancy of adult chameleons during the"&amp;" study, we anticipated a significant shift in microsatellite allele frequencies. Using data from eight highly polymorphic loci we detected differences in the allelic composition of chameleons inhabiting the study site between pre- and post-site-vacancy pe"&amp;"riods (AMOVA R-ST = 0.017; P = 0.019). Results suggest that recolonisation by immigrant chameleons, from an adjacent vegetation fragment connected to the study site by corridors, caused the recorded shifts in allelic frequencies. Pairwise tests of year by"&amp;" year comparisons revealed significant shifts in allelic frequencies between years one and two and between one and three, but not between years two and three. Our findings highlight the susceptibility of small vertebrates to stochastic changes in the alle"&amp;"lic composition of populations in a fragmented landscape, and can be useful for the development of biodiversity management in an increasingly fragmented habitat mosaic.")</f>
        <v>The Cape Dwarf Chameleon, Bradypodion pumilum, is threatened by extensive habitat loss and transformation in the Western Cape Province of South Africa. As a result, the species exists as a collection of populations inhabiting an increasingly fragmented landscape within a critically endangered ecosystem. In this study we monitored microsatellite genetic variation in one of these populations of B. pumilum across a three-year period. From the results of a temporary site-vacancy of adult chameleons during the study, we anticipated a significant shift in microsatellite allele frequencies. Using data from eight highly polymorphic loci we detected differences in the allelic composition of chameleons inhabiting the study site between pre- and post-site-vacancy periods (AMOVA R-ST = 0.017; P = 0.019). Results suggest that recolonisation by immigrant chameleons, from an adjacent vegetation fragment connected to the study site by corridors, caused the recorded shifts in allelic frequencies. Pairwise tests of year by year comparisons revealed significant shifts in allelic frequencies between years one and two and between one and three, but not between years two and three. Our findings highlight the susceptibility of small vertebrates to stochastic changes in the allelic composition of populations in a fragmented landscape, and can be useful for the development of biodiversity management in an increasingly fragmented habitat mosaic.</v>
      </c>
      <c r="C53" s="24" t="str">
        <f>IFERROR(__xludf.DUMMYFUNCTION("""COMPUTED_VALUE"""),"10.1080/21564574.2013.834852")</f>
        <v>10.1080/21564574.2013.834852</v>
      </c>
      <c r="D53" s="24" t="str">
        <f>IFERROR(__xludf.DUMMYFUNCTION("""COMPUTED_VALUE"""),"shaw et al")</f>
        <v>shaw et al</v>
      </c>
      <c r="E53" s="24" t="str">
        <f>IFERROR(__xludf.DUMMYFUNCTION("""COMPUTED_VALUE"""),"WOS:000333875300001")</f>
        <v>WOS:000333875300001</v>
      </c>
      <c r="F53" s="24" t="str">
        <f>IFERROR(__xludf.DUMMYFUNCTION("""COMPUTED_VALUE"""),"[""ELIGIBLE""]")</f>
        <v>["ELIGIBLE"]</v>
      </c>
    </row>
    <row r="54">
      <c r="A54" s="24" t="str">
        <f>IFERROR(__xludf.DUMMYFUNCTION("""COMPUTED_VALUE"""),"Genetic consequences of historical anthropogenic and ecological events on giant pandas")</f>
        <v>Genetic consequences of historical anthropogenic and ecological events on giant pandas</v>
      </c>
      <c r="B54" s="24" t="str">
        <f>IFERROR(__xludf.DUMMYFUNCTION("""COMPUTED_VALUE"""),"The giant panda (Ailuropoda melanoleuca) was taken to the brink of extinction in the 1980s through a combination of deforestation, large-scale loss of bamboo in the core of its range, poaching, and zoo collection, causing over 1000 deaths from the 1950s. "&amp;"It was thought that the drastic population decline was likely to impose a severe impact on population viability. Here, based on temporal genotyping of individuals, we show that this rapid decline did not significantly reduce the overall effective populati"&amp;"on size and genetic variation of this species, or of the two focal populations (Minshan and Qionglai) that declined the most. These results are contrary to previously assumptions, probably because the population decline has not produced the expected negat"&amp;"ive impact due to the short time scale involved (at most 10 generations), or because previous surveys underestimated the population size at the time of decline. However, if present-day habitat fragmentation and limited migration of giant pandas remains, w"&amp;"e predict a loss of genetic diversity across the giant pandas' range in the near future. Thus, our findings highlight the substantial resilience of this species when facing demographic and environmental stochasticity, but key conservation strategies, such"&amp;" as enhancing habitat connectivity and habitat restoration should be immediately implemented to retain the extant genetic variation and maintain long-term evolutionary potential of this endangered species.")</f>
        <v>The giant panda (Ailuropoda melanoleuca) was taken to the brink of extinction in the 1980s through a combination of deforestation, large-scale loss of bamboo in the core of its range, poaching, and zoo collection, causing over 1000 deaths from the 1950s. It was thought that the drastic population decline was likely to impose a severe impact on population viability. Here, based on temporal genotyping of individuals, we show that this rapid decline did not significantly reduce the overall effective population size and genetic variation of this species, or of the two focal populations (Minshan and Qionglai) that declined the most. These results are contrary to previously assumptions, probably because the population decline has not produced the expected negative impact due to the short time scale involved (at most 10 generations), or because previous surveys underestimated the population size at the time of decline. However, if present-day habitat fragmentation and limited migration of giant pandas remains, we predict a loss of genetic diversity across the giant pandas' range in the near future. Thus, our findings highlight the substantial resilience of this species when facing demographic and environmental stochasticity, but key conservation strategies, such as enhancing habitat connectivity and habitat restoration should be immediately implemented to retain the extant genetic variation and maintain long-term evolutionary potential of this endangered species.</v>
      </c>
      <c r="C54" s="24" t="str">
        <f>IFERROR(__xludf.DUMMYFUNCTION("""COMPUTED_VALUE"""),"10.1890/12-1451.1")</f>
        <v>10.1890/12-1451.1</v>
      </c>
      <c r="D54" s="24" t="str">
        <f>IFERROR(__xludf.DUMMYFUNCTION("""COMPUTED_VALUE"""),"shaw et al")</f>
        <v>shaw et al</v>
      </c>
      <c r="E54" s="24" t="str">
        <f>IFERROR(__xludf.DUMMYFUNCTION("""COMPUTED_VALUE"""),"WOS:000325692900025")</f>
        <v>WOS:000325692900025</v>
      </c>
      <c r="F54" s="24" t="str">
        <f>IFERROR(__xludf.DUMMYFUNCTION("""COMPUTED_VALUE"""),"[""ELIGIBLE""]")</f>
        <v>["ELIGIBLE"]</v>
      </c>
    </row>
    <row r="55">
      <c r="A55" s="24" t="str">
        <f>IFERROR(__xludf.DUMMYFUNCTION("""COMPUTED_VALUE"""),"Beyond the beneficial effects of translocations as an effective tool for the genetic restoration of isolated populations")</f>
        <v>Beyond the beneficial effects of translocations as an effective tool for the genetic restoration of isolated populations</v>
      </c>
      <c r="B55" s="24" t="str">
        <f>IFERROR(__xludf.DUMMYFUNCTION("""COMPUTED_VALUE"""),"Translocations are becoming increasingly popular as appropriate management strategies for the genetic restoration of endangered species and populations. Although a few studies have shown that the introduction of novel alleles has reversed the detrimental "&amp;"effects of inbreeding over the short-term (i.e., genetic rescue), it is not clear how effective such translocations are for both maintaining neutral variation that may be adaptive in the future (i.e., genetic restoration) and increasing population viabili"&amp;"ty over the long-term. In addition, scientists have expressed concerns regarding the potential genetic swamping of locally adapted populations, which may eliminate significant components of genetic diversity through the replacement of the target populatio"&amp;"n by the source individuals used for translocations. Here we show that bird translocations into a wild population of greater prairie-chickens (Tympanuchus cupido pinnatus) in southeastern Illinois were effective in both removing detrimental variation asso"&amp;"ciated with inbreeding depression as well as restoring neutral genetic variation to historical levels. Furthermore, we found that although translocations resulted in immediate increases in fitness, the demographic recovery and long-term viability of the p"&amp;"opulation appears to be limited by the availability of suitable habitat. Our results demonstrate that although translocations can be effective management tools for the genetic restoration of wild populations on the verge of extinction, their long-term via"&amp;"bility may not be guaranteed unless the initial conditions that led to most species declines (e.g., habitat loss) are reversed.")</f>
        <v>Translocations are becoming increasingly popular as appropriate management strategies for the genetic restoration of endangered species and populations. Although a few studies have shown that the introduction of novel alleles has reversed the detrimental effects of inbreeding over the short-term (i.e., genetic rescue), it is not clear how effective such translocations are for both maintaining neutral variation that may be adaptive in the future (i.e., genetic restoration) and increasing population viability over the long-term. In addition, scientists have expressed concerns regarding the potential genetic swamping of locally adapted populations, which may eliminate significant components of genetic diversity through the replacement of the target population by the source individuals used for translocations. Here we show that bird translocations into a wild population of greater prairie-chickens (Tympanuchus cupido pinnatus) in southeastern Illinois were effective in both removing detrimental variation associated with inbreeding depression as well as restoring neutral genetic variation to historical levels. Furthermore, we found that although translocations resulted in immediate increases in fitness, the demographic recovery and long-term viability of the population appears to be limited by the availability of suitable habitat. Our results demonstrate that although translocations can be effective management tools for the genetic restoration of wild populations on the verge of extinction, their long-term viability may not be guaranteed unless the initial conditions that led to most species declines (e.g., habitat loss) are reversed.</v>
      </c>
      <c r="C55" s="24" t="str">
        <f>IFERROR(__xludf.DUMMYFUNCTION("""COMPUTED_VALUE"""),"10.1007/s10592-008-9547-8")</f>
        <v>10.1007/s10592-008-9547-8</v>
      </c>
      <c r="D55" s="24" t="str">
        <f>IFERROR(__xludf.DUMMYFUNCTION("""COMPUTED_VALUE"""),"shaw et al")</f>
        <v>shaw et al</v>
      </c>
      <c r="E55" s="24" t="str">
        <f>IFERROR(__xludf.DUMMYFUNCTION("""COMPUTED_VALUE"""),"WOS:000263865100017")</f>
        <v>WOS:000263865100017</v>
      </c>
      <c r="F55" s="24" t="str">
        <f>IFERROR(__xludf.DUMMYFUNCTION("""COMPUTED_VALUE"""),"[""ELIGIBLE""]")</f>
        <v>["ELIGIBLE"]</v>
      </c>
    </row>
    <row r="56">
      <c r="A56" s="24" t="str">
        <f>IFERROR(__xludf.DUMMYFUNCTION("""COMPUTED_VALUE"""),"Microsatellite loci for testing temporal changes in the population genetics of the Florida mouse (Podomys floridanus)")</f>
        <v>Microsatellite loci for testing temporal changes in the population genetics of the Florida mouse (Podomys floridanus)</v>
      </c>
      <c r="B56" s="24" t="str">
        <f>IFERROR(__xludf.DUMMYFUNCTION("""COMPUTED_VALUE"""),"The Florida mouse (Podomys floridanus) is endemic to Florida and is considered vulnerable by the IUCN due to extensive habitat loss. Here, we describe a panel of 76 microsatellite DNA markers for population genetic studies of this species. Fourteen of the"&amp;"se loci were examined to estimate genetic diversity for 39 specimens collected in Florida in 1957 and 2006. DNA extractions from the 1957 specimens were carried out from snips of skin taken from museum voucher skins, whereas the 2006 samples were extracte"&amp;"d from fresh liver tissue. The use of museum skins for reconstructing the genetics of historical populations is becoming a critical part of understanding past, present, and future genetic trends for threatened species. Mean expected heterozygosity for the"&amp;" two populations was 0.73 and mean observed heterozygosity was 0.75. The number of alleles per locus ranged from 2 to 15. All microsatellites were polymorphic, and exhibited variability across time.")</f>
        <v>The Florida mouse (Podomys floridanus) is endemic to Florida and is considered vulnerable by the IUCN due to extensive habitat loss. Here, we describe a panel of 76 microsatellite DNA markers for population genetic studies of this species. Fourteen of these loci were examined to estimate genetic diversity for 39 specimens collected in Florida in 1957 and 2006. DNA extractions from the 1957 specimens were carried out from snips of skin taken from museum voucher skins, whereas the 2006 samples were extracted from fresh liver tissue. The use of museum skins for reconstructing the genetics of historical populations is becoming a critical part of understanding past, present, and future genetic trends for threatened species. Mean expected heterozygosity for the two populations was 0.73 and mean observed heterozygosity was 0.75. The number of alleles per locus ranged from 2 to 15. All microsatellites were polymorphic, and exhibited variability across time.</v>
      </c>
      <c r="C56" s="24" t="str">
        <f>IFERROR(__xludf.DUMMYFUNCTION("""COMPUTED_VALUE"""),"10.1007/s12686-010-9308-0")</f>
        <v>10.1007/s12686-010-9308-0</v>
      </c>
      <c r="D56" s="24" t="str">
        <f>IFERROR(__xludf.DUMMYFUNCTION("""COMPUTED_VALUE"""),"shaw et al")</f>
        <v>shaw et al</v>
      </c>
      <c r="E56" s="24" t="str">
        <f>IFERROR(__xludf.DUMMYFUNCTION("""COMPUTED_VALUE"""),"WOS:000290438500033")</f>
        <v>WOS:000290438500033</v>
      </c>
      <c r="F56" s="24" t="str">
        <f>IFERROR(__xludf.DUMMYFUNCTION("""COMPUTED_VALUE"""),"[""ELIGIBLE""]")</f>
        <v>["ELIGIBLE"]</v>
      </c>
    </row>
    <row r="57">
      <c r="A57" s="24" t="str">
        <f>IFERROR(__xludf.DUMMYFUNCTION("""COMPUTED_VALUE"""),"Past and Present Processes Influencing Genetic Diversity and Effective Population Size in a Natural Population of Atlantic Sturgeon")</f>
        <v>Past and Present Processes Influencing Genetic Diversity and Effective Population Size in a Natural Population of Atlantic Sturgeon</v>
      </c>
      <c r="B57" s="24" t="str">
        <f>IFERROR(__xludf.DUMMYFUNCTION("""COMPUTED_VALUE"""),"Threats such as habitat loss, invasive species, and overexploitation cause species extinctions; however, stochastic processes can accelerate extinction rates as census sizes decline. Using molecular and ecological data, we explored the influence of these "&amp;"processes on the demography of a candidate species under the U. S. Endangered Species Act-the Atlantic sturgeon Acipenser oxyrinchus oxyrinchus. We used molecular microsatellite markers to estimate the effective population size (N-e) and effective number "&amp;"of breeders (N-b) and we used mark-recapture data to estimate the number of spawners (N-a) for Atlantic sturgeon of the Altamaha River, Georgia. We found that estimates of N-b were 7-45% less than the estimated N-a over four consecutive cohorts and that s"&amp;"kewed sex ratios could explain the relative decrease of N-b to N-a. Our estimate of contemporary N-e was 125 (95% confidence interval = 75-348) and was at least an order of magnitude less than our estimate of historical N-e. To explain the large discrepan"&amp;"cy between these estimates, we tested several alternative evolutionary scenarios that might explain the observed pattern of genetic diversity. Our results indicated that the observed genetic data were indeed best explained (i.e., 0.998 posterior probabili"&amp;"ty of the data given the hypothesis) by overexploitation during the last half of the 20th century.")</f>
        <v>Threats such as habitat loss, invasive species, and overexploitation cause species extinctions; however, stochastic processes can accelerate extinction rates as census sizes decline. Using molecular and ecological data, we explored the influence of these processes on the demography of a candidate species under the U. S. Endangered Species Act-the Atlantic sturgeon Acipenser oxyrinchus oxyrinchus. We used molecular microsatellite markers to estimate the effective population size (N-e) and effective number of breeders (N-b) and we used mark-recapture data to estimate the number of spawners (N-a) for Atlantic sturgeon of the Altamaha River, Georgia. We found that estimates of N-b were 7-45% less than the estimated N-a over four consecutive cohorts and that skewed sex ratios could explain the relative decrease of N-b to N-a. Our estimate of contemporary N-e was 125 (95% confidence interval = 75-348) and was at least an order of magnitude less than our estimate of historical N-e. To explain the large discrepancy between these estimates, we tested several alternative evolutionary scenarios that might explain the observed pattern of genetic diversity. Our results indicated that the observed genetic data were indeed best explained (i.e., 0.998 posterior probability of the data given the hypothesis) by overexploitation during the last half of the 20th century.</v>
      </c>
      <c r="C57" s="24" t="str">
        <f>IFERROR(__xludf.DUMMYFUNCTION("""COMPUTED_VALUE"""),"10.1080/00028487.2011.651073")</f>
        <v>10.1080/00028487.2011.651073</v>
      </c>
      <c r="D57" s="24" t="str">
        <f>IFERROR(__xludf.DUMMYFUNCTION("""COMPUTED_VALUE"""),"shaw et al")</f>
        <v>shaw et al</v>
      </c>
      <c r="E57" s="24" t="str">
        <f>IFERROR(__xludf.DUMMYFUNCTION("""COMPUTED_VALUE"""),"WOS:000301154500006")</f>
        <v>WOS:000301154500006</v>
      </c>
      <c r="F57" s="24" t="str">
        <f>IFERROR(__xludf.DUMMYFUNCTION("""COMPUTED_VALUE"""),"[""ELIGIBLE""]")</f>
        <v>["ELIGIBLE"]</v>
      </c>
    </row>
    <row r="58">
      <c r="A58" s="24" t="str">
        <f>IFERROR(__xludf.DUMMYFUNCTION("""COMPUTED_VALUE"""),"Sharp decrease of genetic variation in two Spanish localities of razor clam Ensis siliqua: natural fluctuation or Prestige oil spill effects?")</f>
        <v>Sharp decrease of genetic variation in two Spanish localities of razor clam Ensis siliqua: natural fluctuation or Prestige oil spill effects?</v>
      </c>
      <c r="B58" s="24" t="str">
        <f>IFERROR(__xludf.DUMMYFUNCTION("""COMPUTED_VALUE"""),"Pollution is one of the main concerns in marine ecosystems nowadays. Environmental anthropogenic-mediated toxicants may affect genetic diversity both at the individual and ecosystem levels and may also alter the genetic structure of populations. This stud"&amp;"y examined the temporal pattern of genetic diversity among populations of the benthic bivalve Ensis siliqua in two locations of Galicia, following the Prestige oil spillage. On November 13, 2002 the oil tanker Prestige sank at 240 km from Galician coast a"&amp;"nd 63,000 tonnes of heavy fuel were released to the marine environment. E. siliqua samples were sampled between 2001 and 2006. Genetic variation was assessed by means of Random Amplification of Polymorphic DNA (RAPD). A significant decrease in genetic div"&amp;"ersity was observed for the 2006 samples. Nei's genetic distance, fixation index (PhiPT), and PCA values also supported differences in the 2006 samples. We hypothesize that the temporal genetic variation observed in E. siliqua populations is due to a stro"&amp;"ng effect of genetic drift caused by a reduction in population size and that the indirect effects of the Prestige spill possibly caused this reduction.")</f>
        <v>Pollution is one of the main concerns in marine ecosystems nowadays. Environmental anthropogenic-mediated toxicants may affect genetic diversity both at the individual and ecosystem levels and may also alter the genetic structure of populations. This study examined the temporal pattern of genetic diversity among populations of the benthic bivalve Ensis siliqua in two locations of Galicia, following the Prestige oil spillage. On November 13, 2002 the oil tanker Prestige sank at 240 km from Galician coast and 63,000 tonnes of heavy fuel were released to the marine environment. E. siliqua samples were sampled between 2001 and 2006. Genetic variation was assessed by means of Random Amplification of Polymorphic DNA (RAPD). A significant decrease in genetic diversity was observed for the 2006 samples. Nei's genetic distance, fixation index (PhiPT), and PCA values also supported differences in the 2006 samples. We hypothesize that the temporal genetic variation observed in E. siliqua populations is due to a strong effect of genetic drift caused by a reduction in population size and that the indirect effects of the Prestige spill possibly caused this reduction.</v>
      </c>
      <c r="C58" s="24" t="str">
        <f>IFERROR(__xludf.DUMMYFUNCTION("""COMPUTED_VALUE"""),"10.1007/s10646-011-0781-3")</f>
        <v>10.1007/s10646-011-0781-3</v>
      </c>
      <c r="D58" s="24" t="str">
        <f>IFERROR(__xludf.DUMMYFUNCTION("""COMPUTED_VALUE"""),"shaw et al")</f>
        <v>shaw et al</v>
      </c>
      <c r="E58" s="24" t="str">
        <f>IFERROR(__xludf.DUMMYFUNCTION("""COMPUTED_VALUE"""),"WOS:000298996900023")</f>
        <v>WOS:000298996900023</v>
      </c>
      <c r="F58" s="24" t="str">
        <f>IFERROR(__xludf.DUMMYFUNCTION("""COMPUTED_VALUE"""),"[""ELIGIBLE""]")</f>
        <v>["ELIGIBLE"]</v>
      </c>
    </row>
    <row r="59">
      <c r="A59" s="24" t="str">
        <f>IFERROR(__xludf.DUMMYFUNCTION("""COMPUTED_VALUE"""),"Drifting to oblivion? Rapid genetic differentiation in an endangered lizard following habitat fragmentation and drought")</f>
        <v>Drifting to oblivion? Rapid genetic differentiation in an endangered lizard following habitat fragmentation and drought</v>
      </c>
      <c r="B59" s="24" t="str">
        <f>IFERROR(__xludf.DUMMYFUNCTION("""COMPUTED_VALUE"""),"Aim The frequency and severity of habitat alterations and disturbance are predicted to increase in upcoming decades, and understanding how disturbance affects population integrity is paramount for adaptive management. Although rarely is population genetic"&amp;" sampling conducted at multiple time points, pre- and post-disturbance comparisons may provide one of the clearest methods to measure these impacts. We examined how genetic properties of the federally threatened Coachella Valley fringe-toed lizard (Uma in"&amp;"ornata) responded to severe drought and habitat fragmentation across its range. Location Coachella Valley, California, USA. Methods We used 11 microsatellites to examine population genetic structure and diversity in 1996 and 2008, before and after a histo"&amp;"ric drought. We used Bayesian assignment methods and F-statistics to estimate genetic structure. We compared allelic richness across years to measure loss of genetic diversity and employed approximate Bayesian computing methods and heterozygote excess tes"&amp;"ts to explore the recent demographic history of populations. Finally, we compared effective population size across years and to abundance estimates to determine whether diversity remained low despite post-drought recovery. Results Genetic structure increa"&amp;"sed between sampling periods, likely as a result of population declines during the historic drought of the late 1990s-early 2000s, and habitat loss and fragmentation that precluded post-drought genetic rescue. Simulations supported recent demographic decl"&amp;"ines in 3 of 4 main preserves, and in one preserve, we detected significant loss of allelic richness. Effective population sizes were generally low across the range, with estimates &lt;= 100 in most sites. Main conclusions Fragmentation and drought appear to"&amp;" have acted synergistically to induce genetic change over a short time frame. Progressive deterioration of connectivity, low Ne and measurable loss of genetic diversity suggest that conservation efforts have not maintained the genetic integrity of this sp"&amp;"ecies. Genetic sampling over time can help evaluate population trends to guide management.")</f>
        <v>Aim The frequency and severity of habitat alterations and disturbance are predicted to increase in upcoming decades, and understanding how disturbance affects population integrity is paramount for adaptive management. Although rarely is population genetic sampling conducted at multiple time points, pre- and post-disturbance comparisons may provide one of the clearest methods to measure these impacts. We examined how genetic properties of the federally threatened Coachella Valley fringe-toed lizard (Uma inornata) responded to severe drought and habitat fragmentation across its range. Location Coachella Valley, California, USA. Methods We used 11 microsatellites to examine population genetic structure and diversity in 1996 and 2008, before and after a historic drought. We used Bayesian assignment methods and F-statistics to estimate genetic structure. We compared allelic richness across years to measure loss of genetic diversity and employed approximate Bayesian computing methods and heterozygote excess tests to explore the recent demographic history of populations. Finally, we compared effective population size across years and to abundance estimates to determine whether diversity remained low despite post-drought recovery. Results Genetic structure increased between sampling periods, likely as a result of population declines during the historic drought of the late 1990s-early 2000s, and habitat loss and fragmentation that precluded post-drought genetic rescue. Simulations supported recent demographic declines in 3 of 4 main preserves, and in one preserve, we detected significant loss of allelic richness. Effective population sizes were generally low across the range, with estimates &lt;= 100 in most sites. Main conclusions Fragmentation and drought appear to have acted synergistically to induce genetic change over a short time frame. Progressive deterioration of connectivity, low Ne and measurable loss of genetic diversity suggest that conservation efforts have not maintained the genetic integrity of this species. Genetic sampling over time can help evaluate population trends to guide management.</v>
      </c>
      <c r="C59" s="24" t="str">
        <f>IFERROR(__xludf.DUMMYFUNCTION("""COMPUTED_VALUE"""),"10.1111/ddi.12398")</f>
        <v>10.1111/ddi.12398</v>
      </c>
      <c r="D59" s="24" t="str">
        <f>IFERROR(__xludf.DUMMYFUNCTION("""COMPUTED_VALUE"""),"shaw et al")</f>
        <v>shaw et al</v>
      </c>
      <c r="E59" s="24" t="str">
        <f>IFERROR(__xludf.DUMMYFUNCTION("""COMPUTED_VALUE"""),"WOS:000372882700009")</f>
        <v>WOS:000372882700009</v>
      </c>
      <c r="F59" s="24" t="str">
        <f>IFERROR(__xludf.DUMMYFUNCTION("""COMPUTED_VALUE"""),"[""ELIGIBLE""]")</f>
        <v>["ELIGIBLE"]</v>
      </c>
    </row>
    <row r="60">
      <c r="A60" s="24" t="str">
        <f>IFERROR(__xludf.DUMMYFUNCTION("""COMPUTED_VALUE"""),"Genetic effects of habitat restoration in the Laurentian Great Lakes: an assessment of lake sturgeon origin and genetic diversity")</f>
        <v>Genetic effects of habitat restoration in the Laurentian Great Lakes: an assessment of lake sturgeon origin and genetic diversity</v>
      </c>
      <c r="B60" s="24" t="str">
        <f>IFERROR(__xludf.DUMMYFUNCTION("""COMPUTED_VALUE"""),"Lake sturgeon (Acipenser fulvescens) have experienced significant habitat loss, resulting in reduced population sizes. Three artificial reefs were built in the Huron-Erie corridor in the Great Lakes to replace lost spawning habitat. Genetic data were coll"&amp;"ected to determine the source and numbers of adult lake sturgeon spawning on the reefs and to determine if the founder effect resulted in reduced genetic diversity. DNA was extracted from larval tail clips and 12 microsatellite loci were amplified. Larval"&amp;" genotypes were then compared to 22 previously studied spawning lake sturgeon populations in the Great Lakes to determine the source of the parental population. The effective number of breeders (N-b) was calculated for each reef cohort. The larval genotyp"&amp;"es were then compared to the source population to determine if there were any losses in genetic diversity that are indicative of the founder effect. The St. Clair and Detroit River adult populations were found to be the source parental population for the "&amp;"larvae collected on all three artificial reefs. There were large numbers of contributing adults relative to the number of sampled larvae. There was no significant difference between levels of genetic diversity in the source population and larval samples f"&amp;"rom the artificial reefs; however, there is some evidence for a genetic bottleneck in the reef populations likely due to the founder effect. Habitat restoration in the Huron-Erie corridor is likely resulting in increased habitat for the large lake sturgeo"&amp;"n population in the system and in maintenance of the population's genetic diversity.")</f>
        <v>Lake sturgeon (Acipenser fulvescens) have experienced significant habitat loss, resulting in reduced population sizes. Three artificial reefs were built in the Huron-Erie corridor in the Great Lakes to replace lost spawning habitat. Genetic data were collected to determine the source and numbers of adult lake sturgeon spawning on the reefs and to determine if the founder effect resulted in reduced genetic diversity. DNA was extracted from larval tail clips and 12 microsatellite loci were amplified. Larval genotypes were then compared to 22 previously studied spawning lake sturgeon populations in the Great Lakes to determine the source of the parental population. The effective number of breeders (N-b) was calculated for each reef cohort. The larval genotypes were then compared to the source population to determine if there were any losses in genetic diversity that are indicative of the founder effect. The St. Clair and Detroit River adult populations were found to be the source parental population for the larvae collected on all three artificial reefs. There were large numbers of contributing adults relative to the number of sampled larvae. There was no significant difference between levels of genetic diversity in the source population and larval samples from the artificial reefs; however, there is some evidence for a genetic bottleneck in the reef populations likely due to the founder effect. Habitat restoration in the Huron-Erie corridor is likely resulting in increased habitat for the large lake sturgeon population in the system and in maintenance of the population's genetic diversity.</v>
      </c>
      <c r="C60" s="24" t="str">
        <f>IFERROR(__xludf.DUMMYFUNCTION("""COMPUTED_VALUE"""),"10.1111/rec.12200")</f>
        <v>10.1111/rec.12200</v>
      </c>
      <c r="D60" s="24" t="str">
        <f>IFERROR(__xludf.DUMMYFUNCTION("""COMPUTED_VALUE"""),"shaw et al")</f>
        <v>shaw et al</v>
      </c>
      <c r="E60" s="24" t="str">
        <f>IFERROR(__xludf.DUMMYFUNCTION("""COMPUTED_VALUE"""),"WOS:000358127300017")</f>
        <v>WOS:000358127300017</v>
      </c>
      <c r="F60" s="24" t="str">
        <f>IFERROR(__xludf.DUMMYFUNCTION("""COMPUTED_VALUE"""),"[""ELIGIBLE""]")</f>
        <v>["ELIGIBLE"]</v>
      </c>
    </row>
    <row r="61">
      <c r="A61" s="24" t="str">
        <f>IFERROR(__xludf.DUMMYFUNCTION("""COMPUTED_VALUE"""),"Spatial and temporal variation at major histocompatibility complex class IIB genes in the endangered Blakiston's fish owl")</f>
        <v>Spatial and temporal variation at major histocompatibility complex class IIB genes in the endangered Blakiston's fish owl</v>
      </c>
      <c r="B61" s="24" t="str">
        <f>IFERROR(__xludf.DUMMYFUNCTION("""COMPUTED_VALUE"""),"Introduction: Quantifying intraspecific genetic variation in functionally important genes, such as those of the major histocompatibility complex (MHC), is important in the establishment of conservation plans for endangered species. The MHC genes play a cr"&amp;"ucial role in the vertebrate immune system and generally show high levels of diversity, which is likely due to pathogen-driven balancing selection. The endangered Blakiston's fish owl (Bubo blakistoni) has suffered marked population declines on Hokkaido I"&amp;"sland, Japan, during the past several decades due to human-induced habitat loss and fragmentation. We investigated the spatial and temporal patterns of genetic diversity in MHC class II beta genes in Blakiston's fish owl, using massively parallel pyrosequ"&amp;"encing. Results: We found that the Blakiston's fish owl genome contains at least eight MHC class II beta loci, indicating recent gene duplications. An analysis of sequence polymorphism provided evidence that balancing selection acted in the past. The leve"&amp;"l of MHC variation, however, was low in the current fish owl populations in Hokkaido: only 19 alleles were identified from 174 individuals. We detected considerable spatial differences in MHC diversity among the geographically isolated populations. We als"&amp;"o detected a decline of MHC diversity in some local populations during the past decades. Conclusions: Our study demonstrated that the current spatial patterns of MHC variation in Blakiston's fish owl populations have been shaped by loss of variation due t"&amp;"o the decline and fragmentation of populations, and that the short-term effects of genetic drift have counteracted the long-term effects of balancing selection.")</f>
        <v>Introduction: Quantifying intraspecific genetic variation in functionally important genes, such as those of the major histocompatibility complex (MHC), is important in the establishment of conservation plans for endangered species. The MHC genes play a crucial role in the vertebrate immune system and generally show high levels of diversity, which is likely due to pathogen-driven balancing selection. The endangered Blakiston's fish owl (Bubo blakistoni) has suffered marked population declines on Hokkaido Island, Japan, during the past several decades due to human-induced habitat loss and fragmentation. We investigated the spatial and temporal patterns of genetic diversity in MHC class II beta genes in Blakiston's fish owl, using massively parallel pyrosequencing. Results: We found that the Blakiston's fish owl genome contains at least eight MHC class II beta loci, indicating recent gene duplications. An analysis of sequence polymorphism provided evidence that balancing selection acted in the past. The level of MHC variation, however, was low in the current fish owl populations in Hokkaido: only 19 alleles were identified from 174 individuals. We detected considerable spatial differences in MHC diversity among the geographically isolated populations. We also detected a decline of MHC diversity in some local populations during the past decades. Conclusions: Our study demonstrated that the current spatial patterns of MHC variation in Blakiston's fish owl populations have been shaped by loss of variation due to the decline and fragmentation of populations, and that the short-term effects of genetic drift have counteracted the long-term effects of balancing selection.</v>
      </c>
      <c r="C61" s="24" t="str">
        <f>IFERROR(__xludf.DUMMYFUNCTION("""COMPUTED_VALUE"""),"10.1186/s40851-015-0013-4")</f>
        <v>10.1186/s40851-015-0013-4</v>
      </c>
      <c r="D61" s="24" t="str">
        <f>IFERROR(__xludf.DUMMYFUNCTION("""COMPUTED_VALUE"""),"shaw et al")</f>
        <v>shaw et al</v>
      </c>
      <c r="E61" s="24" t="str">
        <f>IFERROR(__xludf.DUMMYFUNCTION("""COMPUTED_VALUE"""),"WOS:000362102000001")</f>
        <v>WOS:000362102000001</v>
      </c>
      <c r="F61" s="24" t="str">
        <f>IFERROR(__xludf.DUMMYFUNCTION("""COMPUTED_VALUE"""),"[""ELIGIBLE""]")</f>
        <v>["ELIGIBLE"]</v>
      </c>
    </row>
    <row r="62">
      <c r="A62" s="24" t="str">
        <f>IFERROR(__xludf.DUMMYFUNCTION("""COMPUTED_VALUE"""),"Population history and genetic bottlenecks in translocated Cook Strait giant weta, Deinacrida rugosa: recommendations for future conservation management")</f>
        <v>Population history and genetic bottlenecks in translocated Cook Strait giant weta, Deinacrida rugosa: recommendations for future conservation management</v>
      </c>
      <c r="B62" s="24" t="str">
        <f>IFERROR(__xludf.DUMMYFUNCTION("""COMPUTED_VALUE"""),"Translocating populations of endangered animals to predator-free offshore islands is an extreme, and potentially risky, conservation management strategy. There are many examples of failures and successes, however relatively little work has been done to fo"&amp;"rmally quantify the required numbers of translocated individuals to increase the chance of successful establishment. Cook Strait giant weta, Deinacrida rugosa Buller 1870 (Orthoptera: Anostostomatidae), of New Zealand are an example of an at-risk species "&amp;"where extreme conservation measures are needed, due to their ground-dwelling lifestyle making them particularly prone to habitat loss and predation by alien species following human settlement. Here, we have used microsatellite markers to characterise gene"&amp;"tic diversity within and between two parental populations (Mana and Stephens Islands), and two translocated populations (Maud and Matiu/Somes Islands), and estimate probabilities of genetic bottlenecks. We have modelled various demographic scenarios to qu"&amp;"antify the severity of effective population size fluctuations resulting from translocations using DIYABC, and explored the number of founders needed to retain rare alleles using ALLELERETAIN. Our results suggest that populations have expanded on both Maud"&amp;" Island and Matiu/Somes Island from effective population sizes at time of translocation of 36 and 47 respectively, but provide evidence for a genetic bottleneck on Maud Island. We also show that translocations have had minimal impact on parental effective"&amp;" population sizes. The impact of our results on future conservation management efforts is discussed.")</f>
        <v>Translocating populations of endangered animals to predator-free offshore islands is an extreme, and potentially risky, conservation management strategy. There are many examples of failures and successes, however relatively little work has been done to formally quantify the required numbers of translocated individuals to increase the chance of successful establishment. Cook Strait giant weta, Deinacrida rugosa Buller 1870 (Orthoptera: Anostostomatidae), of New Zealand are an example of an at-risk species where extreme conservation measures are needed, due to their ground-dwelling lifestyle making them particularly prone to habitat loss and predation by alien species following human settlement. Here, we have used microsatellite markers to characterise genetic diversity within and between two parental populations (Mana and Stephens Islands), and two translocated populations (Maud and Matiu/Somes Islands), and estimate probabilities of genetic bottlenecks. We have modelled various demographic scenarios to quantify the severity of effective population size fluctuations resulting from translocations using DIYABC, and explored the number of founders needed to retain rare alleles using ALLELERETAIN. Our results suggest that populations have expanded on both Maud Island and Matiu/Somes Island from effective population sizes at time of translocation of 36 and 47 respectively, but provide evidence for a genetic bottleneck on Maud Island. We also show that translocations have had minimal impact on parental effective population sizes. The impact of our results on future conservation management efforts is discussed.</v>
      </c>
      <c r="C62" s="24" t="str">
        <f>IFERROR(__xludf.DUMMYFUNCTION("""COMPUTED_VALUE"""),"10.1007/s10592-016-0916-4")</f>
        <v>10.1007/s10592-016-0916-4</v>
      </c>
      <c r="D62" s="24" t="str">
        <f>IFERROR(__xludf.DUMMYFUNCTION("""COMPUTED_VALUE"""),"shaw et al")</f>
        <v>shaw et al</v>
      </c>
      <c r="E62" s="24" t="str">
        <f>IFERROR(__xludf.DUMMYFUNCTION("""COMPUTED_VALUE"""),"WOS:000396341900013")</f>
        <v>WOS:000396341900013</v>
      </c>
      <c r="F62" s="24" t="str">
        <f>IFERROR(__xludf.DUMMYFUNCTION("""COMPUTED_VALUE"""),"[""ELIGIBLE""]")</f>
        <v>["ELIGIBLE"]</v>
      </c>
    </row>
    <row r="63">
      <c r="A63" s="24" t="str">
        <f>IFERROR(__xludf.DUMMYFUNCTION("""COMPUTED_VALUE"""),"Genetic diversity of reintroduced American martens in Michigan's Lower Peninsula")</f>
        <v>Genetic diversity of reintroduced American martens in Michigan's Lower Peninsula</v>
      </c>
      <c r="B63" s="24" t="str">
        <f>IFERROR(__xludf.DUMMYFUNCTION("""COMPUTED_VALUE"""),"Reintroductions are an important conservation and management technique used to restore extirpated populations. Negative genetic consequences (e.g., diversity loss, bottlenecks, inbreeding) are often an unintentional result of reintroductions, due to a sma"&amp;"ll number of founders or suboptimal habitat at release sites. American martens (Martes americana) were extirpated from Michigan's Lower Peninsula in 1911 due to habitat loss and unregulated trapping. Martens were reintroduced into 2 areas of the Lower Pen"&amp;"insula in 1985-1986. The Lower Peninsula reintroduction was characterized by a relatively small number of founders (85 individuals) released into 2 geographically disparate, fragmented sites. We genotyped martens sampled at the 2 release sites approximate"&amp;"ly 20-25 years since reintroduction, using 11 microsatellite loci. We detected low average allelic richness (3.92 alleles per locus), moderate levels of inbreeding (mean F-IS = 0.106), and multiple loci with significant heterozygote deficiencies. Effectiv"&amp;"e population size estimates were small, ranging between 6 and 27 individuals depending on the estimator and the sample group. We also detected significant population structuring between the release sites (F-ST = 0.093 using the most recent sample). With s"&amp;"mall population size and limited to no gene flow, we predict the 2 Lower Peninsula marten populations will continue to diverge and potentially further lose genetic diversity. This study highlights the importance of long-term genetic monitoring of reintrod"&amp;"uced populations.")</f>
        <v>Reintroductions are an important conservation and management technique used to restore extirpated populations. Negative genetic consequences (e.g., diversity loss, bottlenecks, inbreeding) are often an unintentional result of reintroductions, due to a small number of founders or suboptimal habitat at release sites. American martens (Martes americana) were extirpated from Michigan's Lower Peninsula in 1911 due to habitat loss and unregulated trapping. Martens were reintroduced into 2 areas of the Lower Peninsula in 1985-1986. The Lower Peninsula reintroduction was characterized by a relatively small number of founders (85 individuals) released into 2 geographically disparate, fragmented sites. We genotyped martens sampled at the 2 release sites approximately 20-25 years since reintroduction, using 11 microsatellite loci. We detected low average allelic richness (3.92 alleles per locus), moderate levels of inbreeding (mean F-IS = 0.106), and multiple loci with significant heterozygote deficiencies. Effective population size estimates were small, ranging between 6 and 27 individuals depending on the estimator and the sample group. We also detected significant population structuring between the release sites (F-ST = 0.093 using the most recent sample). With small population size and limited to no gene flow, we predict the 2 Lower Peninsula marten populations will continue to diverge and potentially further lose genetic diversity. This study highlights the importance of long-term genetic monitoring of reintroduced populations.</v>
      </c>
      <c r="C63" s="24" t="str">
        <f>IFERROR(__xludf.DUMMYFUNCTION("""COMPUTED_VALUE"""),"10.1093/jmammal/gyx075")</f>
        <v>10.1093/jmammal/gyx075</v>
      </c>
      <c r="D63" s="24" t="str">
        <f>IFERROR(__xludf.DUMMYFUNCTION("""COMPUTED_VALUE"""),"shaw et al")</f>
        <v>shaw et al</v>
      </c>
      <c r="E63" s="24" t="str">
        <f>IFERROR(__xludf.DUMMYFUNCTION("""COMPUTED_VALUE"""),"WOS:000412166100026")</f>
        <v>WOS:000412166100026</v>
      </c>
      <c r="F63" s="24" t="str">
        <f>IFERROR(__xludf.DUMMYFUNCTION("""COMPUTED_VALUE"""),"[""ELIGIBLE""]")</f>
        <v>["ELIGIBLE"]</v>
      </c>
    </row>
    <row r="64">
      <c r="A64" s="24" t="str">
        <f>IFERROR(__xludf.DUMMYFUNCTION("""COMPUTED_VALUE"""),"Identifying conservation units after large-scale land clearing: a spatio-temporal molecular survey of endangered white-tailed black cockatoos (Calyptorhynchus spp.)")</f>
        <v>Identifying conservation units after large-scale land clearing: a spatio-temporal molecular survey of endangered white-tailed black cockatoos (Calyptorhynchus spp.)</v>
      </c>
      <c r="B64" s="24" t="str">
        <f>IFERROR(__xludf.DUMMYFUNCTION("""COMPUTED_VALUE"""),"Aim We examined how the threatened and endemic white-tailed black cockatoos of Western Australia have responded genetically to recent and comprehensive habitat loss with the ultimate aim of identifying units for conservation. We assessed the population st"&amp;"ructure, connectivity and genetic diversity at spatial and temporal scales for Calyptorhynchus baudinii and C. latirostris, which have undergone dramatic population declines. Genetic comparisons of pre- and post-population decline were carried out by incl"&amp;"uding historical samples dating back to 1920. We examined samples collected from across 700 km of their distribution and sampled approximately 1% of the current population census size to produce significant insights into the population genetics of white-t"&amp;"ailed black cockatoos and generate genetic information crucial for conservation management. Location Southwest corner of Western Australia. Methods Six hundred and eighty-four cockatoo samples were collected from 1920 to 2010 and profiled with 19 microsat"&amp;"ellites to identify spatial population structure and loss of genetic diversity. Results The temporal and spatial microsatellite data illustrated that the geographically defined genetic structuring in white-tailed black cockatoos is likely to represent a r"&amp;"ecent phenomenon. We identified: (1) spatial population substructure east and west of extensively cleared habitat (&gt;95,800 km(2)), but the historical samples clustered with the current western population, regardless of origin, (2) a regional loss of allel"&amp;"ic diversity over 3-4 generations for the current eastern population, (3) a lack of a genetic signal of the recent population decline, but perhaps a mid-Holocene population collapse and lastly, (4) limited genetic differentiation between the two currently"&amp;" recognized white-tailed black-cockatoo species suggests a review of taxonomy and/or management units should be undertaken. Main conclusion Based on extensive spatio-temporal sampling, we have demonstrated that recent anthropogenic habitat modifications h"&amp;"ave affected the genetic structure of a long-lived and highly mobile species. Our results have identified areas of high conservation value and the importance of maintaining native vegetation migration corridors.")</f>
        <v>Aim We examined how the threatened and endemic white-tailed black cockatoos of Western Australia have responded genetically to recent and comprehensive habitat loss with the ultimate aim of identifying units for conservation. We assessed the population structure, connectivity and genetic diversity at spatial and temporal scales for Calyptorhynchus baudinii and C. latirostris, which have undergone dramatic population declines. Genetic comparisons of pre- and post-population decline were carried out by including historical samples dating back to 1920. We examined samples collected from across 700 km of their distribution and sampled approximately 1% of the current population census size to produce significant insights into the population genetics of white-tailed black cockatoos and generate genetic information crucial for conservation management. Location Southwest corner of Western Australia. Methods Six hundred and eighty-four cockatoo samples were collected from 1920 to 2010 and profiled with 19 microsatellites to identify spatial population structure and loss of genetic diversity. Results The temporal and spatial microsatellite data illustrated that the geographically defined genetic structuring in white-tailed black cockatoos is likely to represent a recent phenomenon. We identified: (1) spatial population substructure east and west of extensively cleared habitat (&gt;95,800 km(2)), but the historical samples clustered with the current western population, regardless of origin, (2) a regional loss of allelic diversity over 3-4 generations for the current eastern population, (3) a lack of a genetic signal of the recent population decline, but perhaps a mid-Holocene population collapse and lastly, (4) limited genetic differentiation between the two currently recognized white-tailed black-cockatoo species suggests a review of taxonomy and/or management units should be undertaken. Main conclusion Based on extensive spatio-temporal sampling, we have demonstrated that recent anthropogenic habitat modifications have affected the genetic structure of a long-lived and highly mobile species. Our results have identified areas of high conservation value and the importance of maintaining native vegetation migration corridors.</v>
      </c>
      <c r="C64" s="24" t="str">
        <f>IFERROR(__xludf.DUMMYFUNCTION("""COMPUTED_VALUE"""),"10.1111/ddi.12202")</f>
        <v>10.1111/ddi.12202</v>
      </c>
      <c r="D64" s="24" t="str">
        <f>IFERROR(__xludf.DUMMYFUNCTION("""COMPUTED_VALUE"""),"shaw et al")</f>
        <v>shaw et al</v>
      </c>
      <c r="E64" s="24" t="str">
        <f>IFERROR(__xludf.DUMMYFUNCTION("""COMPUTED_VALUE"""),"WOS:000343865300009")</f>
        <v>WOS:000343865300009</v>
      </c>
      <c r="F64" s="24" t="str">
        <f>IFERROR(__xludf.DUMMYFUNCTION("""COMPUTED_VALUE"""),"[""ELIGIBLE""]")</f>
        <v>["ELIGIBLE"]</v>
      </c>
    </row>
    <row r="65">
      <c r="A65" s="24" t="str">
        <f>IFERROR(__xludf.DUMMYFUNCTION("""COMPUTED_VALUE"""),"Temporal patterns of genetic diversity in Kirtland's warblers (Dendroica kirtlandii), the rarest songbird in North America")</f>
        <v>Temporal patterns of genetic diversity in Kirtland's warblers (Dendroica kirtlandii), the rarest songbird in North America</v>
      </c>
      <c r="B65" s="24" t="str">
        <f>IFERROR(__xludf.DUMMYFUNCTION("""COMPUTED_VALUE"""),"Background: Kirtland's warblers are the rarest songbird species in North America, rarity due in part to a reliance on early successional Jack Pine forests. Habitat loss due to fire suppression led to population declines to fewer than 200 males during the "&amp;"1970s. Subsequent conservation management has allowed the species to recover to over 1700 males by 2010. In this study, we directly examine the impact that low population sizes have had on genetic variation in Kirtland's warblers. We compare the molecular"&amp;" variation of samples collected in Oscoda County, Michigan across three time periods: 1903-1912, 1929-1955 and 2008-2009. Results: In a hierarchical rarified sample of 20 genes and one time period, allelic richness was highest in 1903-1912 sample (A(R) = "&amp;"5.96), followed by the 1929-1955 sample (A(R) = 5.74), and was lowest in the 2008-2009 sample (A(R) = 5.54). Heterozygosity measures were not different between the 1929-1955 and 2008-2009 samples, but were lower in the 1903-1912 sample. Under some models,"&amp;" a genetic bottleneck signature was present in the 1929-1955 and 2008-2009 samples but not in the 1903-1912 sample. Conclusions: We suggest that these temporal genetic patterns are the result of the declining Kirtland's warbler population compressing into"&amp;" available habitat and a consequence of existing at low numbers for several decades.")</f>
        <v>Background: Kirtland's warblers are the rarest songbird species in North America, rarity due in part to a reliance on early successional Jack Pine forests. Habitat loss due to fire suppression led to population declines to fewer than 200 males during the 1970s. Subsequent conservation management has allowed the species to recover to over 1700 males by 2010. In this study, we directly examine the impact that low population sizes have had on genetic variation in Kirtland's warblers. We compare the molecular variation of samples collected in Oscoda County, Michigan across three time periods: 1903-1912, 1929-1955 and 2008-2009. Results: In a hierarchical rarified sample of 20 genes and one time period, allelic richness was highest in 1903-1912 sample (A(R) = 5.96), followed by the 1929-1955 sample (A(R) = 5.74), and was lowest in the 2008-2009 sample (A(R) = 5.54). Heterozygosity measures were not different between the 1929-1955 and 2008-2009 samples, but were lower in the 1903-1912 sample. Under some models, a genetic bottleneck signature was present in the 1929-1955 and 2008-2009 samples but not in the 1903-1912 sample. Conclusions: We suggest that these temporal genetic patterns are the result of the declining Kirtland's warbler population compressing into available habitat and a consequence of existing at low numbers for several decades.</v>
      </c>
      <c r="C65" s="24" t="str">
        <f>IFERROR(__xludf.DUMMYFUNCTION("""COMPUTED_VALUE"""),"10.1186/1472-6785-12-8")</f>
        <v>10.1186/1472-6785-12-8</v>
      </c>
      <c r="D65" s="24" t="str">
        <f>IFERROR(__xludf.DUMMYFUNCTION("""COMPUTED_VALUE"""),"shaw et al")</f>
        <v>shaw et al</v>
      </c>
      <c r="E65" s="24" t="str">
        <f>IFERROR(__xludf.DUMMYFUNCTION("""COMPUTED_VALUE"""),"WOS:000308076500001")</f>
        <v>WOS:000308076500001</v>
      </c>
      <c r="F65" s="24" t="str">
        <f>IFERROR(__xludf.DUMMYFUNCTION("""COMPUTED_VALUE"""),"[""ELIGIBLE""]")</f>
        <v>["ELIGIBLE"]</v>
      </c>
    </row>
    <row r="66">
      <c r="A66" s="24" t="str">
        <f>IFERROR(__xludf.DUMMYFUNCTION("""COMPUTED_VALUE"""),"Consequences of severe habitat fragmentation on density, genetics, and spatial capture-recapture analysis of a small bear population")</f>
        <v>Consequences of severe habitat fragmentation on density, genetics, and spatial capture-recapture analysis of a small bear population</v>
      </c>
      <c r="B66" s="24" t="str">
        <f>IFERROR(__xludf.DUMMYFUNCTION("""COMPUTED_VALUE"""),"Loss and fragmentation of natural habitats caused by human land uses have subdivided several formerly contiguous large carnivore populations into multiple small and often isolated subpopulations, which can reduce genetic variation and lead to precipitous "&amp;"population declines. Substantial habitat loss and fragmentation from urban development and agriculture expansion relegated the Highlands-Glades subpopulation (HGS) of Florida, USA, black bears (Ursus americanus floridanus) to prolonged isolation; increasi"&amp;"ng human land development is projected to cause &gt;= 50% loss of remaining natural habitats occupied by the HGS in coming decades. We conducted a noninvasive genetic spatial capture-recapture study to quantitatively describe the degree of contemporary habit"&amp;"at fragmentation and investigate the consequences of habitat fragmentation on population density and genetics of the HGS. Remaining natural habitats sustaining the HGS were significantly more fragmented and patchier than those supporting Florida's largest"&amp;" black bear subpopulation. Genetic diversity was low (A(R) = 3.57; H-E = 0.49) and effective population size was small (N-E = 25 bears), both of which remained unchanged over a period spanning one bear generation despite evidence of some immigration. Subp"&amp;"opulation density (0.054 bear/km(2)) was among the lowest reported for black bears, was significantly female-biased, and corresponded to a subpopulation size of 98 bears in available habitat. Conserving remaining natural habitats in the area occupied by t"&amp;"he small, genetically depauperate HGS, possibly through conservation easements and government land acquisition, is likely the most important immediate step to ensuring continued persistence of bears in this area. Our study also provides evidence that pref"&amp;"erentially placing detectors (e.g., hair traps or cameras) primarily in quality habitat across fragmented landscapes poses a challenge to estimating density-habitat covariate relationships using spatial capture-recapture models. Because habitat fragmentat"&amp;"ion and loss are likely to increase in severity globally, further investigation of the influence of habitat fragmentation and detector placement on estimation of this relationship is warranted.")</f>
        <v>Loss and fragmentation of natural habitats caused by human land uses have subdivided several formerly contiguous large carnivore populations into multiple small and often isolated subpopulations, which can reduce genetic variation and lead to precipitous population declines. Substantial habitat loss and fragmentation from urban development and agriculture expansion relegated the Highlands-Glades subpopulation (HGS) of Florida, USA, black bears (Ursus americanus floridanus) to prolonged isolation; increasing human land development is projected to cause &gt;= 50% loss of remaining natural habitats occupied by the HGS in coming decades. We conducted a noninvasive genetic spatial capture-recapture study to quantitatively describe the degree of contemporary habitat fragmentation and investigate the consequences of habitat fragmentation on population density and genetics of the HGS. Remaining natural habitats sustaining the HGS were significantly more fragmented and patchier than those supporting Florida's largest black bear subpopulation. Genetic diversity was low (A(R) = 3.57; H-E = 0.49) and effective population size was small (N-E = 25 bears), both of which remained unchanged over a period spanning one bear generation despite evidence of some immigration. Subpopulation density (0.054 bear/km(2)) was among the lowest reported for black bears, was significantly female-biased, and corresponded to a subpopulation size of 98 bears in available habitat. Conserving remaining natural habitats in the area occupied by the small, genetically depauperate HGS, possibly through conservation easements and government land acquisition, is likely the most important immediate step to ensuring continued persistence of bears in this area. Our study also provides evidence that preferentially placing detectors (e.g., hair traps or cameras) primarily in quality habitat across fragmented landscapes poses a challenge to estimating density-habitat covariate relationships using spatial capture-recapture models. Because habitat fragmentation and loss are likely to increase in severity globally, further investigation of the influence of habitat fragmentation and detector placement on estimation of this relationship is warranted.</v>
      </c>
      <c r="C66" s="24" t="str">
        <f>IFERROR(__xludf.DUMMYFUNCTION("""COMPUTED_VALUE"""),"10.1371/journal.pone.0181849")</f>
        <v>10.1371/journal.pone.0181849</v>
      </c>
      <c r="D66" s="24" t="str">
        <f>IFERROR(__xludf.DUMMYFUNCTION("""COMPUTED_VALUE"""),"shaw et al")</f>
        <v>shaw et al</v>
      </c>
      <c r="E66" s="24" t="str">
        <f>IFERROR(__xludf.DUMMYFUNCTION("""COMPUTED_VALUE"""),"WOS:000406362700078")</f>
        <v>WOS:000406362700078</v>
      </c>
      <c r="F66" s="24" t="str">
        <f>IFERROR(__xludf.DUMMYFUNCTION("""COMPUTED_VALUE"""),"[""ELIGIBLE""]")</f>
        <v>["ELIGIBLE"]</v>
      </c>
    </row>
    <row r="67">
      <c r="A67" s="24" t="str">
        <f>IFERROR(__xludf.DUMMYFUNCTION("""COMPUTED_VALUE"""),"Museum collections reveal that Buff-breasted Sandpipers (Calidris subruficollis) maintained mtDNA variability despite large population declines during the past 135 years")</f>
        <v>Museum collections reveal that Buff-breasted Sandpipers (Calidris subruficollis) maintained mtDNA variability despite large population declines during the past 135 years</v>
      </c>
      <c r="B67" s="24" t="str">
        <f>IFERROR(__xludf.DUMMYFUNCTION("""COMPUTED_VALUE"""),"A principal goal of conservation efforts for threatened and endangered taxa is maintenance of genetic diversity. Modern and historic processes that limit population size can contribute to a loss of genetic variation that can reduce future adaptability of "&amp;"a species. Buff-breasted Sandpipers (Calidris subruficollis) are a Neotropical migratory shorebird that experienced rapid, large-scale declines in population numbers (population bottleneck) due to intensive market hunting at the turn of the 20th century. "&amp;"Market hunting ended shortly after the passage of the Migratory Bird Treaty Act in 1918, but subsequent population losses have occurred due to continued anthropogenic disturbances throughout the species' migratory range. To assess the impact of population"&amp;" declines on the genetic variation of Buff-breasted Sandpipers, we surveyed two mitochondrial DNA (mtDNA) markers, the control region and cytochrome b, from 209 museum specimens collected between 1874 and 1983 and 460 modern samples collected between 1993"&amp;" and 2009. Measures of mtDNA variation did not change significantly among individuals sampled before and after the ban on market hunting, nor among four temporal groups (Pre-Act, Early Post-Act, Late Post-Act, and Modern; trend analysis: chi (2) = 0.171, "&amp;"P = 0.679). Similarly, we did not observe loss of common haplotypes, implying that there was no substantial reduction in unique matrilineal units during our 135-year study period. Using Bayesian Skyline reconstruction of temporal changes in effective popu"&amp;"lation size of females (N (ef)), we concluded that N (ef) has been stable for the past century. Results of resampling suggest that diversity estimators can be imprecise and we emphasize the importance of a well-rounded analytical approach to addressing co"&amp;"nservation genetic hypotheses. Considering all of the evidence it appears that genetic variation and N (ef) were stable despite the pressures of market hunting early in the 20th century and habitat loss and degradation in the latter half of the 20th centu"&amp;"ry. Conservation efforts should continue to focus on maintaining the population size of Buff-breasted Sandpipers to avoid reaching a threshold where genetic variability is lost.")</f>
        <v>A principal goal of conservation efforts for threatened and endangered taxa is maintenance of genetic diversity. Modern and historic processes that limit population size can contribute to a loss of genetic variation that can reduce future adaptability of a species. Buff-breasted Sandpipers (Calidris subruficollis) are a Neotropical migratory shorebird that experienced rapid, large-scale declines in population numbers (population bottleneck) due to intensive market hunting at the turn of the 20th century. Market hunting ended shortly after the passage of the Migratory Bird Treaty Act in 1918, but subsequent population losses have occurred due to continued anthropogenic disturbances throughout the species' migratory range. To assess the impact of population declines on the genetic variation of Buff-breasted Sandpipers, we surveyed two mitochondrial DNA (mtDNA) markers, the control region and cytochrome b, from 209 museum specimens collected between 1874 and 1983 and 460 modern samples collected between 1993 and 2009. Measures of mtDNA variation did not change significantly among individuals sampled before and after the ban on market hunting, nor among four temporal groups (Pre-Act, Early Post-Act, Late Post-Act, and Modern; trend analysis: chi (2) = 0.171, P = 0.679). Similarly, we did not observe loss of common haplotypes, implying that there was no substantial reduction in unique matrilineal units during our 135-year study period. Using Bayesian Skyline reconstruction of temporal changes in effective population size of females (N (ef)), we concluded that N (ef) has been stable for the past century. Results of resampling suggest that diversity estimators can be imprecise and we emphasize the importance of a well-rounded analytical approach to addressing conservation genetic hypotheses. Considering all of the evidence it appears that genetic variation and N (ef) were stable despite the pressures of market hunting early in the 20th century and habitat loss and degradation in the latter half of the 20th century. Conservation efforts should continue to focus on maintaining the population size of Buff-breasted Sandpipers to avoid reaching a threshold where genetic variability is lost.</v>
      </c>
      <c r="C67" s="24" t="str">
        <f>IFERROR(__xludf.DUMMYFUNCTION("""COMPUTED_VALUE"""),"10.1007/s10592-014-0611-2")</f>
        <v>10.1007/s10592-014-0611-2</v>
      </c>
      <c r="D67" s="24" t="str">
        <f>IFERROR(__xludf.DUMMYFUNCTION("""COMPUTED_VALUE"""),"shaw et al")</f>
        <v>shaw et al</v>
      </c>
      <c r="E67" s="24" t="str">
        <f>IFERROR(__xludf.DUMMYFUNCTION("""COMPUTED_VALUE"""),"WOS:000342174700017")</f>
        <v>WOS:000342174700017</v>
      </c>
      <c r="F67" s="24" t="str">
        <f>IFERROR(__xludf.DUMMYFUNCTION("""COMPUTED_VALUE"""),"[""ELIGIBLE""]")</f>
        <v>["ELIGIBLE"]</v>
      </c>
    </row>
    <row r="68">
      <c r="A68" s="24" t="str">
        <f>IFERROR(__xludf.DUMMYFUNCTION("""COMPUTED_VALUE"""),"Genetic footprint of population fragmentation and contemporary collapse in a freshwater cetacean")</f>
        <v>Genetic footprint of population fragmentation and contemporary collapse in a freshwater cetacean</v>
      </c>
      <c r="B68" s="24" t="str">
        <f>IFERROR(__xludf.DUMMYFUNCTION("""COMPUTED_VALUE"""),"Understanding demographic trends and patterns of gene flow in an endangered species is crucial for devising conservation strategies. Here, we examined the extent of population structure and recent evolution of the critically endangered Yangtze finless por"&amp;"poise (Neophocaena asiaeorientalis asiaeorientalis). By analysing genetic variation at the mitochondrial and nuclear microsatellite loci for 148 individuals, we identified three populations along the Yangtze River, each one connected to a group of admixed"&amp;" ancestry. Each population displayed extremely low genetic diversity, consistent with extremely small effective size (&lt;= 92 individuals). Habitat degradation and distribution gaps correlated with highly asymmetric gene-flow that was inefficient in maintai"&amp;"ning connectivity between populations. Genetic inferences of historical demography revealed that the populations in the Yangtze descended from a small number of founders colonizing the river from the sea during the last Ice Age. The colonization was follo"&amp;"wed by a rapid population split during the last millennium predating the Chinese Modern Economy Development. However, genetic diversity showed a clear footprint of population contraction over the last 50 years leaving only similar to 2 % of the pre-collap"&amp;"sed size, consistent with the population collapses reported from field studies. This genetic perspective")</f>
        <v>Understanding demographic trends and patterns of gene flow in an endangered species is crucial for devising conservation strategies. Here, we examined the extent of population structure and recent evolution of the critically endangered Yangtze finless porpoise (Neophocaena asiaeorientalis asiaeorientalis). By analysing genetic variation at the mitochondrial and nuclear microsatellite loci for 148 individuals, we identified three populations along the Yangtze River, each one connected to a group of admixed ancestry. Each population displayed extremely low genetic diversity, consistent with extremely small effective size (&lt;= 92 individuals). Habitat degradation and distribution gaps correlated with highly asymmetric gene-flow that was inefficient in maintaining connectivity between populations. Genetic inferences of historical demography revealed that the populations in the Yangtze descended from a small number of founders colonizing the river from the sea during the last Ice Age. The colonization was followed by a rapid population split during the last millennium predating the Chinese Modern Economy Development. However, genetic diversity showed a clear footprint of population contraction over the last 50 years leaving only similar to 2 % of the pre-collapsed size, consistent with the population collapses reported from field studies. This genetic perspective</v>
      </c>
      <c r="C68" s="24" t="str">
        <f>IFERROR(__xludf.DUMMYFUNCTION("""COMPUTED_VALUE"""),"10.1038/s41598-017-14812-z")</f>
        <v>10.1038/s41598-017-14812-z</v>
      </c>
      <c r="D68" s="24" t="str">
        <f>IFERROR(__xludf.DUMMYFUNCTION("""COMPUTED_VALUE"""),"shaw et al")</f>
        <v>shaw et al</v>
      </c>
      <c r="E68" s="24" t="str">
        <f>IFERROR(__xludf.DUMMYFUNCTION("""COMPUTED_VALUE"""),"WOS:000414231000050")</f>
        <v>WOS:000414231000050</v>
      </c>
      <c r="F68" s="24" t="str">
        <f>IFERROR(__xludf.DUMMYFUNCTION("""COMPUTED_VALUE"""),"[""ELIGIBLE""]")</f>
        <v>["ELIGIBLE"]</v>
      </c>
    </row>
    <row r="69">
      <c r="A69" s="24" t="str">
        <f>IFERROR(__xludf.DUMMYFUNCTION("""COMPUTED_VALUE"""),"Genetic Evaluation of Supplementation-Assisted American Shad Restoration in the James River, Virginia")</f>
        <v>Genetic Evaluation of Supplementation-Assisted American Shad Restoration in the James River, Virginia</v>
      </c>
      <c r="B69" s="24" t="str">
        <f>IFERROR(__xludf.DUMMYFUNCTION("""COMPUTED_VALUE"""),"Hatchery supplementation programs have been implemented for several populations of American Shad Alosa sapidissima, which are declining across the species' native range due to disrupted access to spawning grounds, habitat degradation, and overfishing. The"&amp;" genetic impacts of stocking Pamunkey River-origin larvae into the James River American Shad population since 1994 were investigated, and the effects were considered within a regional context by including American Shad populations from other Chesapeake Ba"&amp;"y tributaries that also received interbasin stockings from various rivers over the same period. Levels of genetic diversity for microsatellite markers were high in all populations except the Susquehanna River population, which showed a significant decline"&amp;" in diversity between the 1990s and 2007. Before supplementation of James River American Shad, the James and Pamunkey River populations exhibited subtle standardized differentiation among groups (F-CT' = 0.012), whereas differentiation was reduced after s"&amp;"upplementation (F-CT' = 0.007), indicating that supplementation contributed to homogenization of population structure within the two rivers. Chesapeake Bay tributaries also displayed higher levels of differentiation in the 1990s (F-CT' = 0.063) than in co"&amp;"ntemporary, supplemented samples (F-CT' = 0.004). Bayesian analyses of population structure among 1990s Chesapeake Bay samples only identified the Susquehanna River as having a distinguishable population, and no population structure was detected among sam"&amp;"ples collected in the late 2000s. In light of the fact that Chesapeake Bay American Shad populations are not rebounding in response to supplementation, our observation of reduced genetic differentiation among populations is a likely signal of substitution"&amp;" by hatchery-origin fish rather than increasing natural recruitment. As such, spawning habitat improvement in conjunction with continued baywide fishing regulation may be a more beneficial strategy for restoring viable American Shad populations than conti"&amp;"nued reliance on supplementation.")</f>
        <v>Hatchery supplementation programs have been implemented for several populations of American Shad Alosa sapidissima, which are declining across the species' native range due to disrupted access to spawning grounds, habitat degradation, and overfishing. The genetic impacts of stocking Pamunkey River-origin larvae into the James River American Shad population since 1994 were investigated, and the effects were considered within a regional context by including American Shad populations from other Chesapeake Bay tributaries that also received interbasin stockings from various rivers over the same period. Levels of genetic diversity for microsatellite markers were high in all populations except the Susquehanna River population, which showed a significant decline in diversity between the 1990s and 2007. Before supplementation of James River American Shad, the James and Pamunkey River populations exhibited subtle standardized differentiation among groups (F-CT' = 0.012), whereas differentiation was reduced after supplementation (F-CT' = 0.007), indicating that supplementation contributed to homogenization of population structure within the two rivers. Chesapeake Bay tributaries also displayed higher levels of differentiation in the 1990s (F-CT' = 0.063) than in contemporary, supplemented samples (F-CT' = 0.004). Bayesian analyses of population structure among 1990s Chesapeake Bay samples only identified the Susquehanna River as having a distinguishable population, and no population structure was detected among samples collected in the late 2000s. In light of the fact that Chesapeake Bay American Shad populations are not rebounding in response to supplementation, our observation of reduced genetic differentiation among populations is a likely signal of substitution by hatchery-origin fish rather than increasing natural recruitment. As such, spawning habitat improvement in conjunction with continued baywide fishing regulation may be a more beneficial strategy for restoring viable American Shad populations than continued reliance on supplementation.</v>
      </c>
      <c r="C69" s="24" t="str">
        <f>IFERROR(__xludf.DUMMYFUNCTION("""COMPUTED_VALUE"""),"10.1080/19425120.2014.893465")</f>
        <v>10.1080/19425120.2014.893465</v>
      </c>
      <c r="D69" s="24" t="str">
        <f>IFERROR(__xludf.DUMMYFUNCTION("""COMPUTED_VALUE"""),"shaw et al")</f>
        <v>shaw et al</v>
      </c>
      <c r="E69" s="24" t="str">
        <f>IFERROR(__xludf.DUMMYFUNCTION("""COMPUTED_VALUE"""),"WOS:000343697600011")</f>
        <v>WOS:000343697600011</v>
      </c>
      <c r="F69" s="24" t="str">
        <f>IFERROR(__xludf.DUMMYFUNCTION("""COMPUTED_VALUE"""),"[""ELIGIBLE""]")</f>
        <v>["ELIGIBLE"]</v>
      </c>
    </row>
    <row r="70">
      <c r="A70" s="24" t="str">
        <f>IFERROR(__xludf.DUMMYFUNCTION("""COMPUTED_VALUE"""),"Genetic variation between outer-coastal and fjord populations of Pacific herring (Clupea pallasii) in the eastern Gulf of Alaska")</f>
        <v>Genetic variation between outer-coastal and fjord populations of Pacific herring (Clupea pallasii) in the eastern Gulf of Alaska</v>
      </c>
      <c r="B70" s="24" t="str">
        <f>IFERROR(__xludf.DUMMYFUNCTION("""COMPUTED_VALUE"""),"Pacific herring (Clupea pallasii) from the Gulf of Alaska were screened for temporal and spatial genetic variation with 15 microsatellite loci. Thirteen collections were examined in this study: 11 from Southeast Alaska and 2 from Prince William Sound, Ala"&amp;"ska. Although F(ST) values were low, a neighbor-joining tree based on genetic distance, homogeneity, and F(ST) values revealed that collectively, the Berners Bay and Lynn Canal (interior) collections were genetically distinct from Sitka Sound and Prince o"&amp;"f Wales Island (outer-coastal) collections. Temporal genetic variation within regions (among three years of Berners Bay spawners and between the two Sitka Sound spawners) was zero, whereas 0.05% was attributable to genetic variation between Berners Bay an"&amp;"d Sitka Sound. This divergence may be attributable to environmental differences between interior archipelago waters and outer-coast habitats, such as differences in temperature and salinity. Early spring collections of nonspawning Lynn Canal herring were "&amp;"nearly genetically identical to collections of spawning herring in Berners Bay two months later-an indication that Berners Bay spawners over-winter in Lynn Canal. Southeast Alaskan herring (collectively) were significantly different from those in Prince W"&amp;"illiam Sound. This study illustrates that adequate sample size is needed to detect variation in pelagic fish species with a large effective population size, and microsatellite markers may be useful in detecting low-level genetic divergence in Pacific herr"&amp;"ing in the Gulf of Alaska.")</f>
        <v>Pacific herring (Clupea pallasii) from the Gulf of Alaska were screened for temporal and spatial genetic variation with 15 microsatellite loci. Thirteen collections were examined in this study: 11 from Southeast Alaska and 2 from Prince William Sound, Alaska. Although F(ST) values were low, a neighbor-joining tree based on genetic distance, homogeneity, and F(ST) values revealed that collectively, the Berners Bay and Lynn Canal (interior) collections were genetically distinct from Sitka Sound and Prince of Wales Island (outer-coastal) collections. Temporal genetic variation within regions (among three years of Berners Bay spawners and between the two Sitka Sound spawners) was zero, whereas 0.05% was attributable to genetic variation between Berners Bay and Sitka Sound. This divergence may be attributable to environmental differences between interior archipelago waters and outer-coast habitats, such as differences in temperature and salinity. Early spring collections of nonspawning Lynn Canal herring were nearly genetically identical to collections of spawning herring in Berners Bay two months later-an indication that Berners Bay spawners over-winter in Lynn Canal. Southeast Alaskan herring (collectively) were significantly different from those in Prince William Sound. This study illustrates that adequate sample size is needed to detect variation in pelagic fish species with a large effective population size, and microsatellite markers may be useful in detecting low-level genetic divergence in Pacific herring in the Gulf of Alaska.</v>
      </c>
      <c r="C70" s="24" t="str">
        <f>IFERROR(__xludf.DUMMYFUNCTION("""COMPUTED_VALUE"""),"")</f>
        <v/>
      </c>
      <c r="D70" s="24" t="str">
        <f>IFERROR(__xludf.DUMMYFUNCTION("""COMPUTED_VALUE"""),"shaw et al")</f>
        <v>shaw et al</v>
      </c>
      <c r="E70" s="24" t="str">
        <f>IFERROR(__xludf.DUMMYFUNCTION("""COMPUTED_VALUE"""),"WOS:000296395600003")</f>
        <v>WOS:000296395600003</v>
      </c>
      <c r="F70" s="24" t="str">
        <f>IFERROR(__xludf.DUMMYFUNCTION("""COMPUTED_VALUE"""),"[""ELIGIBLE""]")</f>
        <v>["ELIGIBLE"]</v>
      </c>
    </row>
    <row r="71">
      <c r="A71" s="24" t="str">
        <f>IFERROR(__xludf.DUMMYFUNCTION("""COMPUTED_VALUE"""),"Bottlenecks and loss of genetic diversity: spatio-temporal patterns of genetic structure in an ascidian recently introduced in Europe")</f>
        <v>Bottlenecks and loss of genetic diversity: spatio-temporal patterns of genetic structure in an ascidian recently introduced in Europe</v>
      </c>
      <c r="B71" s="24" t="str">
        <f>IFERROR(__xludf.DUMMYFUNCTION("""COMPUTED_VALUE"""),"We explored temporal patterns of genetic diversity and spatial genetic structure of the recently introduced ascidian Perophora japonica Oka, 1927 in Europe. A fragment of the mitochondrial gene cytochrome c oxidase subunit I (COI) was sequenced for 291 co"&amp;"lonies of one population in Plymouth, UK, which was monitored for 9 yr after its initial discovery. A total of 238 colonies from 12 localities were also sequenced for population structure analyses. The temporal monitoring of the Plymouth population showed"&amp;" a progressive loss of genetic diversity over time attributable to a strong initial bottleneck followed by genetic drift and/or selection. Population genetic structure was consistent with the historical records of this introduction, which probably origina"&amp;"ted from oyster farming activities in France, from where the species spread to the UK and Spain. Only one population in France displayed high levels of genetic diversity, and most of the remaining populations presented very low variability. In addition, s"&amp;"ignificant differentiation in terms of allele frequencies was detected between some populations. P. japonica has suffered a loss of genetic diversity in both space and time since its introduction, but this did not prevent its expansion. Accidental human t"&amp;"ransport is the most likely mechanism of spread within the introduced range. Asexual propagation modes and chimerism in this species may play an important role in introduction events. The genetic data presented here can contribute to the design of more ef"&amp;"ficient management methods for this and similar introduced-species.")</f>
        <v>We explored temporal patterns of genetic diversity and spatial genetic structure of the recently introduced ascidian Perophora japonica Oka, 1927 in Europe. A fragment of the mitochondrial gene cytochrome c oxidase subunit I (COI) was sequenced for 291 colonies of one population in Plymouth, UK, which was monitored for 9 yr after its initial discovery. A total of 238 colonies from 12 localities were also sequenced for population structure analyses. The temporal monitoring of the Plymouth population showed a progressive loss of genetic diversity over time attributable to a strong initial bottleneck followed by genetic drift and/or selection. Population genetic structure was consistent with the historical records of this introduction, which probably originated from oyster farming activities in France, from where the species spread to the UK and Spain. Only one population in France displayed high levels of genetic diversity, and most of the remaining populations presented very low variability. In addition, significant differentiation in terms of allele frequencies was detected between some populations. P. japonica has suffered a loss of genetic diversity in both space and time since its introduction, but this did not prevent its expansion. Accidental human transport is the most likely mechanism of spread within the introduced range. Asexual propagation modes and chimerism in this species may play an important role in introduction events. The genetic data presented here can contribute to the design of more efficient management methods for this and similar introduced-species.</v>
      </c>
      <c r="C71" s="24" t="str">
        <f>IFERROR(__xludf.DUMMYFUNCTION("""COMPUTED_VALUE"""),"10.3354/meps09560")</f>
        <v>10.3354/meps09560</v>
      </c>
      <c r="D71" s="24" t="str">
        <f>IFERROR(__xludf.DUMMYFUNCTION("""COMPUTED_VALUE"""),"shaw et al")</f>
        <v>shaw et al</v>
      </c>
      <c r="E71" s="24" t="str">
        <f>IFERROR(__xludf.DUMMYFUNCTION("""COMPUTED_VALUE"""),"WOS:000303908000007")</f>
        <v>WOS:000303908000007</v>
      </c>
      <c r="F71" s="24" t="str">
        <f>IFERROR(__xludf.DUMMYFUNCTION("""COMPUTED_VALUE"""),"[""ELIGIBLE""]")</f>
        <v>["ELIGIBLE"]</v>
      </c>
    </row>
    <row r="72">
      <c r="A72" s="24" t="str">
        <f>IFERROR(__xludf.DUMMYFUNCTION("""COMPUTED_VALUE"""),"Island colonization and founder effects: the invasion of the Guadeloupe islands by ship rats (Rattus rattus)")</f>
        <v>Island colonization and founder effects: the invasion of the Guadeloupe islands by ship rats (Rattus rattus)</v>
      </c>
      <c r="B72" s="24" t="str">
        <f>IFERROR(__xludf.DUMMYFUNCTION("""COMPUTED_VALUE"""),"The stepwise colonization of islands within an archipelago is typically punctuated by successive founder effects, with each newly founded population being a subsample of the gene pool of the source island. Thus, the genetic signature of successive bottlen"&amp;"ecks should be detected when analysing the genetic structure between islands of an archipelago. To test this prediction, we investigated introduced ship rat populations, Rattus rattus (Linnaeus, 1758), in the Guadeloupe Archipelago. Three different method"&amp;"s, commonly named the heterozygosity excess, the mode-shift indicator and the M ratio method, were used to detect bottlenecks from genetic data obtained with eight microsatellite markers on Guadeloupe and two neighbouring islands, Petite-Terre and Fajou. "&amp;"Moreover, a recent eradication failure on Fajou allowed us to test the accuracy of the methods in an 'experimental-like' situation. The results indicate that rats were introduced on Guadeloupe first, which then became the source population for independent"&amp;" secondary colonization of Fajou and Petite-Terre. Moreover, the heterozygosity excess and the mode-shift indicator only detected bottlenecks for the recent colonization of Petite-Terre and the eradication failure on Fajou. However, bottlenecks were detec"&amp;"ted for all the populations using the M ratio method. This could be interpreted as the remaining signature of the early introduction of the ship rat in the archipelago.")</f>
        <v>The stepwise colonization of islands within an archipelago is typically punctuated by successive founder effects, with each newly founded population being a subsample of the gene pool of the source island. Thus, the genetic signature of successive bottlenecks should be detected when analysing the genetic structure between islands of an archipelago. To test this prediction, we investigated introduced ship rat populations, Rattus rattus (Linnaeus, 1758), in the Guadeloupe Archipelago. Three different methods, commonly named the heterozygosity excess, the mode-shift indicator and the M ratio method, were used to detect bottlenecks from genetic data obtained with eight microsatellite markers on Guadeloupe and two neighbouring islands, Petite-Terre and Fajou. Moreover, a recent eradication failure on Fajou allowed us to test the accuracy of the methods in an 'experimental-like' situation. The results indicate that rats were introduced on Guadeloupe first, which then became the source population for independent secondary colonization of Fajou and Petite-Terre. Moreover, the heterozygosity excess and the mode-shift indicator only detected bottlenecks for the recent colonization of Petite-Terre and the eradication failure on Fajou. However, bottlenecks were detected for all the populations using the M ratio method. This could be interpreted as the remaining signature of the early introduction of the ship rat in the archipelago.</v>
      </c>
      <c r="C72" s="24" t="str">
        <f>IFERROR(__xludf.DUMMYFUNCTION("""COMPUTED_VALUE"""),"10.1111/j.1365-294X.2005.02604.x")</f>
        <v>10.1111/j.1365-294X.2005.02604.x</v>
      </c>
      <c r="D72" s="24" t="str">
        <f>IFERROR(__xludf.DUMMYFUNCTION("""COMPUTED_VALUE"""),"shaw et al")</f>
        <v>shaw et al</v>
      </c>
      <c r="E72" s="24" t="str">
        <f>IFERROR(__xludf.DUMMYFUNCTION("""COMPUTED_VALUE"""),"WOS:000231223000003")</f>
        <v>WOS:000231223000003</v>
      </c>
      <c r="F72" s="24" t="str">
        <f>IFERROR(__xludf.DUMMYFUNCTION("""COMPUTED_VALUE"""),"[""ELIGIBLE""]")</f>
        <v>["ELIGIBLE"]</v>
      </c>
    </row>
    <row r="73">
      <c r="A73" s="24" t="str">
        <f>IFERROR(__xludf.DUMMYFUNCTION("""COMPUTED_VALUE"""),"Genetic variability in spotted seatrout (Cynoscion nebulosus), determined with microsatellite DNA markers")</f>
        <v>Genetic variability in spotted seatrout (Cynoscion nebulosus), determined with microsatellite DNA markers</v>
      </c>
      <c r="B73" s="24" t="str">
        <f>IFERROR(__xludf.DUMMYFUNCTION("""COMPUTED_VALUE"""),"Variation in the allele frequencies of five microsatellite loci was surveyed in 1256 individual spotted seatrout (Cynoscion nebulosus) obtained from 12 bays and estuaries from Laguna Madre, Texas, to Charlotte Harbor, Florida, to St. John's River on the F"&amp;"lorida Atlantic Coast. Texas and Louisiana collection sites were resampled each year for two to four years (1998-2001). Genetic differentiation was observed. Spotted seatrout from Florida waters were strongly differentiated from spotted seatrout collected"&amp;" in Louisiana and Texas. The greatest genetic discontinuity was observed between Tampa Bay and Charlotte Harbor, and Charlotte Harbor seatrout were most similar to Atlantic Coast spotted seatrout. Texas and Louisiana samples were not strongly structured w"&amp;"ithin the northwestern Gulf of Mexico and there was little evidence of temporal differentiation within bays. These findings are contrary to those of earlier analyses with allozymes and mitochondrial DNA (mtDNA) where evidence of spatial differentiation wa"&amp;"s found for spotted seatrout resident on the Texas coast. The differences in genetic structure observed among these markers may reflect differences in response to selective pressure, or may be due to differences in underlying genetic processes.")</f>
        <v>Variation in the allele frequencies of five microsatellite loci was surveyed in 1256 individual spotted seatrout (Cynoscion nebulosus) obtained from 12 bays and estuaries from Laguna Madre, Texas, to Charlotte Harbor, Florida, to St. John's River on the Florida Atlantic Coast. Texas and Louisiana collection sites were resampled each year for two to four years (1998-2001). Genetic differentiation was observed. Spotted seatrout from Florida waters were strongly differentiated from spotted seatrout collected in Louisiana and Texas. The greatest genetic discontinuity was observed between Tampa Bay and Charlotte Harbor, and Charlotte Harbor seatrout were most similar to Atlantic Coast spotted seatrout. Texas and Louisiana samples were not strongly structured within the northwestern Gulf of Mexico and there was little evidence of temporal differentiation within bays. These findings are contrary to those of earlier analyses with allozymes and mitochondrial DNA (mtDNA) where evidence of spatial differentiation was found for spotted seatrout resident on the Texas coast. The differences in genetic structure observed among these markers may reflect differences in response to selective pressure, or may be due to differences in underlying genetic processes.</v>
      </c>
      <c r="C73" s="24" t="str">
        <f>IFERROR(__xludf.DUMMYFUNCTION("""COMPUTED_VALUE"""),"")</f>
        <v/>
      </c>
      <c r="D73" s="24" t="str">
        <f>IFERROR(__xludf.DUMMYFUNCTION("""COMPUTED_VALUE"""),"shaw et al")</f>
        <v>shaw et al</v>
      </c>
      <c r="E73" s="24" t="str">
        <f>IFERROR(__xludf.DUMMYFUNCTION("""COMPUTED_VALUE"""),"WOS:000247148800005")</f>
        <v>WOS:000247148800005</v>
      </c>
      <c r="F73" s="24" t="str">
        <f>IFERROR(__xludf.DUMMYFUNCTION("""COMPUTED_VALUE"""),"[""ELIGIBLE""]")</f>
        <v>["ELIGIBLE"]</v>
      </c>
    </row>
    <row r="74">
      <c r="A74" s="24" t="str">
        <f>IFERROR(__xludf.DUMMYFUNCTION("""COMPUTED_VALUE"""),"Population structure of king mackerel (Scomberomorus cavalla) around peninsular Florida, as revealed by microsatellite DNA")</f>
        <v>Population structure of king mackerel (Scomberomorus cavalla) around peninsular Florida, as revealed by microsatellite DNA</v>
      </c>
      <c r="B74" s="24" t="str">
        <f>IFERROR(__xludf.DUMMYFUNCTION("""COMPUTED_VALUE"""),"A total of 1006 king mackerel (Scomberomorus cavalla) representing 20 discrete samples collected between 1996 and 1998 along the east (Atlantic) and west (Gulf) coasts of Florida and the Florida Keys were assayed for allelic variation at seven nuclear-enc"&amp;"oded microsatellites. No significant deviations from Hardy-Weinberg equilibrium expectations were found for six of the microsatellites, and genotypes at all microsatellites were independent. Allele distributions at each microsatellite were independent of "&amp;"sex and age of individuals. Homogeneity tests of spatial distributions of alleles at the microsatellites revealed two weakly divergent genetic subpopulations or stocks of king mackerel in Florida waters-one along the Atlantic coast and one along the Gulf "&amp;"coast. Homogeneity tests of allele distributions when samples were pooled along seasonal (temporal) boundaries, consistent with the temporal boundaries used currently for stock assessment and allocation of the king mackerel resource, were nonsignificant. "&amp;"The degree of genetic divergence between the two genetic stocks was small: on average, only 0.19% of the total genetic variance across all samples assayed occurred between the two regions. Cluster analysis, assignment tests, and spatial autocorrelation an"&amp;"alysis did not generate patterns that were consistent with either geographic or spatial-temporal boundaries. King mackerel sampled from the Florida Keys could not be assigned unequivocally to either genetic stock. The genetic data were not consistent with"&amp;" current spatial-temporal boundaries employed in stock assessment and allocation of the king mackerel resource. The genetic differences between king mackerel in the Atlantic versus those in the Gulf most likely stem from reduced gene flow (migration) betw"&amp;"een the Atlantic and Gulf in relation to gene flow (migration) along the Atlantic and Gulf coasts of peninsular Florida. This difference is consistent with findings for other marine fishes where data indicate that the southern Florida peninsula serves (or"&amp;" has served) as a biogeographic boundary.")</f>
        <v>A total of 1006 king mackerel (Scomberomorus cavalla) representing 20 discrete samples collected between 1996 and 1998 along the east (Atlantic) and west (Gulf) coasts of Florida and the Florida Keys were assayed for allelic variation at seven nuclear-encoded microsatellites. No significant deviations from Hardy-Weinberg equilibrium expectations were found for six of the microsatellites, and genotypes at all microsatellites were independent. Allele distributions at each microsatellite were independent of sex and age of individuals. Homogeneity tests of spatial distributions of alleles at the microsatellites revealed two weakly divergent genetic subpopulations or stocks of king mackerel in Florida waters-one along the Atlantic coast and one along the Gulf coast. Homogeneity tests of allele distributions when samples were pooled along seasonal (temporal) boundaries, consistent with the temporal boundaries used currently for stock assessment and allocation of the king mackerel resource, were nonsignificant. The degree of genetic divergence between the two genetic stocks was small: on average, only 0.19% of the total genetic variance across all samples assayed occurred between the two regions. Cluster analysis, assignment tests, and spatial autocorrelation analysis did not generate patterns that were consistent with either geographic or spatial-temporal boundaries. King mackerel sampled from the Florida Keys could not be assigned unequivocally to either genetic stock. The genetic data were not consistent with current spatial-temporal boundaries employed in stock assessment and allocation of the king mackerel resource. The genetic differences between king mackerel in the Atlantic versus those in the Gulf most likely stem from reduced gene flow (migration) between the Atlantic and Gulf in relation to gene flow (migration) along the Atlantic and Gulf coasts of peninsular Florida. This difference is consistent with findings for other marine fishes where data indicate that the southern Florida peninsula serves (or has served) as a biogeographic boundary.</v>
      </c>
      <c r="C74" s="24" t="str">
        <f>IFERROR(__xludf.DUMMYFUNCTION("""COMPUTED_VALUE"""),"")</f>
        <v/>
      </c>
      <c r="D74" s="24" t="str">
        <f>IFERROR(__xludf.DUMMYFUNCTION("""COMPUTED_VALUE"""),"shaw et al")</f>
        <v>shaw et al</v>
      </c>
      <c r="E74" s="24" t="str">
        <f>IFERROR(__xludf.DUMMYFUNCTION("""COMPUTED_VALUE"""),"WOS:000177333400009")</f>
        <v>WOS:000177333400009</v>
      </c>
      <c r="F74" s="24" t="str">
        <f>IFERROR(__xludf.DUMMYFUNCTION("""COMPUTED_VALUE"""),"[""ELIGIBLE""]")</f>
        <v>["ELIGIBLE"]</v>
      </c>
    </row>
    <row r="75">
      <c r="A75" s="24" t="str">
        <f>IFERROR(__xludf.DUMMYFUNCTION("""COMPUTED_VALUE"""),"Historical decline in the Japanese eel Anguilla japonica in northern Taiwan inferred from temporal genetic variations")</f>
        <v>Historical decline in the Japanese eel Anguilla japonica in northern Taiwan inferred from temporal genetic variations</v>
      </c>
      <c r="B75" s="24" t="str">
        <f>IFERROR(__xludf.DUMMYFUNCTION("""COMPUTED_VALUE"""),"Historical decline in the Japanese eel Anguilla japonica in northern Taiwan inferred from temporal genetic variations. Zoological Studies 42(4): 556-563. The existence of temporal genetic variations was tested for in 6 polymorphic microsatellite DNA loci "&amp;"of 89 Japanese eel Anguilla japonica collected from a single location in the Tanshui River Estuary, northern Taiwan during 1997-1999. The high Nei's genetic identity coefficients (0.868-0.941) and exact test of temporal genetic structure revealed no signi"&amp;"ficant differentiation (p &gt; 0.05) among cohorts. Parameters of genetic diversity were examined including mean observed heterozygosity (H-o) (0.695-0.732) and change in the total number of alleles per year (na) (73-81). Significant deviations from Hardy-We"&amp;"inberg equilibrium appeared in 5 of 6 loci, due to an insufficient number of heterozygous individuals in all cohorts. Totals of 22 private and 14 solitary missing alleles were found in all 6 loci. The decrease in numbers of total alleles and private allel"&amp;"es and the increased number of solitary alleles in consecutive years suggested that genetic polymorphism was gradually decreasing. By Bayesian parameters assay, we found that the effective population size was declining. The demographic decline estimated t"&amp;"o be 3500-8000 years ago, is significant due to large-scale events such as oceangeographic changes since the most recent glacial stage.")</f>
        <v>Historical decline in the Japanese eel Anguilla japonica in northern Taiwan inferred from temporal genetic variations. Zoological Studies 42(4): 556-563. The existence of temporal genetic variations was tested for in 6 polymorphic microsatellite DNA loci of 89 Japanese eel Anguilla japonica collected from a single location in the Tanshui River Estuary, northern Taiwan during 1997-1999. The high Nei's genetic identity coefficients (0.868-0.941) and exact test of temporal genetic structure revealed no significant differentiation (p &gt; 0.05) among cohorts. Parameters of genetic diversity were examined including mean observed heterozygosity (H-o) (0.695-0.732) and change in the total number of alleles per year (na) (73-81). Significant deviations from Hardy-Weinberg equilibrium appeared in 5 of 6 loci, due to an insufficient number of heterozygous individuals in all cohorts. Totals of 22 private and 14 solitary missing alleles were found in all 6 loci. The decrease in numbers of total alleles and private alleles and the increased number of solitary alleles in consecutive years suggested that genetic polymorphism was gradually decreasing. By Bayesian parameters assay, we found that the effective population size was declining. The demographic decline estimated to be 3500-8000 years ago, is significant due to large-scale events such as oceangeographic changes since the most recent glacial stage.</v>
      </c>
      <c r="C75" s="24" t="str">
        <f>IFERROR(__xludf.DUMMYFUNCTION("""COMPUTED_VALUE"""),"")</f>
        <v/>
      </c>
      <c r="D75" s="24" t="str">
        <f>IFERROR(__xludf.DUMMYFUNCTION("""COMPUTED_VALUE"""),"shaw et al")</f>
        <v>shaw et al</v>
      </c>
      <c r="E75" s="24" t="str">
        <f>IFERROR(__xludf.DUMMYFUNCTION("""COMPUTED_VALUE"""),"WOS:000186558900009")</f>
        <v>WOS:000186558900009</v>
      </c>
      <c r="F75" s="24" t="str">
        <f>IFERROR(__xludf.DUMMYFUNCTION("""COMPUTED_VALUE"""),"[""ELIGIBLE""]")</f>
        <v>["ELIGIBLE"]</v>
      </c>
    </row>
    <row r="76">
      <c r="A76" s="24" t="str">
        <f>IFERROR(__xludf.DUMMYFUNCTION("""COMPUTED_VALUE"""),"Using soil seed banks to assess temporal patterns of genetic variation in invasive plant populations")</f>
        <v>Using soil seed banks to assess temporal patterns of genetic variation in invasive plant populations</v>
      </c>
      <c r="B76" s="24" t="str">
        <f>IFERROR(__xludf.DUMMYFUNCTION("""COMPUTED_VALUE"""),"Most research on the genetics of invasive plant species has focused on analyzing spatial differences among existing populations. Using a long-established Gunnera tinctoria population from Ireland, we evaluated the potential of using plants derived from se"&amp;"eds associated with different soil layers to track genetic variation through time. This species and site were chosen because (1) G.tinctoria produces a large and persistent seed bank; (2) it has been present in this locality, Sraheens, for similar to 90ye"&amp;"ars; (3) the soil is largely undisturbed; and (4) the soil's age can be reliably determined radiometrically at different depths. Amplified fragment length polymorphic markers (AFLPs) were used to assess differences in the genetic structure of 75 individua"&amp;"ls sampled from both the standing population and from four soil layers, which spanned 18cm (estimated at similar to 90years based on Pb-210 and Cs-137 dating). While there are difficulties in interpreting such data, including accounting for the effects of"&amp;" selection, seed loss, and seed migration, a clear pattern of lower total allele counts, percentage polymorphic loci, and genetic diversity was observed in deeper soils. The greatest percentage increase in the measured genetic variables occurred prior to "&amp;"the shift from the lag to the exponential range expansion phases and may be of adaptive significance. These findings highlight that seed banks in areas with long-established invasive populations can contain valuable genetic information relating to invasio"&amp;"n processes and as such, should not be overlooked.")</f>
        <v>Most research on the genetics of invasive plant species has focused on analyzing spatial differences among existing populations. Using a long-established Gunnera tinctoria population from Ireland, we evaluated the potential of using plants derived from seeds associated with different soil layers to track genetic variation through time. This species and site were chosen because (1) G.tinctoria produces a large and persistent seed bank; (2) it has been present in this locality, Sraheens, for similar to 90years; (3) the soil is largely undisturbed; and (4) the soil's age can be reliably determined radiometrically at different depths. Amplified fragment length polymorphic markers (AFLPs) were used to assess differences in the genetic structure of 75 individuals sampled from both the standing population and from four soil layers, which spanned 18cm (estimated at similar to 90years based on Pb-210 and Cs-137 dating). While there are difficulties in interpreting such data, including accounting for the effects of selection, seed loss, and seed migration, a clear pattern of lower total allele counts, percentage polymorphic loci, and genetic diversity was observed in deeper soils. The greatest percentage increase in the measured genetic variables occurred prior to the shift from the lag to the exponential range expansion phases and may be of adaptive significance. These findings highlight that seed banks in areas with long-established invasive populations can contain valuable genetic information relating to invasion processes and as such, should not be overlooked.</v>
      </c>
      <c r="C76" s="24" t="str">
        <f>IFERROR(__xludf.DUMMYFUNCTION("""COMPUTED_VALUE"""),"10.1002/ece3.1043")</f>
        <v>10.1002/ece3.1043</v>
      </c>
      <c r="D76" s="24" t="str">
        <f>IFERROR(__xludf.DUMMYFUNCTION("""COMPUTED_VALUE"""),"shaw et al")</f>
        <v>shaw et al</v>
      </c>
      <c r="E76" s="24" t="str">
        <f>IFERROR(__xludf.DUMMYFUNCTION("""COMPUTED_VALUE"""),"WOS:000335267000012")</f>
        <v>WOS:000335267000012</v>
      </c>
      <c r="F76" s="24" t="str">
        <f>IFERROR(__xludf.DUMMYFUNCTION("""COMPUTED_VALUE"""),"[""ELIGIBLE""]")</f>
        <v>["ELIGIBLE"]</v>
      </c>
    </row>
    <row r="77">
      <c r="A77" s="24" t="str">
        <f>IFERROR(__xludf.DUMMYFUNCTION("""COMPUTED_VALUE"""),"Population genetic structure of the year-round spawning tropical eel, Anguilla reinhardtii, in Australia")</f>
        <v>Population genetic structure of the year-round spawning tropical eel, Anguilla reinhardtii, in Australia</v>
      </c>
      <c r="B77" s="24" t="str">
        <f>IFERROR(__xludf.DUMMYFUNCTION("""COMPUTED_VALUE"""),"Population genetic structure of the year-round spawning tropical eel, Anguilla reinhardtii, in Australia. Zoological Studies 46(4): 441-453. The population genetic structure of tropical freshwater eels is less well investigated than that of their temperat"&amp;"e counterparts. To understand both the spatial and temporal population genetic structures of the year-round spawning tropical eel, Anguilla reinhardtii, variability at 6 microsatellite loci was examined in 799 glass eels. Samples were collected from 5 est"&amp;"uaries across the range of the species in East Australia in 1997-1999. F-ST, a measure of differentiation among populations, did not significantly differ among months or estuaries, suggesting that A. reinhardtii populations are panmictic. An oceanic and p"&amp;"rolonged spawning period, which lasts nearly the entire year, appears to facilitate interbreeding between adult eels from different generations and areas. A short pelagic larval duration decreases larval dispersal, and therefore decreases the effect of la"&amp;"titude-correlated environmental variables on the spawning migration. Mixing of individuals from different areas in ocean gyres may also contribute to genetic homogeneity among streams.")</f>
        <v>Population genetic structure of the year-round spawning tropical eel, Anguilla reinhardtii, in Australia. Zoological Studies 46(4): 441-453. The population genetic structure of tropical freshwater eels is less well investigated than that of their temperate counterparts. To understand both the spatial and temporal population genetic structures of the year-round spawning tropical eel, Anguilla reinhardtii, variability at 6 microsatellite loci was examined in 799 glass eels. Samples were collected from 5 estuaries across the range of the species in East Australia in 1997-1999. F-ST, a measure of differentiation among populations, did not significantly differ among months or estuaries, suggesting that A. reinhardtii populations are panmictic. An oceanic and prolonged spawning period, which lasts nearly the entire year, appears to facilitate interbreeding between adult eels from different generations and areas. A short pelagic larval duration decreases larval dispersal, and therefore decreases the effect of latitude-correlated environmental variables on the spawning migration. Mixing of individuals from different areas in ocean gyres may also contribute to genetic homogeneity among streams.</v>
      </c>
      <c r="C77" s="24" t="str">
        <f>IFERROR(__xludf.DUMMYFUNCTION("""COMPUTED_VALUE"""),"")</f>
        <v/>
      </c>
      <c r="D77" s="24" t="str">
        <f>IFERROR(__xludf.DUMMYFUNCTION("""COMPUTED_VALUE"""),"shaw et al")</f>
        <v>shaw et al</v>
      </c>
      <c r="E77" s="24" t="str">
        <f>IFERROR(__xludf.DUMMYFUNCTION("""COMPUTED_VALUE"""),"WOS:000248821100006")</f>
        <v>WOS:000248821100006</v>
      </c>
      <c r="F77" s="24" t="str">
        <f>IFERROR(__xludf.DUMMYFUNCTION("""COMPUTED_VALUE"""),"[""ELIGIBLE""]")</f>
        <v>["ELIGIBLE"]</v>
      </c>
    </row>
    <row r="78">
      <c r="A78" s="24" t="str">
        <f>IFERROR(__xludf.DUMMYFUNCTION("""COMPUTED_VALUE"""),"Are genes faster than crabs? Mitochondrial introgression exceeds larval dispersal during population expansion of the invasive crab Carcinus maenas")</f>
        <v>Are genes faster than crabs? Mitochondrial introgression exceeds larval dispersal during population expansion of the invasive crab Carcinus maenas</v>
      </c>
      <c r="B78" s="24" t="str">
        <f>IFERROR(__xludf.DUMMYFUNCTION("""COMPUTED_VALUE"""),"Biological invasions offer unique opportunities to investigate evolutionary dynamics at the peripheries of expanding populations. Here, we examine genetic patterns associated with admixture between two distinct invasive lineages of the European green crab"&amp;", Carcinus maenas L., independently introduced to the northwest Atlantic. Previous investigations based on mitochondrial DNA sequences demonstrated that larval dispersal driven by advective currents could explain observed southward displacement of an admi"&amp;"xture zone between the two invasions. Comparison of published mitochondrial results with new nuclear data from nine microsatellite loci, however, reveals striking discordance in their introgression patterns. Specifically, introgression of mitochondrial ge"&amp;"nomes relative to nuclear background suggests that demographic processes such as sex-biased reproductive dynamics and population size imbalancesand not solely larval dispersal- play an important role in driving the evolution of the genetic cline. In parti"&amp;"cular, the unpredicted introgression of mitochondrial alleles against the direction of mean larval dispersal in the region is consistent with recent models invoking similar demographic processes to explain movements of genes into invading populations. The"&amp;"se observations have important implications for understanding historical shifts in C. maenas range limits, and more generally for inferences of larval dispersal based on genetic data.")</f>
        <v>Biological invasions offer unique opportunities to investigate evolutionary dynamics at the peripheries of expanding populations. Here, we examine genetic patterns associated with admixture between two distinct invasive lineages of the European green crab, Carcinus maenas L., independently introduced to the northwest Atlantic. Previous investigations based on mitochondrial DNA sequences demonstrated that larval dispersal driven by advective currents could explain observed southward displacement of an admixture zone between the two invasions. Comparison of published mitochondrial results with new nuclear data from nine microsatellite loci, however, reveals striking discordance in their introgression patterns. Specifically, introgression of mitochondrial genomes relative to nuclear background suggests that demographic processes such as sex-biased reproductive dynamics and population size imbalancesand not solely larval dispersal- play an important role in driving the evolution of the genetic cline. In particular, the unpredicted introgression of mitochondrial alleles against the direction of mean larval dispersal in the region is consistent with recent models invoking similar demographic processes to explain movements of genes into invading populations. These observations have important implications for understanding historical shifts in C. maenas range limits, and more generally for inferences of larval dispersal based on genetic data.</v>
      </c>
      <c r="C78" s="24" t="str">
        <f>IFERROR(__xludf.DUMMYFUNCTION("""COMPUTED_VALUE"""),"10.1098/rsos.140202")</f>
        <v>10.1098/rsos.140202</v>
      </c>
      <c r="D78" s="24" t="str">
        <f>IFERROR(__xludf.DUMMYFUNCTION("""COMPUTED_VALUE"""),"shaw et al")</f>
        <v>shaw et al</v>
      </c>
      <c r="E78" s="24" t="str">
        <f>IFERROR(__xludf.DUMMYFUNCTION("""COMPUTED_VALUE"""),"WOS:000209731900017")</f>
        <v>WOS:000209731900017</v>
      </c>
      <c r="F78" s="24" t="str">
        <f>IFERROR(__xludf.DUMMYFUNCTION("""COMPUTED_VALUE"""),"[""ELIGIBLE""]")</f>
        <v>["ELIGIBLE"]</v>
      </c>
    </row>
    <row r="79">
      <c r="A79" s="24" t="str">
        <f>IFERROR(__xludf.DUMMYFUNCTION("""COMPUTED_VALUE"""),"Genetic patterns across an invasion's history: a test of change versus stasis for the Eurasian round goby in North America")</f>
        <v>Genetic patterns across an invasion's history: a test of change versus stasis for the Eurasian round goby in North America</v>
      </c>
      <c r="B79" s="24" t="str">
        <f>IFERROR(__xludf.DUMMYFUNCTION("""COMPUTED_VALUE"""),"Biological invasions comprise accidental evolutionary experiments, whose genetic compositions underlie relative success, spread and persistence in new habitats. However, little is known about whether, or how, their population genetic patterns change tempo"&amp;"rally and/or spatially across the invasion's history. Theory predicts that most would undergo founder effect, exhibit low genetic divergence across the new range and gain variation over time via new arriving propagules. To test these predictions, we analy"&amp;"se population genetic diversity and divergence patterns of the Eurasian round goby Neogobius melanostomus across the two decades of its North American invasion in the Laurentian Great Lakes, comparing results from 13 nuclear DNA microsatellite lociand mit"&amp;"ochondrial DNA cytochrome b sequences. We test whether genetic stasis', genetic replacement' and/or genetic supplement' scenarios have occurred at the invasion's core and expansion sites, in comparison with its primary native source population in the Dnie"&amp;"per River, Black Sea. Results reveal pronounced genetic divergence across the exotic range, with population areas remaining genetically distinct and statistically consistent across two decades, supporting genetic stasis' and founder takes most'. The origi"&amp;"nal genotypes continue to predominate, whose high population growth likely outpaced the relative success of later arrivals. The original invasion core has stayed the most similar to the native source. Secondary expansion sites indicate slight allelic comp"&amp;"osition convergence towards the core population over time, attributable to some early genetic supplementation'. The geographic and temporal coverage of this investigation offers a rare opportunity to discern population dynamics over time and space in cont"&amp;"ext of invasion genetic theory vs. reality.")</f>
        <v>Biological invasions comprise accidental evolutionary experiments, whose genetic compositions underlie relative success, spread and persistence in new habitats. However, little is known about whether, or how, their population genetic patterns change temporally and/or spatially across the invasion's history. Theory predicts that most would undergo founder effect, exhibit low genetic divergence across the new range and gain variation over time via new arriving propagules. To test these predictions, we analyse population genetic diversity and divergence patterns of the Eurasian round goby Neogobius melanostomus across the two decades of its North American invasion in the Laurentian Great Lakes, comparing results from 13 nuclear DNA microsatellite lociand mitochondrial DNA cytochrome b sequences. We test whether genetic stasis', genetic replacement' and/or genetic supplement' scenarios have occurred at the invasion's core and expansion sites, in comparison with its primary native source population in the Dnieper River, Black Sea. Results reveal pronounced genetic divergence across the exotic range, with population areas remaining genetically distinct and statistically consistent across two decades, supporting genetic stasis' and founder takes most'. The original genotypes continue to predominate, whose high population growth likely outpaced the relative success of later arrivals. The original invasion core has stayed the most similar to the native source. Secondary expansion sites indicate slight allelic composition convergence towards the core population over time, attributable to some early genetic supplementation'. The geographic and temporal coverage of this investigation offers a rare opportunity to discern population dynamics over time and space in context of invasion genetic theory vs. reality.</v>
      </c>
      <c r="C79" s="24" t="str">
        <f>IFERROR(__xludf.DUMMYFUNCTION("""COMPUTED_VALUE"""),"10.1111/mec.13997")</f>
        <v>10.1111/mec.13997</v>
      </c>
      <c r="D79" s="24" t="str">
        <f>IFERROR(__xludf.DUMMYFUNCTION("""COMPUTED_VALUE"""),"shaw et al")</f>
        <v>shaw et al</v>
      </c>
      <c r="E79" s="24" t="str">
        <f>IFERROR(__xludf.DUMMYFUNCTION("""COMPUTED_VALUE"""),"WOS:000394999200010")</f>
        <v>WOS:000394999200010</v>
      </c>
      <c r="F79" s="24" t="str">
        <f>IFERROR(__xludf.DUMMYFUNCTION("""COMPUTED_VALUE"""),"[""ELIGIBLE""]")</f>
        <v>["ELIGIBLE"]</v>
      </c>
    </row>
    <row r="80">
      <c r="A80" s="24" t="str">
        <f>IFERROR(__xludf.DUMMYFUNCTION("""COMPUTED_VALUE"""),"Genetic interchange of Dreissena polymorpha populations across a canal")</f>
        <v>Genetic interchange of Dreissena polymorpha populations across a canal</v>
      </c>
      <c r="B80" s="24" t="str">
        <f>IFERROR(__xludf.DUMMYFUNCTION("""COMPUTED_VALUE"""),"The zebra mussel Dreissena polymorpha, has been invading western Central Europe since the early 19th century, coming from the Pontocaspian by two routes, each interconnected by large rivers and canals constructed at that time. By 1992 these two invasion p"&amp;"opulations had been given the opportunity to mix extensively across the newly built Main-Danube canal. Different hypotheses about the dynamics of genetic interchange have been postulated, ranging from a stable intergradation zone to complete mixing. We an"&amp;"alysed the allozyme variation at nine loci in 14 or 17 populations, respectively, across the canal on two occasions: 2 1/2 years and 4 1/2 years after the opening. At the first sampling a strong genetic differentiation at three loci was found between the "&amp;"two invasion lines. This differentiation declined during the two-year period. The main effect was an assimilation of the Main populations according to the gene frequencies of the Danube populations, which suggest a swamping of the Main populations by Danu"&amp;"be-type larvae. This inference is congruent with the overall water flow regime across the canal, i.e. active pumping from the Danube into the Main drainage system. The observed interchange processes allow some inferences to be made about the selective sig"&amp;"nificance of the highly heterozygous allozyme loci in D. polymorpha.")</f>
        <v>The zebra mussel Dreissena polymorpha, has been invading western Central Europe since the early 19th century, coming from the Pontocaspian by two routes, each interconnected by large rivers and canals constructed at that time. By 1992 these two invasion populations had been given the opportunity to mix extensively across the newly built Main-Danube canal. Different hypotheses about the dynamics of genetic interchange have been postulated, ranging from a stable intergradation zone to complete mixing. We analysed the allozyme variation at nine loci in 14 or 17 populations, respectively, across the canal on two occasions: 2 1/2 years and 4 1/2 years after the opening. At the first sampling a strong genetic differentiation at three loci was found between the two invasion lines. This differentiation declined during the two-year period. The main effect was an assimilation of the Main populations according to the gene frequencies of the Danube populations, which suggest a swamping of the Main populations by Danube-type larvae. This inference is congruent with the overall water flow regime across the canal, i.e. active pumping from the Danube into the Main drainage system. The observed interchange processes allow some inferences to be made about the selective significance of the highly heterozygous allozyme loci in D. polymorpha.</v>
      </c>
      <c r="C80" s="24" t="str">
        <f>IFERROR(__xludf.DUMMYFUNCTION("""COMPUTED_VALUE"""),"10.1046/j.1365-2540.2001.00816.x")</f>
        <v>10.1046/j.1365-2540.2001.00816.x</v>
      </c>
      <c r="D80" s="24" t="str">
        <f>IFERROR(__xludf.DUMMYFUNCTION("""COMPUTED_VALUE"""),"shaw et al")</f>
        <v>shaw et al</v>
      </c>
      <c r="E80" s="24" t="str">
        <f>IFERROR(__xludf.DUMMYFUNCTION("""COMPUTED_VALUE"""),"WOS:000168003400012")</f>
        <v>WOS:000168003400012</v>
      </c>
      <c r="F80" s="24" t="str">
        <f>IFERROR(__xludf.DUMMYFUNCTION("""COMPUTED_VALUE"""),"[""ELIGIBLE""]")</f>
        <v>["ELIGIBLE"]</v>
      </c>
    </row>
    <row r="81">
      <c r="A81" s="24" t="str">
        <f>IFERROR(__xludf.DUMMYFUNCTION("""COMPUTED_VALUE"""),"Genetic population sub-structuring of kingklip (Genypterus capensis - Ophidiidiae), a commercially exploited demersal fish off South Africa")</f>
        <v>Genetic population sub-structuring of kingklip (Genypterus capensis - Ophidiidiae), a commercially exploited demersal fish off South Africa</v>
      </c>
      <c r="B81" s="24" t="str">
        <f>IFERROR(__xludf.DUMMYFUNCTION("""COMPUTED_VALUE"""),"Kingklip, Genypterus capensis, is one of the most valuable fishery resources in South Africa, mainly caught as by-catch in the trawl and longline fisheries for hakes. Intense exploitation has contributed to substantial population declines in the past, but"&amp;" current exploitation levels are considered to be sustainable. Management is presently based on a Replacement Yield model, with total catches regulated through a Precautionary Upper Catch Limit. However, there is no consensus regarding population structur"&amp;"e, which may have a direct impact on the management of the resource. Assessment of historical and current genetic sub-structuring of kingklip (N=418) off South Africa was conducted using a fragment of mtDNA Control Region and ten microsatellite loci, for "&amp;"three consecutive years. Kingklip exhibited high historical genetic diversity levels (h= 0.901; IT = 0.009), but lower contemporary measures (HE = 0.802; Ho = 0.777, AR= 18.601) and low effective population sizes, which may be linked to past exploitation "&amp;"levels. Significant genetic divergence was detected for both mtDNA and microsatellites (43.sr = 0.070 and FsT = 0.004; p&lt; 0.001), although the differentiation pattern was not consistent through time. Results suggest the presence of population sub-structur"&amp;"ing, with at least two genetic units detected: western coast and southern coast of South Africa. The observed low levels of genetic differentiation point to significant gene flow between populations. The absence of temporal stability may result from repro"&amp;"ductive sweepstakes, with differential reproductive success between cohorts. These findings suggest that management of South African kingklip should consider two independent stocks, and catches should remain at levels that will ensure the long-term viabil"&amp;"ity of the resource. (C) 2016 Elsevier B.V. All rights reserved.")</f>
        <v>Kingklip, Genypterus capensis, is one of the most valuable fishery resources in South Africa, mainly caught as by-catch in the trawl and longline fisheries for hakes. Intense exploitation has contributed to substantial population declines in the past, but current exploitation levels are considered to be sustainable. Management is presently based on a Replacement Yield model, with total catches regulated through a Precautionary Upper Catch Limit. However, there is no consensus regarding population structure, which may have a direct impact on the management of the resource. Assessment of historical and current genetic sub-structuring of kingklip (N=418) off South Africa was conducted using a fragment of mtDNA Control Region and ten microsatellite loci, for three consecutive years. Kingklip exhibited high historical genetic diversity levels (h= 0.901; IT = 0.009), but lower contemporary measures (HE = 0.802; Ho = 0.777, AR= 18.601) and low effective population sizes, which may be linked to past exploitation levels. Significant genetic divergence was detected for both mtDNA and microsatellites (43.sr = 0.070 and FsT = 0.004; p&lt; 0.001), although the differentiation pattern was not consistent through time. Results suggest the presence of population sub-structuring, with at least two genetic units detected: western coast and southern coast of South Africa. The observed low levels of genetic differentiation point to significant gene flow between populations. The absence of temporal stability may result from reproductive sweepstakes, with differential reproductive success between cohorts. These findings suggest that management of South African kingklip should consider two independent stocks, and catches should remain at levels that will ensure the long-term viability of the resource. (C) 2016 Elsevier B.V. All rights reserved.</v>
      </c>
      <c r="C81" s="24" t="str">
        <f>IFERROR(__xludf.DUMMYFUNCTION("""COMPUTED_VALUE"""),"10.1016/j.fishres.2016.11.007")</f>
        <v>10.1016/j.fishres.2016.11.007</v>
      </c>
      <c r="D81" s="24" t="str">
        <f>IFERROR(__xludf.DUMMYFUNCTION("""COMPUTED_VALUE"""),"shaw et al")</f>
        <v>shaw et al</v>
      </c>
      <c r="E81" s="24" t="str">
        <f>IFERROR(__xludf.DUMMYFUNCTION("""COMPUTED_VALUE"""),"WOS:000393000000010")</f>
        <v>WOS:000393000000010</v>
      </c>
      <c r="F81" s="24" t="str">
        <f>IFERROR(__xludf.DUMMYFUNCTION("""COMPUTED_VALUE"""),"[""ELIGIBLE""]")</f>
        <v>["ELIGIBLE"]</v>
      </c>
    </row>
    <row r="82">
      <c r="A82" s="24" t="str">
        <f>IFERROR(__xludf.DUMMYFUNCTION("""COMPUTED_VALUE"""),"Mixture or mosaic? Genetic patterns in UK grey squirrels support a human-mediated long-jump' invasion mechanism")</f>
        <v>Mixture or mosaic? Genetic patterns in UK grey squirrels support a human-mediated long-jump' invasion mechanism</v>
      </c>
      <c r="B82" s="24" t="str">
        <f>IFERROR(__xludf.DUMMYFUNCTION("""COMPUTED_VALUE"""),"AimClarifying whether multiple introductions of a species remain relatively isolated or merge and interbreed is essential for understanding the dynamics of invasion processes. Multiple introductions from different sources can result in a mixture of geneti"&amp;"cally distinct populations, increasing the total genetic diversity. This mixing can resolve the genetic paradox', whereby in spite of the relatively small numbers of introduced individuals, the augmented diversity due to this mixing increases adaptability"&amp;" and the ability of the species to spread in new environments. Here, we aim to assess whether the expansion of a successful invader, the Eastern grey squirrel, was partly driven by the merger of multiple introductions and the effects of such a merger on d"&amp;"iversity. LocationUK, Ireland. MethodsWe analysed the genetic variation at 12 microsatellite loci of 381 individuals sampled from one historical and 14 modern populations of grey squirrels. ResultsOur data revealed that current UK population structure res"&amp;"embles a mosaic, with minimal interpopulation mixing and each element reflecting the genetic make-up of historic introductions. The genetic diversity of each examined population was lower than a US population or a historical UK population. Numbers of rele"&amp;"ases in a county did not correlate with county-level genetic diversity. Inbreeding coefficients remain high, and effective population sizes remain small. Main conclusionsOur results support the conclusion that rapid and large-scale expansion in this speci"&amp;"es in the UK was not driven by a genetic mixing of multiple introduced populations with a single expansion front, but was promoted by repeated translocations of small propagules. Our results have implications for the management of grey squirrels and other"&amp;" invasive species and also demonstrate how invaders can overcome the genetic paradox, if spread is facilitated by human-mediated dispersal.")</f>
        <v>AimClarifying whether multiple introductions of a species remain relatively isolated or merge and interbreed is essential for understanding the dynamics of invasion processes. Multiple introductions from different sources can result in a mixture of genetically distinct populations, increasing the total genetic diversity. This mixing can resolve the genetic paradox', whereby in spite of the relatively small numbers of introduced individuals, the augmented diversity due to this mixing increases adaptability and the ability of the species to spread in new environments. Here, we aim to assess whether the expansion of a successful invader, the Eastern grey squirrel, was partly driven by the merger of multiple introductions and the effects of such a merger on diversity. LocationUK, Ireland. MethodsWe analysed the genetic variation at 12 microsatellite loci of 381 individuals sampled from one historical and 14 modern populations of grey squirrels. ResultsOur data revealed that current UK population structure resembles a mosaic, with minimal interpopulation mixing and each element reflecting the genetic make-up of historic introductions. The genetic diversity of each examined population was lower than a US population or a historical UK population. Numbers of releases in a county did not correlate with county-level genetic diversity. Inbreeding coefficients remain high, and effective population sizes remain small. Main conclusionsOur results support the conclusion that rapid and large-scale expansion in this species in the UK was not driven by a genetic mixing of multiple introduced populations with a single expansion front, but was promoted by repeated translocations of small propagules. Our results have implications for the management of grey squirrels and other invasive species and also demonstrate how invaders can overcome the genetic paradox, if spread is facilitated by human-mediated dispersal.</v>
      </c>
      <c r="C82" s="24" t="str">
        <f>IFERROR(__xludf.DUMMYFUNCTION("""COMPUTED_VALUE"""),"10.1111/ddi.12424")</f>
        <v>10.1111/ddi.12424</v>
      </c>
      <c r="D82" s="24" t="str">
        <f>IFERROR(__xludf.DUMMYFUNCTION("""COMPUTED_VALUE"""),"shaw et al")</f>
        <v>shaw et al</v>
      </c>
      <c r="E82" s="24" t="str">
        <f>IFERROR(__xludf.DUMMYFUNCTION("""COMPUTED_VALUE"""),"WOS:000374158100007")</f>
        <v>WOS:000374158100007</v>
      </c>
      <c r="F82" s="24" t="str">
        <f>IFERROR(__xludf.DUMMYFUNCTION("""COMPUTED_VALUE"""),"[""ELIGIBLE""]")</f>
        <v>["ELIGIBLE"]</v>
      </c>
    </row>
    <row r="83">
      <c r="A83" s="24" t="str">
        <f>IFERROR(__xludf.DUMMYFUNCTION("""COMPUTED_VALUE"""),"Temporal Genetic Variance and Propagule-Driven Genetic Structure Characterize Naturalized Rainbow Trout (Oncorhynchus mykiss) from a Patagonian Lake Impacted by Trout Farming")</f>
        <v>Temporal Genetic Variance and Propagule-Driven Genetic Structure Characterize Naturalized Rainbow Trout (Oncorhynchus mykiss) from a Patagonian Lake Impacted by Trout Farming</v>
      </c>
      <c r="B83" s="24" t="str">
        <f>IFERROR(__xludf.DUMMYFUNCTION("""COMPUTED_VALUE"""),"Knowledge about the genetic underpinnings of invasions-a theme addressed by invasion genetics as a discipline-is still scarce amid well documented ecological impacts of non-native species on ecosystems of Patagonia in South America. One of the most invasi"&amp;"ve species in Patagonia's freshwater systems and elsewhere is rainbow trout (Oncorhynchus mykiss). This species was introduced to Chile during the early twentieth century for stocking and promoting recreational fishing; during the late twentieth century w"&amp;"as reintroduced for farming purposes and is now naturalized. We used population-and individual-based inference from single nucleotide polymorphisms (SNPs) to illuminate three objectives related to the establishment and naturalization of Rainbow Trout in L"&amp;"ake Llanquihue. This lake has been intensively used for trout farming during the last three decades. Our results emanate from samples collected from five inlet streams over two seasons, winter and spring. First, we found that significant intra- population"&amp;" (temporal) genetic variance was greater than inter-population (spatial) genetic variance, downplaying the importance of spatial divergence during the process of naturalization. Allele frequency differences between cohorts, consistent with variation in fi"&amp;"sh length between spring and winter collections, might explain temporal genetic differences. Second, individual-based Bayesian clustering suggested that genetic structure within Lake Llanquihue was largely driven by putative farm propagules found at one s"&amp;"ingle stream during spring, but not in winter. This suggests that farm brood-stock might migrate upstream to breed during spring at that particular stream. It is unclear whether interbreeding has occurred between pure naturalized and farm trout in this an"&amp;"d other streams. Third, estimates of the annual number of breeders (N-b) were below 73 in half of the collections, suggestive of genetically small and recently founded populations that might experience substantial genetic drift. Our results reinforce the "&amp;"notion that naturalized trout originated recently from a small yet genetically diverse source and that farm propagules might have played a significant role in the invasion of Rainbow Trout within a single lake with intensive trout farming. Our results als"&amp;"o argue for proficient mitigation measures that include management of escapes and strategies to minimize unintentional releases from farm facilities.")</f>
        <v>Knowledge about the genetic underpinnings of invasions-a theme addressed by invasion genetics as a discipline-is still scarce amid well documented ecological impacts of non-native species on ecosystems of Patagonia in South America. One of the most invasive species in Patagonia's freshwater systems and elsewhere is rainbow trout (Oncorhynchus mykiss). This species was introduced to Chile during the early twentieth century for stocking and promoting recreational fishing; during the late twentieth century was reintroduced for farming purposes and is now naturalized. We used population-and individual-based inference from single nucleotide polymorphisms (SNPs) to illuminate three objectives related to the establishment and naturalization of Rainbow Trout in Lake Llanquihue. This lake has been intensively used for trout farming during the last three decades. Our results emanate from samples collected from five inlet streams over two seasons, winter and spring. First, we found that significant intra- population (temporal) genetic variance was greater than inter-population (spatial) genetic variance, downplaying the importance of spatial divergence during the process of naturalization. Allele frequency differences between cohorts, consistent with variation in fish length between spring and winter collections, might explain temporal genetic differences. Second, individual-based Bayesian clustering suggested that genetic structure within Lake Llanquihue was largely driven by putative farm propagules found at one single stream during spring, but not in winter. This suggests that farm brood-stock might migrate upstream to breed during spring at that particular stream. It is unclear whether interbreeding has occurred between pure naturalized and farm trout in this and other streams. Third, estimates of the annual number of breeders (N-b) were below 73 in half of the collections, suggestive of genetically small and recently founded populations that might experience substantial genetic drift. Our results reinforce the notion that naturalized trout originated recently from a small yet genetically diverse source and that farm propagules might have played a significant role in the invasion of Rainbow Trout within a single lake with intensive trout farming. Our results also argue for proficient mitigation measures that include management of escapes and strategies to minimize unintentional releases from farm facilities.</v>
      </c>
      <c r="C83" s="24" t="str">
        <f>IFERROR(__xludf.DUMMYFUNCTION("""COMPUTED_VALUE"""),"10.1371/journal.pone.0142040")</f>
        <v>10.1371/journal.pone.0142040</v>
      </c>
      <c r="D83" s="24" t="str">
        <f>IFERROR(__xludf.DUMMYFUNCTION("""COMPUTED_VALUE"""),"shaw et al")</f>
        <v>shaw et al</v>
      </c>
      <c r="E83" s="24" t="str">
        <f>IFERROR(__xludf.DUMMYFUNCTION("""COMPUTED_VALUE"""),"WOS:000364398700074")</f>
        <v>WOS:000364398700074</v>
      </c>
      <c r="F83" s="24" t="str">
        <f>IFERROR(__xludf.DUMMYFUNCTION("""COMPUTED_VALUE"""),"[""ELIGIBLE""]")</f>
        <v>["ELIGIBLE"]</v>
      </c>
    </row>
    <row r="84">
      <c r="A84" s="24" t="str">
        <f>IFERROR(__xludf.DUMMYFUNCTION("""COMPUTED_VALUE"""),"Population genetic structure and effective population size of ayu (Plecoglossus altivelis), an amphidromous fish")</f>
        <v>Population genetic structure and effective population size of ayu (Plecoglossus altivelis), an amphidromous fish</v>
      </c>
      <c r="B84" s="24" t="str">
        <f>IFERROR(__xludf.DUMMYFUNCTION("""COMPUTED_VALUE"""),"The temporal and spatial population genetic structure of ayu Plecoglossus altivelis (Salmoniformes: Plecoglossidae), an amphidromous fish, was examined using analysis of variation at six microsatellite DNA loci. Intracohort genetic diversities, as measure"&amp;"d by the number of alleles and heterozygosity, were similar among six cohorts (2001-2006) within a population (Nezugaseki River), with the mean number of alleles per cohort ranging from 11.0 to 12.5 and the expected heterozygosity ranging from 0.74 to 0.7"&amp;"7. Intrapopulational genetic diversities were also similar across the three studied populations along the 50 km coast, with the mean number of alleles and the expected heterozygosity ranging from 11.33 to 11.67 and from 0.75 to 0.76, respectively. The aut"&amp;"hors observed only one significant difference in pair-wise population differentiation (F-ST-value) between the cohorts within a population and among three populations. Estimates of the effective population size (N-e) based on maximum-likelihood method yie"&amp;"lded small values (ranging from 94.8 to 135.5), whereas census population size ranged from c. 4800 to 24 000. As a result, the ratio of annual effective population sizes to census population size (Ne/N) ranged from 0.004 to 0.023. These estimates of Ne/N "&amp;"agree more closely with estimates for marine. shes than that of the larger estimates for freshwater. shes. The present study suggests that ayu which is highly fecund and shows low survival during the early life stages is also characterized by having low v"&amp;"alue of Ne/N, similar to marine species with a pelagic life cycle. (C) 2007 The Authors.")</f>
        <v>The temporal and spatial population genetic structure of ayu Plecoglossus altivelis (Salmoniformes: Plecoglossidae), an amphidromous fish, was examined using analysis of variation at six microsatellite DNA loci. Intracohort genetic diversities, as measured by the number of alleles and heterozygosity, were similar among six cohorts (2001-2006) within a population (Nezugaseki River), with the mean number of alleles per cohort ranging from 11.0 to 12.5 and the expected heterozygosity ranging from 0.74 to 0.77. Intrapopulational genetic diversities were also similar across the three studied populations along the 50 km coast, with the mean number of alleles and the expected heterozygosity ranging from 11.33 to 11.67 and from 0.75 to 0.76, respectively. The authors observed only one significant difference in pair-wise population differentiation (F-ST-value) between the cohorts within a population and among three populations. Estimates of the effective population size (N-e) based on maximum-likelihood method yielded small values (ranging from 94.8 to 135.5), whereas census population size ranged from c. 4800 to 24 000. As a result, the ratio of annual effective population sizes to census population size (Ne/N) ranged from 0.004 to 0.023. These estimates of Ne/N agree more closely with estimates for marine. shes than that of the larger estimates for freshwater. shes. The present study suggests that ayu which is highly fecund and shows low survival during the early life stages is also characterized by having low value of Ne/N, similar to marine species with a pelagic life cycle. (C) 2007 The Authors.</v>
      </c>
      <c r="C84" s="24" t="str">
        <f>IFERROR(__xludf.DUMMYFUNCTION("""COMPUTED_VALUE"""),"10.1111/j.1095-8649.2007.01396.x")</f>
        <v>10.1111/j.1095-8649.2007.01396.x</v>
      </c>
      <c r="D84" s="24" t="str">
        <f>IFERROR(__xludf.DUMMYFUNCTION("""COMPUTED_VALUE"""),"shaw et al")</f>
        <v>shaw et al</v>
      </c>
      <c r="E84" s="24" t="str">
        <f>IFERROR(__xludf.DUMMYFUNCTION("""COMPUTED_VALUE"""),"WOS:000246440500004")</f>
        <v>WOS:000246440500004</v>
      </c>
      <c r="F84" s="24" t="str">
        <f>IFERROR(__xludf.DUMMYFUNCTION("""COMPUTED_VALUE"""),"[""ELIGIBLE""]")</f>
        <v>["ELIGIBLE"]</v>
      </c>
    </row>
    <row r="85">
      <c r="A85" s="24" t="str">
        <f>IFERROR(__xludf.DUMMYFUNCTION("""COMPUTED_VALUE"""),"Limited genetic impacts of habitat fragmentation in an old rare relict tree, Euptelea pleiospermum (Eupteleaceae)")</f>
        <v>Limited genetic impacts of habitat fragmentation in an old rare relict tree, Euptelea pleiospermum (Eupteleaceae)</v>
      </c>
      <c r="B85" s="24" t="str">
        <f>IFERROR(__xludf.DUMMYFUNCTION("""COMPUTED_VALUE"""),"Euptelea pleiospermum is an old rare tree species distributed along the high-elevation streamsides in Burma, China, and India. Deforestation and construction of roads for timber transport have highly fragmented the natural habitats of this species in the "&amp;"Shennongjia Forestry District. In this study, we used this fragmentation to test the hypothesis that old rare tree species are insusceptible to the genetic consequences of habitat fragmentation. Using eight microsatellite loci, we estimated allelic richne"&amp;"ss (A (R)), observed heterozygosity (H (O)), expected heterozygosity (H (E)), Wright's inbreeding coefficient (F (IS)), and genetic differentiation (F (ST) and D (EST)) between pre- and post-fragmentation cohorts. We found no significant differences in ei"&amp;"ther genetic diversity or genetic differentiation between the two cohorts. The limited genetic effects of fragmentation may result from too few fragmented generations, because the time between the start of fragmentation (year 1970) and our study (year 200"&amp;"8) was less than one generation of this tree species. It should be mentioned that clonal reproduction by sprouting, a common phenomenon in many old rare tree species, can help E. pleiospermum buffer the genetic impacts of fragmentation by delaying the tim"&amp;"e between generations. Therefore, we conclude that this old rare tree species show limited genetic impacts from recent habitat fragmentation. However, the elimination of rare alleles and increase of inbreeding coefficient in the post-fragmentation cohort "&amp;"are early warnings of deleterious genetic consequences of fragmentation. Our results provide valuable information to formulate conservation and restoration guidelines for E. pleiospermum.")</f>
        <v>Euptelea pleiospermum is an old rare tree species distributed along the high-elevation streamsides in Burma, China, and India. Deforestation and construction of roads for timber transport have highly fragmented the natural habitats of this species in the Shennongjia Forestry District. In this study, we used this fragmentation to test the hypothesis that old rare tree species are insusceptible to the genetic consequences of habitat fragmentation. Using eight microsatellite loci, we estimated allelic richness (A (R)), observed heterozygosity (H (O)), expected heterozygosity (H (E)), Wright's inbreeding coefficient (F (IS)), and genetic differentiation (F (ST) and D (EST)) between pre- and post-fragmentation cohorts. We found no significant differences in either genetic diversity or genetic differentiation between the two cohorts. The limited genetic effects of fragmentation may result from too few fragmented generations, because the time between the start of fragmentation (year 1970) and our study (year 2008) was less than one generation of this tree species. It should be mentioned that clonal reproduction by sprouting, a common phenomenon in many old rare tree species, can help E. pleiospermum buffer the genetic impacts of fragmentation by delaying the time between generations. Therefore, we conclude that this old rare tree species show limited genetic impacts from recent habitat fragmentation. However, the elimination of rare alleles and increase of inbreeding coefficient in the post-fragmentation cohort are early warnings of deleterious genetic consequences of fragmentation. Our results provide valuable information to formulate conservation and restoration guidelines for E. pleiospermum.</v>
      </c>
      <c r="C85" s="24" t="str">
        <f>IFERROR(__xludf.DUMMYFUNCTION("""COMPUTED_VALUE"""),"10.1007/s11258-012-0052-2")</f>
        <v>10.1007/s11258-012-0052-2</v>
      </c>
      <c r="D85" s="24" t="str">
        <f>IFERROR(__xludf.DUMMYFUNCTION("""COMPUTED_VALUE"""),"shaw et al")</f>
        <v>shaw et al</v>
      </c>
      <c r="E85" s="24" t="str">
        <f>IFERROR(__xludf.DUMMYFUNCTION("""COMPUTED_VALUE"""),"WOS:000305235100003")</f>
        <v>WOS:000305235100003</v>
      </c>
      <c r="F85" s="24" t="str">
        <f>IFERROR(__xludf.DUMMYFUNCTION("""COMPUTED_VALUE"""),"[""ELIGIBLE""]")</f>
        <v>["ELIGIBLE"]</v>
      </c>
    </row>
    <row r="86">
      <c r="A86" s="24" t="str">
        <f>IFERROR(__xludf.DUMMYFUNCTION("""COMPUTED_VALUE"""),"Temporal changes in allele frequencies but stable genetic diversity over the past 40 years in the Irish Sea population of thornback ray, Raja clavata")</f>
        <v>Temporal changes in allele frequencies but stable genetic diversity over the past 40 years in the Irish Sea population of thornback ray, Raja clavata</v>
      </c>
      <c r="B86" s="24" t="str">
        <f>IFERROR(__xludf.DUMMYFUNCTION("""COMPUTED_VALUE"""),"Rays and skates are an unavoidable part of the by-catch in demersal fisheries. Over the past 40 years, the thornback ray (Raja clavata) has decreased in numbers and even disappeared in some areas, leading to concerns about genetic risk. For this reason, t"&amp;"he effective population size (N-e), the migration rate (m) and temporal changes in the genetic diversity were estimated for the population of thornback rays in the Irish Sea and Bristol Channel. Using genotyped, archived and contemporary samples (1965 and"&amp;" 2003-2004), N-e was estimated at 283 individuals (95% CI = 145-857), m at 0.1 (95% CI 0.03-0.25) and the N-e/N ratio between 9 x 10(-5) and 6 x 10(-4). Although these results must be treated with caution, due to the small sample sizes, this is the first "&amp;"attempt to estimate N-e in an elasmobranch species. The low N-e/N ratio suggests that relatively few individuals contribute to the next generation. The combined effect of sex bias, inbreeding, fluctuations in population size and, perhaps most important, t"&amp;"he variance in reproductive success may explain the low N-e/N ratio. In addition, the relatively high gene flow between Irish Sea population and other source populations is likely to have had an impact on our estimate, which may be more relevant at the me"&amp;"tapopulation scale. No significant loss of genetic diversity was found over the 40-year timeframe and long-term maintenance of the genetic diversity could be due to gene flow.")</f>
        <v>Rays and skates are an unavoidable part of the by-catch in demersal fisheries. Over the past 40 years, the thornback ray (Raja clavata) has decreased in numbers and even disappeared in some areas, leading to concerns about genetic risk. For this reason, the effective population size (N-e), the migration rate (m) and temporal changes in the genetic diversity were estimated for the population of thornback rays in the Irish Sea and Bristol Channel. Using genotyped, archived and contemporary samples (1965 and 2003-2004), N-e was estimated at 283 individuals (95% CI = 145-857), m at 0.1 (95% CI 0.03-0.25) and the N-e/N ratio between 9 x 10(-5) and 6 x 10(-4). Although these results must be treated with caution, due to the small sample sizes, this is the first attempt to estimate N-e in an elasmobranch species. The low N-e/N ratio suggests that relatively few individuals contribute to the next generation. The combined effect of sex bias, inbreeding, fluctuations in population size and, perhaps most important, the variance in reproductive success may explain the low N-e/N ratio. In addition, the relatively high gene flow between Irish Sea population and other source populations is likely to have had an impact on our estimate, which may be more relevant at the metapopulation scale. No significant loss of genetic diversity was found over the 40-year timeframe and long-term maintenance of the genetic diversity could be due to gene flow.</v>
      </c>
      <c r="C86" s="24" t="str">
        <f>IFERROR(__xludf.DUMMYFUNCTION("""COMPUTED_VALUE"""),"10.1038/hdy.2008.36")</f>
        <v>10.1038/hdy.2008.36</v>
      </c>
      <c r="D86" s="24" t="str">
        <f>IFERROR(__xludf.DUMMYFUNCTION("""COMPUTED_VALUE"""),"shaw et al")</f>
        <v>shaw et al</v>
      </c>
      <c r="E86" s="24" t="str">
        <f>IFERROR(__xludf.DUMMYFUNCTION("""COMPUTED_VALUE"""),"WOS:000257852300004")</f>
        <v>WOS:000257852300004</v>
      </c>
      <c r="F86" s="24" t="str">
        <f>IFERROR(__xludf.DUMMYFUNCTION("""COMPUTED_VALUE"""),"[""ELIGIBLE""]")</f>
        <v>["ELIGIBLE"]</v>
      </c>
    </row>
    <row r="87">
      <c r="A87" s="24" t="str">
        <f>IFERROR(__xludf.DUMMYFUNCTION("""COMPUTED_VALUE"""),"Population genetics and geometric morphometrics of the key silverside, Menidia conchorum, a marine fish in a highly-fragmented, inland habitat")</f>
        <v>Population genetics and geometric morphometrics of the key silverside, Menidia conchorum, a marine fish in a highly-fragmented, inland habitat</v>
      </c>
      <c r="B87" s="24" t="str">
        <f>IFERROR(__xludf.DUMMYFUNCTION("""COMPUTED_VALUE"""),"Gene flow between populations is restricted in fragmented habitats, which can promote a more rapid genetic diversification as evolutionary forces act on isolated gene pools. Here, we compare two silverside species occurring in a continuous coastal habitat"&amp;" (tidewater silverside, Menidia peninsulae Goode and Bean, 1879) vs a highly fragmented habitat consisting of hypersaline pools (key silverside, Menidia conchorum Hildebrand and Ginsburg, 1927). First, we aim to better resolve the morphological and geneti"&amp;"c relationships between the two nominal species using a haplotype analysis at two loci (NADH dehydrogenase 2, internal transcribed space r2) and geometric morphometrics. Despite some haplotype sharing and incomplete lineage sorting, they were both genetic"&amp;"ally differentiated (Phi(ST) = 0.2186 and 0.4198, respectively, P &lt; 0.0001) and showed significant discriminating morphometric characteristics. Second, we made a temporal comparison of genetic diversity and effective population size (Ne) in key silverside"&amp;"s over time using seven polymorphic microsatellite loci and found that genetic diversity and Ne of key silversides were lower in these pools compared to tidewater silversides in the marine environment and decreased over time. We conclude that key silversi"&amp;"des more likely represent an ecotype of the tidewater silverside and thus harbor a distinct adaptive potential. Further, our results support the hypothesis that highly fragmented aquatic habitats promote rapid genetic change and species diversification. F"&amp;"inally, we discuss the management applications of our study pertaining to the current listing of key silversides as a National Marine Fisheries Service Species of Concern.")</f>
        <v>Gene flow between populations is restricted in fragmented habitats, which can promote a more rapid genetic diversification as evolutionary forces act on isolated gene pools. Here, we compare two silverside species occurring in a continuous coastal habitat (tidewater silverside, Menidia peninsulae Goode and Bean, 1879) vs a highly fragmented habitat consisting of hypersaline pools (key silverside, Menidia conchorum Hildebrand and Ginsburg, 1927). First, we aim to better resolve the morphological and genetic relationships between the two nominal species using a haplotype analysis at two loci (NADH dehydrogenase 2, internal transcribed space r2) and geometric morphometrics. Despite some haplotype sharing and incomplete lineage sorting, they were both genetically differentiated (Phi(ST) = 0.2186 and 0.4198, respectively, P &lt; 0.0001) and showed significant discriminating morphometric characteristics. Second, we made a temporal comparison of genetic diversity and effective population size (Ne) in key silversides over time using seven polymorphic microsatellite loci and found that genetic diversity and Ne of key silversides were lower in these pools compared to tidewater silversides in the marine environment and decreased over time. We conclude that key silversides more likely represent an ecotype of the tidewater silverside and thus harbor a distinct adaptive potential. Further, our results support the hypothesis that highly fragmented aquatic habitats promote rapid genetic change and species diversification. Finally, we discuss the management applications of our study pertaining to the current listing of key silversides as a National Marine Fisheries Service Species of Concern.</v>
      </c>
      <c r="C87" s="24" t="str">
        <f>IFERROR(__xludf.DUMMYFUNCTION("""COMPUTED_VALUE"""),"10.5343/bms.2015.1035")</f>
        <v>10.5343/bms.2015.1035</v>
      </c>
      <c r="D87" s="24" t="str">
        <f>IFERROR(__xludf.DUMMYFUNCTION("""COMPUTED_VALUE"""),"shaw et al")</f>
        <v>shaw et al</v>
      </c>
      <c r="E87" s="24" t="str">
        <f>IFERROR(__xludf.DUMMYFUNCTION("""COMPUTED_VALUE"""),"WOS:000370113700003")</f>
        <v>WOS:000370113700003</v>
      </c>
      <c r="F87" s="24" t="str">
        <f>IFERROR(__xludf.DUMMYFUNCTION("""COMPUTED_VALUE"""),"[""ELIGIBLE""]")</f>
        <v>["ELIGIBLE"]</v>
      </c>
    </row>
    <row r="88">
      <c r="A88" s="24" t="str">
        <f>IFERROR(__xludf.DUMMYFUNCTION("""COMPUTED_VALUE"""),"Loss of genetic diversity and reduction of genetic distance among lake trout Salvelinus namaycush ecomorphs, Lake Superior 1959 to 2013")</f>
        <v>Loss of genetic diversity and reduction of genetic distance among lake trout Salvelinus namaycush ecomorphs, Lake Superior 1959 to 2013</v>
      </c>
      <c r="B88" s="24" t="str">
        <f>IFERROR(__xludf.DUMMYFUNCTION("""COMPUTED_VALUE"""),"North America's northern lakes are undergoing major changes. Lake Superior is the coldest and northernmost of the Laurentian Great Lakes. Here, we present an extension of a long-term data set that monitors genetic and phenotypic diversity of lake trout Sa"&amp;"lvelinus namaycush in Lake Superior. Hypotheses were investigated pertaining to loss of genetic diversity and genetic homogenization among three lake trout ecomorphs in Lake Superior during their recovery several decades after a major fishery collapse in "&amp;"the early 1960s. Comparison of a contemporary (2004-2013) microsatellite DNA data set to a previously published, post-collapse recovery period data set (1995-1999) indicated substantive losses in genetic diversity. Allelic richness decreased by 5.7%, 12.3"&amp;"%, and 6.8% at Isle Royale, Stannard Rock, and Klondike Reef, respectively. A 60.7% reduction in genetic distance among ecomorphs since the 1990s was detected. Comparisons with a third data set of samples collected during the fishery collapse (1959) indic"&amp;"ated an overall 18.2% loss in allelic richness at Isle Royale. The amount of introgression among ecomorphs has likely increased over time. Apparent losses in genetic diversity could be a consequence of historical fishery harvests (early 1900s) exacerbated"&amp;" by intensive stocking (1950s-1980s) and invasions of non-native species (1960s-1990s). Overlap in foraging and breeding areas may have contributed to increasing levels of hybridization among ecomorphs. Knowledge of these processes will help to identify i"&amp;"mpediments and strategies for the maintenance of lake trout biodiversity in northern Great Lakes, and their re-establishment in the Laurentian Great Lakes. (C) 2016 The Authors. Published by Elsevier B.V. on behalf of International Association for Great L"&amp;"akes Research.")</f>
        <v>North America's northern lakes are undergoing major changes. Lake Superior is the coldest and northernmost of the Laurentian Great Lakes. Here, we present an extension of a long-term data set that monitors genetic and phenotypic diversity of lake trout Salvelinus namaycush in Lake Superior. Hypotheses were investigated pertaining to loss of genetic diversity and genetic homogenization among three lake trout ecomorphs in Lake Superior during their recovery several decades after a major fishery collapse in the early 1960s. Comparison of a contemporary (2004-2013) microsatellite DNA data set to a previously published, post-collapse recovery period data set (1995-1999) indicated substantive losses in genetic diversity. Allelic richness decreased by 5.7%, 12.3%, and 6.8% at Isle Royale, Stannard Rock, and Klondike Reef, respectively. A 60.7% reduction in genetic distance among ecomorphs since the 1990s was detected. Comparisons with a third data set of samples collected during the fishery collapse (1959) indicated an overall 18.2% loss in allelic richness at Isle Royale. The amount of introgression among ecomorphs has likely increased over time. Apparent losses in genetic diversity could be a consequence of historical fishery harvests (early 1900s) exacerbated by intensive stocking (1950s-1980s) and invasions of non-native species (1960s-1990s). Overlap in foraging and breeding areas may have contributed to increasing levels of hybridization among ecomorphs. Knowledge of these processes will help to identify impediments and strategies for the maintenance of lake trout biodiversity in northern Great Lakes, and their re-establishment in the Laurentian Great Lakes. (C) 2016 The Authors. Published by Elsevier B.V. on behalf of International Association for Great Lakes Research.</v>
      </c>
      <c r="C88" s="24" t="str">
        <f>IFERROR(__xludf.DUMMYFUNCTION("""COMPUTED_VALUE"""),"10.1016/j.jglr.2016.02.001")</f>
        <v>10.1016/j.jglr.2016.02.001</v>
      </c>
      <c r="D88" s="24" t="str">
        <f>IFERROR(__xludf.DUMMYFUNCTION("""COMPUTED_VALUE"""),"shaw et al")</f>
        <v>shaw et al</v>
      </c>
      <c r="E88" s="24" t="str">
        <f>IFERROR(__xludf.DUMMYFUNCTION("""COMPUTED_VALUE"""),"WOS:000373651100005")</f>
        <v>WOS:000373651100005</v>
      </c>
      <c r="F88" s="24" t="str">
        <f>IFERROR(__xludf.DUMMYFUNCTION("""COMPUTED_VALUE"""),"[""ELIGIBLE""]")</f>
        <v>["ELIGIBLE"]</v>
      </c>
    </row>
    <row r="89">
      <c r="A89" s="24" t="str">
        <f>IFERROR(__xludf.DUMMYFUNCTION("""COMPUTED_VALUE"""),"Gene flow and genetic structure of Sicyopterus lagocephal us in the south-western Indian Ocean, assessed by intron-length polymorphism")</f>
        <v>Gene flow and genetic structure of Sicyopterus lagocephal us in the south-western Indian Ocean, assessed by intron-length polymorphism</v>
      </c>
      <c r="B89" s="24" t="str">
        <f>IFERROR(__xludf.DUMMYFUNCTION("""COMPUTED_VALUE"""),"Sicyopterus lagocephalus is the most abundant sicydiime (amphidromous gobiid) in the rivers of volcanic islands in the southwestern Indian Ocean. The species occurs in the Mascarene (Mauritius and La Reunion) and Comoros islands (Anjouan, Mayotte, etc.) a"&amp;"nd the post-larvae supply an economically important fishery. Because of the scarcity of available ecological and biological data, a genetic survey has been undertaken at the scale of the south-westent Indian Ocean using intron-length polymorphism. Samples"&amp;" from La Reunion, Mauritius and Mayotte were used to assess the population genetic structure within islands and between nearby and remote islands. No genetic divergences were observed in samples at these different geographical scales. A lower number of ra"&amp;"re alleles were observed in Mayotte samples suggesting a slight effect of their peripheral geographical position. However, no recent bottleneck was evidenced for these populations. High temporal divergences have been demonstrated in La Reunion as in previ"&amp;"ous studies indicating a temporal Wahlund effect. In the light of these results, the dispersion abilities, the connectivity of populations and the metapopulation functioning are discussed in relation to the regional environmental factors (dispersal barrie"&amp;"rs, habitat colonization, cyclones, long distance dispersal). (C) 2007 Elsevier B.V. All rights reserved.")</f>
        <v>Sicyopterus lagocephalus is the most abundant sicydiime (amphidromous gobiid) in the rivers of volcanic islands in the southwestern Indian Ocean. The species occurs in the Mascarene (Mauritius and La Reunion) and Comoros islands (Anjouan, Mayotte, etc.) and the post-larvae supply an economically important fishery. Because of the scarcity of available ecological and biological data, a genetic survey has been undertaken at the scale of the south-westent Indian Ocean using intron-length polymorphism. Samples from La Reunion, Mauritius and Mayotte were used to assess the population genetic structure within islands and between nearby and remote islands. No genetic divergences were observed in samples at these different geographical scales. A lower number of rare alleles were observed in Mayotte samples suggesting a slight effect of their peripheral geographical position. However, no recent bottleneck was evidenced for these populations. High temporal divergences have been demonstrated in La Reunion as in previous studies indicating a temporal Wahlund effect. In the light of these results, the dispersion abilities, the connectivity of populations and the metapopulation functioning are discussed in relation to the regional environmental factors (dispersal barriers, habitat colonization, cyclones, long distance dispersal). (C) 2007 Elsevier B.V. All rights reserved.</v>
      </c>
      <c r="C89" s="24" t="str">
        <f>IFERROR(__xludf.DUMMYFUNCTION("""COMPUTED_VALUE"""),"10.1016/j.jembe.2007.05.015")</f>
        <v>10.1016/j.jembe.2007.05.015</v>
      </c>
      <c r="D89" s="24" t="str">
        <f>IFERROR(__xludf.DUMMYFUNCTION("""COMPUTED_VALUE"""),"shaw et al")</f>
        <v>shaw et al</v>
      </c>
      <c r="E89" s="24" t="str">
        <f>IFERROR(__xludf.DUMMYFUNCTION("""COMPUTED_VALUE"""),"WOS:000249346400003")</f>
        <v>WOS:000249346400003</v>
      </c>
      <c r="F89" s="24" t="str">
        <f>IFERROR(__xludf.DUMMYFUNCTION("""COMPUTED_VALUE"""),"[""ELIGIBLE""]")</f>
        <v>["ELIGIBLE"]</v>
      </c>
    </row>
    <row r="90">
      <c r="A90" s="24" t="str">
        <f>IFERROR(__xludf.DUMMYFUNCTION("""COMPUTED_VALUE"""),"Invasive lionfish Pterois volitans reduce the density but not the genetic diversity of a native reef fish")</f>
        <v>Invasive lionfish Pterois volitans reduce the density but not the genetic diversity of a native reef fish</v>
      </c>
      <c r="B90" s="24" t="str">
        <f>IFERROR(__xludf.DUMMYFUNCTION("""COMPUTED_VALUE"""),"The Indo-Pacific red lionfish Pterois volitans has spread throughout the western Atlantic causing declines in biomass and diversity of native species at local reefs; worst-case scenarios predict species extinctions and ecosystem phase shifts. While reduct"&amp;"ions in reef fish population density and recruitment are evident, it is not known whether lionfish are reducing genetic diversity of native species, a major driver of extinction in natural populations. A before-after control- impact experiment was used to"&amp;" determine whether lionfish removals cause an increase in density of native species and genetic diversity in one species, the bicolor damselfish Stegastes partitus. We found that removing lionfish significantly augmented the density of several reef fish s"&amp;"pecies. However, while allelic frequencies in bicolor damselfish recruits changed after removals, genetic diversity did not increase substantially despite a 3-fold increase in recruit density. Responses to lionfish removal differed among native species; r"&amp;"are species with small population sizes may be more susceptible to recruitment failure and diversity loss as a result of lionfish predation than widespread species with large populations.")</f>
        <v>The Indo-Pacific red lionfish Pterois volitans has spread throughout the western Atlantic causing declines in biomass and diversity of native species at local reefs; worst-case scenarios predict species extinctions and ecosystem phase shifts. While reductions in reef fish population density and recruitment are evident, it is not known whether lionfish are reducing genetic diversity of native species, a major driver of extinction in natural populations. A before-after control- impact experiment was used to determine whether lionfish removals cause an increase in density of native species and genetic diversity in one species, the bicolor damselfish Stegastes partitus. We found that removing lionfish significantly augmented the density of several reef fish species. However, while allelic frequencies in bicolor damselfish recruits changed after removals, genetic diversity did not increase substantially despite a 3-fold increase in recruit density. Responses to lionfish removal differed among native species; rare species with small population sizes may be more susceptible to recruitment failure and diversity loss as a result of lionfish predation than widespread species with large populations.</v>
      </c>
      <c r="C90" s="24" t="str">
        <f>IFERROR(__xludf.DUMMYFUNCTION("""COMPUTED_VALUE"""),"10.3354/meps11924")</f>
        <v>10.3354/meps11924</v>
      </c>
      <c r="D90" s="24" t="str">
        <f>IFERROR(__xludf.DUMMYFUNCTION("""COMPUTED_VALUE"""),"shaw et al")</f>
        <v>shaw et al</v>
      </c>
      <c r="E90" s="24" t="str">
        <f>IFERROR(__xludf.DUMMYFUNCTION("""COMPUTED_VALUE"""),"WOS:000387116200018")</f>
        <v>WOS:000387116200018</v>
      </c>
      <c r="F90" s="24" t="str">
        <f>IFERROR(__xludf.DUMMYFUNCTION("""COMPUTED_VALUE"""),"[""ELIGIBLE""]")</f>
        <v>["ELIGIBLE"]</v>
      </c>
    </row>
    <row r="91">
      <c r="A91" s="24" t="str">
        <f>IFERROR(__xludf.DUMMYFUNCTION("""COMPUTED_VALUE"""),"Species assignment and population genetic studies of Gran Parana pejerrey (Odontesthes sp., Atheriniformes, Atherinopsidae) from La Plata Basin in South America")</f>
        <v>Species assignment and population genetic studies of Gran Parana pejerrey (Odontesthes sp., Atheriniformes, Atherinopsidae) from La Plata Basin in South America</v>
      </c>
      <c r="B91" s="24" t="str">
        <f>IFERROR(__xludf.DUMMYFUNCTION("""COMPUTED_VALUE"""),"Pejerrey is the common name given to Odontesthes species from South America. Every year, individuals of pejerrey called Gran (Big) Parana appear during the low-temperature season at rivers in the southern section of the La Plata Basin. Gran Parana fishes "&amp;"are highly appreciated for fishing, and present some biological features different from other well-characterized Odontesthes fish, such as bigger size and migratory behavior. Regulations for the management of pejerrey fisheries within La Plata Basin have "&amp;"not been implemented yet. The aims of the present work were to characterize the Gran Parana pejerrey species by molecular methods and carry out the first population genetic study of Gran Parana pejerrey from the La Plata Basin. All Gran Parana specimens w"&amp;"ere classified as O. bonariensis, based on both morphology and microsatellite loci. Genetic differentiation was observed between Gran Parana pejerrey and O. bonariensis pejerrey sampled at ChascomAs lagoon. In addition, temporal genetic differentiation wa"&amp;"s observed, suggesting the presence of different cohorts migrating along the basin. The knowledge of population dynamics and differentiation will contribute to figure out fisheries models and to design protective areas for this species under commercial ex"&amp;"ploitation.")</f>
        <v>Pejerrey is the common name given to Odontesthes species from South America. Every year, individuals of pejerrey called Gran (Big) Parana appear during the low-temperature season at rivers in the southern section of the La Plata Basin. Gran Parana fishes are highly appreciated for fishing, and present some biological features different from other well-characterized Odontesthes fish, such as bigger size and migratory behavior. Regulations for the management of pejerrey fisheries within La Plata Basin have not been implemented yet. The aims of the present work were to characterize the Gran Parana pejerrey species by molecular methods and carry out the first population genetic study of Gran Parana pejerrey from the La Plata Basin. All Gran Parana specimens were classified as O. bonariensis, based on both morphology and microsatellite loci. Genetic differentiation was observed between Gran Parana pejerrey and O. bonariensis pejerrey sampled at ChascomAs lagoon. In addition, temporal genetic differentiation was observed, suggesting the presence of different cohorts migrating along the basin. The knowledge of population dynamics and differentiation will contribute to figure out fisheries models and to design protective areas for this species under commercial exploitation.</v>
      </c>
      <c r="C91" s="24" t="str">
        <f>IFERROR(__xludf.DUMMYFUNCTION("""COMPUTED_VALUE"""),"10.1007/s10750-018-3643-7")</f>
        <v>10.1007/s10750-018-3643-7</v>
      </c>
      <c r="D91" s="24" t="str">
        <f>IFERROR(__xludf.DUMMYFUNCTION("""COMPUTED_VALUE"""),"shaw et al")</f>
        <v>shaw et al</v>
      </c>
      <c r="E91" s="24" t="str">
        <f>IFERROR(__xludf.DUMMYFUNCTION("""COMPUTED_VALUE"""),"WOS:000434373400016")</f>
        <v>WOS:000434373400016</v>
      </c>
      <c r="F91" s="24" t="str">
        <f>IFERROR(__xludf.DUMMYFUNCTION("""COMPUTED_VALUE"""),"[""ELIGIBLE""]")</f>
        <v>["ELIGIBLE"]</v>
      </c>
    </row>
    <row r="92">
      <c r="A92" s="24" t="str">
        <f>IFERROR(__xludf.DUMMYFUNCTION("""COMPUTED_VALUE"""),"Does habitat fragmentation reduce genetic diversity and subpopulation connectivity?")</f>
        <v>Does habitat fragmentation reduce genetic diversity and subpopulation connectivity?</v>
      </c>
      <c r="B92" s="24" t="str">
        <f>IFERROR(__xludf.DUMMYFUNCTION("""COMPUTED_VALUE"""),"The estimation of levels of genetic variation has received considerable attention because it is generally thought to be indicative of overall species vitality and the potential for evolutionary responses to environmental changes. Here, we use allozymes ma"&amp;"rkers and two distinct collections of Cakile maritima, an annual species from sandy coastal habitats (2000 generation and 2005 generation collected from 9 populations in their natural habitats), to assess the magnitude of expected genetic change. We compa"&amp;"red genetic diversity between generations (all populations combined), and then between populations at each generation. Based on 13 loci scored from the eight enzymes examined, a high genetic diversity was detected at both the population and generation lev"&amp;"el as compared to other herbaceous species. However, allelic richness reduction in the 2005 generation suggested restricted gene flow and a high risk of future genetic bottlenecks, if larger tracts of coastal areas disappear. Most loci showed deviation fr"&amp;"om Hardy-Weinberg equilibrium due to excess of heterozygotes in all populations suggesting that this species has an allogamic mode of reproduction. It appears most likely that this species has experienced a recent decrease in population size, and that gen"&amp;"etic drift in small populations has resulted in a loss of alleles occurring at low frequency. Despite the deterioration process, maintenance of high genetic diversity suggests that there are some ecological factors determining population structure.")</f>
        <v>The estimation of levels of genetic variation has received considerable attention because it is generally thought to be indicative of overall species vitality and the potential for evolutionary responses to environmental changes. Here, we use allozymes markers and two distinct collections of Cakile maritima, an annual species from sandy coastal habitats (2000 generation and 2005 generation collected from 9 populations in their natural habitats), to assess the magnitude of expected genetic change. We compared genetic diversity between generations (all populations combined), and then between populations at each generation. Based on 13 loci scored from the eight enzymes examined, a high genetic diversity was detected at both the population and generation level as compared to other herbaceous species. However, allelic richness reduction in the 2005 generation suggested restricted gene flow and a high risk of future genetic bottlenecks, if larger tracts of coastal areas disappear. Most loci showed deviation from Hardy-Weinberg equilibrium due to excess of heterozygotes in all populations suggesting that this species has an allogamic mode of reproduction. It appears most likely that this species has experienced a recent decrease in population size, and that genetic drift in small populations has resulted in a loss of alleles occurring at low frequency. Despite the deterioration process, maintenance of high genetic diversity suggests that there are some ecological factors determining population structure.</v>
      </c>
      <c r="C92" s="24" t="str">
        <f>IFERROR(__xludf.DUMMYFUNCTION("""COMPUTED_VALUE"""),"10.1111/j.1600-0587.2008.05622.x")</f>
        <v>10.1111/j.1600-0587.2008.05622.x</v>
      </c>
      <c r="D92" s="24" t="str">
        <f>IFERROR(__xludf.DUMMYFUNCTION("""COMPUTED_VALUE"""),"shaw et al")</f>
        <v>shaw et al</v>
      </c>
      <c r="E92" s="24" t="str">
        <f>IFERROR(__xludf.DUMMYFUNCTION("""COMPUTED_VALUE"""),"WOS:000262639100008")</f>
        <v>WOS:000262639100008</v>
      </c>
      <c r="F92" s="24" t="str">
        <f>IFERROR(__xludf.DUMMYFUNCTION("""COMPUTED_VALUE"""),"[""ELIGIBLE""]")</f>
        <v>["ELIGIBLE"]</v>
      </c>
    </row>
    <row r="93">
      <c r="A93" s="24" t="str">
        <f>IFERROR(__xludf.DUMMYFUNCTION("""COMPUTED_VALUE"""),"Restitution of vimba (Vimba vimba, Cyprinidae) in Poland: genetic variability of existing and restored populations")</f>
        <v>Restitution of vimba (Vimba vimba, Cyprinidae) in Poland: genetic variability of existing and restored populations</v>
      </c>
      <c r="B93" s="24" t="str">
        <f>IFERROR(__xludf.DUMMYFUNCTION("""COMPUTED_VALUE"""),"Until 1960s, vimba was found abundantly in Polish rivers and was an important species for the fishing industry. Overfishing, water pollution and dam constructions brought most of the vimba populations close to extinction. We analyzed the genetic variabili"&amp;"ty of several remnant vimba populations in the Vistula and Oder river basins. The 305-bp fragment encompassing the 5'-end of the mtDNA control region was sequenced in a total of 202 wild specimens derived from six populations. Six different haplotypes wer"&amp;"e distinguished. The population of Barycz River was found to be the most polymorphic and was chosen as a source of breeding material for the vimba restitution program. In the years 2000-2008 fishes from this river were caught, spawned in captivity and rel"&amp;"eased to the same river. The number of fishes returning to the Barycz River spawning grounds was monitored in the following years. In 2008, it was almost 70 times higher than the number of fishes recorded in 2003, when the lowest population size was obser"&amp;"ved. The haplotype and nucleotide diversities of the restored population were similar to those of the original population.")</f>
        <v>Until 1960s, vimba was found abundantly in Polish rivers and was an important species for the fishing industry. Overfishing, water pollution and dam constructions brought most of the vimba populations close to extinction. We analyzed the genetic variability of several remnant vimba populations in the Vistula and Oder river basins. The 305-bp fragment encompassing the 5'-end of the mtDNA control region was sequenced in a total of 202 wild specimens derived from six populations. Six different haplotypes were distinguished. The population of Barycz River was found to be the most polymorphic and was chosen as a source of breeding material for the vimba restitution program. In the years 2000-2008 fishes from this river were caught, spawned in captivity and released to the same river. The number of fishes returning to the Barycz River spawning grounds was monitored in the following years. In 2008, it was almost 70 times higher than the number of fishes recorded in 2003, when the lowest population size was observed. The haplotype and nucleotide diversities of the restored population were similar to those of the original population.</v>
      </c>
      <c r="C93" s="24" t="str">
        <f>IFERROR(__xludf.DUMMYFUNCTION("""COMPUTED_VALUE"""),"10.1007/s10228-012-0326-7")</f>
        <v>10.1007/s10228-012-0326-7</v>
      </c>
      <c r="D93" s="24" t="str">
        <f>IFERROR(__xludf.DUMMYFUNCTION("""COMPUTED_VALUE"""),"shaw et al")</f>
        <v>shaw et al</v>
      </c>
      <c r="E93" s="24" t="str">
        <f>IFERROR(__xludf.DUMMYFUNCTION("""COMPUTED_VALUE"""),"WOS:000320645100005")</f>
        <v>WOS:000320645100005</v>
      </c>
      <c r="F93" s="24" t="str">
        <f>IFERROR(__xludf.DUMMYFUNCTION("""COMPUTED_VALUE"""),"[""ELIGIBLE""]")</f>
        <v>["ELIGIBLE"]</v>
      </c>
    </row>
    <row r="94">
      <c r="A94" s="24" t="str">
        <f>IFERROR(__xludf.DUMMYFUNCTION("""COMPUTED_VALUE"""),"Effective size and genetic composition of two exploited, migratory whitefish (Coregonus lavaretus lavaretus) populations")</f>
        <v>Effective size and genetic composition of two exploited, migratory whitefish (Coregonus lavaretus lavaretus) populations</v>
      </c>
      <c r="B94" s="24" t="str">
        <f>IFERROR(__xludf.DUMMYFUNCTION("""COMPUTED_VALUE"""),"Large scale harvesting and other anthropogenic activities have caused severe population declines in many commercially important fish populations, but accurate information about census and effective population size is often hard to come by. Available evide"&amp;"nce suggests that in marine fishes, effective population size (N-e) is often several orders of magnitude smaller than census size, such that intensively harvested populations may be particularly vulnerable to loss of genetic diversity. The European whitef"&amp;"ish (Coregonus lavaretus) has a long history of heavy exploitation in the Baltic Sea, and the Finnish commercial catch of the species has been substantially reduced, despite high fishing effort. We investigated the temporal genetic stability of migratory "&amp;"whitefish populations from two Finnish rivers (Tornionjoki and Kiiminkijoki), sampled at least twice between 1981 and 2006, by assaying variability in 21 microsatellite loci. Our results suggest a small, albeit significant (F-ST = 0.004; p = 0.008) and te"&amp;"mporally stable, degree of differentiation between rivers. However, in contrast to earlier reports, heterochronous runs (ascending groups) from Tornionjoki did not exhibit significant genetic divergence. Bayesian estimates of N-e suggest substantial decli"&amp;"nes from historic levels dating to ca 250 years. Yet despite a probable decrease in census population size over the study period, we detected no significant change in contemporary N-e. Within group genetic diversity appeared largely unchanged over this ti"&amp;"me frame; however, we detected a trend towards decreased differentiation between spawning groups (rivers) since the 1980s. These results are discussed in light of stocking programs and conservation of genetic diversity of natural populations.")</f>
        <v>Large scale harvesting and other anthropogenic activities have caused severe population declines in many commercially important fish populations, but accurate information about census and effective population size is often hard to come by. Available evidence suggests that in marine fishes, effective population size (N-e) is often several orders of magnitude smaller than census size, such that intensively harvested populations may be particularly vulnerable to loss of genetic diversity. The European whitefish (Coregonus lavaretus) has a long history of heavy exploitation in the Baltic Sea, and the Finnish commercial catch of the species has been substantially reduced, despite high fishing effort. We investigated the temporal genetic stability of migratory whitefish populations from two Finnish rivers (Tornionjoki and Kiiminkijoki), sampled at least twice between 1981 and 2006, by assaying variability in 21 microsatellite loci. Our results suggest a small, albeit significant (F-ST = 0.004; p = 0.008) and temporally stable, degree of differentiation between rivers. However, in contrast to earlier reports, heterochronous runs (ascending groups) from Tornionjoki did not exhibit significant genetic divergence. Bayesian estimates of N-e suggest substantial declines from historic levels dating to ca 250 years. Yet despite a probable decrease in census population size over the study period, we detected no significant change in contemporary N-e. Within group genetic diversity appeared largely unchanged over this time frame; however, we detected a trend towards decreased differentiation between spawning groups (rivers) since the 1980s. These results are discussed in light of stocking programs and conservation of genetic diversity of natural populations.</v>
      </c>
      <c r="C94" s="24" t="str">
        <f>IFERROR(__xludf.DUMMYFUNCTION("""COMPUTED_VALUE"""),"10.1007/s10592-012-0394-2")</f>
        <v>10.1007/s10592-012-0394-2</v>
      </c>
      <c r="D94" s="24" t="str">
        <f>IFERROR(__xludf.DUMMYFUNCTION("""COMPUTED_VALUE"""),"shaw et al")</f>
        <v>shaw et al</v>
      </c>
      <c r="E94" s="24" t="str">
        <f>IFERROR(__xludf.DUMMYFUNCTION("""COMPUTED_VALUE"""),"WOS:000310642300007")</f>
        <v>WOS:000310642300007</v>
      </c>
      <c r="F94" s="24" t="str">
        <f>IFERROR(__xludf.DUMMYFUNCTION("""COMPUTED_VALUE"""),"[""ELIGIBLE""]")</f>
        <v>["ELIGIBLE"]</v>
      </c>
    </row>
    <row r="95">
      <c r="A95" s="24" t="str">
        <f>IFERROR(__xludf.DUMMYFUNCTION("""COMPUTED_VALUE"""),"Reduced Genetic Diversity and Increased Structure in American Mink on the Swedish Coast following Invasive Species Control")</f>
        <v>Reduced Genetic Diversity and Increased Structure in American Mink on the Swedish Coast following Invasive Species Control</v>
      </c>
      <c r="B95" s="24" t="str">
        <f>IFERROR(__xludf.DUMMYFUNCTION("""COMPUTED_VALUE"""),"Eradication and population reductions are often used to mitigate the negative impacts of nonnative invasive species on native biodiversity. However, monitoring the effectiveness of nonnative species control programmes is necessary to evaluate the efficacy"&amp;" of these measures. Genetic monitoring could provide valuable insights into temporal changes in demographic, ecological, and evolutionary processes in invasive populations being subject to control programmes. Such programmes should cause a decrease in eff"&amp;"ective population size and/or in genetic diversity of the targeted non-native species and an increase in population genetic structuring over time. We used microsatellite DNA data from Americanmink (Neovison vison) to determine whether the removal of this "&amp;"predator on the Koster Islands archipelago and the nearby Swedish mainland affected genetic variation over six consecutive years of mink culling by trappers as part of a population control programme. We found that on Koster Islands allelic richness decrea"&amp;"sed (from on average 4.53 to 3.55), genetic structuring increased, and effective population size did not change. In contrast, the mink population from the Swedish coast showed no changes in genetic diversity or structure, suggesting the stability of this "&amp;"population over 6 years of culling. Effective population size did not change over time but was higher on the coast than on the islands across all years. Migration rates from the islands to the coast were almost two times higher than from the coast to the "&amp;"islands. Most migrants leaving the coast were localised on the southern edge of the archipelago, as expected from the direction of the sea current between the two sites. Genetic monitoring provided valuable information on temporal changes in the populatio"&amp;"n of American mink suggesting that this approach can be used to evaluate and improve control programmes of invasive vertebrates.")</f>
        <v>Eradication and population reductions are often used to mitigate the negative impacts of nonnative invasive species on native biodiversity. However, monitoring the effectiveness of nonnative species control programmes is necessary to evaluate the efficacy of these measures. Genetic monitoring could provide valuable insights into temporal changes in demographic, ecological, and evolutionary processes in invasive populations being subject to control programmes. Such programmes should cause a decrease in effective population size and/or in genetic diversity of the targeted non-native species and an increase in population genetic structuring over time. We used microsatellite DNA data from Americanmink (Neovison vison) to determine whether the removal of this predator on the Koster Islands archipelago and the nearby Swedish mainland affected genetic variation over six consecutive years of mink culling by trappers as part of a population control programme. We found that on Koster Islands allelic richness decreased (from on average 4.53 to 3.55), genetic structuring increased, and effective population size did not change. In contrast, the mink population from the Swedish coast showed no changes in genetic diversity or structure, suggesting the stability of this population over 6 years of culling. Effective population size did not change over time but was higher on the coast than on the islands across all years. Migration rates from the islands to the coast were almost two times higher than from the coast to the islands. Most migrants leaving the coast were localised on the southern edge of the archipelago, as expected from the direction of the sea current between the two sites. Genetic monitoring provided valuable information on temporal changes in the population of American mink suggesting that this approach can be used to evaluate and improve control programmes of invasive vertebrates.</v>
      </c>
      <c r="C95" s="24" t="str">
        <f>IFERROR(__xludf.DUMMYFUNCTION("""COMPUTED_VALUE"""),"10.1371/journal.pone.0157972")</f>
        <v>10.1371/journal.pone.0157972</v>
      </c>
      <c r="D95" s="24" t="str">
        <f>IFERROR(__xludf.DUMMYFUNCTION("""COMPUTED_VALUE"""),"shaw et al")</f>
        <v>shaw et al</v>
      </c>
      <c r="E95" s="24" t="str">
        <f>IFERROR(__xludf.DUMMYFUNCTION("""COMPUTED_VALUE"""),"WOS:000378212800062")</f>
        <v>WOS:000378212800062</v>
      </c>
      <c r="F95" s="24" t="str">
        <f>IFERROR(__xludf.DUMMYFUNCTION("""COMPUTED_VALUE"""),"[""ELIGIBLE""]")</f>
        <v>["ELIGIBLE"]</v>
      </c>
    </row>
    <row r="96">
      <c r="A96" s="24" t="str">
        <f>IFERROR(__xludf.DUMMYFUNCTION("""COMPUTED_VALUE"""),"Genetic diversity of upper Lake Constance whitefish Coregonus spp. under the influence of fisheries: a DNA study based on archived scale samples from 1932, 1975 and 2006")</f>
        <v>Genetic diversity of upper Lake Constance whitefish Coregonus spp. under the influence of fisheries: a DNA study based on archived scale samples from 1932, 1975 and 2006</v>
      </c>
      <c r="B96" s="24" t="str">
        <f>IFERROR(__xludf.DUMMYFUNCTION("""COMPUTED_VALUE"""),"This investigation examined changes in the genetic diversity of pelagic upper Lake Constance (ULC) whitefish Coregonus wartmanni population before and after the alteration of fishery methods and management from 1932 to 2006. The study spans a period of pr"&amp;"onounced changes in trophic status of the lake and transitions from traditional relatively unselective pelagic seine (Klusgarn) fishing to highly size-selective nylon gillnet techniques. In addition, supportive breeding and stocking became most popular du"&amp;"ring the phase of eutrophication in the 1970s. The main hypothesis is that size-selective fisheries and breeding lead to an overall decrease in genetic variability over time. A total of 215 archived C. wartmanni scale samples from 1932, 1975 and 2006 were"&amp;" analysed by genotyping 11 microsatellite loci. A comparison of population genetic parameters, including allelic richness, observed and expected heterozygosities, and estimates of effective population sizes, suggests that the genetic diversity of C. wartm"&amp;"anni population has not decreased. The appearance of new alleles in the gene pool in 1975 and 2006 may be indicative of admixture with other forms in the lake or with stocked allochthonous forms. Overall, the fisheries management practice in ULC, includin"&amp;"g the effects of size-selective fisheries, supportive breeding and stocking, have not significantly altered the genetic diversity of Coregonus spp. over an 80 year period. (C) 2014 The Fisheries Society of the British Isles")</f>
        <v>This investigation examined changes in the genetic diversity of pelagic upper Lake Constance (ULC) whitefish Coregonus wartmanni population before and after the alteration of fishery methods and management from 1932 to 2006. The study spans a period of pronounced changes in trophic status of the lake and transitions from traditional relatively unselective pelagic seine (Klusgarn) fishing to highly size-selective nylon gillnet techniques. In addition, supportive breeding and stocking became most popular during the phase of eutrophication in the 1970s. The main hypothesis is that size-selective fisheries and breeding lead to an overall decrease in genetic variability over time. A total of 215 archived C. wartmanni scale samples from 1932, 1975 and 2006 were analysed by genotyping 11 microsatellite loci. A comparison of population genetic parameters, including allelic richness, observed and expected heterozygosities, and estimates of effective population sizes, suggests that the genetic diversity of C. wartmanni population has not decreased. The appearance of new alleles in the gene pool in 1975 and 2006 may be indicative of admixture with other forms in the lake or with stocked allochthonous forms. Overall, the fisheries management practice in ULC, including the effects of size-selective fisheries, supportive breeding and stocking, have not significantly altered the genetic diversity of Coregonus spp. over an 80 year period. (C) 2014 The Fisheries Society of the British Isles</v>
      </c>
      <c r="C96" s="24" t="str">
        <f>IFERROR(__xludf.DUMMYFUNCTION("""COMPUTED_VALUE"""),"10.1111/jfb.12393")</f>
        <v>10.1111/jfb.12393</v>
      </c>
      <c r="D96" s="24" t="str">
        <f>IFERROR(__xludf.DUMMYFUNCTION("""COMPUTED_VALUE"""),"shaw et al")</f>
        <v>shaw et al</v>
      </c>
      <c r="E96" s="24" t="str">
        <f>IFERROR(__xludf.DUMMYFUNCTION("""COMPUTED_VALUE"""),"WOS:000337596000006")</f>
        <v>WOS:000337596000006</v>
      </c>
      <c r="F96" s="24" t="str">
        <f>IFERROR(__xludf.DUMMYFUNCTION("""COMPUTED_VALUE"""),"[""ELIGIBLE""]")</f>
        <v>["ELIGIBLE"]</v>
      </c>
    </row>
    <row r="97">
      <c r="A97" s="24" t="str">
        <f>IFERROR(__xludf.DUMMYFUNCTION("""COMPUTED_VALUE"""),"Temporal Analysis of Genetic Structure to Assess Population Dynamics of Reintroduced Swift Foxes")</f>
        <v>Temporal Analysis of Genetic Structure to Assess Population Dynamics of Reintroduced Swift Foxes</v>
      </c>
      <c r="B97" s="24" t="str">
        <f>IFERROR(__xludf.DUMMYFUNCTION("""COMPUTED_VALUE"""),"Reintroductions are increasingly used to reestablish species, but a paucity of long-term postrelease monitoring has limited understanding of whether and when viable populations subsequently persist. We conducted temporal genetic analyses of reintroduced p"&amp;"opulations of swift foxes (Vulpes velox) in Canada (Alberta and Saskatchewan) and the United States (Montana). We used samples collected 4 years apart, 17 years from the initiation of the reintroduction, and 3 years after the conclusion of releases. To as"&amp;"sess program success, we genotyped 304 hair samples, subsampled from the known range in 2000 and 2001, and 2005 and 2006, at 7 microsatellite loci. We compared diversity, effective population size, and genetic connectivity over time in each population. Di"&amp;"versity remained stable over time and there was evidence of increasing effective population size. We determined population structure in both periods after correcting for differences in sample sizes. The geographic distribution of these populations roughly"&amp;" corresponded with the original release locations, which suggests the release sites had residual effects on the population structure. However, given that both reintroduction sites had similar source populations, habitat fragmentation, due to cropland, may"&amp;" be associated with the population structure we found. Although our results indicate growing, stable populations, future connectivity analyses are warranted to ensure both populations are not subject to negative small-population effects. Our results demon"&amp;"strate the importance of multiple sampling years to fully capture population dynamics of reintroduced populations.")</f>
        <v>Reintroductions are increasingly used to reestablish species, but a paucity of long-term postrelease monitoring has limited understanding of whether and when viable populations subsequently persist. We conducted temporal genetic analyses of reintroduced populations of swift foxes (Vulpes velox) in Canada (Alberta and Saskatchewan) and the United States (Montana). We used samples collected 4 years apart, 17 years from the initiation of the reintroduction, and 3 years after the conclusion of releases. To assess program success, we genotyped 304 hair samples, subsampled from the known range in 2000 and 2001, and 2005 and 2006, at 7 microsatellite loci. We compared diversity, effective population size, and genetic connectivity over time in each population. Diversity remained stable over time and there was evidence of increasing effective population size. We determined population structure in both periods after correcting for differences in sample sizes. The geographic distribution of these populations roughly corresponded with the original release locations, which suggests the release sites had residual effects on the population structure. However, given that both reintroduction sites had similar source populations, habitat fragmentation, due to cropland, may be associated with the population structure we found. Although our results indicate growing, stable populations, future connectivity analyses are warranted to ensure both populations are not subject to negative small-population effects. Our results demonstrate the importance of multiple sampling years to fully capture population dynamics of reintroduced populations.</v>
      </c>
      <c r="C97" s="24" t="str">
        <f>IFERROR(__xludf.DUMMYFUNCTION("""COMPUTED_VALUE"""),"10.1111/cobi.12122")</f>
        <v>10.1111/cobi.12122</v>
      </c>
      <c r="D97" s="24" t="str">
        <f>IFERROR(__xludf.DUMMYFUNCTION("""COMPUTED_VALUE"""),"shaw et al")</f>
        <v>shaw et al</v>
      </c>
      <c r="E97" s="24" t="str">
        <f>IFERROR(__xludf.DUMMYFUNCTION("""COMPUTED_VALUE"""),"WOS:000327564300027")</f>
        <v>WOS:000327564300027</v>
      </c>
      <c r="F97" s="24" t="str">
        <f>IFERROR(__xludf.DUMMYFUNCTION("""COMPUTED_VALUE"""),"[""ELIGIBLE""]")</f>
        <v>["ELIGIBLE"]</v>
      </c>
    </row>
    <row r="98">
      <c r="A98" s="24" t="str">
        <f>IFERROR(__xludf.DUMMYFUNCTION("""COMPUTED_VALUE"""),"Temporally stable genetic structure of heavily exploited Atlantic herring (Clupea harengus) in Swedish waters")</f>
        <v>Temporally stable genetic structure of heavily exploited Atlantic herring (Clupea harengus) in Swedish waters</v>
      </c>
      <c r="B98" s="24" t="str">
        <f>IFERROR(__xludf.DUMMYFUNCTION("""COMPUTED_VALUE"""),"Information on the temporal stability of genetic structures is important to permit detection of changes that can constitute threats to biological resources. Large-scale harvesting operations are known to potentially alter the composition and reduce the va"&amp;"riability of populations, and Atlantic herring (Clupea harengus) has a long history of heavy exploitation. In the Baltic Sea and Skagerrak waters, the census population sizes have declined by 35-50% over the last three decades. We compared the genetic str"&amp;"ucture of Atlantic herring in these waters sampled at least two different times between 1979 and 2003 by assaying 11 allozyme and nine microsatellite loci. We cannot detect any changes in the amount of genetic variation or spatial structure, and different"&amp;"iation is weak with overall F-ST-0.003 among localities for the older samples and F-ST=0.002 for the newer ones. There are indications of temporal allele frequency changes, particularly in one of five sampling localities that is reflected in a relatively "&amp;"small local N-e estimate of c. 400. The previously identified influence of selection at the microsatellite locus Cpa112 remains stable over the 24-year period studied here. Despite little genetic differentiation, migration among localities appears small e"&amp;"nough to permit demographic independence between populations. Heredity (2010) 104, 40-51; doi:10.1038/hdy.2009.98; published online 5 August 2009")</f>
        <v>Information on the temporal stability of genetic structures is important to permit detection of changes that can constitute threats to biological resources. Large-scale harvesting operations are known to potentially alter the composition and reduce the variability of populations, and Atlantic herring (Clupea harengus) has a long history of heavy exploitation. In the Baltic Sea and Skagerrak waters, the census population sizes have declined by 35-50% over the last three decades. We compared the genetic structure of Atlantic herring in these waters sampled at least two different times between 1979 and 2003 by assaying 11 allozyme and nine microsatellite loci. We cannot detect any changes in the amount of genetic variation or spatial structure, and differentiation is weak with overall F-ST-0.003 among localities for the older samples and F-ST=0.002 for the newer ones. There are indications of temporal allele frequency changes, particularly in one of five sampling localities that is reflected in a relatively small local N-e estimate of c. 400. The previously identified influence of selection at the microsatellite locus Cpa112 remains stable over the 24-year period studied here. Despite little genetic differentiation, migration among localities appears small enough to permit demographic independence between populations. Heredity (2010) 104, 40-51; doi:10.1038/hdy.2009.98; published online 5 August 2009</v>
      </c>
      <c r="C98" s="24" t="str">
        <f>IFERROR(__xludf.DUMMYFUNCTION("""COMPUTED_VALUE"""),"10.1038/hdy.2009.98")</f>
        <v>10.1038/hdy.2009.98</v>
      </c>
      <c r="D98" s="24" t="str">
        <f>IFERROR(__xludf.DUMMYFUNCTION("""COMPUTED_VALUE"""),"shaw et al")</f>
        <v>shaw et al</v>
      </c>
      <c r="E98" s="24" t="str">
        <f>IFERROR(__xludf.DUMMYFUNCTION("""COMPUTED_VALUE"""),"WOS:000272794600006")</f>
        <v>WOS:000272794600006</v>
      </c>
      <c r="F98" s="24" t="str">
        <f>IFERROR(__xludf.DUMMYFUNCTION("""COMPUTED_VALUE"""),"[""ELIGIBLE""]")</f>
        <v>["ELIGIBLE"]</v>
      </c>
    </row>
    <row r="99">
      <c r="A99" s="24" t="str">
        <f>IFERROR(__xludf.DUMMYFUNCTION("""COMPUTED_VALUE"""),"Maintenance of a small anadromous subpopulation of brown trout (Salmo trutta L.) by straying")</f>
        <v>Maintenance of a small anadromous subpopulation of brown trout (Salmo trutta L.) by straying</v>
      </c>
      <c r="B99" s="24" t="str">
        <f>IFERROR(__xludf.DUMMYFUNCTION("""COMPUTED_VALUE"""),"1. Microsatellite and isozyme loci variation were used to study structure and dynamics of a brown trout (Salmo trutta) population heavily affected by damming. The downstream area accessible for spawning was drastically reduced to a stream 1 km long influe"&amp;"nced by regulated discharge. 2. Stocking of hatchery-reared juveniles failed and the population is entirely supported by anadromous adults from neighbouring populations. 3. Temporal genetic stability is reported here. Some punctual between-river genetic d"&amp;"ifferences are likely because of different contribution from each neighbouring river through years. 4. High anadromy-mediated gene flow produces a lack of genetic substructure in the region. The role of anadromous brown trout on maintenance of endangered "&amp;"small populations is emphasised.")</f>
        <v>1. Microsatellite and isozyme loci variation were used to study structure and dynamics of a brown trout (Salmo trutta) population heavily affected by damming. The downstream area accessible for spawning was drastically reduced to a stream 1 km long influenced by regulated discharge. 2. Stocking of hatchery-reared juveniles failed and the population is entirely supported by anadromous adults from neighbouring populations. 3. Temporal genetic stability is reported here. Some punctual between-river genetic differences are likely because of different contribution from each neighbouring river through years. 4. High anadromy-mediated gene flow produces a lack of genetic substructure in the region. The role of anadromous brown trout on maintenance of endangered small populations is emphasised.</v>
      </c>
      <c r="C99" s="24" t="str">
        <f>IFERROR(__xludf.DUMMYFUNCTION("""COMPUTED_VALUE"""),"10.1111/j.1365-2427.2005.01486.x")</f>
        <v>10.1111/j.1365-2427.2005.01486.x</v>
      </c>
      <c r="D99" s="24" t="str">
        <f>IFERROR(__xludf.DUMMYFUNCTION("""COMPUTED_VALUE"""),"shaw et al")</f>
        <v>shaw et al</v>
      </c>
      <c r="E99" s="24" t="str">
        <f>IFERROR(__xludf.DUMMYFUNCTION("""COMPUTED_VALUE"""),"WOS:000234667900012")</f>
        <v>WOS:000234667900012</v>
      </c>
      <c r="F99" s="24" t="str">
        <f>IFERROR(__xludf.DUMMYFUNCTION("""COMPUTED_VALUE"""),"[""ELIGIBLE""]")</f>
        <v>["ELIGIBLE"]</v>
      </c>
    </row>
    <row r="100">
      <c r="A100" s="24" t="str">
        <f>IFERROR(__xludf.DUMMYFUNCTION("""COMPUTED_VALUE"""),"Mitochondrial DNA variation, effective female population size and population history of the endangered Chinese sturgeon, Acipenser sinensis")</f>
        <v>Mitochondrial DNA variation, effective female population size and population history of the endangered Chinese sturgeon, Acipenser sinensis</v>
      </c>
      <c r="B100" s="24" t="str">
        <f>IFERROR(__xludf.DUMMYFUNCTION("""COMPUTED_VALUE"""),"The anadromous Chinese sturgeon (Acipenser sinensis), mainly endemic to the Yangtze River in China, is an endangered fish species. The natural population has declined since the Gezhouba Dam blocked its migratory route to the spawning grounds in 1981. In t"&amp;"he near future, the completion of the Three Gorges Dam, the world's largest hydroelectric project, may further impact this species by altering the water flow of the Yangtze River. Little is currently known about the population genetic structure of the Chi"&amp;"nese sturgeon. In this study, DNA sequence data were determined from the control region (D-loop) of the mitochondrial genome of adult sturgeons (n = 106) that were collected between 1995-2000. The molecular data were used to investigate genetic variation,"&amp;" effective female population size and population history of the Chinese sturgeon in the Yangtze River. Our results indicate that the reduction in abundance did not change genetic variation of the Chinese sturgeon, and that the population underwent an expa"&amp;"nsion in the past. AMOVA analysis indicated that 98.7% of the genetic variability occurred within each year's spawning populations, the year of collection had little influence on the diversity of annual temporary samples. The relative large effective fema"&amp;"le population size (N-ef) indicates that good potential exists for the recovery of this species in the future. Strikingly, the ratio of N-ef to the census female population size (N-f) is unusually high (0.77-0.93). This may be the result of a current bott"&amp;"leneck in the population of the Chinese sturgeon that is likely caused by human intervention.")</f>
        <v>The anadromous Chinese sturgeon (Acipenser sinensis), mainly endemic to the Yangtze River in China, is an endangered fish species. The natural population has declined since the Gezhouba Dam blocked its migratory route to the spawning grounds in 1981. In the near future, the completion of the Three Gorges Dam, the world's largest hydroelectric project, may further impact this species by altering the water flow of the Yangtze River. Little is currently known about the population genetic structure of the Chinese sturgeon. In this study, DNA sequence data were determined from the control region (D-loop) of the mitochondrial genome of adult sturgeons (n = 106) that were collected between 1995-2000. The molecular data were used to investigate genetic variation, effective female population size and population history of the Chinese sturgeon in the Yangtze River. Our results indicate that the reduction in abundance did not change genetic variation of the Chinese sturgeon, and that the population underwent an expansion in the past. AMOVA analysis indicated that 98.7% of the genetic variability occurred within each year's spawning populations, the year of collection had little influence on the diversity of annual temporary samples. The relative large effective female population size (N-ef) indicates that good potential exists for the recovery of this species in the future. Strikingly, the ratio of N-ef to the census female population size (N-f) is unusually high (0.77-0.93). This may be the result of a current bottleneck in the population of the Chinese sturgeon that is likely caused by human intervention.</v>
      </c>
      <c r="C100" s="24" t="str">
        <f>IFERROR(__xludf.DUMMYFUNCTION("""COMPUTED_VALUE"""),"10.1023/B:COGE.0000006107.46111.bc")</f>
        <v>10.1023/B:COGE.0000006107.46111.bc</v>
      </c>
      <c r="D100" s="24" t="str">
        <f>IFERROR(__xludf.DUMMYFUNCTION("""COMPUTED_VALUE"""),"shaw et al")</f>
        <v>shaw et al</v>
      </c>
      <c r="E100" s="24" t="str">
        <f>IFERROR(__xludf.DUMMYFUNCTION("""COMPUTED_VALUE"""),"WOS:000186895000002")</f>
        <v>WOS:000186895000002</v>
      </c>
      <c r="F100" s="24" t="str">
        <f>IFERROR(__xludf.DUMMYFUNCTION("""COMPUTED_VALUE"""),"[""ELIGIBLE""]")</f>
        <v>["ELIGIBLE"]</v>
      </c>
    </row>
    <row r="101">
      <c r="A101" s="24" t="str">
        <f>IFERROR(__xludf.DUMMYFUNCTION("""COMPUTED_VALUE"""),"Microsatellite analysis of genetic diversity in the squid Illex argentinus during a period of intensive fishing")</f>
        <v>Microsatellite analysis of genetic diversity in the squid Illex argentinus during a period of intensive fishing</v>
      </c>
      <c r="B101" s="24" t="str">
        <f>IFERROR(__xludf.DUMMYFUNCTION("""COMPUTED_VALUE"""),"Levels of genetic diversity and population differentiation were examined in temporally (1990 to 1997) and geographically separated samples of the argentine short-finned squid Illex argentinus using 7 microsatellite loci. Number of alleles (mean number of "&amp;"alleles per locus over all samples = 24.1) and heterozygosity (mean observed heterozygosity per sample = 0.84) were high for all samples, indicating that these loci have a greater potential utility for investigating population genetic structure than alloz"&amp;"yme markers used in previous studies. Genetic diversity did not differ significantly between samples taken 5 yr after commencement of the fishery (1990) and those collected during a period of progressively intense fishing pressure (1994 and 1997). Several"&amp;" small but significant differences in between-sample genetic variation (F-ST) were observed, but these could not confirm the previous suggestion of cryptic species or several well-defined stocks within the fished population.")</f>
        <v>Levels of genetic diversity and population differentiation were examined in temporally (1990 to 1997) and geographically separated samples of the argentine short-finned squid Illex argentinus using 7 microsatellite loci. Number of alleles (mean number of alleles per locus over all samples = 24.1) and heterozygosity (mean observed heterozygosity per sample = 0.84) were high for all samples, indicating that these loci have a greater potential utility for investigating population genetic structure than allozyme markers used in previous studies. Genetic diversity did not differ significantly between samples taken 5 yr after commencement of the fishery (1990) and those collected during a period of progressively intense fishing pressure (1994 and 1997). Several small but significant differences in between-sample genetic variation (F-ST) were observed, but these could not confirm the previous suggestion of cryptic species or several well-defined stocks within the fished population.</v>
      </c>
      <c r="C101" s="24" t="str">
        <f>IFERROR(__xludf.DUMMYFUNCTION("""COMPUTED_VALUE"""),"10.3354/meps187171")</f>
        <v>10.3354/meps187171</v>
      </c>
      <c r="D101" s="24" t="str">
        <f>IFERROR(__xludf.DUMMYFUNCTION("""COMPUTED_VALUE"""),"shaw et al")</f>
        <v>shaw et al</v>
      </c>
      <c r="E101" s="24" t="str">
        <f>IFERROR(__xludf.DUMMYFUNCTION("""COMPUTED_VALUE"""),"WOS:000083830200015")</f>
        <v>WOS:000083830200015</v>
      </c>
      <c r="F101" s="24" t="str">
        <f>IFERROR(__xludf.DUMMYFUNCTION("""COMPUTED_VALUE"""),"[""ELIGIBLE""]")</f>
        <v>["ELIGIBLE"]</v>
      </c>
    </row>
    <row r="102">
      <c r="A102" s="24" t="str">
        <f>IFERROR(__xludf.DUMMYFUNCTION("""COMPUTED_VALUE"""),"Genetic data confirm critical status of the reintroduced Dinaric population of Eurasian lynx")</f>
        <v>Genetic data confirm critical status of the reintroduced Dinaric population of Eurasian lynx</v>
      </c>
      <c r="B102" s="24" t="str">
        <f>IFERROR(__xludf.DUMMYFUNCTION("""COMPUTED_VALUE"""),"Eurasian lynx (Lynx lynx) reintroduction to the Dinaric Mountains is considered one of the most successful reintroductions of a large predator. Six reintroduced animals founded the population, which rapidly expanded from Slovenia, through Croatia, and all"&amp;" the way to Bosnia and Herzegovina. However, a decrease of the population size has been observed during the last 10-15 years. Considering that possible inbreeding depression would be additive to threats like poaching, traffic mortality and prey base deple"&amp;"tion, another extinction of this species from the Dinaric Mountains is a real possibility. We analyzed 204 samples collected between 1979 and 2010 using twenty microsatellite loci and 900-bp mitochondrial DNA control region sequence to evaluate conservati"&amp;"on genetics aspects of this endangered population. Both markers confirmed low genetic variability of the Dinaric lynx population, and considerable effective inbreeding (0.3) compared to the source Carpathian population. Our analysis of effective populatio"&amp;"n size and microsatellite variability supported field observations of decreasing population number. As a natural recolonization is a very remote possibility, we recommend population augmentation from a large source population.")</f>
        <v>Eurasian lynx (Lynx lynx) reintroduction to the Dinaric Mountains is considered one of the most successful reintroductions of a large predator. Six reintroduced animals founded the population, which rapidly expanded from Slovenia, through Croatia, and all the way to Bosnia and Herzegovina. However, a decrease of the population size has been observed during the last 10-15 years. Considering that possible inbreeding depression would be additive to threats like poaching, traffic mortality and prey base depletion, another extinction of this species from the Dinaric Mountains is a real possibility. We analyzed 204 samples collected between 1979 and 2010 using twenty microsatellite loci and 900-bp mitochondrial DNA control region sequence to evaluate conservation genetics aspects of this endangered population. Both markers confirmed low genetic variability of the Dinaric lynx population, and considerable effective inbreeding (0.3) compared to the source Carpathian population. Our analysis of effective population size and microsatellite variability supported field observations of decreasing population number. As a natural recolonization is a very remote possibility, we recommend population augmentation from a large source population.</v>
      </c>
      <c r="C102" s="24" t="str">
        <f>IFERROR(__xludf.DUMMYFUNCTION("""COMPUTED_VALUE"""),"10.1007/s10592-013-0491-x")</f>
        <v>10.1007/s10592-013-0491-x</v>
      </c>
      <c r="D102" s="24" t="str">
        <f>IFERROR(__xludf.DUMMYFUNCTION("""COMPUTED_VALUE"""),"shaw et al")</f>
        <v>shaw et al</v>
      </c>
      <c r="E102" s="24" t="str">
        <f>IFERROR(__xludf.DUMMYFUNCTION("""COMPUTED_VALUE"""),"WOS:000325127100009")</f>
        <v>WOS:000325127100009</v>
      </c>
      <c r="F102" s="24" t="str">
        <f>IFERROR(__xludf.DUMMYFUNCTION("""COMPUTED_VALUE"""),"[""ELIGIBLE""]")</f>
        <v>["ELIGIBLE"]</v>
      </c>
    </row>
    <row r="103">
      <c r="A103" s="24" t="str">
        <f>IFERROR(__xludf.DUMMYFUNCTION("""COMPUTED_VALUE"""),"Historical population size of the threatened New Zealand sea lion Phocarctos hookeri")</f>
        <v>Historical population size of the threatened New Zealand sea lion Phocarctos hookeri</v>
      </c>
      <c r="B103" s="24" t="str">
        <f>IFERROR(__xludf.DUMMYFUNCTION("""COMPUTED_VALUE"""),"Marine mammal species were exploited worldwide during periods of commercial sealing in the 18th and 19th centuries. For many of these species, an estimate of the pre-exploitation abundance of the species is lacking, as historical catch records are general"&amp;"ly scarce and inaccurate. Genetic estimates of long-term effective population size provide a means to estimate the pre-exploitation abundance. Here, we apply genetic methods to estimate the long-term effective population size of the subantarctic lineage o"&amp;"f the New Zealand sea lion (NZ sea lion), Phocarctos hookeri. This species is predominantly restricted to the subantarctic islands, south of mainland New Zealand, following commercial sealing in the 19th century. Today, the population consists of similar "&amp;"to 9,880 animals and population growth is slow. Auckland Island breeding colonies of NZ sea lion are currently impacted by commercial trawl fisheries via regular sea lion deaths as bycatch. In order to estimate sustainable levels of bycatch, an estimate o"&amp;"f the population's carrying capacity (K) is required. We apply the genetically estimated long-term effective population size of NZ sea lions as a proxy for the estimated historical carrying capacity of the subantarctic population. The historical abundance"&amp;" of subantarctic NZ sea lions was significantly higher than the target values of K employed by the contemporary management. The current management strategy may allow unsustainable bycatch levels, thereby limiting the recovery of the NZ sea lion population"&amp;" toward historical carrying capacity.")</f>
        <v>Marine mammal species were exploited worldwide during periods of commercial sealing in the 18th and 19th centuries. For many of these species, an estimate of the pre-exploitation abundance of the species is lacking, as historical catch records are generally scarce and inaccurate. Genetic estimates of long-term effective population size provide a means to estimate the pre-exploitation abundance. Here, we apply genetic methods to estimate the long-term effective population size of the subantarctic lineage of the New Zealand sea lion (NZ sea lion), Phocarctos hookeri. This species is predominantly restricted to the subantarctic islands, south of mainland New Zealand, following commercial sealing in the 19th century. Today, the population consists of similar to 9,880 animals and population growth is slow. Auckland Island breeding colonies of NZ sea lion are currently impacted by commercial trawl fisheries via regular sea lion deaths as bycatch. In order to estimate sustainable levels of bycatch, an estimate of the population's carrying capacity (K) is required. We apply the genetically estimated long-term effective population size of NZ sea lions as a proxy for the estimated historical carrying capacity of the subantarctic population. The historical abundance of subantarctic NZ sea lions was significantly higher than the target values of K employed by the contemporary management. The current management strategy may allow unsustainable bycatch levels, thereby limiting the recovery of the NZ sea lion population toward historical carrying capacity.</v>
      </c>
      <c r="C103" s="24" t="str">
        <f>IFERROR(__xludf.DUMMYFUNCTION("""COMPUTED_VALUE"""),"10.1093/jmammal/gyv187")</f>
        <v>10.1093/jmammal/gyv187</v>
      </c>
      <c r="D103" s="24" t="str">
        <f>IFERROR(__xludf.DUMMYFUNCTION("""COMPUTED_VALUE"""),"shaw et al")</f>
        <v>shaw et al</v>
      </c>
      <c r="E103" s="24" t="str">
        <f>IFERROR(__xludf.DUMMYFUNCTION("""COMPUTED_VALUE"""),"WOS:000373722700009")</f>
        <v>WOS:000373722700009</v>
      </c>
      <c r="F103" s="24" t="str">
        <f>IFERROR(__xludf.DUMMYFUNCTION("""COMPUTED_VALUE"""),"[""ELIGIBLE""]")</f>
        <v>["ELIGIBLE"]</v>
      </c>
    </row>
    <row r="104">
      <c r="A104" s="24" t="str">
        <f>IFERROR(__xludf.DUMMYFUNCTION("""COMPUTED_VALUE"""),"Spatio-temporal patterns of genetic variations in populations of yellowtail kingfish Seriola lalandi from the south-eastern Pacific Ocean and potential implications for its fishery management")</f>
        <v>Spatio-temporal patterns of genetic variations in populations of yellowtail kingfish Seriola lalandi from the south-eastern Pacific Ocean and potential implications for its fishery management</v>
      </c>
      <c r="B104" s="24" t="str">
        <f>IFERROR(__xludf.DUMMYFUNCTION("""COMPUTED_VALUE"""),"The genetic population structure and genetic diversity of yellowtail kingfish Seriola lalandi from the coastal south-eastern Pacific Ocean (SEP) were evaluated at spatiotemporal scale in order to understand the ecology of this species. Between 2012 and 20"&amp;"15, temporal and spatial population genetic structure and a low genetic diversity were detected in S. lalandi from SEP. These results suggest that S. lalandi specimens arriving annually from offshore to the SEP coast could come from at least two genetical"&amp;"ly distinct populations, revealing a particular life strategy (i.e. reproductive or habitat segregation) for this fish species. Therefore, the SEP coast might constitute a point of population mixing for this species. Additionally, the low genetic diversit"&amp;"y of S. lalandi in the SEP could be a result of a founder effect or overfishing. Regardless of the process explaining the genetic diversity and structure of S. lalandi in this geographical area, this new information should be considered in order to implem"&amp;"ent successful fishery management of this resource in the South Pacific.")</f>
        <v>The genetic population structure and genetic diversity of yellowtail kingfish Seriola lalandi from the coastal south-eastern Pacific Ocean (SEP) were evaluated at spatiotemporal scale in order to understand the ecology of this species. Between 2012 and 2015, temporal and spatial population genetic structure and a low genetic diversity were detected in S. lalandi from SEP. These results suggest that S. lalandi specimens arriving annually from offshore to the SEP coast could come from at least two genetically distinct populations, revealing a particular life strategy (i.e. reproductive or habitat segregation) for this fish species. Therefore, the SEP coast might constitute a point of population mixing for this species. Additionally, the low genetic diversity of S. lalandi in the SEP could be a result of a founder effect or overfishing. Regardless of the process explaining the genetic diversity and structure of S. lalandi in this geographical area, this new information should be considered in order to implement successful fishery management of this resource in the South Pacific.</v>
      </c>
      <c r="C104" s="24" t="str">
        <f>IFERROR(__xludf.DUMMYFUNCTION("""COMPUTED_VALUE"""),"10.1111/jfb.13179")</f>
        <v>10.1111/jfb.13179</v>
      </c>
      <c r="D104" s="24" t="str">
        <f>IFERROR(__xludf.DUMMYFUNCTION("""COMPUTED_VALUE"""),"shaw et al")</f>
        <v>shaw et al</v>
      </c>
      <c r="E104" s="24" t="str">
        <f>IFERROR(__xludf.DUMMYFUNCTION("""COMPUTED_VALUE"""),"WOS:000392427500015")</f>
        <v>WOS:000392427500015</v>
      </c>
      <c r="F104" s="24" t="str">
        <f>IFERROR(__xludf.DUMMYFUNCTION("""COMPUTED_VALUE"""),"[""ELIGIBLE""]")</f>
        <v>["ELIGIBLE"]</v>
      </c>
    </row>
    <row r="105">
      <c r="A105" s="24" t="str">
        <f>IFERROR(__xludf.DUMMYFUNCTION("""COMPUTED_VALUE"""),"The ups and downs of coral reef fishes: the genetic characteristics of a formerly severely overfished but currently recovering Nassau grouper fish spawning aggregation")</f>
        <v>The ups and downs of coral reef fishes: the genetic characteristics of a formerly severely overfished but currently recovering Nassau grouper fish spawning aggregation</v>
      </c>
      <c r="B105" s="24" t="str">
        <f>IFERROR(__xludf.DUMMYFUNCTION("""COMPUTED_VALUE"""),"The Nassau grouper (Epinephelus striatus) has sustained large declines across its distribution, including extirpation of many of its fish spawning aggregations (FSAs). Within US Virgin Islands (USVI) waters, Nassau grouper FSAs were overfished until their"&amp;" disappearance in the 1970s and 1980s. In the early 2000s, however, Nassau grouper were found gathering at Grammanik Bank, USVI, a mesophotic coral reef adjacent to one of the extinct aggregation sites, and regulatory protective measures were implemented "&amp;"to protect this fledgling FSA. The population genetic dynamics of this rapid FSA deterioration followed by protection-facilitated, incipient recovery are unknown. We addressed two objectives: (1) we explored which factors (i.e., local vs. external recruit"&amp;"ment) might be key in shaping the USVI FSA recovery; and (2) we examined the consequences of severe past overfishing on this FSA's current genetic status. We genotyped individuals (15 microsatellites) from the USVI FSA comprising three successive spawning"&amp;" years (2008-2010), as well as individuals from a much larger, presumably less impacted, Nassau grouper FSA in the Cayman Islands, to assess their comparative population dynamics. No population structure was detected between the USVI and Cayman FSAs (F (S"&amp;"T) = -0.0004); however, a temporally waning, genetic bottleneck signal was detected in the USVI FSA. Parentage analysis failed to identify any parent-offspring matches between USVI FSA adults and nearby juveniles, and relatedness analysis showed low level"&amp;"s of genetic relatedness among USVI FSA individuals. Genetic diversity across USVI FSA temporal collections was relatively high, and no marked differences were found between the USVI and Cayman FSAs. These collective results suggest that external recruitm"&amp;"ent is an important driver of the USVI FSA recovery. Furthermore, despite an apparent genetic bottleneck, the genetic diversity of USVI Nassau grouper has not been severely compromised. Our findings also provide a baseline for future genetic monitoring of"&amp;" the nascent USVI aggregation.")</f>
        <v>The Nassau grouper (Epinephelus striatus) has sustained large declines across its distribution, including extirpation of many of its fish spawning aggregations (FSAs). Within US Virgin Islands (USVI) waters, Nassau grouper FSAs were overfished until their disappearance in the 1970s and 1980s. In the early 2000s, however, Nassau grouper were found gathering at Grammanik Bank, USVI, a mesophotic coral reef adjacent to one of the extinct aggregation sites, and regulatory protective measures were implemented to protect this fledgling FSA. The population genetic dynamics of this rapid FSA deterioration followed by protection-facilitated, incipient recovery are unknown. We addressed two objectives: (1) we explored which factors (i.e., local vs. external recruitment) might be key in shaping the USVI FSA recovery; and (2) we examined the consequences of severe past overfishing on this FSA's current genetic status. We genotyped individuals (15 microsatellites) from the USVI FSA comprising three successive spawning years (2008-2010), as well as individuals from a much larger, presumably less impacted, Nassau grouper FSA in the Cayman Islands, to assess their comparative population dynamics. No population structure was detected between the USVI and Cayman FSAs (F (ST) = -0.0004); however, a temporally waning, genetic bottleneck signal was detected in the USVI FSA. Parentage analysis failed to identify any parent-offspring matches between USVI FSA adults and nearby juveniles, and relatedness analysis showed low levels of genetic relatedness among USVI FSA individuals. Genetic diversity across USVI FSA temporal collections was relatively high, and no marked differences were found between the USVI and Cayman FSAs. These collective results suggest that external recruitment is an important driver of the USVI FSA recovery. Furthermore, despite an apparent genetic bottleneck, the genetic diversity of USVI Nassau grouper has not been severely compromised. Our findings also provide a baseline for future genetic monitoring of the nascent USVI aggregation.</v>
      </c>
      <c r="C105" s="24" t="str">
        <f>IFERROR(__xludf.DUMMYFUNCTION("""COMPUTED_VALUE"""),"10.1007/s00338-015-1370-3")</f>
        <v>10.1007/s00338-015-1370-3</v>
      </c>
      <c r="D105" s="24" t="str">
        <f>IFERROR(__xludf.DUMMYFUNCTION("""COMPUTED_VALUE"""),"shaw et al")</f>
        <v>shaw et al</v>
      </c>
      <c r="E105" s="24" t="str">
        <f>IFERROR(__xludf.DUMMYFUNCTION("""COMPUTED_VALUE"""),"WOS:000370955100027")</f>
        <v>WOS:000370955100027</v>
      </c>
      <c r="F105" s="24" t="str">
        <f>IFERROR(__xludf.DUMMYFUNCTION("""COMPUTED_VALUE"""),"[""ELIGIBLE""]")</f>
        <v>["ELIGIBLE"]</v>
      </c>
    </row>
    <row r="106">
      <c r="A106" s="24" t="str">
        <f>IFERROR(__xludf.DUMMYFUNCTION("""COMPUTED_VALUE"""),"Characterising genetic diversity and effective population size in one reservoir and two riverine populations of the threatened Macquarie perch")</f>
        <v>Characterising genetic diversity and effective population size in one reservoir and two riverine populations of the threatened Macquarie perch</v>
      </c>
      <c r="B106" s="24" t="str">
        <f>IFERROR(__xludf.DUMMYFUNCTION("""COMPUTED_VALUE"""),"Nine polymorphic microsatellite loci have been used to infer population genetic diversity and structure of the threatened Australian freshwater fish, Macquarie perch, across three tributaries of the Murrumbidgee River in south-eastern Australia. This inve"&amp;"stigation has revealed a high level of divergence among all three populations, along with contrasting patterns of genetic diversity. The Cotter Reservoir, which is a stronghold population for the species, has typically higher diversity and effective popul"&amp;"ation size than nearby riverine populations. This suggests that the reservoir population is unlikely to have undergone a genetic bottleneck during and following dam construction. Genetic diversity estimates were comparable with one riverine site but were "&amp;"significantly higher than a population sampled from the Queanbeyan River. This comparison revealed significantly less heterozygotes in the Queanbeyan River and lower estimates of effective population size. Options and considerations for stock replenishmen"&amp;"t of this population are discussed.")</f>
        <v>Nine polymorphic microsatellite loci have been used to infer population genetic diversity and structure of the threatened Australian freshwater fish, Macquarie perch, across three tributaries of the Murrumbidgee River in south-eastern Australia. This investigation has revealed a high level of divergence among all three populations, along with contrasting patterns of genetic diversity. The Cotter Reservoir, which is a stronghold population for the species, has typically higher diversity and effective population size than nearby riverine populations. This suggests that the reservoir population is unlikely to have undergone a genetic bottleneck during and following dam construction. Genetic diversity estimates were comparable with one riverine site but were significantly higher than a population sampled from the Queanbeyan River. This comparison revealed significantly less heterozygotes in the Queanbeyan River and lower estimates of effective population size. Options and considerations for stock replenishment of this population are discussed.</v>
      </c>
      <c r="C106" s="24" t="str">
        <f>IFERROR(__xludf.DUMMYFUNCTION("""COMPUTED_VALUE"""),"10.1007/s10592-014-0572-5")</f>
        <v>10.1007/s10592-014-0572-5</v>
      </c>
      <c r="D106" s="24" t="str">
        <f>IFERROR(__xludf.DUMMYFUNCTION("""COMPUTED_VALUE"""),"shaw et al")</f>
        <v>shaw et al</v>
      </c>
      <c r="E106" s="24" t="str">
        <f>IFERROR(__xludf.DUMMYFUNCTION("""COMPUTED_VALUE"""),"WOS:000335671500016")</f>
        <v>WOS:000335671500016</v>
      </c>
      <c r="F106" s="24" t="str">
        <f>IFERROR(__xludf.DUMMYFUNCTION("""COMPUTED_VALUE"""),"[""ELIGIBLE""]")</f>
        <v>["ELIGIBLE"]</v>
      </c>
    </row>
    <row r="107">
      <c r="A107" s="24" t="str">
        <f>IFERROR(__xludf.DUMMYFUNCTION("""COMPUTED_VALUE"""),"Isolation-by-time population structure in potamodromous Dourado Salminus brasiliensis in southern Brazil")</f>
        <v>Isolation-by-time population structure in potamodromous Dourado Salminus brasiliensis in southern Brazil</v>
      </c>
      <c r="B107" s="24" t="str">
        <f>IFERROR(__xludf.DUMMYFUNCTION("""COMPUTED_VALUE"""),"Isolation-by-distance is recognized as a useful model for describing the spatial distribution of gene frequencies depending on dispersal characteristics of the species under study. However, some species may have populations that occupy the same geographic"&amp;" distribution during the breeding season yet reproduce at different time periods resulting in isolation-by-time (IBT). IBT may complicate investigations of spatial population structure if samples are obtained from multiple discrete time periods or may rem"&amp;"ain undiscovered if surveys are conducted with limited temporal scope. IBT has been observed in several studies of anadromous fishes (primarily salmon) as well as a few examples in taxa such as frogs, plants, birds and insects, but has not been rigorously"&amp;" tested in freshwater fishes. In this study, we assessed spatial and temporal genetic variation and tested for IBT in Dourado (Salminus brasiliensis), a large and commercially-important potamodromous fish species found in multiple river basins of South Am"&amp;"erica. Using 11 polymorphic microsatellite loci, we estimated genetic differentiation of 317 adult Dourado collected monthly during the breeding season at three locations along the Uruguay River in southern Brazil. Analyses identified three populations th"&amp;"at were clustered in time (i.e. early, middle and late), suggesting an IBT pattern of population structure with no significant spatial structure. Our results contribute to the mounting evidence across a wide range of taxa that suggests IBT may be more com"&amp;"mon that currently considered, even for species with very high dispersal capabilities such as potamodromous fishes.")</f>
        <v>Isolation-by-distance is recognized as a useful model for describing the spatial distribution of gene frequencies depending on dispersal characteristics of the species under study. However, some species may have populations that occupy the same geographic distribution during the breeding season yet reproduce at different time periods resulting in isolation-by-time (IBT). IBT may complicate investigations of spatial population structure if samples are obtained from multiple discrete time periods or may remain undiscovered if surveys are conducted with limited temporal scope. IBT has been observed in several studies of anadromous fishes (primarily salmon) as well as a few examples in taxa such as frogs, plants, birds and insects, but has not been rigorously tested in freshwater fishes. In this study, we assessed spatial and temporal genetic variation and tested for IBT in Dourado (Salminus brasiliensis), a large and commercially-important potamodromous fish species found in multiple river basins of South America. Using 11 polymorphic microsatellite loci, we estimated genetic differentiation of 317 adult Dourado collected monthly during the breeding season at three locations along the Uruguay River in southern Brazil. Analyses identified three populations that were clustered in time (i.e. early, middle and late), suggesting an IBT pattern of population structure with no significant spatial structure. Our results contribute to the mounting evidence across a wide range of taxa that suggests IBT may be more common that currently considered, even for species with very high dispersal capabilities such as potamodromous fishes.</v>
      </c>
      <c r="C107" s="24" t="str">
        <f>IFERROR(__xludf.DUMMYFUNCTION("""COMPUTED_VALUE"""),"10.1007/s10592-016-0882-x")</f>
        <v>10.1007/s10592-016-0882-x</v>
      </c>
      <c r="D107" s="24" t="str">
        <f>IFERROR(__xludf.DUMMYFUNCTION("""COMPUTED_VALUE"""),"shaw et al")</f>
        <v>shaw et al</v>
      </c>
      <c r="E107" s="24" t="str">
        <f>IFERROR(__xludf.DUMMYFUNCTION("""COMPUTED_VALUE"""),"WOS:000394253300005")</f>
        <v>WOS:000394253300005</v>
      </c>
      <c r="F107" s="24" t="str">
        <f>IFERROR(__xludf.DUMMYFUNCTION("""COMPUTED_VALUE"""),"[""ELIGIBLE""]")</f>
        <v>["ELIGIBLE"]</v>
      </c>
    </row>
    <row r="108">
      <c r="A108" s="24" t="str">
        <f>IFERROR(__xludf.DUMMYFUNCTION("""COMPUTED_VALUE"""),"Population structure and conservation genetic assessment of the endangered Pugnose Shiner, Notropis anogenus")</f>
        <v>Population structure and conservation genetic assessment of the endangered Pugnose Shiner, Notropis anogenus</v>
      </c>
      <c r="B108" s="24" t="str">
        <f>IFERROR(__xludf.DUMMYFUNCTION("""COMPUTED_VALUE"""),"The Pugnose Shiner is a small minnow with a fragmented distribution across the Great Lakes and Upper Mississippi River in North America. The species is listed federally as endangered in Canada, and in the United States its status varies by state, from Spe"&amp;"cial Concern to Endangered (as well as Extirpated). We conducted a thorough genetic assessment of the Pugnose Shiner using both microsatellite loci and mitochondrial DNA collected for samples across the species range. Our results indicate high levels of p"&amp;"opulation differentiation suggesting restricted dispersal, in some cases at very small geographical scales. We also found strong evidence of small effective population sizes and one case of a genetic bottleneck. Although significant range-wide genetic var"&amp;"iation was observed in both microsatellite loci and mitochondrial DNA, the species is best characterized as a single evolutionarily significant unit for conservation purposes.")</f>
        <v>The Pugnose Shiner is a small minnow with a fragmented distribution across the Great Lakes and Upper Mississippi River in North America. The species is listed federally as endangered in Canada, and in the United States its status varies by state, from Special Concern to Endangered (as well as Extirpated). We conducted a thorough genetic assessment of the Pugnose Shiner using both microsatellite loci and mitochondrial DNA collected for samples across the species range. Our results indicate high levels of population differentiation suggesting restricted dispersal, in some cases at very small geographical scales. We also found strong evidence of small effective population sizes and one case of a genetic bottleneck. Although significant range-wide genetic variation was observed in both microsatellite loci and mitochondrial DNA, the species is best characterized as a single evolutionarily significant unit for conservation purposes.</v>
      </c>
      <c r="C108" s="24" t="str">
        <f>IFERROR(__xludf.DUMMYFUNCTION("""COMPUTED_VALUE"""),"10.1007/s10592-013-0542-3")</f>
        <v>10.1007/s10592-013-0542-3</v>
      </c>
      <c r="D108" s="24" t="str">
        <f>IFERROR(__xludf.DUMMYFUNCTION("""COMPUTED_VALUE"""),"shaw et al")</f>
        <v>shaw et al</v>
      </c>
      <c r="E108" s="24" t="str">
        <f>IFERROR(__xludf.DUMMYFUNCTION("""COMPUTED_VALUE"""),"WOS:000332758900009")</f>
        <v>WOS:000332758900009</v>
      </c>
      <c r="F108" s="24" t="str">
        <f>IFERROR(__xludf.DUMMYFUNCTION("""COMPUTED_VALUE"""),"[""ELIGIBLE""]")</f>
        <v>["ELIGIBLE"]</v>
      </c>
    </row>
    <row r="109">
      <c r="A109" s="24" t="str">
        <f>IFERROR(__xludf.DUMMYFUNCTION("""COMPUTED_VALUE"""),"Spatial and temporal boundaries to gene flow between Chaenocephalus aceratus populations at South Orkney and South Shetlands")</f>
        <v>Spatial and temporal boundaries to gene flow between Chaenocephalus aceratus populations at South Orkney and South Shetlands</v>
      </c>
      <c r="B109" s="24" t="str">
        <f>IFERROR(__xludf.DUMMYFUNCTION("""COMPUTED_VALUE"""),"The black-fin icefish Chaenocephalus aceratus is among the most abundant fish species on the Antarctic continental shelves of the Scotia Arc, and Bouvet Island. We genotyped 11 microsatellite loci in C. aceratus population samples from South Orkney, south"&amp;"ern South Shetlands, and Elephant Island (northern South Shetlands) collected in 2002 and 2006. This investigation further develops a previous study on the species reporting the presence of one panmittic population in southern South Shetlands and Elephant"&amp;" Island, with genetic differentiation between year classes. Our results reveal a more complex pattern of differentiation than shown previously, as genetic differences occur both at the temporal level at Elephant Island and at the geographic scale between "&amp;"southern South Shetland-Elephant Islands and South Orkney population samples. In particular, the magnitude of genetic differentiation at the temporal scale, the relatively high effective population size (N-e) and high gene flow indicate that genetic diffe"&amp;"rentiation is not only driven by geographic distance. At present, our results should be taken into account when defining conservation measures and management boundaries in regions where fishery is still open or where other Antarctic fish species are still"&amp;" exploited.")</f>
        <v>The black-fin icefish Chaenocephalus aceratus is among the most abundant fish species on the Antarctic continental shelves of the Scotia Arc, and Bouvet Island. We genotyped 11 microsatellite loci in C. aceratus population samples from South Orkney, southern South Shetlands, and Elephant Island (northern South Shetlands) collected in 2002 and 2006. This investigation further develops a previous study on the species reporting the presence of one panmittic population in southern South Shetlands and Elephant Island, with genetic differentiation between year classes. Our results reveal a more complex pattern of differentiation than shown previously, as genetic differences occur both at the temporal level at Elephant Island and at the geographic scale between southern South Shetland-Elephant Islands and South Orkney population samples. In particular, the magnitude of genetic differentiation at the temporal scale, the relatively high effective population size (N-e) and high gene flow indicate that genetic differentiation is not only driven by geographic distance. At present, our results should be taken into account when defining conservation measures and management boundaries in regions where fishery is still open or where other Antarctic fish species are still exploited.</v>
      </c>
      <c r="C109" s="24" t="str">
        <f>IFERROR(__xludf.DUMMYFUNCTION("""COMPUTED_VALUE"""),"10.3354/meps07831")</f>
        <v>10.3354/meps07831</v>
      </c>
      <c r="D109" s="24" t="str">
        <f>IFERROR(__xludf.DUMMYFUNCTION("""COMPUTED_VALUE"""),"shaw et al")</f>
        <v>shaw et al</v>
      </c>
      <c r="E109" s="24" t="str">
        <f>IFERROR(__xludf.DUMMYFUNCTION("""COMPUTED_VALUE"""),"WOS:000263999900022")</f>
        <v>WOS:000263999900022</v>
      </c>
      <c r="F109" s="24" t="str">
        <f>IFERROR(__xludf.DUMMYFUNCTION("""COMPUTED_VALUE"""),"[""ELIGIBLE""]")</f>
        <v>["ELIGIBLE"]</v>
      </c>
    </row>
    <row r="110">
      <c r="A110" s="24" t="str">
        <f>IFERROR(__xludf.DUMMYFUNCTION("""COMPUTED_VALUE"""),"Genetic differentiation among Atlantic cod (Gadus morhua L.) in Icelandic waters: temporal stability")</f>
        <v>Genetic differentiation among Atlantic cod (Gadus morhua L.) in Icelandic waters: temporal stability</v>
      </c>
      <c r="B110" s="24" t="str">
        <f>IFERROR(__xludf.DUMMYFUNCTION("""COMPUTED_VALUE"""),"Temporal variability in genetic structure of Atlantic cod was investigated at two locations (Loftstaoahraun and Kantur) on the main cod spawning grounds off south Iceland using synaptophysin (Syp I) and haemoglobin as genetic markers. During the spawning "&amp;"season (late March and early April) cod were sampled at each sampling location and then at the same locations two to four weeks later. during two consecutive years (1997 and 1998). Significant genetic differences were found at the SI p I locus between the"&amp;" two samples (Loftstaoahraun and Kantur) and the difference was temporally stable. Very low variation was found in the haemoglobin and no temporal changes were found for this marker. The results strongly indicates that cod in south Icelandic waters do not"&amp;" belong to one panmictic population and that this genetic difference is stable from year-to-year. (C) 2001 International Council for the Exploration of the Sea.")</f>
        <v>Temporal variability in genetic structure of Atlantic cod was investigated at two locations (Loftstaoahraun and Kantur) on the main cod spawning grounds off south Iceland using synaptophysin (Syp I) and haemoglobin as genetic markers. During the spawning season (late March and early April) cod were sampled at each sampling location and then at the same locations two to four weeks later. during two consecutive years (1997 and 1998). Significant genetic differences were found at the SI p I locus between the two samples (Loftstaoahraun and Kantur) and the difference was temporally stable. Very low variation was found in the haemoglobin and no temporal changes were found for this marker. The results strongly indicates that cod in south Icelandic waters do not belong to one panmictic population and that this genetic difference is stable from year-to-year. (C) 2001 International Council for the Exploration of the Sea.</v>
      </c>
      <c r="C110" s="24" t="str">
        <f>IFERROR(__xludf.DUMMYFUNCTION("""COMPUTED_VALUE"""),"10.1006/jmsc.2000.0995")</f>
        <v>10.1006/jmsc.2000.0995</v>
      </c>
      <c r="D110" s="24" t="str">
        <f>IFERROR(__xludf.DUMMYFUNCTION("""COMPUTED_VALUE"""),"shaw et al")</f>
        <v>shaw et al</v>
      </c>
      <c r="E110" s="24" t="str">
        <f>IFERROR(__xludf.DUMMYFUNCTION("""COMPUTED_VALUE"""),"WOS:000168661700012")</f>
        <v>WOS:000168661700012</v>
      </c>
      <c r="F110" s="24" t="str">
        <f>IFERROR(__xludf.DUMMYFUNCTION("""COMPUTED_VALUE"""),"[""ELIGIBLE""]")</f>
        <v>["ELIGIBLE"]</v>
      </c>
    </row>
    <row r="111">
      <c r="A111" s="24" t="str">
        <f>IFERROR(__xludf.DUMMYFUNCTION("""COMPUTED_VALUE"""),"Colonization history and noninvasive monitoring of a reestablished wolverine population")</f>
        <v>Colonization history and noninvasive monitoring of a reestablished wolverine population</v>
      </c>
      <c r="B111" s="24" t="str">
        <f>IFERROR(__xludf.DUMMYFUNCTION("""COMPUTED_VALUE"""),"The southern Norwegian wolverine (Gulo gulo) population was considered functionally extinct in the 1960s but has partly recovered in recent years. Proper management of this population is highly dependent on reliable estimates of critical population parame"&amp;"ters such as population size, sex ratio, immigration rate, and reproductive contribution from immigrants. We report on a large-scale population monitoring project assessing these parameters through genetic tagging of individuals, with feces as the source "&amp;"of DNA. Sixty-eight different individuals were detected among 147 successfully genotyped samples collected in 2000 and 2001. Sixty of these individuals were represented in the 2001 sample, which may be considered a minimum estimate of the population size."&amp;" Almost 50% of these animals were sampled only once, however, indicating that the true population size may be markedly higher. Accordingly, a capture-recapture estimate based on the observed resampling rates suggested a population size of 89 wolverines (9"&amp;"5% confidence interval [CI] = 74-104), which is approximately 35% higher than an estimate of 64 obtained from the number of active natal dens (95% CI = 46-95; p = 0.08). Indirect estimates of dispersal distances inferred from mother-offspring relationship"&amp;"s suggested that wolverine males have the ability to disperse up to 500 km, a distance exceeding anything previously reported in the literature. Dispersal distances of more than 100 km were detected for females. Bayesian clustering analysis and subsequent"&amp;" assessment of individual relationships suggest that immigrants from northern Scandinavia have contributed and still contribute to the southern Norwegian gene pool, counteracting genetic erosion and reducing the risk of inbreeding depression. Additional s"&amp;"ampling efforts will be undertaken during the coming years to allow for observations of population trends, immigration rate, and reproductive variance among individuals. Such data will provide an important basis for the design of an appropriate conservati"&amp;"on plan for this small and vulnerable population.")</f>
        <v>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v>
      </c>
      <c r="C111" s="24" t="str">
        <f>IFERROR(__xludf.DUMMYFUNCTION("""COMPUTED_VALUE"""),"10.1111/j.1523-1739.2004.00328.x-i1")</f>
        <v>10.1111/j.1523-1739.2004.00328.x-i1</v>
      </c>
      <c r="D111" s="24" t="str">
        <f>IFERROR(__xludf.DUMMYFUNCTION("""COMPUTED_VALUE"""),"shaw et al")</f>
        <v>shaw et al</v>
      </c>
      <c r="E111" s="24" t="str">
        <f>IFERROR(__xludf.DUMMYFUNCTION("""COMPUTED_VALUE"""),"WOS:000221353300016")</f>
        <v>WOS:000221353300016</v>
      </c>
      <c r="F111" s="24" t="str">
        <f>IFERROR(__xludf.DUMMYFUNCTION("""COMPUTED_VALUE"""),"[""ELIGIBLE""]")</f>
        <v>["ELIGIBLE"]</v>
      </c>
    </row>
    <row r="112">
      <c r="A112" s="24" t="str">
        <f>IFERROR(__xludf.DUMMYFUNCTION("""COMPUTED_VALUE"""),"History of expansion and anthropogenic collapse in a top marine predator of the Black Sea estimated from genetic data")</f>
        <v>History of expansion and anthropogenic collapse in a top marine predator of the Black Sea estimated from genetic data</v>
      </c>
      <c r="B112" s="24" t="str">
        <f>IFERROR(__xludf.DUMMYFUNCTION("""COMPUTED_VALUE"""),"Two major ecological transitions marked the history of the Black Sea after the last Ice Age. The first was the postglacial transition from a brackish-water to a marine ecosystem dominated by porpoises and dolphins once this basin was reconnected back to t"&amp;"he Mediterranean Sea (ca. 8,000 y B. P.). The second occurred during the past decades, when overfishing and hunting activities brought these predators close to extinction, having a deep impact on the structure and dynamics of the ecosystem. Estimating the"&amp;" extent of this decimation is essential for characterizing this ecosystem's dynamics and for formulating restoration plans. However, this extent is poorly documented in historical records. We addressed this issue for one of the main Black Sea predators, t"&amp;"he harbor porpoise, using a population genetics approach. Analyzing its genetic diversity using an approximate Bayesian computation approach, we show that only a demographic expansion (at most 5,000 y ago) followed by a contemporaneous population collapse"&amp;" can explain the observed genetic data. We demonstrate that both the postglacial settlement of harbor porpoises in the Black Sea and the recent anthropogenic activities have left a clear footprint on their genetic diversity. Specifically, we infer a stron"&amp;"g population reduction (similar to 90%) that occurred within the past 5 decades, which can therefore clearly be related to the recent massive killing of small cetaceans and to the continuing incidental catches in commercial fisheries. Our study thus provi"&amp;"des a quantitative assessment of these demographically catastrophic events, also showing that two separate historical events can be inferred from contemporary genetic data.")</f>
        <v>Two major ecological transitions marked the history of the Black Sea after the last Ice Age. The first was the postglacial transition from a brackish-water to a marine ecosystem dominated by porpoises and dolphins once this basin was reconnected back to the Mediterranean Sea (ca. 8,000 y B. P.). The second occurred during the past decades, when overfishing and hunting activities brought these predators close to extinction, having a deep impact on the structure and dynamics of the ecosystem. Estimating the extent of this decimation is essential for characterizing this ecosystem's dynamics and for formulating restoration plans. However, this extent is poorly documented in historical records. We addressed this issue for one of the main Black Sea predators, the harbor porpoise, using a population genetics approach. Analyzing its genetic diversity using an approximate Bayesian computation approach, we show that only a demographic expansion (at most 5,000 y ago) followed by a contemporaneous population collapse can explain the observed genetic data. We demonstrate that both the postglacial settlement of harbor porpoises in the Black Sea and the recent anthropogenic activities have left a clear footprint on their genetic diversity. Specifically, we infer a strong population reduction (similar to 90%) that occurred within the past 5 decades, which can therefore clearly be related to the recent massive killing of small cetaceans and to the continuing incidental catches in commercial fisheries. Our study thus provides a quantitative assessment of these demographically catastrophic events, also showing that two separate historical events can be inferred from contemporary genetic data.</v>
      </c>
      <c r="C112" s="24" t="str">
        <f>IFERROR(__xludf.DUMMYFUNCTION("""COMPUTED_VALUE"""),"10.1073/pnas.1201258109")</f>
        <v>10.1073/pnas.1201258109</v>
      </c>
      <c r="D112" s="24" t="str">
        <f>IFERROR(__xludf.DUMMYFUNCTION("""COMPUTED_VALUE"""),"shaw et al")</f>
        <v>shaw et al</v>
      </c>
      <c r="E112" s="24" t="str">
        <f>IFERROR(__xludf.DUMMYFUNCTION("""COMPUTED_VALUE"""),"WOS:000309211000010")</f>
        <v>WOS:000309211000010</v>
      </c>
      <c r="F112" s="24" t="str">
        <f>IFERROR(__xludf.DUMMYFUNCTION("""COMPUTED_VALUE"""),"[""ELIGIBLE""]")</f>
        <v>["ELIGIBLE"]</v>
      </c>
    </row>
    <row r="113">
      <c r="A113" s="24" t="str">
        <f>IFERROR(__xludf.DUMMYFUNCTION("""COMPUTED_VALUE"""),"Temporal genetic variation as revealed by a microsatellite analysis of European sardine (Sardina pilchardus) archived samples")</f>
        <v>Temporal genetic variation as revealed by a microsatellite analysis of European sardine (Sardina pilchardus) archived samples</v>
      </c>
      <c r="B113" s="24" t="str">
        <f>IFERROR(__xludf.DUMMYFUNCTION("""COMPUTED_VALUE"""),"The Adriatic stock of European sardine (Sardina pilchardus) has experienced large interannual demographic fluctuations over the last 30 years, with a severe decline beginning in 1991 and continuing until 1997. In the present study, six microsatellite loci"&amp;" were used on a time series collection of otoliths and scales from sampling locations of northern (Chioggia) and southern (Vieste) Adriatic Sea, with the aim to investigate the genetic effects of these stock biomass fluctuations. The northern samples show"&amp;"ed significant reduction in observed heterozygosity (H-O) and mean number of alleles (N-a) that explain the genetic diversity variation, while the same parameters turned out to be more stable in the southern samples. In addition, we detected the presence "&amp;"of a genetic bottleneck and low effective population size (N-e) values in several northern samples. Even if the northern and southern Adriatic sardine samples belong to the same genetic stock, the more pronounced decrease in genetic variability recorded i"&amp;"n the northern sample led us to speculate that a more intensive fishing pressure and a more pronounced oceanographic isolation of this area could have accentuated the effects of the genetic bottleneck.")</f>
        <v>The Adriatic stock of European sardine (Sardina pilchardus) has experienced large interannual demographic fluctuations over the last 30 years, with a severe decline beginning in 1991 and continuing until 1997. In the present study, six microsatellite loci were used on a time series collection of otoliths and scales from sampling locations of northern (Chioggia) and southern (Vieste) Adriatic Sea, with the aim to investigate the genetic effects of these stock biomass fluctuations. The northern samples showed significant reduction in observed heterozygosity (H-O) and mean number of alleles (N-a) that explain the genetic diversity variation, while the same parameters turned out to be more stable in the southern samples. In addition, we detected the presence of a genetic bottleneck and low effective population size (N-e) values in several northern samples. Even if the northern and southern Adriatic sardine samples belong to the same genetic stock, the more pronounced decrease in genetic variability recorded in the northern sample led us to speculate that a more intensive fishing pressure and a more pronounced oceanographic isolation of this area could have accentuated the effects of the genetic bottleneck.</v>
      </c>
      <c r="C113" s="24" t="str">
        <f>IFERROR(__xludf.DUMMYFUNCTION("""COMPUTED_VALUE"""),"10.1139/F2012-092")</f>
        <v>10.1139/F2012-092</v>
      </c>
      <c r="D113" s="24" t="str">
        <f>IFERROR(__xludf.DUMMYFUNCTION("""COMPUTED_VALUE"""),"shaw et al")</f>
        <v>shaw et al</v>
      </c>
      <c r="E113" s="24" t="str">
        <f>IFERROR(__xludf.DUMMYFUNCTION("""COMPUTED_VALUE"""),"WOS:000309959900012")</f>
        <v>WOS:000309959900012</v>
      </c>
      <c r="F113" s="24" t="str">
        <f>IFERROR(__xludf.DUMMYFUNCTION("""COMPUTED_VALUE"""),"[""ELIGIBLE""]")</f>
        <v>["ELIGIBLE"]</v>
      </c>
    </row>
    <row r="114">
      <c r="A114" s="24" t="str">
        <f>IFERROR(__xludf.DUMMYFUNCTION("""COMPUTED_VALUE"""),"Temporal genetic change in North American Pacific oyster populations suggests caution in seascape genetics analyses of high gene-flow species")</f>
        <v>Temporal genetic change in North American Pacific oyster populations suggests caution in seascape genetics analyses of high gene-flow species</v>
      </c>
      <c r="B114" s="24" t="str">
        <f>IFERROR(__xludf.DUMMYFUNCTION("""COMPUTED_VALUE"""),"The Pacific oyster Crassostrea gigas was, for decades, massively introduced to North America from Japan and established large, self-recruiting populations in the Pacific Northwest of the USA and Canada. A previous study of mtDNA variation revealed little "&amp;"population genetic structure among populations from British Columbia and Washington State. Here, we used samples from that study, more recent samples from 2 of the same localities, and 2 additional samples, including 1 from Japan, to investigate spatial a"&amp;"nd temporal genetic variation at 52 mapped, coding, single-nucleotide polymorphisms (SNPs) assayed by high-resolution melting (HRM). Little variation was detected among North American populations, which, as a group, are distinct, perhaps adaptively so, fr"&amp;"om oysters in Hiroshima, Japan. However, significant excesses of heterozygotes with respect to random mating expectations and of pairwise linkage disequilibria revealed that North American populations are not in Hardy-Weinberg (random mating) equilibrium."&amp;" Moreover, genetic changes over 10 to 21 yr in 2 localities are substantial, despite high gene flow, and are as large as spatial variance per generation. These results caution against basing connectivity or seascape genetic analyses on snapshots of spatia"&amp;"l population structure in high gene-flow species. Because migration and selection are ruled out as causes of temporal genetic change, random genetic drift is the most parsimonious explanation. This implies effective population sizes (Ne) of hundreds to a "&amp;"few thousands, orders of magnitude smaller than the natural abundance (N) of this oyster. These low Ne: N ratios are compatible with the hypothesis of sweepstakes reproductive success.")</f>
        <v>The Pacific oyster Crassostrea gigas was, for decades, massively introduced to North America from Japan and established large, self-recruiting populations in the Pacific Northwest of the USA and Canada. A previous study of mtDNA variation revealed little population genetic structure among populations from British Columbia and Washington State. Here, we used samples from that study, more recent samples from 2 of the same localities, and 2 additional samples, including 1 from Japan, to investigate spatial and temporal genetic variation at 52 mapped, coding, single-nucleotide polymorphisms (SNPs) assayed by high-resolution melting (HRM). Little variation was detected among North American populations, which, as a group, are distinct, perhaps adaptively so, from oysters in Hiroshima, Japan. However, significant excesses of heterozygotes with respect to random mating expectations and of pairwise linkage disequilibria revealed that North American populations are not in Hardy-Weinberg (random mating) equilibrium. Moreover, genetic changes over 10 to 21 yr in 2 localities are substantial, despite high gene flow, and are as large as spatial variance per generation. These results caution against basing connectivity or seascape genetic analyses on snapshots of spatial population structure in high gene-flow species. Because migration and selection are ruled out as causes of temporal genetic change, random genetic drift is the most parsimonious explanation. This implies effective population sizes (Ne) of hundreds to a few thousands, orders of magnitude smaller than the natural abundance (N) of this oyster. These low Ne: N ratios are compatible with the hypothesis of sweepstakes reproductive success.</v>
      </c>
      <c r="C114" s="24" t="str">
        <f>IFERROR(__xludf.DUMMYFUNCTION("""COMPUTED_VALUE"""),"10.3354/meps12009")</f>
        <v>10.3354/meps12009</v>
      </c>
      <c r="D114" s="24" t="str">
        <f>IFERROR(__xludf.DUMMYFUNCTION("""COMPUTED_VALUE"""),"shaw et al")</f>
        <v>shaw et al</v>
      </c>
      <c r="E114" s="24" t="str">
        <f>IFERROR(__xludf.DUMMYFUNCTION("""COMPUTED_VALUE"""),"WOS:000396051700006")</f>
        <v>WOS:000396051700006</v>
      </c>
      <c r="F114" s="24" t="str">
        <f>IFERROR(__xludf.DUMMYFUNCTION("""COMPUTED_VALUE"""),"[""ELIGIBLE""]")</f>
        <v>["ELIGIBLE"]</v>
      </c>
    </row>
    <row r="115">
      <c r="A115" s="24" t="str">
        <f>IFERROR(__xludf.DUMMYFUNCTION("""COMPUTED_VALUE"""),"THE GENETIC-STRUCTURE OF SALMON POPULATIONS")</f>
        <v>THE GENETIC-STRUCTURE OF SALMON POPULATIONS</v>
      </c>
      <c r="B115" s="24" t="str">
        <f>IFERROR(__xludf.DUMMYFUNCTION("""COMPUTED_VALUE"""),"Unique information on the characteristics of intra- and interpopulation genetic differentiation of various salmonids has been accumulated during the last 25 years, mostly be electrophoresis of protein polymorphisms, and more recently by DNA polymorphism a"&amp;"nalysis. Almost simultaneously, polygenic morphological variation was being studied, and selection for growth and maturation rates has founded a basis for aquaculture. Achievements in Norway and Scotland signal the wide prospects opened up by genetics and"&amp;" selection for the fish industry. However, progress in selection of organisms has been gained always at the expense of a change of genetic variability, and results in decreased fitness. Another consequent problem for salmonids is the influence of artifici"&amp;"ally produced fish on wild populations. A compromise is needed to maintain a steady level of economic benefit while countering the negative effects of directional selection. Therefore investigators must understand clearly the genetic structure of wild and"&amp;" hatchery populations of salmonids. To this end they should combine the approaches, methods and possibilities of quantitative with those of Mendelian genetics. The present paper considers this thesis. focussing on Pacific (Oncorhynchus) and Atlantic (Salm"&amp;"o) salmon species. In particular it deals with: (i) specific features of intra- and interpopulation genetic differentiation; (ii) major factors responsible for maintaining protein polymorphism in the populations; and (iii) effects of human impacts (e.g. f"&amp;"isheries, transfers and artificial reproduction) on the genetic structure of populations. It concludes with a scheme of artificial reproduction to maintain optimal levels of gene diversity, specific for each population and for its preservation in time and"&amp;" space.")</f>
        <v>Unique information on the characteristics of intra- and interpopulation genetic differentiation of various salmonids has been accumulated during the last 25 years, mostly be electrophoresis of protein polymorphisms, and more recently by DNA polymorphism analysis. Almost simultaneously, polygenic morphological variation was being studied, and selection for growth and maturation rates has founded a basis for aquaculture. Achievements in Norway and Scotland signal the wide prospects opened up by genetics and selection for the fish industry. However, progress in selection of organisms has been gained always at the expense of a change of genetic variability, and results in decreased fitness. Another consequent problem for salmonids is the influence of artificially produced fish on wild populations. A compromise is needed to maintain a steady level of economic benefit while countering the negative effects of directional selection. Therefore investigators must understand clearly the genetic structure of wild and hatchery populations of salmonids. To this end they should combine the approaches, methods and possibilities of quantitative with those of Mendelian genetics. The present paper considers this thesis. focussing on Pacific (Oncorhynchus) and Atlantic (Salmo) salmon species. In particular it deals with: (i) specific features of intra- and interpopulation genetic differentiation; (ii) major factors responsible for maintaining protein polymorphism in the populations; and (iii) effects of human impacts (e.g. fisheries, transfers and artificial reproduction) on the genetic structure of populations. It concludes with a scheme of artificial reproduction to maintain optimal levels of gene diversity, specific for each population and for its preservation in time and space.</v>
      </c>
      <c r="C115" s="24" t="str">
        <f>IFERROR(__xludf.DUMMYFUNCTION("""COMPUTED_VALUE"""),"10.1016/0044-8486(91)90368-H")</f>
        <v>10.1016/0044-8486(91)90368-H</v>
      </c>
      <c r="D115" s="24" t="str">
        <f>IFERROR(__xludf.DUMMYFUNCTION("""COMPUTED_VALUE"""),"shaw et al")</f>
        <v>shaw et al</v>
      </c>
      <c r="E115" s="24" t="str">
        <f>IFERROR(__xludf.DUMMYFUNCTION("""COMPUTED_VALUE"""),"WOS:A1991GP58400003")</f>
        <v>WOS:A1991GP58400003</v>
      </c>
      <c r="F115" s="24" t="str">
        <f>IFERROR(__xludf.DUMMYFUNCTION("""COMPUTED_VALUE"""),"[""ELIGIBLE""]")</f>
        <v>["ELIGIBLE"]</v>
      </c>
    </row>
    <row r="116">
      <c r="A116" s="24" t="str">
        <f>IFERROR(__xludf.DUMMYFUNCTION("""COMPUTED_VALUE"""),"Spatio-temporal genetic structure and gene flow between two distinct shell morphs of the planktonic developing periwinkle Littorina striata (Mollusca: Prosobranchia)")</f>
        <v>Spatio-temporal genetic structure and gene flow between two distinct shell morphs of the planktonic developing periwinkle Littorina striata (Mollusca: Prosobranchia)</v>
      </c>
      <c r="B116" s="24" t="str">
        <f>IFERROR(__xludf.DUMMYFUNCTION("""COMPUTED_VALUE"""),"The planktonic developing periwinkle Littorina striata produces both nodulose and smooth shells, which were originally regarded as 2 separate species. Although both morphs occur microsympatrically, their distribution is not random. Nodulose shells predomi"&amp;"nate at wave-sheltered sites, whereas smooth shells are more common at wave-exposed sites. The degree of genetic similarity between the 2 shell types and their microgeographic spatio-temporal genetic structuring were investigated using allozyme electropho"&amp;"resis. This indicated that: (1) both morphs share a common gene pool, (2) gene flow between populations is high and of comparable magnitude to gene flow between both morphs, (3) the population genetic structure of L. striata remains stable over a sampling"&amp;" period of 3 yr, and (4) genetic and morphological distances between populations are not correlated. These results thus confirm the conspecific status of the 2 shell types and suggest that shell variability and spatial patterning in L. striata persist in "&amp;"the presence of intense gene flow.")</f>
        <v>The planktonic developing periwinkle Littorina striata produces both nodulose and smooth shells, which were originally regarded as 2 separate species. Although both morphs occur microsympatrically, their distribution is not random. Nodulose shells predominate at wave-sheltered sites, whereas smooth shells are more common at wave-exposed sites. The degree of genetic similarity between the 2 shell types and their microgeographic spatio-temporal genetic structuring were investigated using allozyme electrophoresis. This indicated that: (1) both morphs share a common gene pool, (2) gene flow between populations is high and of comparable magnitude to gene flow between both morphs, (3) the population genetic structure of L. striata remains stable over a sampling period of 3 yr, and (4) genetic and morphological distances between populations are not correlated. These results thus confirm the conspecific status of the 2 shell types and suggest that shell variability and spatial patterning in L. striata persist in the presence of intense gene flow.</v>
      </c>
      <c r="C116" s="24" t="str">
        <f>IFERROR(__xludf.DUMMYFUNCTION("""COMPUTED_VALUE"""),"10.3354/meps163155")</f>
        <v>10.3354/meps163155</v>
      </c>
      <c r="D116" s="24" t="str">
        <f>IFERROR(__xludf.DUMMYFUNCTION("""COMPUTED_VALUE"""),"shaw et al")</f>
        <v>shaw et al</v>
      </c>
      <c r="E116" s="24" t="str">
        <f>IFERROR(__xludf.DUMMYFUNCTION("""COMPUTED_VALUE"""),"WOS:000073032800015")</f>
        <v>WOS:000073032800015</v>
      </c>
      <c r="F116" s="24" t="str">
        <f>IFERROR(__xludf.DUMMYFUNCTION("""COMPUTED_VALUE"""),"[""ELIGIBLE""]")</f>
        <v>["ELIGIBLE"]</v>
      </c>
    </row>
    <row r="117">
      <c r="A117" s="24" t="str">
        <f>IFERROR(__xludf.DUMMYFUNCTION("""COMPUTED_VALUE"""),"Temporal patterns of spatial genetic structure and effective population size in European plaice (Pleuronectes platessa) along the west coast of Scotland and in the Irish Sea")</f>
        <v>Temporal patterns of spatial genetic structure and effective population size in European plaice (Pleuronectes platessa) along the west coast of Scotland and in the Irish Sea</v>
      </c>
      <c r="B117" s="24" t="str">
        <f>IFERROR(__xludf.DUMMYFUNCTION("""COMPUTED_VALUE"""),"Watts, P. C., Kay, S. M., Wolfenden, D., Fox, C. J., Geffen, A. J., Kemp, S. J., and Nash, R. D. M. 2010. Temporal patterns of spatial genetic structure and effective population size in European plaice (Pleuronectes platessa) along the west coast of Scotl"&amp;"and and in the Irish Sea. - ICES Journal of Marine Science, 67: 607-616.")</f>
        <v>Watts, P. C., Kay, S. M., Wolfenden, D., Fox, C. J., Geffen, A. J., Kemp, S. J., and Nash, R. D. M. 2010. Temporal patterns of spatial genetic structure and effective population size in European plaice (Pleuronectes platessa) along the west coast of Scotland and in the Irish Sea. - ICES Journal of Marine Science, 67: 607-616.</v>
      </c>
      <c r="C117" s="24" t="str">
        <f>IFERROR(__xludf.DUMMYFUNCTION("""COMPUTED_VALUE"""),"10.1093/icesjms/fsp274")</f>
        <v>10.1093/icesjms/fsp274</v>
      </c>
      <c r="D117" s="24" t="str">
        <f>IFERROR(__xludf.DUMMYFUNCTION("""COMPUTED_VALUE"""),"shaw et al")</f>
        <v>shaw et al</v>
      </c>
      <c r="E117" s="24" t="str">
        <f>IFERROR(__xludf.DUMMYFUNCTION("""COMPUTED_VALUE"""),"WOS:000276732500001")</f>
        <v>WOS:000276732500001</v>
      </c>
      <c r="F117" s="24" t="str">
        <f>IFERROR(__xludf.DUMMYFUNCTION("""COMPUTED_VALUE"""),"[""ELIGIBLE""]")</f>
        <v>["ELIGIBLE"]</v>
      </c>
    </row>
    <row r="118">
      <c r="A118" s="24" t="str">
        <f>IFERROR(__xludf.DUMMYFUNCTION("""COMPUTED_VALUE"""),"Spatial and temporal genetic variation among size classes of green turtles (Chelonia mydas) provides information on oceanic dispersal and population dynamics")</f>
        <v>Spatial and temporal genetic variation among size classes of green turtles (Chelonia mydas) provides information on oceanic dispersal and population dynamics</v>
      </c>
      <c r="B118" s="24" t="str">
        <f>IFERROR(__xludf.DUMMYFUNCTION("""COMPUTED_VALUE"""),"Migratory marine species present challenges for conservation because of complex threats within their pelagic dispersal zones, including coastal foraging areas and extensive migration pathways, or at breeding grounds. To better understand the connectivity "&amp;"between green turtle rookeries and foraging populations, we sequenced the mtDNA control region of 987 turtles from 6 major foraging grounds on a similar to 2300 km longitudinal transect off eastern Australia, and used mixed stock analysis (MSA) to estimat"&amp;"e their natal origins. We investigated variation in natal origins within different size classes and over spatial and temporal scales and compared this to approximately 30 yr of mark-recapture data. For adult turtles, we found that the northern Great Barri"&amp;"er Reef (nGBR) genetic stock dominated in the northern feeding grounds while the southern Great Barrier Reef (sGBR) and Coral Sea stocks dominated in the south, with a changeover of dominating stock occurring between 14 degrees and 20 degrees S. However, "&amp;"at the 3 most northern feeding grounds, we found an unexpected decrease (17-30%) in the proportion of nGBR turtles among small immature turtles relative to large immatures and adults. Four possible hypotheses were explored, with the 2 most plausible being"&amp;" that (1) small immature turtles from the sGBR and other rookeries first settle in nGBR feeding grounds, but later shift to other feeding grounds as they mature, or (2) a reduced hatching success for decades from the main nGBR rookery at Raine Island has "&amp;"resulted in reduced recruitment into the nGBR feeding ground from this stock. These results may indicate an alarming reduction in hatching success at the largest known green turtle rookery in the world.")</f>
        <v>Migratory marine species present challenges for conservation because of complex threats within their pelagic dispersal zones, including coastal foraging areas and extensive migration pathways, or at breeding grounds. To better understand the connectivity between green turtle rookeries and foraging populations, we sequenced the mtDNA control region of 987 turtles from 6 major foraging grounds on a similar to 2300 km longitudinal transect off eastern Australia, and used mixed stock analysis (MSA) to estimate their natal origins. We investigated variation in natal origins within different size classes and over spatial and temporal scales and compared this to approximately 30 yr of mark-recapture data. For adult turtles, we found that the northern Great Barrier Reef (nGBR) genetic stock dominated in the northern feeding grounds while the southern Great Barrier Reef (sGBR) and Coral Sea stocks dominated in the south, with a changeover of dominating stock occurring between 14 degrees and 20 degrees S. However, at the 3 most northern feeding grounds, we found an unexpected decrease (17-30%) in the proportion of nGBR turtles among small immature turtles relative to large immatures and adults. Four possible hypotheses were explored, with the 2 most plausible being that (1) small immature turtles from the sGBR and other rookeries first settle in nGBR feeding grounds, but later shift to other feeding grounds as they mature, or (2) a reduced hatching success for decades from the main nGBR rookery at Raine Island has resulted in reduced recruitment into the nGBR feeding ground from this stock. These results may indicate an alarming reduction in hatching success at the largest known green turtle rookery in the world.</v>
      </c>
      <c r="C118" s="24" t="str">
        <f>IFERROR(__xludf.DUMMYFUNCTION("""COMPUTED_VALUE"""),"10.3354/meps11521")</f>
        <v>10.3354/meps11521</v>
      </c>
      <c r="D118" s="24" t="str">
        <f>IFERROR(__xludf.DUMMYFUNCTION("""COMPUTED_VALUE"""),"shaw et al")</f>
        <v>shaw et al</v>
      </c>
      <c r="E118" s="24" t="str">
        <f>IFERROR(__xludf.DUMMYFUNCTION("""COMPUTED_VALUE"""),"WOS:000370178100017")</f>
        <v>WOS:000370178100017</v>
      </c>
      <c r="F118" s="24" t="str">
        <f>IFERROR(__xludf.DUMMYFUNCTION("""COMPUTED_VALUE"""),"[""ELIGIBLE""]")</f>
        <v>["ELIGIBLE"]</v>
      </c>
    </row>
    <row r="119">
      <c r="A119" s="24" t="str">
        <f>IFERROR(__xludf.DUMMYFUNCTION("""COMPUTED_VALUE"""),"Conspicuous genetic structure belies recent dispersal in an endangered beach mouse (Peromyscus polionotus trissyllepsis)")</f>
        <v>Conspicuous genetic structure belies recent dispersal in an endangered beach mouse (Peromyscus polionotus trissyllepsis)</v>
      </c>
      <c r="B119" s="24" t="str">
        <f>IFERROR(__xludf.DUMMYFUNCTION("""COMPUTED_VALUE"""),"Habitat fragmentation can exacerbate the impacts on population persistence in species with rapid life histories and specialized habitat requirements. We investigated genetic structuring across the range of the federally endangered (USA) Perdido Key beach "&amp;"mouse (PKBM), Peromyscus polionotus trissyllepsis, using 16 microsatellite loci. Between 2010 and 2012 we sampled the three core habitat areas that are separated by 3-5 km of developed area. One location GSP was re-established in 2010 with a release of 48"&amp;" captive bred mice. The other two parks had a reticulate recent history, including extirpations, translocations and, a recent (2009) natural re-colonization. Our objectives were to document the level of genetic drift associated with the post-release phase"&amp;" at GSP over a 2-year period, and to test the hypothesis that PKBM dispersal connectivity is restricted between the three parks. The three populations were significantly genetically differentiated in 2010 and 2012 (pairwise F (ST) ranged from 0.135 to 0.2"&amp;"76). However, Bayesian clustering, assignment tests and hybridization analyses revealed inter-park dispersal and reproduction in 2012 that was absent in 2010. The detection of dispersal was an important step in understanding the regulation of connectivity"&amp;" in this fragmented system. We propose that a combination of recent apparent population increases across the island combined with the concurrent re-establishment of beachfront vegetated sand berms encouraged inter-park dispersal detected in 2012. These re"&amp;"sults provide important information for the future conservation of beach mice inhabiting northern Gulf of Mexico and Atlantic barrier islands in light of continued development pressure.")</f>
        <v>Habitat fragmentation can exacerbate the impacts on population persistence in species with rapid life histories and specialized habitat requirements. We investigated genetic structuring across the range of the federally endangered (USA) Perdido Key beach mouse (PKBM), Peromyscus polionotus trissyllepsis, using 16 microsatellite loci. Between 2010 and 2012 we sampled the three core habitat areas that are separated by 3-5 km of developed area. One location GSP was re-established in 2010 with a release of 48 captive bred mice. The other two parks had a reticulate recent history, including extirpations, translocations and, a recent (2009) natural re-colonization. Our objectives were to document the level of genetic drift associated with the post-release phase at GSP over a 2-year period, and to test the hypothesis that PKBM dispersal connectivity is restricted between the three parks. The three populations were significantly genetically differentiated in 2010 and 2012 (pairwise F (ST) ranged from 0.135 to 0.276). However, Bayesian clustering, assignment tests and hybridization analyses revealed inter-park dispersal and reproduction in 2012 that was absent in 2010. The detection of dispersal was an important step in understanding the regulation of connectivity in this fragmented system. We propose that a combination of recent apparent population increases across the island combined with the concurrent re-establishment of beachfront vegetated sand berms encouraged inter-park dispersal detected in 2012. These results provide important information for the future conservation of beach mice inhabiting northern Gulf of Mexico and Atlantic barrier islands in light of continued development pressure.</v>
      </c>
      <c r="C119" s="24" t="str">
        <f>IFERROR(__xludf.DUMMYFUNCTION("""COMPUTED_VALUE"""),"10.1007/s10592-015-0710-8")</f>
        <v>10.1007/s10592-015-0710-8</v>
      </c>
      <c r="D119" s="24" t="str">
        <f>IFERROR(__xludf.DUMMYFUNCTION("""COMPUTED_VALUE"""),"shaw et al")</f>
        <v>shaw et al</v>
      </c>
      <c r="E119" s="24" t="str">
        <f>IFERROR(__xludf.DUMMYFUNCTION("""COMPUTED_VALUE"""),"WOS:000357285500013")</f>
        <v>WOS:000357285500013</v>
      </c>
      <c r="F119" s="24" t="str">
        <f>IFERROR(__xludf.DUMMYFUNCTION("""COMPUTED_VALUE"""),"[""ELIGIBLE""]")</f>
        <v>["ELIGIBLE"]</v>
      </c>
    </row>
    <row r="120">
      <c r="A120" s="24" t="str">
        <f>IFERROR(__xludf.DUMMYFUNCTION("""COMPUTED_VALUE"""),"A genetic assessment of the population structure of swordfish (Xiphias gladius) in the Mediterranean Sea")</f>
        <v>A genetic assessment of the population structure of swordfish (Xiphias gladius) in the Mediterranean Sea</v>
      </c>
      <c r="B120" s="24" t="str">
        <f>IFERROR(__xludf.DUMMYFUNCTION("""COMPUTED_VALUE"""),"Nine samples of swordfish from different Mediterranean areas plus a sample obtained in Atlantic waters adjacent to the Strait of Gibraltar were examined for temporal and spatial heterogeneity using allozyme analysis. Only two out of 38 loci (IDHP-2* and L"&amp;"DH-3*) were polymorphic based on a frequency of less than 0.95 in one or more samples. Both polymorphism and heterozygosity revealed a low genetic variability for swordfish in comparison with other pelagic species. No heterogeneity due to differences betw"&amp;"een age groups was observed for those samples including juvenile and adult specimens. The lack of temporal or spatial heterogeneity found in this study is consistent with a single population of swordfish in the Mediterranean Sea and adjacent waters of the"&amp;" Atlantic Ocean. (C) 2002 Elsevier Science B.V. All rights reserved.")</f>
        <v>Nine samples of swordfish from different Mediterranean areas plus a sample obtained in Atlantic waters adjacent to the Strait of Gibraltar were examined for temporal and spatial heterogeneity using allozyme analysis. Only two out of 38 loci (IDHP-2* and LDH-3*) were polymorphic based on a frequency of less than 0.95 in one or more samples. Both polymorphism and heterozygosity revealed a low genetic variability for swordfish in comparison with other pelagic species. No heterogeneity due to differences between age groups was observed for those samples including juvenile and adult specimens. The lack of temporal or spatial heterogeneity found in this study is consistent with a single population of swordfish in the Mediterranean Sea and adjacent waters of the Atlantic Ocean. (C) 2002 Elsevier Science B.V. All rights reserved.</v>
      </c>
      <c r="C120" s="24" t="str">
        <f>IFERROR(__xludf.DUMMYFUNCTION("""COMPUTED_VALUE"""),"10.1016/S0022-0981(02)00245-9")</f>
        <v>10.1016/S0022-0981(02)00245-9</v>
      </c>
      <c r="D120" s="24" t="str">
        <f>IFERROR(__xludf.DUMMYFUNCTION("""COMPUTED_VALUE"""),"shaw et al")</f>
        <v>shaw et al</v>
      </c>
      <c r="E120" s="24" t="str">
        <f>IFERROR(__xludf.DUMMYFUNCTION("""COMPUTED_VALUE"""),"WOS:000178012300002")</f>
        <v>WOS:000178012300002</v>
      </c>
      <c r="F120" s="24" t="str">
        <f>IFERROR(__xludf.DUMMYFUNCTION("""COMPUTED_VALUE"""),"[""ELIGIBLE""]")</f>
        <v>["ELIGIBLE"]</v>
      </c>
    </row>
    <row r="121">
      <c r="A121" s="24" t="str">
        <f>IFERROR(__xludf.DUMMYFUNCTION("""COMPUTED_VALUE"""),"The conservation genetics of Ash Meadows pupfish populations. I. The Warm Springs pupfish Cyprinodon nevadensis pectoralis")</f>
        <v>The conservation genetics of Ash Meadows pupfish populations. I. The Warm Springs pupfish Cyprinodon nevadensis pectoralis</v>
      </c>
      <c r="B121" s="24" t="str">
        <f>IFERROR(__xludf.DUMMYFUNCTION("""COMPUTED_VALUE"""),"The Warm Springs pupfish (Cyprinodon nevadensis pectoralis) inhabits several low flow (&lt;0.15 cfs) springs in an otherwise dry Mojave Desert landscape. Increasing demands on groundwater coupled with predictions of decreased precipitation from global warmin"&amp;"g make this species a sentinel for biodiversity dependent on springs. Here we examine mitochondrial DNA haplotypes and nuclear microsatellite genotypes for individuals sampled in 1998 and 2007 as a means of inferring the historical demography of the subsp"&amp;"ecies. Estimates of genetic effective population size from comparison of allele frequencies over time underscores that all spring populations support small populations, typically &lt;100 individuals. Such small population sizes suggest spring populations may"&amp;" have heightened probabilities of extirpation. Despite small population sizes, all springs harbor relatively high levels of genetic variation for both nuclear and mitochondrial DNA. Unexpectedly high levels of variation may be explained by recent declines"&amp;" in population size coupled with rare episodes of gene flow between springs suspected of occurring during flooding events. The inferences gained from the genetic data provide the basis for evaluating current and future restoration plans. The genetic data "&amp;"suggest there is a need to balance the predicted positive effects of restoring hydrological connectivity with the potential negative impacts of providing avenues for the spread of exotic species detrimental to pupfish populations.")</f>
        <v>The Warm Springs pupfish (Cyprinodon nevadensis pectoralis) inhabits several low flow (&lt;0.15 cfs) springs in an otherwise dry Mojave Desert landscape. Increasing demands on groundwater coupled with predictions of decreased precipitation from global warming make this species a sentinel for biodiversity dependent on springs. Here we examine mitochondrial DNA haplotypes and nuclear microsatellite genotypes for individuals sampled in 1998 and 2007 as a means of inferring the historical demography of the subspecies. Estimates of genetic effective population size from comparison of allele frequencies over time underscores that all spring populations support small populations, typically &lt;100 individuals. Such small population sizes suggest spring populations may have heightened probabilities of extirpation. Despite small population sizes, all springs harbor relatively high levels of genetic variation for both nuclear and mitochondrial DNA. Unexpectedly high levels of variation may be explained by recent declines in population size coupled with rare episodes of gene flow between springs suspected of occurring during flooding events. The inferences gained from the genetic data provide the basis for evaluating current and future restoration plans. The genetic data suggest there is a need to balance the predicted positive effects of restoring hydrological connectivity with the potential negative impacts of providing avenues for the spread of exotic species detrimental to pupfish populations.</v>
      </c>
      <c r="C121" s="24" t="str">
        <f>IFERROR(__xludf.DUMMYFUNCTION("""COMPUTED_VALUE"""),"10.1007/s10592-010-0077-9")</f>
        <v>10.1007/s10592-010-0077-9</v>
      </c>
      <c r="D121" s="24" t="str">
        <f>IFERROR(__xludf.DUMMYFUNCTION("""COMPUTED_VALUE"""),"shaw et al")</f>
        <v>shaw et al</v>
      </c>
      <c r="E121" s="24" t="str">
        <f>IFERROR(__xludf.DUMMYFUNCTION("""COMPUTED_VALUE"""),"WOS:000281907000021")</f>
        <v>WOS:000281907000021</v>
      </c>
      <c r="F121" s="24" t="str">
        <f>IFERROR(__xludf.DUMMYFUNCTION("""COMPUTED_VALUE"""),"[""ELIGIBLE""]")</f>
        <v>["ELIGIBLE"]</v>
      </c>
    </row>
    <row r="122">
      <c r="A122" s="24" t="str">
        <f>IFERROR(__xludf.DUMMYFUNCTION("""COMPUTED_VALUE"""),"Loss of genetic diversity in the endemic Hector's dolphin due to fisheries-related mortality")</f>
        <v>Loss of genetic diversity in the endemic Hector's dolphin due to fisheries-related mortality</v>
      </c>
      <c r="B122" s="24" t="str">
        <f>IFERROR(__xludf.DUMMYFUNCTION("""COMPUTED_VALUE"""),"The endemic New Zealand Hector's dolphin is considered the rarest species of marine dolphin with a total abundance of less than 4000. The species is listed as vulnerable because of fisheries-related mortality due to entanglement in set nets. The vulnerabi"&amp;"lity of this species is further increased by its fidelity to local natal ranges and the genetic isolation of regional populations. Here we present evidence, based on 108 contemporary samples and 55 historical samples dating back to 1870, of a significant "&amp;"loss of mitochondrial DNA (mtDNA) diversity in two regional populations of Hector's dolphin. The haplotype diversity (h) was calculated from sequences of a 206 bp fragment in the mtDNA control region, designed to identify 13 out of the 14 known maternal l"&amp;"ineages. Over the last 20 years, the North Island population has been reduced from at least three lineages (h = 0.41) to a single lineage (h = 0; P &lt; 0.05). Given its small size, reproductive isolation and reduced genetic diversity, this population is lik"&amp;"ely to become extinct. The diversity of the East Coast South Island population has declined significantly from h = 0.65 to h = 0.35 (p &lt; 0.05). Based on trend analysis of the mtDNA diversity, we predict that the East Coast population will lose all mtDNA d"&amp;"iversity within the next 20 years. This time-series of reduction in genetic variation provides independent evidence of the severity of population decline and habitat contraction resulting from fisheries and perhaps other human activities.")</f>
        <v>The endemic New Zealand Hector's dolphin is considered the rarest species of marine dolphin with a total abundance of less than 4000. The species is listed as vulnerable because of fisheries-related mortality due to entanglement in set nets. The vulnerability of this species is further increased by its fidelity to local natal ranges and the genetic isolation of regional populations. Here we present evidence, based on 108 contemporary samples and 55 historical samples dating back to 1870, of a significant loss of mitochondrial DNA (mtDNA) diversity in two regional populations of Hector's dolphin. The haplotype diversity (h) was calculated from sequences of a 206 bp fragment in the mtDNA control region, designed to identify 13 out of the 14 known maternal lineages. Over the last 20 years, the North Island population has been reduced from at least three lineages (h = 0.41) to a single lineage (h = 0; P &lt; 0.05). Given its small size, reproductive isolation and reduced genetic diversity, this population is likely to become extinct. The diversity of the East Coast South Island population has declined significantly from h = 0.65 to h = 0.35 (p &lt; 0.05). Based on trend analysis of the mtDNA diversity, we predict that the East Coast population will lose all mtDNA diversity within the next 20 years. This time-series of reduction in genetic variation provides independent evidence of the severity of population decline and habitat contraction resulting from fisheries and perhaps other human activities.</v>
      </c>
      <c r="C122" s="24" t="str">
        <f>IFERROR(__xludf.DUMMYFUNCTION("""COMPUTED_VALUE"""),"10.1098/rspb.2000.0972")</f>
        <v>10.1098/rspb.2000.0972</v>
      </c>
      <c r="D122" s="24" t="str">
        <f>IFERROR(__xludf.DUMMYFUNCTION("""COMPUTED_VALUE"""),"shaw et al")</f>
        <v>shaw et al</v>
      </c>
      <c r="E122" s="24" t="str">
        <f>IFERROR(__xludf.DUMMYFUNCTION("""COMPUTED_VALUE"""),"WOS:000084756400015")</f>
        <v>WOS:000084756400015</v>
      </c>
      <c r="F122" s="24" t="str">
        <f>IFERROR(__xludf.DUMMYFUNCTION("""COMPUTED_VALUE"""),"[""ELIGIBLE""]")</f>
        <v>["ELIGIBLE"]</v>
      </c>
    </row>
    <row r="123">
      <c r="A123" s="24" t="str">
        <f>IFERROR(__xludf.DUMMYFUNCTION("""COMPUTED_VALUE"""),"Underwater but not out of sight: genetic monitoring of effective population size in the endangered North Sea houting (Coregonus oxyrhynchus)")</f>
        <v>Underwater but not out of sight: genetic monitoring of effective population size in the endangered North Sea houting (Coregonus oxyrhynchus)</v>
      </c>
      <c r="B123" s="24" t="str">
        <f>IFERROR(__xludf.DUMMYFUNCTION("""COMPUTED_VALUE"""),"We analysed 12 microsatellite DNA loci in temporal samples (1980, 1994, and 2002) from the only remaining indigenous population of the North Sea houting (Coregonus oxyrhynchus) in the Vidaa River, Denmark. Using a novel temporal method, we estimated effec"&amp;"tive population size (N-e) to be 577.4 (90% highest posterior density limits 297.2-3719.8). The same method was used to estimate Ne at the beginning and end of the sampled time interval, and the results were indicative of a relatively stable population. I"&amp;"n contrast, tests for recent bottlenecks suggested population declines in the 1980 and 1994 samples, possibly reflecting declines prior to 1980 in the total North Sea houting population. To evaluate the usefulness of the two methods for routine genetic mo"&amp;"nitoring, we simulated population declines corresponding to reproduction by only 20 or 50 parents in 2002. For both simulated samples, the temporal method provided evidence for a population decline, whereas the test for bottlenecks did not suggest populat"&amp;"ion decline. We conclude that the North Sea houting in the Vidaa River is not immediately threatened by inbreeding or loss of evolutionary potential, and the applied temporal method appears very useful for genetic monitoring of effective population size i"&amp;"n endangered, isolated fish populations.")</f>
        <v>We analysed 12 microsatellite DNA loci in temporal samples (1980, 1994, and 2002) from the only remaining indigenous population of the North Sea houting (Coregonus oxyrhynchus) in the Vidaa River, Denmark. Using a novel temporal method, we estimated effective population size (N-e) to be 577.4 (90% highest posterior density limits 297.2-3719.8). The same method was used to estimate Ne at the beginning and end of the sampled time interval, and the results were indicative of a relatively stable population. In contrast, tests for recent bottlenecks suggested population declines in the 1980 and 1994 samples, possibly reflecting declines prior to 1980 in the total North Sea houting population. To evaluate the usefulness of the two methods for routine genetic monitoring, we simulated population declines corresponding to reproduction by only 20 or 50 parents in 2002. For both simulated samples, the temporal method provided evidence for a population decline, whereas the test for bottlenecks did not suggest population decline. We conclude that the North Sea houting in the Vidaa River is not immediately threatened by inbreeding or loss of evolutionary potential, and the applied temporal method appears very useful for genetic monitoring of effective population size in endangered, isolated fish populations.</v>
      </c>
      <c r="C123" s="24" t="str">
        <f>IFERROR(__xludf.DUMMYFUNCTION("""COMPUTED_VALUE"""),"10.1139/f05-260")</f>
        <v>10.1139/f05-260</v>
      </c>
      <c r="D123" s="24" t="str">
        <f>IFERROR(__xludf.DUMMYFUNCTION("""COMPUTED_VALUE"""),"shaw et al")</f>
        <v>shaw et al</v>
      </c>
      <c r="E123" s="24" t="str">
        <f>IFERROR(__xludf.DUMMYFUNCTION("""COMPUTED_VALUE"""),"WOS:000237201300006")</f>
        <v>WOS:000237201300006</v>
      </c>
      <c r="F123" s="24" t="str">
        <f>IFERROR(__xludf.DUMMYFUNCTION("""COMPUTED_VALUE"""),"[""ELIGIBLE""]")</f>
        <v>["ELIGIBLE"]</v>
      </c>
    </row>
    <row r="124">
      <c r="A124" s="24" t="str">
        <f>IFERROR(__xludf.DUMMYFUNCTION("""COMPUTED_VALUE"""),"Demo-genetic analysis of a recovering population of otters in Central Sweden")</f>
        <v>Demo-genetic analysis of a recovering population of otters in Central Sweden</v>
      </c>
      <c r="B124" s="24" t="str">
        <f>IFERROR(__xludf.DUMMYFUNCTION("""COMPUTED_VALUE"""),"We performed a demo-genetic population viability analysis on a recovering population of otters Lutra lutra in Central Sweden, using data on population size, survival and genetic data from microsatellites. Population data were obtained from genotyping faec"&amp;"es. At present, the size and genetic variability of the population is increasing. We found that survival to first reproduction was the most crucial demographic parameter, and that even slight changes downward in this parameter, might lead to a declining p"&amp;"opulation trajectory. Human factors that can affect mortality are traffic, fishing equipment and traps, and we argue that efforts to minimize road kills by means of safe passages as well as careful fishing efforts in streams and lakes would reduce the ris"&amp;"k of extinction. In general, even though the population is now growing and has no inbreeding problem, its small abundance could make it vulnerable to chance events and environmental perturbations.")</f>
        <v>We performed a demo-genetic population viability analysis on a recovering population of otters Lutra lutra in Central Sweden, using data on population size, survival and genetic data from microsatellites. Population data were obtained from genotyping faeces. At present, the size and genetic variability of the population is increasing. We found that survival to first reproduction was the most crucial demographic parameter, and that even slight changes downward in this parameter, might lead to a declining population trajectory. Human factors that can affect mortality are traffic, fishing equipment and traps, and we argue that efforts to minimize road kills by means of safe passages as well as careful fishing efforts in streams and lakes would reduce the risk of extinction. In general, even though the population is now growing and has no inbreeding problem, its small abundance could make it vulnerable to chance events and environmental perturbations.</v>
      </c>
      <c r="C124" s="24" t="str">
        <f>IFERROR(__xludf.DUMMYFUNCTION("""COMPUTED_VALUE"""),"10.1111/j.1469-1795.2008.00214.x")</f>
        <v>10.1111/j.1469-1795.2008.00214.x</v>
      </c>
      <c r="D124" s="24" t="str">
        <f>IFERROR(__xludf.DUMMYFUNCTION("""COMPUTED_VALUE"""),"shaw et al")</f>
        <v>shaw et al</v>
      </c>
      <c r="E124" s="24" t="str">
        <f>IFERROR(__xludf.DUMMYFUNCTION("""COMPUTED_VALUE"""),"WOS:000261780600012")</f>
        <v>WOS:000261780600012</v>
      </c>
      <c r="F124" s="24" t="str">
        <f>IFERROR(__xludf.DUMMYFUNCTION("""COMPUTED_VALUE"""),"[""ELIGIBLE""]")</f>
        <v>["ELIGIBLE"]</v>
      </c>
    </row>
    <row r="125">
      <c r="A125" s="24" t="str">
        <f>IFERROR(__xludf.DUMMYFUNCTION("""COMPUTED_VALUE"""),"No apparent genetic bottleneck in the demographically declining European eel using molecular genetics and forward-time simulations")</f>
        <v>No apparent genetic bottleneck in the demographically declining European eel using molecular genetics and forward-time simulations</v>
      </c>
      <c r="B125" s="24" t="str">
        <f>IFERROR(__xludf.DUMMYFUNCTION("""COMPUTED_VALUE"""),"The stock of the European eel is considered to be outside safe biological limits, following a dramatic demographic decline in recent decades (90-99% drop) that involves a large number of factors including overfishing, contaminants and environmental fluctu"&amp;"ations. The aim of the present study is to estimate the effective population size of the European eel and the possible existence of a genetic bottleneck, which is expected during or after a severe demographic crash. Using a panel of 22 EST-derived microsa"&amp;"tellite loci, we found no evidence for a genetic bottleneck in the European eel as our data showed moderate to high levels of genetic diversity, no loss of allele size range or rare alleles, and a stationary population with growth values not statistically"&amp;" different from zero, which is confirmed by finding comparable value of short-term and long-term effective population size. Our results suggest that the observed demographic decline in the European eel did not entail a genetic decline of the same magnitud"&amp;"e. Forward-time simulations confirmed that large exploited marine fish populations can undergo genetic bottleneck episodes and experience a loss of genetic variability. Simulations indicated that the failure to pick up the signal of a genetic bottleneck i"&amp;"n the European eel is not due to lack of power. Although anthropogenic factors lowered the continental stock biomass, the observation of a stable genetic effective population size suggests that the eel crash was not due to a reduction in spawning stock ab"&amp;"undance. Alternatively, we propose that overfishing, pollution and/or parasites might have affected individual fitness and fecundity, leading to an impoverished spawning stock that may fail to produce enough good quality eggs. A reduced reproduction succe"&amp;"ss due to poor quality of the spawners may be exacerbated by oceanic processes inducing changes in primary production in the Sargasso Sea and/or pathway of transport across the Atlantic Ocean leading to a higher larval mortality.")</f>
        <v>The stock of the European eel is considered to be outside safe biological limits, following a dramatic demographic decline in recent decades (90-99% drop) that involves a large number of factors including overfishing, contaminants and environmental fluctuations. The aim of the present study is to estimate the effective population size of the European eel and the possible existence of a genetic bottleneck, which is expected during or after a severe demographic crash. Using a panel of 22 EST-derived microsatellite loci, we found no evidence for a genetic bottleneck in the European eel as our data showed moderate to high levels of genetic diversity, no loss of allele size range or rare alleles, and a stationary population with growth values not statistically different from zero, which is confirmed by finding comparable value of short-term and long-term effective population size. Our results suggest that the observed demographic decline in the European eel did not entail a genetic decline of the same magnitude. Forward-time simulations confirmed that large exploited marine fish populations can undergo genetic bottleneck episodes and experience a loss of genetic variability. Simulations indicated that the failure to pick up the signal of a genetic bottleneck in the European eel is not due to lack of power. Although anthropogenic factors lowered the continental stock biomass, the observation of a stable genetic effective population size suggests that the eel crash was not due to a reduction in spawning stock abundance. Alternatively, we propose that overfishing, pollution and/or parasites might have affected individual fitness and fecundity, leading to an impoverished spawning stock that may fail to produce enough good quality eggs. A reduced reproduction success due to poor quality of the spawners may be exacerbated by oceanic processes inducing changes in primary production in the Sargasso Sea and/or pathway of transport across the Atlantic Ocean leading to a higher larval mortality.</v>
      </c>
      <c r="C125" s="24" t="str">
        <f>IFERROR(__xludf.DUMMYFUNCTION("""COMPUTED_VALUE"""),"10.1007/s10592-011-0188-y")</f>
        <v>10.1007/s10592-011-0188-y</v>
      </c>
      <c r="D125" s="24" t="str">
        <f>IFERROR(__xludf.DUMMYFUNCTION("""COMPUTED_VALUE"""),"shaw et al")</f>
        <v>shaw et al</v>
      </c>
      <c r="E125" s="24" t="str">
        <f>IFERROR(__xludf.DUMMYFUNCTION("""COMPUTED_VALUE"""),"WOS:000290319200020")</f>
        <v>WOS:000290319200020</v>
      </c>
      <c r="F125" s="24" t="str">
        <f>IFERROR(__xludf.DUMMYFUNCTION("""COMPUTED_VALUE"""),"[""ELIGIBLE""]")</f>
        <v>["ELIGIBLE"]</v>
      </c>
    </row>
    <row r="126">
      <c r="A126" s="24" t="str">
        <f>IFERROR(__xludf.DUMMYFUNCTION("""COMPUTED_VALUE"""),"Genetic composition and origin of juvenile green turtles foraging at Culebra, Puerto Rico, as revealed by mtDNA")</f>
        <v>Genetic composition and origin of juvenile green turtles foraging at Culebra, Puerto Rico, as revealed by mtDNA</v>
      </c>
      <c r="B126" s="24" t="str">
        <f>IFERROR(__xludf.DUMMYFUNCTION("""COMPUTED_VALUE"""),"Marine migratory species encounter a range of threats as they move through coastal and oceanic zones. Understanding the connectivity and dispersal patterns of such species is critical to their effective conservation. Here we analyzed the temporal genetic "&amp;"composition and the most likely origin of juvenile green turtles foraging at Puerto Manglar and Tortuga Bay, Culebra, Puerto Rico, using mitochondrial DNA control region sequences. We identified 17 haplotypes, of which CM-A3 (51.5%), CM-A5 (19.4%) and CM-"&amp;"A1 (13.6%) were the most common. Haplotype (h) and nucleotide (pi) diversities were 0.680 and 0.008, respectively. There was no evidence of significant variation in the genetic composition of these aggregations throughout seven years (2000-2006), suggesti"&amp;"ng that relative contributions from source populations did not significantly change during this period. Mixed Stock Analysis (MSA), incorporating 14 Atlantic nesting populations as possible sources, indicated four main contributing stocks to the Culebra f"&amp;"oraging grounds: Costa Rica (34.9%), Mexico (29.2%), East Central Florida (13.2%), and Suriname (12.0%). The regional pattern of connectivity among Wider Caribbean rookeries and Culebra was further evidenced by a second MSA using Atlantic Regional Managem"&amp;"ent Units (RMUs) as sources, with 94.1% of the mixed stock attributed to this area. This study addresses the information gap on the connectivity of the green turtle in the North Atlantic, and establishes an important baseline that can be used to determine"&amp;" future changes in stock composition.")</f>
        <v>Marine migratory species encounter a range of threats as they move through coastal and oceanic zones. Understanding the connectivity and dispersal patterns of such species is critical to their effective conservation. Here we analyzed the temporal genetic composition and the most likely origin of juvenile green turtles foraging at Puerto Manglar and Tortuga Bay, Culebra, Puerto Rico, using mitochondrial DNA control region sequences. We identified 17 haplotypes, of which CM-A3 (51.5%), CM-A5 (19.4%) and CM-A1 (13.6%) were the most common. Haplotype (h) and nucleotide (pi) diversities were 0.680 and 0.008, respectively. There was no evidence of significant variation in the genetic composition of these aggregations throughout seven years (2000-2006), suggesting that relative contributions from source populations did not significantly change during this period. Mixed Stock Analysis (MSA), incorporating 14 Atlantic nesting populations as possible sources, indicated four main contributing stocks to the Culebra foraging grounds: Costa Rica (34.9%), Mexico (29.2%), East Central Florida (13.2%), and Suriname (12.0%). The regional pattern of connectivity among Wider Caribbean rookeries and Culebra was further evidenced by a second MSA using Atlantic Regional Management Units (RMUs) as sources, with 94.1% of the mixed stock attributed to this area. This study addresses the information gap on the connectivity of the green turtle in the North Atlantic, and establishes an important baseline that can be used to determine future changes in stock composition.</v>
      </c>
      <c r="C126" s="24" t="str">
        <f>IFERROR(__xludf.DUMMYFUNCTION("""COMPUTED_VALUE"""),"10.3856/vol45-issue3-fulltext-2")</f>
        <v>10.3856/vol45-issue3-fulltext-2</v>
      </c>
      <c r="D126" s="24" t="str">
        <f>IFERROR(__xludf.DUMMYFUNCTION("""COMPUTED_VALUE"""),"shaw et al")</f>
        <v>shaw et al</v>
      </c>
      <c r="E126" s="24" t="str">
        <f>IFERROR(__xludf.DUMMYFUNCTION("""COMPUTED_VALUE"""),"WOS:000406912400011")</f>
        <v>WOS:000406912400011</v>
      </c>
      <c r="F126" s="24" t="str">
        <f>IFERROR(__xludf.DUMMYFUNCTION("""COMPUTED_VALUE"""),"[""ELIGIBLE""]")</f>
        <v>["ELIGIBLE"]</v>
      </c>
    </row>
    <row r="127">
      <c r="A127" s="24" t="str">
        <f>IFERROR(__xludf.DUMMYFUNCTION("""COMPUTED_VALUE"""),"Genetic structure of an isolated population of mantled howler monkeys (Alouatta palliata) on Barro Colorado Island, Panama")</f>
        <v>Genetic structure of an isolated population of mantled howler monkeys (Alouatta palliata) on Barro Colorado Island, Panama</v>
      </c>
      <c r="B127" s="24" t="str">
        <f>IFERROR(__xludf.DUMMYFUNCTION("""COMPUTED_VALUE"""),"Habitat fragmentation may influence genetic variability through reductions in population size and the physical isolation of conspecifics. We explored the effects of these factors on genetic diversity in a population of mantled howler monkeys (Alouatta pal"&amp;"liata) on Barro Colorado Island (BCI), Panama. The study population was established in 1914 when an unknown number of resident individuals were isolated from the surrounding mainland by damming of the Rio Chagres to create the Panama Canal. Analyses of 10"&amp;" microsatellite loci indicated that, despite this isolation, the howler monkeys on BCI exhibit levels of genetic diversity (H (S) = 0.584 +/- A 0.063) among the highest reported for any species of Alouatta. These data also revealed that although relatedne"&amp;"ss among adults in a social group was significantly greater than zero, the BCI population is not highly genetically structured. Tests for genetic bottlenecks based on departures from equilibrium expectations failed to reveal evidence of a recent reduction"&amp;" in population size. In contrast, coalescent modeling indicated that this population has likely experienced a marked decline within the last few 100 years. These findings generate new insights into the genetic structure of A. palliata and suggest that whi"&amp;"le the formation of BCI may not have substantially reduced genetic variation in these animals, genetic diversity has been influenced by historical changes in population size.")</f>
        <v>Habitat fragmentation may influence genetic variability through reductions in population size and the physical isolation of conspecifics. We explored the effects of these factors on genetic diversity in a population of mantled howler monkeys (Alouatta palliata) on Barro Colorado Island (BCI), Panama. The study population was established in 1914 when an unknown number of resident individuals were isolated from the surrounding mainland by damming of the Rio Chagres to create the Panama Canal. Analyses of 10 microsatellite loci indicated that, despite this isolation, the howler monkeys on BCI exhibit levels of genetic diversity (H (S) = 0.584 +/- A 0.063) among the highest reported for any species of Alouatta. These data also revealed that although relatedness among adults in a social group was significantly greater than zero, the BCI population is not highly genetically structured. Tests for genetic bottlenecks based on departures from equilibrium expectations failed to reveal evidence of a recent reduction in population size. In contrast, coalescent modeling indicated that this population has likely experienced a marked decline within the last few 100 years. These findings generate new insights into the genetic structure of A. palliata and suggest that while the formation of BCI may not have substantially reduced genetic variation in these animals, genetic diversity has been influenced by historical changes in population size.</v>
      </c>
      <c r="C127" s="24" t="str">
        <f>IFERROR(__xludf.DUMMYFUNCTION("""COMPUTED_VALUE"""),"10.1007/s10592-008-9584-3")</f>
        <v>10.1007/s10592-008-9584-3</v>
      </c>
      <c r="D127" s="24" t="str">
        <f>IFERROR(__xludf.DUMMYFUNCTION("""COMPUTED_VALUE"""),"shaw et al")</f>
        <v>shaw et al</v>
      </c>
      <c r="E127" s="24" t="str">
        <f>IFERROR(__xludf.DUMMYFUNCTION("""COMPUTED_VALUE"""),"WOS:000263869100008")</f>
        <v>WOS:000263869100008</v>
      </c>
      <c r="F127" s="24" t="str">
        <f>IFERROR(__xludf.DUMMYFUNCTION("""COMPUTED_VALUE"""),"[""ELIGIBLE""]")</f>
        <v>["ELIGIBLE"]</v>
      </c>
    </row>
    <row r="128">
      <c r="A128" s="24" t="str">
        <f>IFERROR(__xludf.DUMMYFUNCTION("""COMPUTED_VALUE"""),"Revealing the consequences of male-biased trophy hunting on the maintenance of genetic variation")</f>
        <v>Revealing the consequences of male-biased trophy hunting on the maintenance of genetic variation</v>
      </c>
      <c r="B128" s="24" t="str">
        <f>IFERROR(__xludf.DUMMYFUNCTION("""COMPUTED_VALUE"""),"Demographic models accounting for operational sex ratio (OSR) show that male numbers can have a substantial influence on the dynamics of wild populations. We used the Cantabrian capercaillie, a forest bird, as a model to assess the effects of the reductio"&amp;"n in the number of breeding males (increased OSR) associated to male-biased hunting, on the genetics of the population. We based our assessment in the comparison of the dynamics of neutral markers transmitted by both parents (microsatellites) versus marke"&amp;"rs transmitted only by females (mitochondrial DNA-mtDNA). Parallel to the analysis of field data, we ran computer simulations to explore how different levels of OSR and two other important demographic factors, population size and connectivity, might influ"&amp;"ence the dynamics of genetic variation of microsatellites and mtDNA. We found evidence of a genetic bottleneck and low genetic variability affecting microsatellites but not mtDNA early in our study period, when male-biased hunting was more intense. This w"&amp;"as followed by a decline in mtDNA variation around 10-20 years later. Simulations suggested that changes in genetic variation associated with high OSR had the closest similarity to those observed at the beginning of our study, whereas a combination of red"&amp;"uced size and migration rate better resembled the patterns found later on. Our findings indicate that male-biased hunting might have triggered the ongoing decline of the Cantabrian capercaillie, on its own or in combination with habitat configuration, and"&amp;" support the need to incorporate OSR into decision making for the management and conservation of exploited populations.")</f>
        <v>Demographic models accounting for operational sex ratio (OSR) show that male numbers can have a substantial influence on the dynamics of wild populations. We used the Cantabrian capercaillie, a forest bird, as a model to assess the effects of the reduction in the number of breeding males (increased OSR) associated to male-biased hunting, on the genetics of the population. We based our assessment in the comparison of the dynamics of neutral markers transmitted by both parents (microsatellites) versus markers transmitted only by females (mitochondrial DNA-mtDNA). Parallel to the analysis of field data, we ran computer simulations to explore how different levels of OSR and two other important demographic factors, population size and connectivity, might influence the dynamics of genetic variation of microsatellites and mtDNA. We found evidence of a genetic bottleneck and low genetic variability affecting microsatellites but not mtDNA early in our study period, when male-biased hunting was more intense. This was followed by a decline in mtDNA variation around 10-20 years later. Simulations suggested that changes in genetic variation associated with high OSR had the closest similarity to those observed at the beginning of our study, whereas a combination of reduced size and migration rate better resembled the patterns found later on. Our findings indicate that male-biased hunting might have triggered the ongoing decline of the Cantabrian capercaillie, on its own or in combination with habitat configuration, and support the need to incorporate OSR into decision making for the management and conservation of exploited populations.</v>
      </c>
      <c r="C128" s="24" t="str">
        <f>IFERROR(__xludf.DUMMYFUNCTION("""COMPUTED_VALUE"""),"10.1007/s10592-015-0747-8")</f>
        <v>10.1007/s10592-015-0747-8</v>
      </c>
      <c r="D128" s="24" t="str">
        <f>IFERROR(__xludf.DUMMYFUNCTION("""COMPUTED_VALUE"""),"shaw et al")</f>
        <v>shaw et al</v>
      </c>
      <c r="E128" s="24" t="str">
        <f>IFERROR(__xludf.DUMMYFUNCTION("""COMPUTED_VALUE"""),"WOS:000363957700009")</f>
        <v>WOS:000363957700009</v>
      </c>
      <c r="F128" s="24" t="str">
        <f>IFERROR(__xludf.DUMMYFUNCTION("""COMPUTED_VALUE"""),"[""ELIGIBLE""]")</f>
        <v>["ELIGIBLE"]</v>
      </c>
    </row>
    <row r="129">
      <c r="A129" s="24" t="str">
        <f>IFERROR(__xludf.DUMMYFUNCTION("""COMPUTED_VALUE"""),"Atlantic Salmon at Risk: Apparent Rapid Declines in Effective Population Size in Southern European Populations")</f>
        <v>Atlantic Salmon at Risk: Apparent Rapid Declines in Effective Population Size in Southern European Populations</v>
      </c>
      <c r="B129" s="24" t="str">
        <f>IFERROR(__xludf.DUMMYFUNCTION("""COMPUTED_VALUE"""),"Populations of southern European Atlantic salmon Salmo salar are subjected to exploitation by sportfishing and exhibit evidence of dramatic catch reduction for the same fishing effort over recent history. We employed nine microsatellite loci as markers to"&amp;" estimate effective population sizes of Atlantic salmon in five rivers of northern Spain for comparison with 1990s data describing the same populations; marked declines in effective population sizes over the last decade were detected, and a reduced census"&amp;" size is proposed to be one of the probable causes. These estimates highlight the endangered status of the Atlantic salmon populations in northern Spain. A reduction in fishing effort and an increase in protective measures are recommended for the conserva"&amp;"tion of these fragile populations at the southernmost edge of the species' natural distribution.")</f>
        <v>Populations of southern European Atlantic salmon Salmo salar are subjected to exploitation by sportfishing and exhibit evidence of dramatic catch reduction for the same fishing effort over recent history. We employed nine microsatellite loci as markers to estimate effective population sizes of Atlantic salmon in five rivers of northern Spain for comparison with 1990s data describing the same populations; marked declines in effective population sizes over the last decade were detected, and a reduced census size is proposed to be one of the probable causes. These estimates highlight the endangered status of the Atlantic salmon populations in northern Spain. A reduction in fishing effort and an increase in protective measures are recommended for the conservation of these fragile populations at the southernmost edge of the species' natural distribution.</v>
      </c>
      <c r="C129" s="24" t="str">
        <f>IFERROR(__xludf.DUMMYFUNCTION("""COMPUTED_VALUE"""),"10.1080/00028487.2011.585574")</f>
        <v>10.1080/00028487.2011.585574</v>
      </c>
      <c r="D129" s="24" t="str">
        <f>IFERROR(__xludf.DUMMYFUNCTION("""COMPUTED_VALUE"""),"shaw et al")</f>
        <v>shaw et al</v>
      </c>
      <c r="E129" s="24" t="str">
        <f>IFERROR(__xludf.DUMMYFUNCTION("""COMPUTED_VALUE"""),"WOS:000291813800009")</f>
        <v>WOS:000291813800009</v>
      </c>
      <c r="F129" s="24" t="str">
        <f>IFERROR(__xludf.DUMMYFUNCTION("""COMPUTED_VALUE"""),"[""ELIGIBLE""]")</f>
        <v>["ELIGIBLE"]</v>
      </c>
    </row>
    <row r="130">
      <c r="A130" s="24" t="str">
        <f>IFERROR(__xludf.DUMMYFUNCTION("""COMPUTED_VALUE"""),"Genetic diversity and effective size of the Atlantic salmon Salmo salar L. inhabiting the River Eo (Spain) following a stock collapse")</f>
        <v>Genetic diversity and effective size of the Atlantic salmon Salmo salar L. inhabiting the River Eo (Spain) following a stock collapse</v>
      </c>
      <c r="B130" s="24" t="str">
        <f>IFERROR(__xludf.DUMMYFUNCTION("""COMPUTED_VALUE"""),"Historic angling records suggest the occurrence of a drastic decline in the River Eo (Spain) Atlantic salmon population size during the past two decades, as a result of overexploitation and habitat deterioration. In recent years, the population has been a"&amp;"pparently recovering, and the present study is aimed to report information on the level of genetic diversity and the effective size of the current population as these may have immediate consequences for its conservation. Eighty-six salmon from two tempora"&amp;"l groups (1998-1999 and 2004-2006), representing three generations, were genotyped using a panel of eight microsatellites. Inspite of the recent decline in census numbers and the detection of the signs of a population bottleneck, the population exhibits a"&amp;" high level of genetic diversity, similar to that from other populations, and almost unchanged during the period of study [average allelic richness (A) = 14.0 and 13.9, and average heterozygosity (H-e) = 0.843 and 0.851 in 1998-1999 and 2004-2006, respect"&amp;"ively]. The effective population size (N-e) estimated by two different temporal methods showed a consistent value around 80 salmon, whereas the estimates from the linkage disequilibrium (LD) method provided a value around 165 individuals for either sample"&amp;". The recent growing number of salmon, as indicated by fisheries records, the relatively large estimates of the ratio N-e/N (with range 0.23-0.44 for the temporal estimates and 0.31-0.59 for the LD estimates) and the high levels of diversity found suggest"&amp;" that the population has not been greatly affected by the historical census declines and can be expected to recover in the future. (c) 2008 The Authors Journal compilation (c) 2008 The Fisheries Society of the British Isles.")</f>
        <v>Historic angling records suggest the occurrence of a drastic decline in the River Eo (Spain) Atlantic salmon population size during the past two decades, as a result of overexploitation and habitat deterioration. In recent years, the population has been apparently recovering, and the present study is aimed to report information on the level of genetic diversity and the effective size of the current population as these may have immediate consequences for its conservation. Eighty-six salmon from two temporal groups (1998-1999 and 2004-2006), representing three generations, were genotyped using a panel of eight microsatellites. Inspite of the recent decline in census numbers and the detection of the signs of a population bottleneck, the population exhibits a high level of genetic diversity, similar to that from other populations, and almost unchanged during the period of study [average allelic richness (A) = 14.0 and 13.9, and average heterozygosity (H-e) = 0.843 and 0.851 in 1998-1999 and 2004-2006, respectively]. The effective population size (N-e) estimated by two different temporal methods showed a consistent value around 80 salmon, whereas the estimates from the linkage disequilibrium (LD) method provided a value around 165 individuals for either sample. The recent growing number of salmon, as indicated by fisheries records, the relatively large estimates of the ratio N-e/N (with range 0.23-0.44 for the temporal estimates and 0.31-0.59 for the LD estimates) and the high levels of diversity found suggest that the population has not been greatly affected by the historical census declines and can be expected to recover in the future. (c) 2008 The Authors Journal compilation (c) 2008 The Fisheries Society of the British Isles.</v>
      </c>
      <c r="C130" s="24" t="str">
        <f>IFERROR(__xludf.DUMMYFUNCTION("""COMPUTED_VALUE"""),"10.1111/j.1095-8649.2007.01769.x")</f>
        <v>10.1111/j.1095-8649.2007.01769.x</v>
      </c>
      <c r="D130" s="24" t="str">
        <f>IFERROR(__xludf.DUMMYFUNCTION("""COMPUTED_VALUE"""),"shaw et al")</f>
        <v>shaw et al</v>
      </c>
      <c r="E130" s="24" t="str">
        <f>IFERROR(__xludf.DUMMYFUNCTION("""COMPUTED_VALUE"""),"WOS:000256618700004")</f>
        <v>WOS:000256618700004</v>
      </c>
      <c r="F130" s="24" t="str">
        <f>IFERROR(__xludf.DUMMYFUNCTION("""COMPUTED_VALUE"""),"[""ELIGIBLE""]")</f>
        <v>["ELIGIBLE"]</v>
      </c>
    </row>
    <row r="131">
      <c r="A131" s="24" t="str">
        <f>IFERROR(__xludf.DUMMYFUNCTION("""COMPUTED_VALUE"""),"Population structure and recent temporal changes in genetic variation in Eurasian otters from Sweden")</f>
        <v>Population structure and recent temporal changes in genetic variation in Eurasian otters from Sweden</v>
      </c>
      <c r="B131" s="24" t="str">
        <f>IFERROR(__xludf.DUMMYFUNCTION("""COMPUTED_VALUE"""),"The Eurasian otter (Lutra lutra) population in Sweden went through a drastic decline in population size between the 1950s and 1980s, caused mostly by anthropogenic factors such as high hunting pressure and the introduction of environmental toxic chemicals"&amp;" into the otter's habitats. However, after the bans of PCBs and DDT in the 1970s, the population began to recover in the 1990s. This study compares microsatellite data across twelve loci from historical and contemporary otter samples to investigate whethe"&amp;"r there has been a change in population structure and genetic diversity across time in various locations throughout Sweden. The results suggest that otters in the south were more severely affected by the bottleneck, demonstrated by a decline in genetic di"&amp;"versity and a shift in genetic composition. In contrast, the genetic composition in otters from northern Sweden remained mostly unchanged, both in terms of population structure and diversity. This suggests that the decline was not uniform across the count"&amp;"ry. Moreover, our analyses of historical samples provide an overview of the level of genetic variation and population structure that existed prior to the bottleneck, which may be helpful for the future management and conservation of the species.")</f>
        <v>The Eurasian otter (Lutra lutra) population in Sweden went through a drastic decline in population size between the 1950s and 1980s, caused mostly by anthropogenic factors such as high hunting pressure and the introduction of environmental toxic chemicals into the otter's habitats. However, after the bans of PCBs and DDT in the 1970s, the population began to recover in the 1990s. This study compares microsatellite data across twelve loci from historical and contemporary otter samples to investigate whether there has been a change in population structure and genetic diversity across time in various locations throughout Sweden. The results suggest that otters in the south were more severely affected by the bottleneck, demonstrated by a decline in genetic diversity and a shift in genetic composition. In contrast, the genetic composition in otters from northern Sweden remained mostly unchanged, both in terms of population structure and diversity. This suggests that the decline was not uniform across the country. Moreover, our analyses of historical samples provide an overview of the level of genetic variation and population structure that existed prior to the bottleneck, which may be helpful for the future management and conservation of the species.</v>
      </c>
      <c r="C131" s="24" t="str">
        <f>IFERROR(__xludf.DUMMYFUNCTION("""COMPUTED_VALUE"""),"10.1007/s10592-014-0664-2")</f>
        <v>10.1007/s10592-014-0664-2</v>
      </c>
      <c r="D131" s="24" t="str">
        <f>IFERROR(__xludf.DUMMYFUNCTION("""COMPUTED_VALUE"""),"shaw et al")</f>
        <v>shaw et al</v>
      </c>
      <c r="E131" s="24" t="str">
        <f>IFERROR(__xludf.DUMMYFUNCTION("""COMPUTED_VALUE"""),"WOS:000351287400010")</f>
        <v>WOS:000351287400010</v>
      </c>
      <c r="F131" s="24" t="str">
        <f>IFERROR(__xludf.DUMMYFUNCTION("""COMPUTED_VALUE"""),"[""ELIGIBLE""]")</f>
        <v>["ELIGIBLE"]</v>
      </c>
    </row>
    <row r="132">
      <c r="A132" s="24" t="str">
        <f>IFERROR(__xludf.DUMMYFUNCTION("""COMPUTED_VALUE"""),"Genetic diversity from pre-bottleneck to recovery in two sympatric pinniped species in the Northwest Atlantic")</f>
        <v>Genetic diversity from pre-bottleneck to recovery in two sympatric pinniped species in the Northwest Atlantic</v>
      </c>
      <c r="B132" s="24" t="str">
        <f>IFERROR(__xludf.DUMMYFUNCTION("""COMPUTED_VALUE"""),"Conservation successes of the past several decades provide natural settings to study post-bottleneck evolutionary processes in species undergoing recovery. Here, we study the impact of demographic change on genetic diversity in parallel natural experiment"&amp;"s of historical decline and subsequent recovery in two sympatric pinniped species in the Northwest Atlantic, the gray seal (Halichoerus grypus atlantica) and harbor seal (Phoca vitulina concolor). We compare genetic diversity at the mitochondrial control "&amp;"region today to diversity in archaeological specimens, which represent the populations prior to the regional bounties of the late 1800s to mid-1900s that drastically reduced population sizes and led to local extirpations. We further assess genetic diversi"&amp;"ty throughout recovery, using biological collections from ongoing long-term studies of both species. Overall, the genetic data are consistent with the historical presence of large, genetically diverse populations of pinnipeds prior to human exploitation, "&amp;"and suggest that gray seals were more dramatically impacted by historical bottlenecks than harbor seals in the Northwest Atlantic. Current mitochondrial diversity in both species is relatively high, and we observe little change over the past several decad"&amp;"es during a period of roughly parallel rapid population increases. However, there remain large differences in haplotype composition between pinniped populations of pre-exploitation and today, a lasting genetic signature of historical exploitation that is "&amp;"likely to persist into the future.")</f>
        <v>Conservation successes of the past several decades provide natural settings to study post-bottleneck evolutionary processes in species undergoing recovery. Here, we study the impact of demographic change on genetic diversity in parallel natural experiments of historical decline and subsequent recovery in two sympatric pinniped species in the Northwest Atlantic, the gray seal (Halichoerus grypus atlantica) and harbor seal (Phoca vitulina concolor). We compare genetic diversity at the mitochondrial control region today to diversity in archaeological specimens, which represent the populations prior to the regional bounties of the late 1800s to mid-1900s that drastically reduced population sizes and led to local extirpations. We further assess genetic diversity throughout recovery, using biological collections from ongoing long-term studies of both species. Overall, the genetic data are consistent with the historical presence of large, genetically diverse populations of pinnipeds prior to human exploitation, and suggest that gray seals were more dramatically impacted by historical bottlenecks than harbor seals in the Northwest Atlantic. Current mitochondrial diversity in both species is relatively high, and we observe little change over the past several decades during a period of roughly parallel rapid population increases. However, there remain large differences in haplotype composition between pinniped populations of pre-exploitation and today, a lasting genetic signature of historical exploitation that is likely to persist into the future.</v>
      </c>
      <c r="C132" s="24" t="str">
        <f>IFERROR(__xludf.DUMMYFUNCTION("""COMPUTED_VALUE"""),"10.1007/s10592-017-1032-9")</f>
        <v>10.1007/s10592-017-1032-9</v>
      </c>
      <c r="D132" s="24" t="str">
        <f>IFERROR(__xludf.DUMMYFUNCTION("""COMPUTED_VALUE"""),"shaw et al")</f>
        <v>shaw et al</v>
      </c>
      <c r="E132" s="24" t="str">
        <f>IFERROR(__xludf.DUMMYFUNCTION("""COMPUTED_VALUE"""),"WOS:000432992100004")</f>
        <v>WOS:000432992100004</v>
      </c>
      <c r="F132" s="24" t="str">
        <f>IFERROR(__xludf.DUMMYFUNCTION("""COMPUTED_VALUE"""),"[""ELIGIBLE""]")</f>
        <v>["ELIGIBLE"]</v>
      </c>
    </row>
    <row r="133">
      <c r="A133" s="24" t="str">
        <f>IFERROR(__xludf.DUMMYFUNCTION("""COMPUTED_VALUE"""),"Population genomics applications for conservation: the case of the tropical dry forest dweller Peromyscus melanophrys")</f>
        <v>Population genomics applications for conservation: the case of the tropical dry forest dweller Peromyscus melanophrys</v>
      </c>
      <c r="B133" s="24" t="str">
        <f>IFERROR(__xludf.DUMMYFUNCTION("""COMPUTED_VALUE"""),"Recent advances in genomic sequencing have opened new horizons in the study of population genetics and evolution in non-model organisms. However, very few population genomic studies have been performed on wild mammals to understand how the landscape affec"&amp;"ts the genetic structure of populations, useful information for the conservation of biodiversity. Here, we applied a genomic approach to evaluate the relationship between habitat features and genetic patterns at spatial and temporal scales in an endangere"&amp;"d ecosystem, the Tropical Dry Forest (TDF). We studied populations of the Plateau deer mouse Peromyscus melanophrys to analyse its genomic diversity and structure in a TDF protected area in the Huautla Mountain Range (HMR), Mexico based on 8209 SNPs obtai"&amp;"ned through Genotyping-by-Sequencing. At a spatial scale, we found a significant signature of isolation-by-distance, few significant differences in genetic diversity indices among study sites, and no significant differences between habitats with different"&amp;" levels of human perturbation. At a temporal scale, while genetic diversity levels fluctuated significantly over time, neither seasonality nor disturbance levels had a significant effect. Also, outlier analysis revealed loci potentially under selection. O"&amp;"ur results suggest that the population genetics of P. melanophrys may be little impacted by anthropogenic disturbances, or by natural spatial and temporal habitat heterogeneity in our study area. The genome-wide approach adopted here provides data of valu"&amp;"e for conservation planning, and a baseline to be used as a reference for future studies on the effects of habitat fragmentation and seasonality in the HMR and in TDF.")</f>
        <v>Recent advances in genomic sequencing have opened new horizons in the study of population genetics and evolution in non-model organisms. However, very few population genomic studies have been performed on wild mammals to understand how the landscape affects the genetic structure of populations, useful information for the conservation of biodiversity. Here, we applied a genomic approach to evaluate the relationship between habitat features and genetic patterns at spatial and temporal scales in an endangered ecosystem, the Tropical Dry Forest (TDF). We studied populations of the Plateau deer mouse Peromyscus melanophrys to analyse its genomic diversity and structure in a TDF protected area in the Huautla Mountain Range (HMR), Mexico based on 8209 SNPs obtained through Genotyping-by-Sequencing. At a spatial scale, we found a significant signature of isolation-by-distance, few significant differences in genetic diversity indices among study sites, and no significant differences between habitats with different levels of human perturbation. At a temporal scale, while genetic diversity levels fluctuated significantly over time, neither seasonality nor disturbance levels had a significant effect. Also, outlier analysis revealed loci potentially under selection. Our results suggest that the population genetics of P. melanophrys may be little impacted by anthropogenic disturbances, or by natural spatial and temporal habitat heterogeneity in our study area. The genome-wide approach adopted here provides data of value for conservation planning, and a baseline to be used as a reference for future studies on the effects of habitat fragmentation and seasonality in the HMR and in TDF.</v>
      </c>
      <c r="C133" s="24" t="str">
        <f>IFERROR(__xludf.DUMMYFUNCTION("""COMPUTED_VALUE"""),"10.1007/s10592-016-0907-5")</f>
        <v>10.1007/s10592-016-0907-5</v>
      </c>
      <c r="D133" s="24" t="str">
        <f>IFERROR(__xludf.DUMMYFUNCTION("""COMPUTED_VALUE"""),"shaw et al")</f>
        <v>shaw et al</v>
      </c>
      <c r="E133" s="24" t="str">
        <f>IFERROR(__xludf.DUMMYFUNCTION("""COMPUTED_VALUE"""),"WOS:000396341900006")</f>
        <v>WOS:000396341900006</v>
      </c>
      <c r="F133" s="24" t="str">
        <f>IFERROR(__xludf.DUMMYFUNCTION("""COMPUTED_VALUE"""),"[""ELIGIBLE""]")</f>
        <v>["ELIGIBLE"]</v>
      </c>
    </row>
    <row r="134">
      <c r="A134" s="24" t="str">
        <f>IFERROR(__xludf.DUMMYFUNCTION("""COMPUTED_VALUE"""),"Genetic variation in the invasive process of Bursaphelenchus xylophilus (Aphelenchida: Aphelenchoididae) and its possible spread routes in China")</f>
        <v>Genetic variation in the invasive process of Bursaphelenchus xylophilus (Aphelenchida: Aphelenchoididae) and its possible spread routes in China</v>
      </c>
      <c r="B134" s="24" t="str">
        <f>IFERROR(__xludf.DUMMYFUNCTION("""COMPUTED_VALUE"""),"Pinewood nematode (Bursaphelenchus xylophilus) is an invasive species that causes a destructive forest disease pine wilt disease. This disease has been prevalent in some countries in Asia since the 1970s. An amplified fragment length polymorphism survey w"&amp;"as used to compare the genetic variation of native and invasive nematode populations in China and to examine the changes in genetic diversity during the invasion process. The genetic diversity of Chinese populations was slightly higher than that of Americ"&amp;"an populations. Analysis of groups sampled from different invasive stages in China, showed that no obvious change in genetic diversity. Hence, genetic drift and founder effects are not obvious in the invasion process. Phylogenetic analysis showed that Chi"&amp;"nese pinewood nematode populations were closer to Japanese populations than to American populations. On the basis of the genetic relationships among samples, two major invasion pathways in China are suggested. One is from Guangdong to Anhui and Zhejiang, "&amp;"and the other is from Guangdong to Jiangsu and then from Jiangsu to Hubei, Guizhong and Congqing. The results imply that it is important to reinforce both domestic and international quarantine to control the spread of pinewood nematode.")</f>
        <v>Pinewood nematode (Bursaphelenchus xylophilus) is an invasive species that causes a destructive forest disease pine wilt disease. This disease has been prevalent in some countries in Asia since the 1970s. An amplified fragment length polymorphism survey was used to compare the genetic variation of native and invasive nematode populations in China and to examine the changes in genetic diversity during the invasion process. The genetic diversity of Chinese populations was slightly higher than that of American populations. Analysis of groups sampled from different invasive stages in China, showed that no obvious change in genetic diversity. Hence, genetic drift and founder effects are not obvious in the invasion process. Phylogenetic analysis showed that Chinese pinewood nematode populations were closer to Japanese populations than to American populations. On the basis of the genetic relationships among samples, two major invasion pathways in China are suggested. One is from Guangdong to Anhui and Zhejiang, and the other is from Guangdong to Jiangsu and then from Jiangsu to Hubei, Guizhong and Congqing. The results imply that it is important to reinforce both domestic and international quarantine to control the spread of pinewood nematode.</v>
      </c>
      <c r="C134" s="24" t="str">
        <f>IFERROR(__xludf.DUMMYFUNCTION("""COMPUTED_VALUE"""),"10.1038/sj.hdy.6801082")</f>
        <v>10.1038/sj.hdy.6801082</v>
      </c>
      <c r="D134" s="24" t="str">
        <f>IFERROR(__xludf.DUMMYFUNCTION("""COMPUTED_VALUE"""),"shaw et al")</f>
        <v>shaw et al</v>
      </c>
      <c r="E134" s="24" t="str">
        <f>IFERROR(__xludf.DUMMYFUNCTION("""COMPUTED_VALUE"""),"WOS:000254335000004")</f>
        <v>WOS:000254335000004</v>
      </c>
      <c r="F134" s="24" t="str">
        <f>IFERROR(__xludf.DUMMYFUNCTION("""COMPUTED_VALUE"""),"[""ELIGIBLE""]")</f>
        <v>["ELIGIBLE"]</v>
      </c>
    </row>
    <row r="135">
      <c r="A135" s="24" t="str">
        <f>IFERROR(__xludf.DUMMYFUNCTION("""COMPUTED_VALUE"""),"Clonal diversity and turnover in an overwintering Daphnia pulex population, and the effect of fish predation")</f>
        <v>Clonal diversity and turnover in an overwintering Daphnia pulex population, and the effect of fish predation</v>
      </c>
      <c r="B135" s="24" t="str">
        <f>IFERROR(__xludf.DUMMYFUNCTION("""COMPUTED_VALUE"""),"1. Daphnia are key species in lake ecosystems and are a model system in ecology. Their ecological success is very much due to their dual reproductive mode: females reproduce parthenogenetically when environmental conditions are favourable but switch to se"&amp;"xual reproduction and resting egg production in unfavourable conditions such as winter. Phases of clonal reproduction lower the overall genotypic diversity of Daphnia populations due to the random loss of genotypes. During phases of sexual reproduction, n"&amp;"ew genotypes enhance the genotypic variability of the population and compensate for the loss of clonal lineages. 2. We hypothesised that clonal diversity should be low during the winter months due to high mortality rates (clonal erosion) but will be resto"&amp;"red in the spring most likely from the resting egg bank. To test this hypothesis, we investigated the clonal composition of a Daphnia pulex population in a small mesotrophic lake in Norway. Daphnia were sampled every month from September 2007 to September"&amp;" 2010, and c. 60 individuals per month were genotyped using 11 microsatellite markers. Marker resolution was high, and 582 different genotypes could be detected in the 936 individuals analysed. 3. An unexpected complication for the study was the illegal i"&amp;"ntroduction of planktivorous fish into the lake between autumn 2006 and spring 2007. This led to significant predation pressure on the D. pulex population and shifted the cladoceran community to smaller species. However, while the D. pulex population dens"&amp;"ity declined severely over the study years, the overall genotypic variability increased. We observed very high turnover rates, with many clones being present for only a single month. Nevertheless, and as expected, genotypic diversity was higher during sum"&amp;"mer and lower during winter, and some parthenogenetic individuals seemed to be able to survive the winter. The large majority of new genotypes came from the resting egg bank. 4. We conclude that, due to the new predation pressure, the resting egg bank has"&amp;" become much more important in restocking genotypic diversity as well as for D. pulex abundance. However, despite the buffering capacities of the resting egg bank, the predation pressure will most likely lead to the extinction of D. pulex in Lake Myravatn"&amp;".")</f>
        <v>1. Daphnia are key species in lake ecosystems and are a model system in ecology. Their ecological success is very much due to their dual reproductive mode: females reproduce parthenogenetically when environmental conditions are favourable but switch to sexual reproduction and resting egg production in unfavourable conditions such as winter. Phases of clonal reproduction lower the overall genotypic diversity of Daphnia populations due to the random loss of genotypes. During phases of sexual reproduction, new genotypes enhance the genotypic variability of the population and compensate for the loss of clonal lineages. 2. We hypothesised that clonal diversity should be low during the winter months due to high mortality rates (clonal erosion) but will be restored in the spring most likely from the resting egg bank. To test this hypothesis, we investigated the clonal composition of a Daphnia pulex population in a small mesotrophic lake in Norway. Daphnia were sampled every month from September 2007 to September 2010, and c. 60 individuals per month were genotyped using 11 microsatellite markers. Marker resolution was high, and 582 different genotypes could be detected in the 936 individuals analysed. 3. An unexpected complication for the study was the illegal introduction of planktivorous fish into the lake between autumn 2006 and spring 2007. This led to significant predation pressure on the D. pulex population and shifted the cladoceran community to smaller species. However, while the D. pulex population density declined severely over the study years, the overall genotypic variability increased. We observed very high turnover rates, with many clones being present for only a single month. Nevertheless, and as expected, genotypic diversity was higher during summer and lower during winter, and some parthenogenetic individuals seemed to be able to survive the winter. The large majority of new genotypes came from the resting egg bank. 4. We conclude that, due to the new predation pressure, the resting egg bank has become much more important in restocking genotypic diversity as well as for D. pulex abundance. However, despite the buffering capacities of the resting egg bank, the predation pressure will most likely lead to the extinction of D. pulex in Lake Myravatn.</v>
      </c>
      <c r="C135" s="24" t="str">
        <f>IFERROR(__xludf.DUMMYFUNCTION("""COMPUTED_VALUE"""),"10.1111/fwb.12378")</f>
        <v>10.1111/fwb.12378</v>
      </c>
      <c r="D135" s="24" t="str">
        <f>IFERROR(__xludf.DUMMYFUNCTION("""COMPUTED_VALUE"""),"shaw et al")</f>
        <v>shaw et al</v>
      </c>
      <c r="E135" s="24" t="str">
        <f>IFERROR(__xludf.DUMMYFUNCTION("""COMPUTED_VALUE"""),"WOS:000339385100014")</f>
        <v>WOS:000339385100014</v>
      </c>
      <c r="F135" s="24" t="str">
        <f>IFERROR(__xludf.DUMMYFUNCTION("""COMPUTED_VALUE"""),"[""ELIGIBLE""]")</f>
        <v>["ELIGIBLE"]</v>
      </c>
    </row>
    <row r="136">
      <c r="A136" s="24" t="str">
        <f>IFERROR(__xludf.DUMMYFUNCTION("""COMPUTED_VALUE"""),"High intra-ocean, but limited inter-ocean genetic connectivity in populations of the deep-water oblique-banded snapper Pristipomoides zonatus (Pisces: Lutjanidae)")</f>
        <v>High intra-ocean, but limited inter-ocean genetic connectivity in populations of the deep-water oblique-banded snapper Pristipomoides zonatus (Pisces: Lutjanidae)</v>
      </c>
      <c r="B136" s="24" t="str">
        <f>IFERROR(__xludf.DUMMYFUNCTION("""COMPUTED_VALUE"""),"While many studies have investigated connectivity and subdivision in marine fish occupying tropical, shallow water reef habitats, relatively few have been conducted on commercially important deep-water species in the Indo-Pacific region. Here, we examine "&amp;"spatial and temporal genetic variation in the deep-water oblique-banded snapper Pristipomoides zonatus, collected from eight locations across the Indian and Pacific Oceans. A total of 292 individuals were screened for genetic variation at six nuclear micr"&amp;"osatellite loci and the cytochrome c oxidase subunit 1 (COI) mitochondrial DNA (mtDNA) gene. There was evidence of low, but significant genetic differentiation between ocean basins (F-cr = 0.009) and no significant divergences between sites within oceans."&amp;" The lack of population structure within ocean basins suggests P. zonatus has a long pelagic larval duration with high levels of connectivity between populations over large geographical distances ( &gt; 2000 kin). There was no evidence of temporal variation "&amp;"in allele frequencies within populations. However, ephemeral genetic divergences between sites were detected, along with a significant reduction in genetic diversity at one site, suggesting there may be low effective population sizes (Ne). Our results sug"&amp;"gest that localized declines in genetic diversity could be offset by gene flow from other locations within ocean basins, though predicting the broader impacts of localized stock depletions requires further understanding of recruitment dynamics and life hi"&amp;"story characteristics of the species.")</f>
        <v>While many studies have investigated connectivity and subdivision in marine fish occupying tropical, shallow water reef habitats, relatively few have been conducted on commercially important deep-water species in the Indo-Pacific region. Here, we examine spatial and temporal genetic variation in the deep-water oblique-banded snapper Pristipomoides zonatus, collected from eight locations across the Indian and Pacific Oceans. A total of 292 individuals were screened for genetic variation at six nuclear microsatellite loci and the cytochrome c oxidase subunit 1 (COI) mitochondrial DNA (mtDNA) gene. There was evidence of low, but significant genetic differentiation between ocean basins (F-cr = 0.009) and no significant divergences between sites within oceans. The lack of population structure within ocean basins suggests P. zonatus has a long pelagic larval duration with high levels of connectivity between populations over large geographical distances ( &gt; 2000 kin). There was no evidence of temporal variation in allele frequencies within populations. However, ephemeral genetic divergences between sites were detected, along with a significant reduction in genetic diversity at one site, suggesting there may be low effective population sizes (Ne). Our results suggest that localized declines in genetic diversity could be offset by gene flow from other locations within ocean basins, though predicting the broader impacts of localized stock depletions requires further understanding of recruitment dynamics and life history characteristics of the species.</v>
      </c>
      <c r="C136" s="24" t="str">
        <f>IFERROR(__xludf.DUMMYFUNCTION("""COMPUTED_VALUE"""),"10.1016/j.fishres.2017.04.015")</f>
        <v>10.1016/j.fishres.2017.04.015</v>
      </c>
      <c r="D136" s="24" t="str">
        <f>IFERROR(__xludf.DUMMYFUNCTION("""COMPUTED_VALUE"""),"shaw et al")</f>
        <v>shaw et al</v>
      </c>
      <c r="E136" s="24" t="str">
        <f>IFERROR(__xludf.DUMMYFUNCTION("""COMPUTED_VALUE"""),"WOS:000404311100025")</f>
        <v>WOS:000404311100025</v>
      </c>
      <c r="F136" s="24" t="str">
        <f>IFERROR(__xludf.DUMMYFUNCTION("""COMPUTED_VALUE"""),"[""ELIGIBLE""]")</f>
        <v>["ELIGIBLE"]</v>
      </c>
    </row>
    <row r="137">
      <c r="A137" s="24" t="str">
        <f>IFERROR(__xludf.DUMMYFUNCTION("""COMPUTED_VALUE"""),"Rapid evolutionary responses in a translocated population of intertidal snail (Bembicium vittatum) utilise variation from different source populations")</f>
        <v>Rapid evolutionary responses in a translocated population of intertidal snail (Bembicium vittatum) utilise variation from different source populations</v>
      </c>
      <c r="B137" s="24" t="str">
        <f>IFERROR(__xludf.DUMMYFUNCTION("""COMPUTED_VALUE"""),"The artificial movement of individuals between populations (translocation) can be an effective way to increase genetic diversity within populations, but few studies have undertaken long term genetic monitoring to determine if variation introduced by trans"&amp;"location is maintained over many generations or whether it can be used to adapt to local conditions. Here, we report on the changes in morphological and molecular variation over a 12-year period in a population of an intertidal littorine snail (Bembicium "&amp;"vittatum) that was created by mixing individuals from three geographically disjunct populations. These source populations differ genetically in shell shape and in allele frequency at several allozyme loci. We found that the translocated population had hig"&amp;"her allozyme diversity than any of the source populations and that this pattern was maintained over multiple generations. Variation in shell shape also increased, but this declined over time as shells became taller. Some allozyme loci also showed signific"&amp;"ant changes in frequency over time. These changes were not consistently towards the genetic makeup of a single source population, and in the case of shell shape, were towards a phenotype that was most suited to the local environment. Our results suggest t"&amp;"hat genetic variation introduced into a population by translocation can be rapidly incorporated and used to adapt to local conditions without domination by a single source population's genome. However, more studies are needed before generalisations on the"&amp;" benefits of mixing individuals from disjunct populations can be made.")</f>
        <v>The artificial movement of individuals between populations (translocation) can be an effective way to increase genetic diversity within populations, but few studies have undertaken long term genetic monitoring to determine if variation introduced by translocation is maintained over many generations or whether it can be used to adapt to local conditions. Here, we report on the changes in morphological and molecular variation over a 12-year period in a population of an intertidal littorine snail (Bembicium vittatum) that was created by mixing individuals from three geographically disjunct populations. These source populations differ genetically in shell shape and in allele frequency at several allozyme loci. We found that the translocated population had higher allozyme diversity than any of the source populations and that this pattern was maintained over multiple generations. Variation in shell shape also increased, but this declined over time as shells became taller. Some allozyme loci also showed significant changes in frequency over time. These changes were not consistently towards the genetic makeup of a single source population, and in the case of shell shape, were towards a phenotype that was most suited to the local environment. Our results suggest that genetic variation introduced into a population by translocation can be rapidly incorporated and used to adapt to local conditions without domination by a single source population's genome. However, more studies are needed before generalisations on the benefits of mixing individuals from disjunct populations can be made.</v>
      </c>
      <c r="C137" s="24" t="str">
        <f>IFERROR(__xludf.DUMMYFUNCTION("""COMPUTED_VALUE"""),"10.1007/s10592-007-9293-3")</f>
        <v>10.1007/s10592-007-9293-3</v>
      </c>
      <c r="D137" s="24" t="str">
        <f>IFERROR(__xludf.DUMMYFUNCTION("""COMPUTED_VALUE"""),"shaw et al")</f>
        <v>shaw et al</v>
      </c>
      <c r="E137" s="24" t="str">
        <f>IFERROR(__xludf.DUMMYFUNCTION("""COMPUTED_VALUE"""),"WOS:000250442000012")</f>
        <v>WOS:000250442000012</v>
      </c>
      <c r="F137" s="24" t="str">
        <f>IFERROR(__xludf.DUMMYFUNCTION("""COMPUTED_VALUE"""),"[""ELIGIBLE""]")</f>
        <v>["ELIGIBLE"]</v>
      </c>
    </row>
    <row r="138">
      <c r="A138" s="24" t="str">
        <f>IFERROR(__xludf.DUMMYFUNCTION("""COMPUTED_VALUE"""),"Large effective population size and temporal genetic stability in Atlantic cod (Gadus morhua) in the southern Gulf of St. Lawrence")</f>
        <v>Large effective population size and temporal genetic stability in Atlantic cod (Gadus morhua) in the southern Gulf of St. Lawrence</v>
      </c>
      <c r="B138" s="24" t="str">
        <f>IFERROR(__xludf.DUMMYFUNCTION("""COMPUTED_VALUE"""),"Worldwide, many commercial fish stocks have experienced dramatic declines due to overfishing. Such fisheries-induced population reductions could potentially erode the genetic diversity of marine fish populations. Based on analyses of DNA extracted from ar"&amp;"chived and contemporary samples, this paper compares the genetic variability at nine microsatellite loci in a Canadian population of Atlantic cod (Gadus morhua) over 80 years, spanning from before the fishery intensified to now when the population is at h"&amp;"istorically low abundance. Extensively validated genetic data from the temporally spaced samples were used to estimate the effective population size. Over the period, we observed no loss of either heterozygosity or allelic diversity. Several of the estima"&amp;"tion methods applied could not distinguish the effective population size from infinity, and the lower 95% confidence limit on estimates was generally &gt;500, suggesting that the effective population size is probably considerably larger than this. Hence, it "&amp;"appears that the southern Gulf of St. Lawrence cod stock has maintained genetic variability to sustain future evolution despite a dramatic population decline.")</f>
        <v>Worldwide, many commercial fish stocks have experienced dramatic declines due to overfishing. Such fisheries-induced population reductions could potentially erode the genetic diversity of marine fish populations. Based on analyses of DNA extracted from archived and contemporary samples, this paper compares the genetic variability at nine microsatellite loci in a Canadian population of Atlantic cod (Gadus morhua) over 80 years, spanning from before the fishery intensified to now when the population is at historically low abundance. Extensively validated genetic data from the temporally spaced samples were used to estimate the effective population size. Over the period, we observed no loss of either heterozygosity or allelic diversity. Several of the estimation methods applied could not distinguish the effective population size from infinity, and the lower 95% confidence limit on estimates was generally &gt;500, suggesting that the effective population size is probably considerably larger than this. Hence, it appears that the southern Gulf of St. Lawrence cod stock has maintained genetic variability to sustain future evolution despite a dramatic population decline.</v>
      </c>
      <c r="C138" s="24" t="str">
        <f>IFERROR(__xludf.DUMMYFUNCTION("""COMPUTED_VALUE"""),"10.1139/F10-084")</f>
        <v>10.1139/F10-084</v>
      </c>
      <c r="D138" s="24" t="str">
        <f>IFERROR(__xludf.DUMMYFUNCTION("""COMPUTED_VALUE"""),"shaw et al")</f>
        <v>shaw et al</v>
      </c>
      <c r="E138" s="24" t="str">
        <f>IFERROR(__xludf.DUMMYFUNCTION("""COMPUTED_VALUE"""),"WOS:000282589200004")</f>
        <v>WOS:000282589200004</v>
      </c>
      <c r="F138" s="24" t="str">
        <f>IFERROR(__xludf.DUMMYFUNCTION("""COMPUTED_VALUE"""),"[""ELIGIBLE""]")</f>
        <v>["ELIGIBLE"]</v>
      </c>
    </row>
    <row r="139">
      <c r="A139" s="24" t="str">
        <f>IFERROR(__xludf.DUMMYFUNCTION("""COMPUTED_VALUE"""),"Genetic diversity in wild and reared populations of the Japanese bitterling Tanakia tanago (Cyprinidae)")</f>
        <v>Genetic diversity in wild and reared populations of the Japanese bitterling Tanakia tanago (Cyprinidae)</v>
      </c>
      <c r="B139" s="24" t="str">
        <f>IFERROR(__xludf.DUMMYFUNCTION("""COMPUTED_VALUE"""),"The Japanese bitterling Tanakia tanago is an endangered cyprinid species; thus, captive breeding programs are being conducted in various facilities as ex situ conservation. To examine the genetic diversity in one wild and three reared populations, and its"&amp;" changes during the process of captive breeding, sequences of the mitochondrial cytochrome b gene and control region were determined. The wild population, collected in 1993, was monomorphic. Although the reared population that originated from the wild pop"&amp;"ulation was almost monomorphic, a rare haplotype, distinct from all others by a relatively large sequence divergence, was also observed. In the other reared populations, some degree of genetic diversity had been maintained. A reared hybrid population, whi"&amp;"ch originated from a mixture of three distinct populations, showed the greatest genetic diversity. These results suggest considerable genetic diversity within and among populations of T. tanago in the past. Although a loss of genetic diversity was observe"&amp;"d in some year-classes of reared populations, there was no tendency for genetic diversity to decrease as a result of captive breeding, probably because offspring were obtained from multi-year-class parents in the captive breeding program. Accordingly, thi"&amp;"s breeding method should be appropriate for conserving the genetic diversity of T. tanago.")</f>
        <v>The Japanese bitterling Tanakia tanago is an endangered cyprinid species; thus, captive breeding programs are being conducted in various facilities as ex situ conservation. To examine the genetic diversity in one wild and three reared populations, and its changes during the process of captive breeding, sequences of the mitochondrial cytochrome b gene and control region were determined. The wild population, collected in 1993, was monomorphic. Although the reared population that originated from the wild population was almost monomorphic, a rare haplotype, distinct from all others by a relatively large sequence divergence, was also observed. In the other reared populations, some degree of genetic diversity had been maintained. A reared hybrid population, which originated from a mixture of three distinct populations, showed the greatest genetic diversity. These results suggest considerable genetic diversity within and among populations of T. tanago in the past. Although a loss of genetic diversity was observed in some year-classes of reared populations, there was no tendency for genetic diversity to decrease as a result of captive breeding, probably because offspring were obtained from multi-year-class parents in the captive breeding program. Accordingly, this breeding method should be appropriate for conserving the genetic diversity of T. tanago.</v>
      </c>
      <c r="C139" s="24" t="str">
        <f>IFERROR(__xludf.DUMMYFUNCTION("""COMPUTED_VALUE"""),"10.1007/s10228-002-0146-2")</f>
        <v>10.1007/s10228-002-0146-2</v>
      </c>
      <c r="D139" s="24" t="str">
        <f>IFERROR(__xludf.DUMMYFUNCTION("""COMPUTED_VALUE"""),"shaw et al")</f>
        <v>shaw et al</v>
      </c>
      <c r="E139" s="24" t="str">
        <f>IFERROR(__xludf.DUMMYFUNCTION("""COMPUTED_VALUE"""),"WOS:000183370500003")</f>
        <v>WOS:000183370500003</v>
      </c>
      <c r="F139" s="24" t="str">
        <f>IFERROR(__xludf.DUMMYFUNCTION("""COMPUTED_VALUE"""),"[""ELIGIBLE""]")</f>
        <v>["ELIGIBLE"]</v>
      </c>
    </row>
    <row r="140">
      <c r="A140" s="24" t="str">
        <f>IFERROR(__xludf.DUMMYFUNCTION("""COMPUTED_VALUE"""),"Temporal genetic variability in the Mediterranean common sea urchin Paracentrotus lividus")</f>
        <v>Temporal genetic variability in the Mediterranean common sea urchin Paracentrotus lividus</v>
      </c>
      <c r="B140" s="24" t="str">
        <f>IFERROR(__xludf.DUMMYFUNCTION("""COMPUTED_VALUE"""),"In sedentary benthic invertebrates with pelagic larval stages, the genetic composition of individuals that recruit at a given site is determined by the interaction between factors such as non-random mating, differential reproductive success, dispersal abi"&amp;"lity, selective pressures, and environmental factors. We studied the temporal variation of genetic structure of several cohorts of the sea urchin Paracentrotus lividus (Lamarck) collected over 2 consecutive years (2006, 2007) from a locality in the NW Med"&amp;"iterranean. Sea urchins bigger than ca. 1 cm in diameter were collected and aged using growth bands visible in the tests. Small recruits of the year were collected by scraping off algal substrates. A fragment of the mitochondrial gene of the cytochrome c "&amp;"oxidase subunit I (COI) and a fragment of the nuclear gene of the gamete recognition protein bindin were sequenced for 374 and 316 urchins, respectively. Differentiation between cohorts was smaller than between spatially separated populations for both mar"&amp;"kers. Likewise, our results do not show a reduction of diversity within cohorts over time or a reduced diversity of the juveniles relative to adult populations. No significant changes in allelic frequencies were detected between cohorts for COI, indicatin"&amp;"g that sweepstake episodes-in which few individuals dominate reproductive events, resulting in high levels of genetic variance-are not common in this species. In contrast, a stronger signal of differentiation was found for bindin, with many pairwise compa"&amp;"risons among cohorts being significant. This differentiation was mainly due to positively selected codons in this gamete recognition protein, which suggests some degree of non-random mating in Paracentrotus lividus. This can be due to spatial and temporal"&amp;" heterogeneity in the pool of gametes resulting in inter-cohort differences in the composition of bindin alleles that maximized fertilization. Our results indicate that processes occurring previous to fertilization are important in shaping the genetic str"&amp;"ucture of populations. This information is relevant if management plans are to be designed for this commercially interesting species.")</f>
        <v>In sedentary benthic invertebrates with pelagic larval stages, the genetic composition of individuals that recruit at a given site is determined by the interaction between factors such as non-random mating, differential reproductive success, dispersal ability, selective pressures, and environmental factors. We studied the temporal variation of genetic structure of several cohorts of the sea urchin Paracentrotus lividus (Lamarck) collected over 2 consecutive years (2006, 2007) from a locality in the NW Mediterranean. Sea urchins bigger than ca. 1 cm in diameter were collected and aged using growth bands visible in the tests. Small recruits of the year were collected by scraping off algal substrates. A fragment of the mitochondrial gene of the cytochrome c oxidase subunit I (COI) and a fragment of the nuclear gene of the gamete recognition protein bindin were sequenced for 374 and 316 urchins, respectively. Differentiation between cohorts was smaller than between spatially separated populations for both markers. Likewise, our results do not show a reduction of diversity within cohorts over time or a reduced diversity of the juveniles relative to adult populations. No significant changes in allelic frequencies were detected between cohorts for COI, indicating that sweepstake episodes-in which few individuals dominate reproductive events, resulting in high levels of genetic variance-are not common in this species. In contrast, a stronger signal of differentiation was found for bindin, with many pairwise comparisons among cohorts being significant. This differentiation was mainly due to positively selected codons in this gamete recognition protein, which suggests some degree of non-random mating in Paracentrotus lividus. This can be due to spatial and temporal heterogeneity in the pool of gametes resulting in inter-cohort differences in the composition of bindin alleles that maximized fertilization. Our results indicate that processes occurring previous to fertilization are important in shaping the genetic structure of populations. This information is relevant if management plans are to be designed for this commercially interesting species.</v>
      </c>
      <c r="C140" s="24" t="str">
        <f>IFERROR(__xludf.DUMMYFUNCTION("""COMPUTED_VALUE"""),"10.3354/meps08576")</f>
        <v>10.3354/meps08576</v>
      </c>
      <c r="D140" s="24" t="str">
        <f>IFERROR(__xludf.DUMMYFUNCTION("""COMPUTED_VALUE"""),"shaw et al")</f>
        <v>shaw et al</v>
      </c>
      <c r="E140" s="24" t="str">
        <f>IFERROR(__xludf.DUMMYFUNCTION("""COMPUTED_VALUE"""),"WOS:000278978800014")</f>
        <v>WOS:000278978800014</v>
      </c>
      <c r="F140" s="24" t="str">
        <f>IFERROR(__xludf.DUMMYFUNCTION("""COMPUTED_VALUE"""),"[""ELIGIBLE""]")</f>
        <v>["ELIGIBLE"]</v>
      </c>
    </row>
    <row r="141">
      <c r="A141" s="24" t="str">
        <f>IFERROR(__xludf.DUMMYFUNCTION("""COMPUTED_VALUE"""),"Genetic change versus stasis over the time course of invasions: trajectories of two concurrent, allopatric introductions of the Eurasian ruffe")</f>
        <v>Genetic change versus stasis over the time course of invasions: trajectories of two concurrent, allopatric introductions of the Eurasian ruffe</v>
      </c>
      <c r="B141" s="24" t="str">
        <f>IFERROR(__xludf.DUMMYFUNCTION("""COMPUTED_VALUE"""),"Few investigations have examined whether population genetic changes occur over the course of nonindigenous species invasions, which would facilitate understanding their trajectories and ecological successes. The Eurasian ruffe fish Gymnocephalus cernua un"&amp;"intentionally was introduced from ballast water released into western Lake Superior of the North American Laurentian Great Lakes in similar to 1986, likely originating from the Elbe River region where ruffe is indigenous. The ruffe spread quickly to sever"&amp;"al other areas in the upper Great Lakes, but despite early predictions, has not invaded the lower Great Lakes. In similar to 1991, the ruffe was introduced to Bassenthwaite Lake in northern England through bait bucket releases from southern England, where"&amp;" it is indigenous (and genetically distinct from the Great Lakes invasion). The genetic trajectories of these two independent invasions offer intriguing evolutionary and ecological comparisons. This study tested two alternative hypotheses for the genetic "&amp;"compositions of the two invasions, with reference to two native northern European populations (Elbe River and Vistula Lagoon): whether they have (1) experienced temporal consistency or (2) changed over their respective 30-year time courses. At each invasi"&amp;"on stage (early, middle, or later), population genetic diversity may (A) remain similar, (B) decrease due to drift, or (C) increase over time due to addition and establishment of new propagules. Analyses of variation at 10 nuclear DNA microsatellite loci "&amp;"and entire mitochondrial DNA control region sequencing revealed that both invasions overall have lower effective population sizes, allelic richness, and observed heterozygosity compared to the native populations, indicating founder effects. The genetic co"&amp;"mpositions of both invasions significantly changed over 30 years, supporting hypothesis 2. Diversity has remained relatively consistent overall (A), with decreased allelic richness at the middle invasion stage (B), followed by recovery (C), suggesting arr"&amp;"ival of new propagules. Moreover, population differentiation occurred with spread in the upper Great Lakes, with no overall differences in genetic diversity levels (scenario 2A). Ruffe numbers in the Great Lakes have been declining over time, and its cont"&amp;"inued absence from the lower Great Lakes may reflect limited genetic diversity stemming from a single source population area and few new supplements. The genetic diversity reservoirs of both ruffe invasions, along with continued measures to prevent new in"&amp;"oculants, may constrain their populations and limit long-term ecological success.")</f>
        <v>Few investigations have examined whether population genetic changes occur over the course of nonindigenous species invasions, which would facilitate understanding their trajectories and ecological successes. The Eurasian ruffe fish Gymnocephalus cernua unintentionally was introduced from ballast water released into western Lake Superior of the North American Laurentian Great Lakes in similar to 1986, likely originating from the Elbe River region where ruffe is indigenous. The ruffe spread quickly to several other areas in the upper Great Lakes, but despite early predictions, has not invaded the lower Great Lakes. In similar to 1991, the ruffe was introduced to Bassenthwaite Lake in northern England through bait bucket releases from southern England, where it is indigenous (and genetically distinct from the Great Lakes invasion). The genetic trajectories of these two independent invasions offer intriguing evolutionary and ecological comparisons. This study tested two alternative hypotheses for the genetic compositions of the two invasions, with reference to two native northern European populations (Elbe River and Vistula Lagoon): whether they have (1) experienced temporal consistency or (2) changed over their respective 30-year time courses. At each invasion stage (early, middle, or later), population genetic diversity may (A) remain similar, (B) decrease due to drift, or (C) increase over time due to addition and establishment of new propagules. Analyses of variation at 10 nuclear DNA microsatellite loci and entire mitochondrial DNA control region sequencing revealed that both invasions overall have lower effective population sizes, allelic richness, and observed heterozygosity compared to the native populations, indicating founder effects. The genetic compositions of both invasions significantly changed over 30 years, supporting hypothesis 2. Diversity has remained relatively consistent overall (A), with decreased allelic richness at the middle invasion stage (B), followed by recovery (C), suggesting arrival of new propagules. Moreover, population differentiation occurred with spread in the upper Great Lakes, with no overall differences in genetic diversity levels (scenario 2A). Ruffe numbers in the Great Lakes have been declining over time, and its continued absence from the lower Great Lakes may reflect limited genetic diversity stemming from a single source population area and few new supplements. The genetic diversity reservoirs of both ruffe invasions, along with continued measures to prevent new inoculants, may constrain their populations and limit long-term ecological success.</v>
      </c>
      <c r="C141" s="24" t="str">
        <f>IFERROR(__xludf.DUMMYFUNCTION("""COMPUTED_VALUE"""),"10.3391/ai.2018.13.4.11")</f>
        <v>10.3391/ai.2018.13.4.11</v>
      </c>
      <c r="D141" s="24" t="str">
        <f>IFERROR(__xludf.DUMMYFUNCTION("""COMPUTED_VALUE"""),"shaw et al")</f>
        <v>shaw et al</v>
      </c>
      <c r="E141" s="24" t="str">
        <f>IFERROR(__xludf.DUMMYFUNCTION("""COMPUTED_VALUE"""),"WOS:000452050100011")</f>
        <v>WOS:000452050100011</v>
      </c>
      <c r="F141" s="24" t="str">
        <f>IFERROR(__xludf.DUMMYFUNCTION("""COMPUTED_VALUE"""),"[""ELIGIBLE""]")</f>
        <v>["ELIGIBLE"]</v>
      </c>
    </row>
    <row r="142">
      <c r="A142" s="24" t="str">
        <f>IFERROR(__xludf.DUMMYFUNCTION("""COMPUTED_VALUE"""),"Impact of human-induced environmental changes on genetic structure and variability in Atlantic salmon, Salmo salar")</f>
        <v>Impact of human-induced environmental changes on genetic structure and variability in Atlantic salmon, Salmo salar</v>
      </c>
      <c r="B142" s="24" t="str">
        <f>IFERROR(__xludf.DUMMYFUNCTION("""COMPUTED_VALUE"""),"The genetic effects on Atlantic salmon, Salmo salar L., populations from potential bottleneck situations caused by human activities in two Norwegian rivers, Laerdalselva and Batnfjordelva, were studied by analysing DNA from fish scales collected before an"&amp;"d after the populations had been exposed to human-induced changes: river regulation, Gyrodactylus salaris infection and rotenone treatment. Using 15 microsatellites, no significant changes were found in the genetic structure and diversity of four populati"&amp;"on samples from Laerdalselva collected over 34years. However, salmon from Laerdalselva were significantly differentiated from nearby (angstrom rOyelva) and more distant (Batnfjordelva and Suldalslagen) populations, testifying to the power of the marker sy"&amp;"stem to detect small genetic differences. Furthermore, two population samples from Batnfjordelva, collected 20years apart, showed low but significant differentiation. The lack of effects on neutral genetic composition in Laerdalselva, despite several pote"&amp;"ntially severe bottleneck events, indicates that stocking and sea cohorts maintain the status quo of this population.")</f>
        <v>The genetic effects on Atlantic salmon, Salmo salar L., populations from potential bottleneck situations caused by human activities in two Norwegian rivers, Laerdalselva and Batnfjordelva, were studied by analysing DNA from fish scales collected before and after the populations had been exposed to human-induced changes: river regulation, Gyrodactylus salaris infection and rotenone treatment. Using 15 microsatellites, no significant changes were found in the genetic structure and diversity of four population samples from Laerdalselva collected over 34years. However, salmon from Laerdalselva were significantly differentiated from nearby (angstrom rOyelva) and more distant (Batnfjordelva and Suldalslagen) populations, testifying to the power of the marker system to detect small genetic differences. Furthermore, two population samples from Batnfjordelva, collected 20years apart, showed low but significant differentiation. The lack of effects on neutral genetic composition in Laerdalselva, despite several potentially severe bottleneck events, indicates that stocking and sea cohorts maintain the status quo of this population.</v>
      </c>
      <c r="C142" s="24" t="str">
        <f>IFERROR(__xludf.DUMMYFUNCTION("""COMPUTED_VALUE"""),"10.1111/fme.12049")</f>
        <v>10.1111/fme.12049</v>
      </c>
      <c r="D142" s="24" t="str">
        <f>IFERROR(__xludf.DUMMYFUNCTION("""COMPUTED_VALUE"""),"shaw et al")</f>
        <v>shaw et al</v>
      </c>
      <c r="E142" s="24" t="str">
        <f>IFERROR(__xludf.DUMMYFUNCTION("""COMPUTED_VALUE"""),"WOS:000330724400004")</f>
        <v>WOS:000330724400004</v>
      </c>
      <c r="F142" s="24" t="str">
        <f>IFERROR(__xludf.DUMMYFUNCTION("""COMPUTED_VALUE"""),"[""ELIGIBLE""]")</f>
        <v>["ELIGIBLE"]</v>
      </c>
    </row>
    <row r="143">
      <c r="A143" s="24" t="str">
        <f>IFERROR(__xludf.DUMMYFUNCTION("""COMPUTED_VALUE"""),"Seasonal variation in the mode of reproduction of Ulva intestinalis in a brackish water environment")</f>
        <v>Seasonal variation in the mode of reproduction of Ulva intestinalis in a brackish water environment</v>
      </c>
      <c r="B143" s="24" t="str">
        <f>IFERROR(__xludf.DUMMYFUNCTION("""COMPUTED_VALUE"""),"We explored the reproductive modes of Viva intestinalis in the inner part of the Baltic Sea during three consecutive years by using five microsatellite loci to estimate the relative abundance of diploid sporophytes and haploid gametophytes. Our results su"&amp;"ggest that both diploid sporophytes and haploid gametophytes occur regularly in the Baltic Sea. The ratio of haploid to diploid individuals changes with seasons. Sporophytes are more abundant than gametophytes throughout the year, but the proportion of ha"&amp;"ploids increases from 10% in early summer to 35% in September. The over-wintering takes primarily place as diploid spores released by sporophytes. The sporophytes appear to reproduce both sexually and asexually in the Baltic Sea, since clones were found f"&amp;"or this life phase. The fraction of individuals which belonged to an apparent diploid clone was higher in spring (62%) than in autumn (33%). We also found evidence for asexual clones in haploid gametophytes. The presence of both diploid and haploid indivi"&amp;"duals and the pattern of genetic and genotypic diversity provide evidence of sexual reproduction in the Baltic Sea. Thus the sporophytes and gametophytes do not function as two reproductively separate units. Compared with many other algal species with a r"&amp;"educed reproductive cycle in low salinity, U. intestinalis differs by having a multitude of reproductive modes also in the brackish water Baltic Sea, which can in part explain the dynamic propagation and high adaptability of the species. (C) 2010 Elsevier"&amp;" B.V. All rights reserved.")</f>
        <v>We explored the reproductive modes of Viva intestinalis in the inner part of the Baltic Sea during three consecutive years by using five microsatellite loci to estimate the relative abundance of diploid sporophytes and haploid gametophytes. Our results suggest that both diploid sporophytes and haploid gametophytes occur regularly in the Baltic Sea. The ratio of haploid to diploid individuals changes with seasons. Sporophytes are more abundant than gametophytes throughout the year, but the proportion of haploids increases from 10% in early summer to 35% in September. The over-wintering takes primarily place as diploid spores released by sporophytes. The sporophytes appear to reproduce both sexually and asexually in the Baltic Sea, since clones were found for this life phase. The fraction of individuals which belonged to an apparent diploid clone was higher in spring (62%) than in autumn (33%). We also found evidence for asexual clones in haploid gametophytes. The presence of both diploid and haploid individuals and the pattern of genetic and genotypic diversity provide evidence of sexual reproduction in the Baltic Sea. Thus the sporophytes and gametophytes do not function as two reproductively separate units. Compared with many other algal species with a reduced reproductive cycle in low salinity, U. intestinalis differs by having a multitude of reproductive modes also in the brackish water Baltic Sea, which can in part explain the dynamic propagation and high adaptability of the species. (C) 2010 Elsevier B.V. All rights reserved.</v>
      </c>
      <c r="C143" s="24" t="str">
        <f>IFERROR(__xludf.DUMMYFUNCTION("""COMPUTED_VALUE"""),"10.1016/j.aquabot.2010.08.003")</f>
        <v>10.1016/j.aquabot.2010.08.003</v>
      </c>
      <c r="D143" s="24" t="str">
        <f>IFERROR(__xludf.DUMMYFUNCTION("""COMPUTED_VALUE"""),"shaw et al")</f>
        <v>shaw et al</v>
      </c>
      <c r="E143" s="24" t="str">
        <f>IFERROR(__xludf.DUMMYFUNCTION("""COMPUTED_VALUE"""),"WOS:000284253900006")</f>
        <v>WOS:000284253900006</v>
      </c>
      <c r="F143" s="24" t="str">
        <f>IFERROR(__xludf.DUMMYFUNCTION("""COMPUTED_VALUE"""),"[""ELIGIBLE""]")</f>
        <v>["ELIGIBLE"]</v>
      </c>
    </row>
    <row r="144">
      <c r="A144" s="24" t="str">
        <f>IFERROR(__xludf.DUMMYFUNCTION("""COMPUTED_VALUE"""),"Genetic Divergence of Nearby Walleye Spawning Groups in Central Lake Erie: Implications for Management")</f>
        <v>Genetic Divergence of Nearby Walleye Spawning Groups in Central Lake Erie: Implications for Management</v>
      </c>
      <c r="B144" s="24" t="str">
        <f>IFERROR(__xludf.DUMMYFUNCTION("""COMPUTED_VALUE"""),"Spawning-site philopatry may lead to genetic differentiation among reproductive populations, despite their locations being in close proximity within single bodies of water. Identifying and maintaining locally differentiated spawning groups of Walleye Sand"&amp;"er vitreus constitute an agency management priority of the multi-agency Walleye Task Group advisory for the Great Lakes Fishery Commission. Although genetically separable spawning groups of Walleyes have been identified from several areas in the Great Lak"&amp;"es, those in central Lake Erie were previously unknown. The Ohio Division of Wildlife (ODW) collected Walleyes for the present analysis from two spawning groups in Lake Erie's central basin, located just 2km apartone in the Grand River, Ohio, and the othe"&amp;"r at the nearby central basin reef. The hypothesis of whether the two spawning groups were genetically different was tested by analyzing variation at 14 nuclear DNA microsatellite loci from Walleyes (n=147) reproducing in 2012 at the two sites and among t"&amp;"hree separate years (1996, 2003, and 2012) in the Grand River (to evaluate temporal trends). Results revealed relatively high genetic diversity in both spawning groups, with the reproductive population in the Grand River having significantly greater allel"&amp;"ic richness and representation of private alleles. The Grand River Walleye runs showed a slight temporal decline in allelic richness from 1996 to 2003, which coincided with ODW reports of declining numbers of Walleyes reproducing there. The two spawning g"&amp;"roups differed in genetic composition suggesting that they are closely related, yet are separable reproductive subpopulations, with both contributing to the overall diversity of Lake Erie Walleye. Their maintenance and integrity thus may need management a"&amp;"ttention and further monitoring.")</f>
        <v>Spawning-site philopatry may lead to genetic differentiation among reproductive populations, despite their locations being in close proximity within single bodies of water. Identifying and maintaining locally differentiated spawning groups of Walleye Sander vitreus constitute an agency management priority of the multi-agency Walleye Task Group advisory for the Great Lakes Fishery Commission. Although genetically separable spawning groups of Walleyes have been identified from several areas in the Great Lakes, those in central Lake Erie were previously unknown. The Ohio Division of Wildlife (ODW) collected Walleyes for the present analysis from two spawning groups in Lake Erie's central basin, located just 2km apartone in the Grand River, Ohio, and the other at the nearby central basin reef. The hypothesis of whether the two spawning groups were genetically different was tested by analyzing variation at 14 nuclear DNA microsatellite loci from Walleyes (n=147) reproducing in 2012 at the two sites and among three separate years (1996, 2003, and 2012) in the Grand River (to evaluate temporal trends). Results revealed relatively high genetic diversity in both spawning groups, with the reproductive population in the Grand River having significantly greater allelic richness and representation of private alleles. The Grand River Walleye runs showed a slight temporal decline in allelic richness from 1996 to 2003, which coincided with ODW reports of declining numbers of Walleyes reproducing there. The two spawning groups differed in genetic composition suggesting that they are closely related, yet are separable reproductive subpopulations, with both contributing to the overall diversity of Lake Erie Walleye. Their maintenance and integrity thus may need management attention and further monitoring.</v>
      </c>
      <c r="C144" s="24" t="str">
        <f>IFERROR(__xludf.DUMMYFUNCTION("""COMPUTED_VALUE"""),"10.1002/nafm.10176")</f>
        <v>10.1002/nafm.10176</v>
      </c>
      <c r="D144" s="24" t="str">
        <f>IFERROR(__xludf.DUMMYFUNCTION("""COMPUTED_VALUE"""),"shaw et al")</f>
        <v>shaw et al</v>
      </c>
      <c r="E144" s="24" t="str">
        <f>IFERROR(__xludf.DUMMYFUNCTION("""COMPUTED_VALUE"""),"WOS:000441706600001")</f>
        <v>WOS:000441706600001</v>
      </c>
      <c r="F144" s="24" t="str">
        <f>IFERROR(__xludf.DUMMYFUNCTION("""COMPUTED_VALUE"""),"[""ELIGIBLE""]")</f>
        <v>["ELIGIBLE"]</v>
      </c>
    </row>
    <row r="145">
      <c r="A145" s="24" t="str">
        <f>IFERROR(__xludf.DUMMYFUNCTION("""COMPUTED_VALUE"""),"Temporal stability of a hybrid swarm between the migratory marine and estuarine fishes Acanthopagrus australis and A. butcheri")</f>
        <v>Temporal stability of a hybrid swarm between the migratory marine and estuarine fishes Acanthopagrus australis and A. butcheri</v>
      </c>
      <c r="B145" s="24" t="str">
        <f>IFERROR(__xludf.DUMMYFUNCTION("""COMPUTED_VALUE"""),"We predict estuaries to be hotspots of hybridisation between migratory marine and estuary-restricted species, although hybridisation rates may vary in space and time, reflecting the dynamic nature of estuaries and potentially widespread but erratic disper"&amp;"sal of marine taxa. Within estuaries, genotype frequencies may reflect past hybridisation events, with genetically intermediate and backcrossed individuals contributing to persistent hybrid swarms. In southeastern Australia, hybridisation has occurred bet"&amp;"ween estuarine black bream Acanthopagrus butcheri and marine yellowfin bream A. australis, but it is unclear whether this reflects a contemporary process. We recently found that, within lakes and lagoons at the southern range limit of A. australis, hybrid"&amp;"s were abundant and A. butcheri extremely rare, and surprisingly, we detected hybrids within a small sample of fish from the Gippsland Lakes, an estuary 250 km further south. In the present study, we compare the genotypic composition of the contemporary G"&amp;"ippsland Lakes population of Acanthopagrus spp. with the historical composition revealed by analysis of museum specimens. The genetic makeup of samples varied little over time, with ancestral A. butcheri virtually absent, and most introgressed individuals"&amp;" matching expectation for later-generation hybrids or A. butcheri backcrosses, suggesting that the lakes have supported persistent hybrid swarms. At each sampling time, the samples were genetically diverse, as measured by mean number of alleles per locus,"&amp;" which ranged from 8.2 to 9.2, and expected heterozygosity (He), which ranged from 0.66 to 0.70; however, we detected little allelic differentiation (F-ST = 0.003) across sampling times. Our data imply that introgressed populations of Acanthopagrus spp. a"&amp;"re more widespread and persistent than previously predicted.")</f>
        <v>We predict estuaries to be hotspots of hybridisation between migratory marine and estuary-restricted species, although hybridisation rates may vary in space and time, reflecting the dynamic nature of estuaries and potentially widespread but erratic dispersal of marine taxa. Within estuaries, genotype frequencies may reflect past hybridisation events, with genetically intermediate and backcrossed individuals contributing to persistent hybrid swarms. In southeastern Australia, hybridisation has occurred between estuarine black bream Acanthopagrus butcheri and marine yellowfin bream A. australis, but it is unclear whether this reflects a contemporary process. We recently found that, within lakes and lagoons at the southern range limit of A. australis, hybrids were abundant and A. butcheri extremely rare, and surprisingly, we detected hybrids within a small sample of fish from the Gippsland Lakes, an estuary 250 km further south. In the present study, we compare the genotypic composition of the contemporary Gippsland Lakes population of Acanthopagrus spp. with the historical composition revealed by analysis of museum specimens. The genetic makeup of samples varied little over time, with ancestral A. butcheri virtually absent, and most introgressed individuals matching expectation for later-generation hybrids or A. butcheri backcrosses, suggesting that the lakes have supported persistent hybrid swarms. At each sampling time, the samples were genetically diverse, as measured by mean number of alleles per locus, which ranged from 8.2 to 9.2, and expected heterozygosity (He), which ranged from 0.66 to 0.70; however, we detected little allelic differentiation (F-ST = 0.003) across sampling times. Our data imply that introgressed populations of Acanthopagrus spp. are more widespread and persistent than previously predicted.</v>
      </c>
      <c r="C145" s="24" t="str">
        <f>IFERROR(__xludf.DUMMYFUNCTION("""COMPUTED_VALUE"""),"10.3354/meps08901")</f>
        <v>10.3354/meps08901</v>
      </c>
      <c r="D145" s="24" t="str">
        <f>IFERROR(__xludf.DUMMYFUNCTION("""COMPUTED_VALUE"""),"shaw et al")</f>
        <v>shaw et al</v>
      </c>
      <c r="E145" s="24" t="str">
        <f>IFERROR(__xludf.DUMMYFUNCTION("""COMPUTED_VALUE"""),"WOS:000286390800017")</f>
        <v>WOS:000286390800017</v>
      </c>
      <c r="F145" s="24" t="str">
        <f>IFERROR(__xludf.DUMMYFUNCTION("""COMPUTED_VALUE"""),"[""ELIGIBLE""]")</f>
        <v>["ELIGIBLE"]</v>
      </c>
    </row>
    <row r="146">
      <c r="A146" s="24" t="str">
        <f>IFERROR(__xludf.DUMMYFUNCTION("""COMPUTED_VALUE"""),"Genetic diversity of Nephtys hombergii (Phyllodocida, Polychaeta) associated with environmental factors in a highly fluctuating ecosystem")</f>
        <v>Genetic diversity of Nephtys hombergii (Phyllodocida, Polychaeta) associated with environmental factors in a highly fluctuating ecosystem</v>
      </c>
      <c r="B146" s="24" t="str">
        <f>IFERROR(__xludf.DUMMYFUNCTION("""COMPUTED_VALUE"""),"Genetic diversity and population distribution are influenced by environmental factors, yet information is scarce on the interrelations that define dispersal of populations. Transitional water ecosystems are hosting habitats with temporally and spatially v"&amp;"ariable conditions, which make them very useful in understanding the mechanisms affecting population establishment. For the study, seasonal samples were collected from four lagoons in the lagoonal complex of Amvrakikos Gulf (W Greece). The mitochondrial D"&amp;"NA (COI gene) was analysed from polychaetes of Nephtys hombergii, as it is considered an important component of these assemblages and shows great dispersal ability. The results of the genetic analysis showed intraspecific variability in all the lagoons, w"&amp;"ith genetic structuring tending to follow a seasonal pattern rather than a spatial one. The results of BIOENV analysis indicated correlation of the observed pattern with the water pH levels, the redox potential and the concentration of phosphate in the se"&amp;"diment. The complexity of the network suggested the enhancement of the local population with more recently established haplotypes. The findings of the study support the necessity of designing management strategies by taking into account genetic diversity "&amp;"and population demography approaches in addition to those based on species and habitats.")</f>
        <v>Genetic diversity and population distribution are influenced by environmental factors, yet information is scarce on the interrelations that define dispersal of populations. Transitional water ecosystems are hosting habitats with temporally and spatially variable conditions, which make them very useful in understanding the mechanisms affecting population establishment. For the study, seasonal samples were collected from four lagoons in the lagoonal complex of Amvrakikos Gulf (W Greece). The mitochondrial DNA (COI gene) was analysed from polychaetes of Nephtys hombergii, as it is considered an important component of these assemblages and shows great dispersal ability. The results of the genetic analysis showed intraspecific variability in all the lagoons, with genetic structuring tending to follow a seasonal pattern rather than a spatial one. The results of BIOENV analysis indicated correlation of the observed pattern with the water pH levels, the redox potential and the concentration of phosphate in the sediment. The complexity of the network suggested the enhancement of the local population with more recently established haplotypes. The findings of the study support the necessity of designing management strategies by taking into account genetic diversity and population demography approaches in addition to those based on species and habitats.</v>
      </c>
      <c r="C146" s="24" t="str">
        <f>IFERROR(__xludf.DUMMYFUNCTION("""COMPUTED_VALUE"""),"10.1017/S0025315416001910")</f>
        <v>10.1017/S0025315416001910</v>
      </c>
      <c r="D146" s="24" t="str">
        <f>IFERROR(__xludf.DUMMYFUNCTION("""COMPUTED_VALUE"""),"shaw et al")</f>
        <v>shaw et al</v>
      </c>
      <c r="E146" s="24" t="str">
        <f>IFERROR(__xludf.DUMMYFUNCTION("""COMPUTED_VALUE"""),"WOS:000435649100014")</f>
        <v>WOS:000435649100014</v>
      </c>
      <c r="F146" s="24" t="str">
        <f>IFERROR(__xludf.DUMMYFUNCTION("""COMPUTED_VALUE"""),"[""ELIGIBLE""]")</f>
        <v>["ELIGIBLE"]</v>
      </c>
    </row>
    <row r="147">
      <c r="A147" s="24" t="str">
        <f>IFERROR(__xludf.DUMMYFUNCTION("""COMPUTED_VALUE"""),"The effect of a supplementation program on the genetic and life history characteristics of an Oncorhynchus mykiss population")</f>
        <v>The effect of a supplementation program on the genetic and life history characteristics of an Oncorhynchus mykiss population</v>
      </c>
      <c r="B147" s="24" t="str">
        <f>IFERROR(__xludf.DUMMYFUNCTION("""COMPUTED_VALUE"""),"Conservation hatcheries, which supplement natural populations by removing adults or embryos from the natural environment and rearing and releasing parr, smolts, or adults back into their natal or ancestral streams, are increasingly being used to avoid ext"&amp;"inction of localized populations of Pacific salmonids. We collected data before and during a steelhead (Oncorhynchus mykiss) supplementation program to investigate the effect that the program has had on the population's genetic diversity and effective pop"&amp;"ulation size and any changes to an important life history trait (residency or anadromy). We found that supplementation did not cause substantial changes in the genetic diversity or effective size of the population, most likely because a large proportion o"&amp;"f all of the steelhead redds in the river each year were sampled to create the supplementation broodstock. Our data also showed that the captively reared fish released as adults successfully produced parr. Furthermore, we found that during supplementation"&amp;", there was an increase in the proportion of O. mykiss with anadromous ancestry vs. resident ancestry.")</f>
        <v>Conservation hatcheries, which supplement natural populations by removing adults or embryos from the natural environment and rearing and releasing parr, smolts, or adults back into their natal or ancestral streams, are increasingly being used to avoid extinction of localized populations of Pacific salmonids. We collected data before and during a steelhead (Oncorhynchus mykiss) supplementation program to investigate the effect that the program has had on the population's genetic diversity and effective population size and any changes to an important life history trait (residency or anadromy). We found that supplementation did not cause substantial changes in the genetic diversity or effective size of the population, most likely because a large proportion of all of the steelhead redds in the river each year were sampled to create the supplementation broodstock. Our data also showed that the captively reared fish released as adults successfully produced parr. Furthermore, we found that during supplementation, there was an increase in the proportion of O. mykiss with anadromous ancestry vs. resident ancestry.</v>
      </c>
      <c r="C147" s="24" t="str">
        <f>IFERROR(__xludf.DUMMYFUNCTION("""COMPUTED_VALUE"""),"10.1139/F10-073")</f>
        <v>10.1139/F10-073</v>
      </c>
      <c r="D147" s="24" t="str">
        <f>IFERROR(__xludf.DUMMYFUNCTION("""COMPUTED_VALUE"""),"shaw et al")</f>
        <v>shaw et al</v>
      </c>
      <c r="E147" s="24" t="str">
        <f>IFERROR(__xludf.DUMMYFUNCTION("""COMPUTED_VALUE"""),"WOS:000282839800008")</f>
        <v>WOS:000282839800008</v>
      </c>
      <c r="F147" s="24" t="str">
        <f>IFERROR(__xludf.DUMMYFUNCTION("""COMPUTED_VALUE"""),"[""ELIGIBLE""]")</f>
        <v>["ELIGIBLE"]</v>
      </c>
    </row>
    <row r="148">
      <c r="A148" s="24" t="str">
        <f>IFERROR(__xludf.DUMMYFUNCTION("""COMPUTED_VALUE"""),"Changes in the population genetics of an invasive Spartina after 10 years of management")</f>
        <v>Changes in the population genetics of an invasive Spartina after 10 years of management</v>
      </c>
      <c r="B148" s="24" t="str">
        <f>IFERROR(__xludf.DUMMYFUNCTION("""COMPUTED_VALUE"""),"Spartina foliosa is native to the San Francisco, California, Bay and Estuary. Spartina alterniflora was introduced to the Bay in the 1970s and subsequently hybridized with S. foliosa. Backcrossing created an invasive hybrid swarm able to outcompete S. fol"&amp;"iosa within its tidal range and spread into higher and lower intertidal zones, drastically altering ecological communities. The San Francisco Estuary Invasive Spartina Project (ISP) has implemented a treatment program that has reduced the net area of inva"&amp;"sive Spartina by 96 % from its peak of 323 hectares. An endangered bird, the California Ridgway's Rail, takes advantage of habitat characteristics supplied by hybrid Spartina, prompting treatment restrictions in some marshes to preserve hybrid Spartina fo"&amp;"r the benefit of rails. We investigated changes in the population genetics of the invasion after 10 years of eradication efforts and after three subsequent years without eradication in some locations. Our investigation covered three areas: sites surroundi"&amp;"ng and including the restricted treatment marshes; sites in the southern Bay similar to proposed salt pond restoration projects; and samples collected Baywide. Our results support previous descriptions of a system of self-fertile hybrid plants that supply"&amp;" seed for mostly localized recruitment into available habitat. Compared to published work from 2003 to 2004, before large-scale eradication efforts began, genetic diversity has generally declined and inbreeding within hybrid populations has increased duri"&amp;"ng and after the period of treatment by the ISP. These observations are perhaps due to pollen limitation as a result of the elimination of most hybrid plants by the ISP. We did not detect strong population genetic boundaries Baywide, but a genetically dis"&amp;"tinguishable localized introduction was detected in 10 of 11 Bay regions, suggesting leptokurtic dispersal. The restricted treatment areas may allow for continued introgression with S. foliosa, recolonization, and longer persistence of these invasive plan"&amp;"ts in the San Francisco Bay. Proximity to hybrid Spartina threatens the success of major restoration projects.")</f>
        <v>Spartina foliosa is native to the San Francisco, California, Bay and Estuary. Spartina alterniflora was introduced to the Bay in the 1970s and subsequently hybridized with S. foliosa. Backcrossing created an invasive hybrid swarm able to outcompete S. foliosa within its tidal range and spread into higher and lower intertidal zones, drastically altering ecological communities. The San Francisco Estuary Invasive Spartina Project (ISP) has implemented a treatment program that has reduced the net area of invasive Spartina by 96 % from its peak of 323 hectares. An endangered bird, the California Ridgway's Rail, takes advantage of habitat characteristics supplied by hybrid Spartina, prompting treatment restrictions in some marshes to preserve hybrid Spartina for the benefit of rails. We investigated changes in the population genetics of the invasion after 10 years of eradication efforts and after three subsequent years without eradication in some locations. Our investigation covered three areas: sites surrounding and including the restricted treatment marshes; sites in the southern Bay similar to proposed salt pond restoration projects; and samples collected Baywide. Our results support previous descriptions of a system of self-fertile hybrid plants that supply seed for mostly localized recruitment into available habitat. Compared to published work from 2003 to 2004, before large-scale eradication efforts began, genetic diversity has generally declined and inbreeding within hybrid populations has increased during and after the period of treatment by the ISP. These observations are perhaps due to pollen limitation as a result of the elimination of most hybrid plants by the ISP. We did not detect strong population genetic boundaries Baywide, but a genetically distinguishable localized introduction was detected in 10 of 11 Bay regions, suggesting leptokurtic dispersal. The restricted treatment areas may allow for continued introgression with S. foliosa, recolonization, and longer persistence of these invasive plants in the San Francisco Bay. Proximity to hybrid Spartina threatens the success of major restoration projects.</v>
      </c>
      <c r="C148" s="24" t="str">
        <f>IFERROR(__xludf.DUMMYFUNCTION("""COMPUTED_VALUE"""),"10.1007/s10530-016-1177-3")</f>
        <v>10.1007/s10530-016-1177-3</v>
      </c>
      <c r="D148" s="24" t="str">
        <f>IFERROR(__xludf.DUMMYFUNCTION("""COMPUTED_VALUE"""),"shaw et al")</f>
        <v>shaw et al</v>
      </c>
      <c r="E148" s="24" t="str">
        <f>IFERROR(__xludf.DUMMYFUNCTION("""COMPUTED_VALUE"""),"WOS:000380117300013")</f>
        <v>WOS:000380117300013</v>
      </c>
      <c r="F148" s="24" t="str">
        <f>IFERROR(__xludf.DUMMYFUNCTION("""COMPUTED_VALUE"""),"[""ELIGIBLE""]")</f>
        <v>["ELIGIBLE"]</v>
      </c>
    </row>
    <row r="149">
      <c r="A149" s="24" t="str">
        <f>IFERROR(__xludf.DUMMYFUNCTION("""COMPUTED_VALUE"""),"Paleogenetic records of Daphnia pulicaria in two North American lakes reveal the impact of cultural eutrophication")</f>
        <v>Paleogenetic records of Daphnia pulicaria in two North American lakes reveal the impact of cultural eutrophication</v>
      </c>
      <c r="B149" s="24" t="str">
        <f>IFERROR(__xludf.DUMMYFUNCTION("""COMPUTED_VALUE"""),"Understanding the evolutionary consequences of the green revolution, particularly in wild populations, is an important frontier in contemporary biology. Because human impacts have occurred at varying magnitudes or time periods depending on the study ecosy"&amp;"stem, evolutionary histories may vary considerably among populations. Paleogenetics in conjunction with paleolimnology enable us to associate microevolutionary dynamics with detailed information on environmental change. We used this approach to reconstruc"&amp;"t changes in the temporal population genetic structure of the keystone zooplankton grazer, Daphnia pulicaria, using dormant eggs extracted from sediments in two Minnesota lakes (South Center, Hill). The extent of agriculture and human population density i"&amp;"n the catchment of these lakes has differed markedly since European settlement in the late 19th century and is reflected in their environmental histories reconstructed here. The reconstructed environments of these two lakes differed strongly in terms of e"&amp;"nvironmental stability and their associated patterns of Daphnia population structure. We detected long periods of stability in population structure and environmental conditions in South Center Lake that were followed by a dramatic temporal shift in popula"&amp;"tion genetic structure after the onset of European settlement and industrialized agriculture in its watershed. In particular, we noted a 24.3-fold increase in phosphorus (P) flux between pre-European and modern sediment P accumulation rates (AR) in this l"&amp;"ake. In contrast, no such shifts were detected in Hill Lake, where the watershed was not as impacted by European settlement and rates of change were less directional with a much smaller increase in sediment P AR (2.3-fold). We identify direct and indirect"&amp;" effects of eutrophication proxies on genetic structure in these lake populations and demonstrate the power of using this approach in understanding the consequences of anthropogenic environmental change on natural populations throughout historic time peri"&amp;"ods.")</f>
        <v>Understanding the evolutionary consequences of the green revolution, particularly in wild populations, is an important frontier in contemporary biology. Because human impacts have occurred at varying magnitudes or time periods depending on the study ecosystem, evolutionary histories may vary considerably among populations. Paleogenetics in conjunction with paleolimnology enable us to associate microevolutionary dynamics with detailed information on environmental change. We used this approach to reconstruct changes in the temporal population genetic structure of the keystone zooplankton grazer, Daphnia pulicaria, using dormant eggs extracted from sediments in two Minnesota lakes (South Center, Hill). The extent of agriculture and human population density in the catchment of these lakes has differed markedly since European settlement in the late 19th century and is reflected in their environmental histories reconstructed here. The reconstructed environments of these two lakes differed strongly in terms of environmental stability and their associated patterns of Daphnia population structure. We detected long periods of stability in population structure and environmental conditions in South Center Lake that were followed by a dramatic temporal shift in population genetic structure after the onset of European settlement and industrialized agriculture in its watershed. In particular, we noted a 24.3-fold increase in phosphorus (P) flux between pre-European and modern sediment P accumulation rates (AR) in this lake. In contrast, no such shifts were detected in Hill Lake, where the watershed was not as impacted by European settlement and rates of change were less directional with a much smaller increase in sediment P AR (2.3-fold). We identify direct and indirect effects of eutrophication proxies on genetic structure in these lake populations and demonstrate the power of using this approach in understanding the consequences of anthropogenic environmental change on natural populations throughout historic time periods.</v>
      </c>
      <c r="C149" s="24" t="str">
        <f>IFERROR(__xludf.DUMMYFUNCTION("""COMPUTED_VALUE"""),"10.1111/gcb.13445")</f>
        <v>10.1111/gcb.13445</v>
      </c>
      <c r="D149" s="24" t="str">
        <f>IFERROR(__xludf.DUMMYFUNCTION("""COMPUTED_VALUE"""),"shaw et al")</f>
        <v>shaw et al</v>
      </c>
      <c r="E149" s="24" t="str">
        <f>IFERROR(__xludf.DUMMYFUNCTION("""COMPUTED_VALUE"""),"WOS:000394343300022")</f>
        <v>WOS:000394343300022</v>
      </c>
      <c r="F149" s="24" t="str">
        <f>IFERROR(__xludf.DUMMYFUNCTION("""COMPUTED_VALUE"""),"[""ELIGIBLE""]")</f>
        <v>["ELIGIBLE"]</v>
      </c>
    </row>
    <row r="150">
      <c r="A150" s="24" t="str">
        <f>IFERROR(__xludf.DUMMYFUNCTION("""COMPUTED_VALUE"""),"Population genetic structure and gene flow patterns between populations of the Antarctic icefish Chionodraco rastrospinosus")</f>
        <v>Population genetic structure and gene flow patterns between populations of the Antarctic icefish Chionodraco rastrospinosus</v>
      </c>
      <c r="B150" s="24" t="str">
        <f>IFERROR(__xludf.DUMMYFUNCTION("""COMPUTED_VALUE"""),"Aim A lack of genetic structure is predicted for Antarctic fish due to the duration of pelagic larval stages and the strength of the currents in the Southern Ocean, particularly the Antarctic Circumpolar Current. In this study we explored the population s"&amp;"tructure of the ocellated icefish, Chionodraco rastrospinosus, by means of analysing a total of 394 individuals collected at four geographical areas off the Antarctic Peninsula in the period 19962006. Location Elephant Island, southern South Shetlands, Jo"&amp;"inville Island and South Orkneys in the Southern Ocean. Methods The spatio-temporal genetic structure of Chionodraco rastrospinosus was explored using seven microsatellite loci. Existence and direction of gene flow across sampling locations were investiga"&amp;"ted using the isolation-by-migration procedure. Results Microsatellite data showed a lack of genetic structuring in the area studied, with no differences found at both the geographical or temporal level, and an eastward unidirectional gene flow among site"&amp;"s. This suggested a lack of genetic barriers for this species, attributable to larval dispersal following the Antarctic Circumpolar Current, which fits well with the predicted pattern for Antarctic fish. Re-examination of genetic data of the closely relat"&amp;"ed icefish Chaenocephalus aceratus, with similar larval duration but displaying genetically structured populations, indicated a weak but significant bidirectional gene flow. Main conclusions Our results point to a relationship that is more complex than ex"&amp;"pected between potential for dispersal and realized gene flow in the marine environment. In addition to ocean circulation and larval dispersal, other major life-history traits might be driving connectivity, particularly larval retention.")</f>
        <v>Aim A lack of genetic structure is predicted for Antarctic fish due to the duration of pelagic larval stages and the strength of the currents in the Southern Ocean, particularly the Antarctic Circumpolar Current. In this study we explored the population structure of the ocellated icefish, Chionodraco rastrospinosus, by means of analysing a total of 394 individuals collected at four geographical areas off the Antarctic Peninsula in the period 19962006. Location Elephant Island, southern South Shetlands, Joinville Island and South Orkneys in the Southern Ocean. Methods The spatio-temporal genetic structure of Chionodraco rastrospinosus was explored using seven microsatellite loci. Existence and direction of gene flow across sampling locations were investigated using the isolation-by-migration procedure. Results Microsatellite data showed a lack of genetic structuring in the area studied, with no differences found at both the geographical or temporal level, and an eastward unidirectional gene flow among sites. This suggested a lack of genetic barriers for this species, attributable to larval dispersal following the Antarctic Circumpolar Current, which fits well with the predicted pattern for Antarctic fish. Re-examination of genetic data of the closely related icefish Chaenocephalus aceratus, with similar larval duration but displaying genetically structured populations, indicated a weak but significant bidirectional gene flow. Main conclusions Our results point to a relationship that is more complex than expected between potential for dispersal and realized gene flow in the marine environment. In addition to ocean circulation and larval dispersal, other major life-history traits might be driving connectivity, particularly larval retention.</v>
      </c>
      <c r="C150" s="24" t="str">
        <f>IFERROR(__xludf.DUMMYFUNCTION("""COMPUTED_VALUE"""),"10.1111/j.1365-2699.2011.02682.x")</f>
        <v>10.1111/j.1365-2699.2011.02682.x</v>
      </c>
      <c r="D150" s="24" t="str">
        <f>IFERROR(__xludf.DUMMYFUNCTION("""COMPUTED_VALUE"""),"shaw et al")</f>
        <v>shaw et al</v>
      </c>
      <c r="E150" s="24" t="str">
        <f>IFERROR(__xludf.DUMMYFUNCTION("""COMPUTED_VALUE"""),"WOS:000305452500013")</f>
        <v>WOS:000305452500013</v>
      </c>
      <c r="F150" s="24" t="str">
        <f>IFERROR(__xludf.DUMMYFUNCTION("""COMPUTED_VALUE"""),"[""ELIGIBLE""]")</f>
        <v>["ELIGIBLE"]</v>
      </c>
    </row>
    <row r="151">
      <c r="A151" s="24" t="str">
        <f>IFERROR(__xludf.DUMMYFUNCTION("""COMPUTED_VALUE"""),"Population genetics of northern pike (Esox lucius) introduced into Lake Davis, California")</f>
        <v>Population genetics of northern pike (Esox lucius) introduced into Lake Davis, California</v>
      </c>
      <c r="B151" s="24" t="str">
        <f>IFERROR(__xludf.DUMMYFUNCTION("""COMPUTED_VALUE"""),"We used molecular genetic techniques to identify the source population of northern pike (Esox lucius) illegally introduced into Lake Davis, California, and to study the dynamics of genetic change since the introduction. We typed 10 tetranucleotide microsa"&amp;"tellite loci from 11 populations and used measures of population differentiation, phylogenetic analysis, and assignment tests to determine the origins of the pre- and post-rotenone-treatment populations. We found that levels of genetic differentiation wer"&amp;"e low between the pre- and both post-treatment Lake Davis samples and phylogenetic analysis revealed that they were all closely related. Assignment tests classified a high proportion of posttreatment individuals to the original Lake Davis population. Cons"&amp;"equently, our results indicate that the fish population that reappeared in 1999 and a subsequent sample in 2002 were descendents or survivors of the initial population. We were unable to assign the pre- or post-treatment individuals consistently to any on"&amp;"e population from a panel of potential source populations, indicating that the ultimate source of the Lake Davis population was likely not sampled. Genetic signatures of a recent population bottleneck are evident in the samples from Lake Davis and the eff"&amp;"ective population size over the sampling period was approximately 7-12 individuals.")</f>
        <v>We used molecular genetic techniques to identify the source population of northern pike (Esox lucius) illegally introduced into Lake Davis, California, and to study the dynamics of genetic change since the introduction. We typed 10 tetranucleotide microsatellite loci from 11 populations and used measures of population differentiation, phylogenetic analysis, and assignment tests to determine the origins of the pre- and post-rotenone-treatment populations. We found that levels of genetic differentiation were low between the pre- and both post-treatment Lake Davis samples and phylogenetic analysis revealed that they were all closely related. Assignment tests classified a high proportion of posttreatment individuals to the original Lake Davis population. Consequently, our results indicate that the fish population that reappeared in 1999 and a subsequent sample in 2002 were descendents or survivors of the initial population. We were unable to assign the pre- or post-treatment individuals consistently to any one population from a panel of potential source populations, indicating that the ultimate source of the Lake Davis population was likely not sampled. Genetic signatures of a recent population bottleneck are evident in the samples from Lake Davis and the effective population size over the sampling period was approximately 7-12 individuals.</v>
      </c>
      <c r="C151" s="24" t="str">
        <f>IFERROR(__xludf.DUMMYFUNCTION("""COMPUTED_VALUE"""),"10.1139/F05-068")</f>
        <v>10.1139/F05-068</v>
      </c>
      <c r="D151" s="24" t="str">
        <f>IFERROR(__xludf.DUMMYFUNCTION("""COMPUTED_VALUE"""),"shaw et al")</f>
        <v>shaw et al</v>
      </c>
      <c r="E151" s="24" t="str">
        <f>IFERROR(__xludf.DUMMYFUNCTION("""COMPUTED_VALUE"""),"WOS:000231599300010")</f>
        <v>WOS:000231599300010</v>
      </c>
      <c r="F151" s="24" t="str">
        <f>IFERROR(__xludf.DUMMYFUNCTION("""COMPUTED_VALUE"""),"[""ELIGIBLE""]")</f>
        <v>["ELIGIBLE"]</v>
      </c>
    </row>
    <row r="152">
      <c r="A152" s="24" t="str">
        <f>IFERROR(__xludf.DUMMYFUNCTION("""COMPUTED_VALUE"""),"Short-term temporal instability in fine-scale genetic structure of masu salmon")</f>
        <v>Short-term temporal instability in fine-scale genetic structure of masu salmon</v>
      </c>
      <c r="B152" s="24" t="str">
        <f>IFERROR(__xludf.DUMMYFUNCTION("""COMPUTED_VALUE"""),"1. Identifying spatial extent and temporal patterns of population genetic structure is important for understanding evolutionary relationships among local populations and for designing conservation programmes. However, little attention has been devoted to "&amp;"understand whether genetic structure is temporally stable or unstable, and how genetic characteristics may change over time. The goal of this study was to assess the temporal stability of the genetic structure of masu salmon (Oncorhynchus masou). 2. To ex"&amp;"amine the temporal component of genetic variation in genetic structuring within a river system, we used 810 masu salmon collected from eight tributaries of the Atsuta River, Hokkaido, Japan, over three consecutive years (i.e. 200709). We assessed the temp"&amp;"oral stability of the genetic structure in 15 microsatel-lite loci by comparing genetic diversity, effective population size and the relationships between genetic and geographical distances among samples collected from different tributaries and over time."&amp;" 3. Significant genetic differences were observed among most of the temporal samples collected from the same tributary, and analysis of molecular variance indicated that the temporal component explained about 10 times more of the genetic variation (1.98%)"&amp;" than did the spatial component (0.18%). 4. Isolation by distance (IBD) was detected only in 2009. In addition, a significant correlation in population genetic structure was observed between samples collected in 2008 and those in 2009. In 2007, decomposed"&amp;" pairwise regression analysis identified one population as an outlier population and, following exclusion of the outlier sample, IBD was observed in 2007. This population is small and physically isolated by waterfall, in which the effective population siz"&amp;"e or effective number of breeders would be expected to be small. 5. We found that fine-scale genetic structure in masu salmon populations was temporally unstable, due perhaps to genetic drift in small isolated populations, temporal changes in environmenta"&amp;"l conditions (e.g. drought), and a combination of these factors. This study also highlights that the genetic structure among populations could easily be affected by temporal and/or sampling issues. Studies focused on temporal genetic structuring are likel"&amp;"y to be important for conservation of species inhabiting unstable or isolated habitats such as freshwater fish.")</f>
        <v>1. Identifying spatial extent and temporal patterns of population genetic structure is important for understanding evolutionary relationships among local populations and for designing conservation programmes. However, little attention has been devoted to understand whether genetic structure is temporally stable or unstable, and how genetic characteristics may change over time. The goal of this study was to assess the temporal stability of the genetic structure of masu salmon (Oncorhynchus masou). 2. To examine the temporal component of genetic variation in genetic structuring within a river system, we used 810 masu salmon collected from eight tributaries of the Atsuta River, Hokkaido, Japan, over three consecutive years (i.e. 200709). We assessed the temporal stability of the genetic structure in 15 microsatel-lite loci by comparing genetic diversity, effective population size and the relationships between genetic and geographical distances among samples collected from different tributaries and over time. 3. Significant genetic differences were observed among most of the temporal samples collected from the same tributary, and analysis of molecular variance indicated that the temporal component explained about 10 times more of the genetic variation (1.98%) than did the spatial component (0.18%). 4. Isolation by distance (IBD) was detected only in 2009. In addition, a significant correlation in population genetic structure was observed between samples collected in 2008 and those in 2009. In 2007, decomposed pairwise regression analysis identified one population as an outlier population and, following exclusion of the outlier sample, IBD was observed in 2007. This population is small and physically isolated by waterfall, in which the effective population size or effective number of breeders would be expected to be small. 5. We found that fine-scale genetic structure in masu salmon populations was temporally unstable, due perhaps to genetic drift in small isolated populations, temporal changes in environmental conditions (e.g. drought), and a combination of these factors. This study also highlights that the genetic structure among populations could easily be affected by temporal and/or sampling issues. Studies focused on temporal genetic structuring are likely to be important for conservation of species inhabiting unstable or isolated habitats such as freshwater fish.</v>
      </c>
      <c r="C152" s="24" t="str">
        <f>IFERROR(__xludf.DUMMYFUNCTION("""COMPUTED_VALUE"""),"10.1111/fwb.12978")</f>
        <v>10.1111/fwb.12978</v>
      </c>
      <c r="D152" s="24" t="str">
        <f>IFERROR(__xludf.DUMMYFUNCTION("""COMPUTED_VALUE"""),"shaw et al")</f>
        <v>shaw et al</v>
      </c>
      <c r="E152" s="24" t="str">
        <f>IFERROR(__xludf.DUMMYFUNCTION("""COMPUTED_VALUE"""),"WOS:000409110900014")</f>
        <v>WOS:000409110900014</v>
      </c>
      <c r="F152" s="24" t="str">
        <f>IFERROR(__xludf.DUMMYFUNCTION("""COMPUTED_VALUE"""),"[""ELIGIBLE""]")</f>
        <v>["ELIGIBLE"]</v>
      </c>
    </row>
    <row r="153">
      <c r="A153" s="24" t="str">
        <f>IFERROR(__xludf.DUMMYFUNCTION("""COMPUTED_VALUE"""),"Urban landscape genomics identifies fine-scale gene flow patterns in an avian invasive")</f>
        <v>Urban landscape genomics identifies fine-scale gene flow patterns in an avian invasive</v>
      </c>
      <c r="B153" s="24" t="str">
        <f>IFERROR(__xludf.DUMMYFUNCTION("""COMPUTED_VALUE"""),"Invasive species exert a serious impact on native fauna and flora and have been the target of many eradication and management efforts worldwide. However, a lack of data on population structure and history, exacerbated by the recency of many species introd"&amp;"uctions, limits the efficiency with which such species can be kept at bay. In this study we generated a novel genome of high assembly quality and genotyped 4735 genome-wide single nucleotide polymorphic (SNP) markers from 78 individuals of an invasive pop"&amp;"ulation of the Javan Myna Acridotheres javanicus across the island of Singapore. We inferred limited population subdivision at a micro-geographic level, a genetic patch size (similar to 13-14 km) indicative of a pronounced dispersal ability, and barely an"&amp;" increase in effective population size since introduction despite an increase of four to five orders of magnitude in actual population size, suggesting that low population-genetic diversity following a bottleneck has not impeded establishment success. Lan"&amp;"dscape genomic analyses identified urban features, such as low-rise neighborhoods, that constitute pronounced barriers to gene flow. Based on our data, we consider an approach targeting the complete eradication of Javan Mynas across Singapore to be unfeas"&amp;"ible. Instead, a mixed approach of localized mitigation measures taking into account urban geographic features and planning policy may be the most promising avenue to reducing the adverse impacts of this urban pest. Our study demonstrates how genomic meth"&amp;"ods can directly inform the management and control of invasive species, even in geographically limited datasets with high gene flow rates.")</f>
        <v>Invasive species exert a serious impact on native fauna and flora and have been the target of many eradication and management efforts worldwide. However, a lack of data on population structure and history, exacerbated by the recency of many species introductions, limits the efficiency with which such species can be kept at bay. In this study we generated a novel genome of high assembly quality and genotyped 4735 genome-wide single nucleotide polymorphic (SNP) markers from 78 individuals of an invasive population of the Javan Myna Acridotheres javanicus across the island of Singapore. We inferred limited population subdivision at a micro-geographic level, a genetic patch size (similar to 13-14 km) indicative of a pronounced dispersal ability, and barely an increase in effective population size since introduction despite an increase of four to five orders of magnitude in actual population size, suggesting that low population-genetic diversity following a bottleneck has not impeded establishment success. Landscape genomic analyses identified urban features, such as low-rise neighborhoods, that constitute pronounced barriers to gene flow. Based on our data, we consider an approach targeting the complete eradication of Javan Mynas across Singapore to be unfeasible. Instead, a mixed approach of localized mitigation measures taking into account urban geographic features and planning policy may be the most promising avenue to reducing the adverse impacts of this urban pest. Our study demonstrates how genomic methods can directly inform the management and control of invasive species, even in geographically limited datasets with high gene flow rates.</v>
      </c>
      <c r="C153" s="24" t="str">
        <f>IFERROR(__xludf.DUMMYFUNCTION("""COMPUTED_VALUE"""),"10.1038/s41437-017-0026-1")</f>
        <v>10.1038/s41437-017-0026-1</v>
      </c>
      <c r="D153" s="24" t="str">
        <f>IFERROR(__xludf.DUMMYFUNCTION("""COMPUTED_VALUE"""),"shaw et al")</f>
        <v>shaw et al</v>
      </c>
      <c r="E153" s="24" t="str">
        <f>IFERROR(__xludf.DUMMYFUNCTION("""COMPUTED_VALUE"""),"WOS:000419974300005")</f>
        <v>WOS:000419974300005</v>
      </c>
      <c r="F153" s="24" t="str">
        <f>IFERROR(__xludf.DUMMYFUNCTION("""COMPUTED_VALUE"""),"[""ELIGIBLE""]")</f>
        <v>["ELIGIBLE"]</v>
      </c>
    </row>
    <row r="154">
      <c r="A154" s="24" t="str">
        <f>IFERROR(__xludf.DUMMYFUNCTION("""COMPUTED_VALUE"""),"Genetic structure of juvenile cohorts of bicolor damselfish (Stegastes partitus) along the Mesoamerican barrier reef: chaos through time")</f>
        <v>Genetic structure of juvenile cohorts of bicolor damselfish (Stegastes partitus) along the Mesoamerican barrier reef: chaos through time</v>
      </c>
      <c r="B154" s="24" t="str">
        <f>IFERROR(__xludf.DUMMYFUNCTION("""COMPUTED_VALUE"""),"Dispersal in marine systems is a critical component of the ecology, evolution, and conservation of such systems; however, estimating dispersal is logistically difficult, especially in coral reef fish. Juvenile bicolor damselfish (Stegastes partitus) were "&amp;"sampled at 13 sites along the Mesoamerican Barrier Reef System (MBRS), the barrier reefs on the east coast of Central America extending from the Yucatan, Mexico to Honduras, to evaluate genetic structure among recently settled cohorts. Using genotype data"&amp;" at eight microsatellite loci genetic structure was estimated at large and small spatial scales using exact tests for allele frequency differences and hierarchical analysis of molecular variance (AMOVA). Isolation-by-distance models of divergence were ass"&amp;"essed at both spatial scales. Results showed genetic homogeneity of recently settled S. partitus at large geographic scales with subtle, but significant, genetic structure at smaller geographic scales. Genetic temporal stability was tested for using archi"&amp;"ved juvenile S. partitus collected earlier in the same year (nine sites), and in the previous year (six sites). The temporal analyses indicated that allele frequency differences among sites were not generally conserved over time, nor were pairwise genetic"&amp;" distances correlated through time, indicative of temporal instability. These results indicate that S. partitus larvae undergo high levels of dispersal along the MBRS, and that the structure detected at smaller spatial scales is likely driven by stochasti"&amp;"c effects on dispersal coupled with microgeographic effects. Temporal variation in juvenile cohort genetic signature may be a fundamental characteristic of connectivity patterns in coral reef fishes, with various species and populations differing only in "&amp;"the magnitude of that instability. Such a scenario provides a basis for the reconciliation of conflicting views regarding levels of genetic structuring in S. partitus and possibly other coral reef fish species.")</f>
        <v>Dispersal in marine systems is a critical component of the ecology, evolution, and conservation of such systems; however, estimating dispersal is logistically difficult, especially in coral reef fish. Juvenile bicolor damselfish (Stegastes partitus) were sampled at 13 sites along the Mesoamerican Barrier Reef System (MBRS), the barrier reefs on the east coast of Central America extending from the Yucatan, Mexico to Honduras, to evaluate genetic structure among recently settled cohorts. Using genotype data at eight microsatellite loci genetic structure was estimated at large and small spatial scales using exact tests for allele frequency differences and hierarchical analysis of molecular variance (AMOVA). Isolation-by-distance models of divergence were assessed at both spatial scales. Results showed genetic homogeneity of recently settled S. partitus at large geographic scales with subtle, but significant, genetic structure at smaller geographic scales. Genetic temporal stability was tested for using archived juvenile S. partitus collected earlier in the same year (nine sites), and in the previous year (six sites). The temporal analyses indicated that allele frequency differences among sites were not generally conserved over time, nor were pairwise genetic distances correlated through time, indicative of temporal instability. These results indicate that S. partitus larvae undergo high levels of dispersal along the MBRS, and that the structure detected at smaller spatial scales is likely driven by stochastic effects on dispersal coupled with microgeographic effects. Temporal variation in juvenile cohort genetic signature may be a fundamental characteristic of connectivity patterns in coral reef fishes, with various species and populations differing only in the magnitude of that instability. Such a scenario provides a basis for the reconciliation of conflicting views regarding levels of genetic structuring in S. partitus and possibly other coral reef fish species.</v>
      </c>
      <c r="C154" s="24" t="str">
        <f>IFERROR(__xludf.DUMMYFUNCTION("""COMPUTED_VALUE"""),"10.1007/s00338-008-0423-2")</f>
        <v>10.1007/s00338-008-0423-2</v>
      </c>
      <c r="D154" s="24" t="str">
        <f>IFERROR(__xludf.DUMMYFUNCTION("""COMPUTED_VALUE"""),"shaw et al")</f>
        <v>shaw et al</v>
      </c>
      <c r="E154" s="24" t="str">
        <f>IFERROR(__xludf.DUMMYFUNCTION("""COMPUTED_VALUE"""),"WOS:000263071800034")</f>
        <v>WOS:000263071800034</v>
      </c>
      <c r="F154" s="24" t="str">
        <f>IFERROR(__xludf.DUMMYFUNCTION("""COMPUTED_VALUE"""),"[""ELIGIBLE""]")</f>
        <v>["ELIGIBLE"]</v>
      </c>
    </row>
    <row r="155">
      <c r="A155" s="24" t="str">
        <f>IFERROR(__xludf.DUMMYFUNCTION("""COMPUTED_VALUE"""),"Genetic analysis reveals two distinct Sacramento splittail (Pogonichthys macrolepidotus) populations")</f>
        <v>Genetic analysis reveals two distinct Sacramento splittail (Pogonichthys macrolepidotus) populations</v>
      </c>
      <c r="B155" s="24" t="str">
        <f>IFERROR(__xludf.DUMMYFUNCTION("""COMPUTED_VALUE"""),"The Sacramento splittail is an endemic cyprinid fish of the San Francisco estuary and its tributaries, which is a highly manipulated, constantly changing ecosystem. Splittail is the only extant member of its genus and is listed as a federal and California"&amp;" Species of Special Concern due to uncertainties regarding long-term abundance trends. Determining population structure for splittail is important because unique populations may contain different adaptive genetic variation, which can allow one population "&amp;"to persist through future environmental or demographic stochasticity while others become extirpated. To assess splittail population structure, 13 microsatellite markers were used to genotype 489 young-of-year splittail from five major rivers draining into"&amp;" the estuary: Cosumnes, Napa, Petaluma, Sacramento, and San Joaquin Rivers. Two genetically distinct populations were found to exist within our study region; one largely comprised of splittail collected from the Petaluma and Napa Rivers and the second com"&amp;"prised of splittail collected from tributaries in California's Central Valley: Cosumnes, Sacramento, and San Joaquin Rivers. These results were replicated in two consecutive years with both distance and model-based algorithms. The genetic distinction betw"&amp;"een these two populations appears correlated with salinity differences between migratory regions and spawning grounds. Splittail from the Petaluma River exhibited a significantly higher degree of differentiation from the Central Valley population than did"&amp;" Napa River splittail. Our results suggest on-going monitoring programs are probably highly biased towards sampling splittail from the Central Valley population. Understanding population dynamics of splittail could be improved if monitoring programs were "&amp;"expanded to include all splittail populations.")</f>
        <v>The Sacramento splittail is an endemic cyprinid fish of the San Francisco estuary and its tributaries, which is a highly manipulated, constantly changing ecosystem. Splittail is the only extant member of its genus and is listed as a federal and California Species of Special Concern due to uncertainties regarding long-term abundance trends. Determining population structure for splittail is important because unique populations may contain different adaptive genetic variation, which can allow one population to persist through future environmental or demographic stochasticity while others become extirpated. To assess splittail population structure, 13 microsatellite markers were used to genotype 489 young-of-year splittail from five major rivers draining into the estuary: Cosumnes, Napa, Petaluma, Sacramento, and San Joaquin Rivers. Two genetically distinct populations were found to exist within our study region; one largely comprised of splittail collected from the Petaluma and Napa Rivers and the second comprised of splittail collected from tributaries in California's Central Valley: Cosumnes, Sacramento, and San Joaquin Rivers. These results were replicated in two consecutive years with both distance and model-based algorithms. The genetic distinction between these two populations appears correlated with salinity differences between migratory regions and spawning grounds. Splittail from the Petaluma River exhibited a significantly higher degree of differentiation from the Central Valley population than did Napa River splittail. Our results suggest on-going monitoring programs are probably highly biased towards sampling splittail from the Central Valley population. Understanding population dynamics of splittail could be improved if monitoring programs were expanded to include all splittail populations.</v>
      </c>
      <c r="C155" s="24" t="str">
        <f>IFERROR(__xludf.DUMMYFUNCTION("""COMPUTED_VALUE"""),"10.1007/s10592-006-9157-2")</f>
        <v>10.1007/s10592-006-9157-2</v>
      </c>
      <c r="D155" s="24" t="str">
        <f>IFERROR(__xludf.DUMMYFUNCTION("""COMPUTED_VALUE"""),"shaw et al")</f>
        <v>shaw et al</v>
      </c>
      <c r="E155" s="24" t="str">
        <f>IFERROR(__xludf.DUMMYFUNCTION("""COMPUTED_VALUE"""),"WOS:000243187100014")</f>
        <v>WOS:000243187100014</v>
      </c>
      <c r="F155" s="24" t="str">
        <f>IFERROR(__xludf.DUMMYFUNCTION("""COMPUTED_VALUE"""),"[""ELIGIBLE""]")</f>
        <v>["ELIGIBLE"]</v>
      </c>
    </row>
    <row r="156">
      <c r="A156" s="24" t="str">
        <f>IFERROR(__xludf.DUMMYFUNCTION("""COMPUTED_VALUE"""),"Increased human occupation and agricultural development accelerates the population contraction of an estuarine delphinid")</f>
        <v>Increased human occupation and agricultural development accelerates the population contraction of an estuarine delphinid</v>
      </c>
      <c r="B156" s="24" t="str">
        <f>IFERROR(__xludf.DUMMYFUNCTION("""COMPUTED_VALUE"""),"Over the past few thousand years, human development and population expansion in southern China have led to local extirpation and population contraction of many terrestrial animals. At what extent this early human-induced environmental change has also affe"&amp;"cted coastal marine species remains poorly known. We investigated the demographic history of the Indo-Pacific humpback dolphin ( Sousa chinensis) in the Pearl River Delta ( PRD); an obligatory inshore species known for its susceptibility to anthropogenic "&amp;"impacts in one of China's most developed coastal regions. Although the deltaic evolution of PRD has been influenced by climate since the Holocene, similar to 74% reduction of the dolphin's effective population size occurred within the last 2000 years, con"&amp;"sistent with similar to 61% habitat contraction during this period. This considerable and recent population contraction may have been due to land use practices and deforestation in the upper/ middle Pearl River region, all leading to increasing sedimentat"&amp;"ion rate in the estuarine area. As anthropogenic impacts within the drainage of Pearl River affected a vast area, coastal dolphins and large terrestrial mammals in southern China may share a similar demographic history, whilst the demographic and biogeogr"&amp;"aphic history of the PRD humpback dolphins may be symptomatic of similar processes that this species may have undergone elsewhere in the region.")</f>
        <v>Over the past few thousand years, human development and population expansion in southern China have led to local extirpation and population contraction of many terrestrial animals. At what extent this early human-induced environmental change has also affected coastal marine species remains poorly known. We investigated the demographic history of the Indo-Pacific humpback dolphin ( Sousa chinensis) in the Pearl River Delta ( PRD); an obligatory inshore species known for its susceptibility to anthropogenic impacts in one of China's most developed coastal regions. Although the deltaic evolution of PRD has been influenced by climate since the Holocene, similar to 74% reduction of the dolphin's effective population size occurred within the last 2000 years, consistent with similar to 61% habitat contraction during this period. This considerable and recent population contraction may have been due to land use practices and deforestation in the upper/ middle Pearl River region, all leading to increasing sedimentation rate in the estuarine area. As anthropogenic impacts within the drainage of Pearl River affected a vast area, coastal dolphins and large terrestrial mammals in southern China may share a similar demographic history, whilst the demographic and biogeographic history of the PRD humpback dolphins may be symptomatic of similar processes that this species may have undergone elsewhere in the region.</v>
      </c>
      <c r="C156" s="24" t="str">
        <f>IFERROR(__xludf.DUMMYFUNCTION("""COMPUTED_VALUE"""),"10.1038/srep35713")</f>
        <v>10.1038/srep35713</v>
      </c>
      <c r="D156" s="24" t="str">
        <f>IFERROR(__xludf.DUMMYFUNCTION("""COMPUTED_VALUE"""),"shaw et al")</f>
        <v>shaw et al</v>
      </c>
      <c r="E156" s="24" t="str">
        <f>IFERROR(__xludf.DUMMYFUNCTION("""COMPUTED_VALUE"""),"WOS:000385699300001")</f>
        <v>WOS:000385699300001</v>
      </c>
      <c r="F156" s="24" t="str">
        <f>IFERROR(__xludf.DUMMYFUNCTION("""COMPUTED_VALUE"""),"[""ELIGIBLE""]")</f>
        <v>["ELIGIBLE"]</v>
      </c>
    </row>
    <row r="157">
      <c r="A157" s="24" t="str">
        <f>IFERROR(__xludf.DUMMYFUNCTION("""COMPUTED_VALUE"""),"Spatiotemporal population genetics of the endangered Perote ground squirrel (Xerospermophilus perotensis) in a fragmented landscape")</f>
        <v>Spatiotemporal population genetics of the endangered Perote ground squirrel (Xerospermophilus perotensis) in a fragmented landscape</v>
      </c>
      <c r="B157" s="24" t="str">
        <f>IFERROR(__xludf.DUMMYFUNCTION("""COMPUTED_VALUE"""),"The Perote ground squirrel (Xerospermophilus perotensis) is endemic to Mexico and is currently at risk of extinction. Its original range comprised 5,250 km(2) in an area known as the Oriental Basin, between the states of Puebla and Veracruz. By the end of"&amp;" the 20th century, however, extensive agricultural practices, overgrazing, and urbanization had already restricted suitable habitat for this species to only 16 localities. Temporal changes in genetic diversity and structure in this species were assessed f"&amp;"rom 34 museum specimens from 5 historical populations (1990-1992) and 44 individuals from 3 current populations (2007) using the mitochondrial (mtDNA) control region and 5 nuclear microsatellites. We observed a general trend (significant in some cases and"&amp;" nonsignificant in others) suggesting a decrease in genetic diversity within populations and an increase in genetic structure between them in recent years for both sets of markers. A Bayesian skyline reconstruction for the mtDNA sequences was congruent wi"&amp;"th a recent demographic decline scenario. If genetic drift is the predominant evolutionary force in Perote ground squirrels, then the loss of genetic diversity could intensify in a few generations even if the effective population sizes remain constant. Ur"&amp;"gent measures to increase the effective population sizes and maintain the genetic cohesion among populations are critical to the conservation of this species. Because no protected areas are planned in the Oriental Basin, we suggest translocating individua"&amp;"ls between populations to avoid further loss of genetic diversity in the short run. In the long run, however, it will be necessary to devise a strategy to introduce individuals into suitable patches of habitat and to spatially link these populations so th"&amp;"at genetic exchange can take place without the need for management assistance.")</f>
        <v>The Perote ground squirrel (Xerospermophilus perotensis) is endemic to Mexico and is currently at risk of extinction. Its original range comprised 5,250 km(2) in an area known as the Oriental Basin, between the states of Puebla and Veracruz. By the end of the 20th century, however, extensive agricultural practices, overgrazing, and urbanization had already restricted suitable habitat for this species to only 16 localities. Temporal changes in genetic diversity and structure in this species were assessed from 34 museum specimens from 5 historical populations (1990-1992) and 44 individuals from 3 current populations (2007) using the mitochondrial (mtDNA) control region and 5 nuclear microsatellites. We observed a general trend (significant in some cases and nonsignificant in others) suggesting a decrease in genetic diversity within populations and an increase in genetic structure between them in recent years for both sets of markers. A Bayesian skyline reconstruction for the mtDNA sequences was congruent with a recent demographic decline scenario. If genetic drift is the predominant evolutionary force in Perote ground squirrels, then the loss of genetic diversity could intensify in a few generations even if the effective population sizes remain constant. Urgent measures to increase the effective population sizes and maintain the genetic cohesion among populations are critical to the conservation of this species. Because no protected areas are planned in the Oriental Basin, we suggest translocating individuals between populations to avoid further loss of genetic diversity in the short run. In the long run, however, it will be necessary to devise a strategy to introduce individuals into suitable patches of habitat and to spatially link these populations so that genetic exchange can take place without the need for management assistance.</v>
      </c>
      <c r="C157" s="24" t="str">
        <f>IFERROR(__xludf.DUMMYFUNCTION("""COMPUTED_VALUE"""),"10.1644/11-MAMM-A-371.1")</f>
        <v>10.1644/11-MAMM-A-371.1</v>
      </c>
      <c r="D157" s="24" t="str">
        <f>IFERROR(__xludf.DUMMYFUNCTION("""COMPUTED_VALUE"""),"shaw et al")</f>
        <v>shaw et al</v>
      </c>
      <c r="E157" s="24" t="str">
        <f>IFERROR(__xludf.DUMMYFUNCTION("""COMPUTED_VALUE"""),"WOS:000309014200016")</f>
        <v>WOS:000309014200016</v>
      </c>
      <c r="F157" s="24" t="str">
        <f>IFERROR(__xludf.DUMMYFUNCTION("""COMPUTED_VALUE"""),"[""ELIGIBLE""]")</f>
        <v>["ELIGIBLE"]</v>
      </c>
    </row>
    <row r="158">
      <c r="A158" s="24" t="str">
        <f>IFERROR(__xludf.DUMMYFUNCTION("""COMPUTED_VALUE"""),"Genetic differentiation between collections of hatchery and wild masu salmon (Oncorhynchus masou) inferred from mitochondrial and microsatellite DNA analyses")</f>
        <v>Genetic differentiation between collections of hatchery and wild masu salmon (Oncorhynchus masou) inferred from mitochondrial and microsatellite DNA analyses</v>
      </c>
      <c r="B158" s="24" t="str">
        <f>IFERROR(__xludf.DUMMYFUNCTION("""COMPUTED_VALUE"""),"There has been very little effort to understand genetic divergence between wild and hatchery populations of masu salmon (Oncorhynchus masou). In this study, we used mitochondrial (mt) NADH dehydrogenase subunit 5 gene (ND5) and six polymorphic nuclear mic"&amp;"rosatellite DNA loci to compare the genetic variability in three hatchery broodstocks of masu salmon with the variability in eight putative wild masu populations sampled in five rivers including one known source river for the hatchery broodstocks. Both ND"&amp;"5 and microsatellites showed no significant genetic divergence (based on F-ST estimates) between four annual collections from the source river population, suggesting no change in genetic diversity over this time period. The F-ST estimates, an analysis of "&amp;"molecular variance (AMOVA), and a neighbor-joining tree using both DNA markers suggested significant differentiation between the three hatchery and all eight putative wild populations. We conclude that genetic diversity of hatchery populations are low rel"&amp;"ative to putative wild populations of masu salmon, and we discuss the implications for conservation and fisheries management in Hokkaido.")</f>
        <v>There has been very little effort to understand genetic divergence between wild and hatchery populations of masu salmon (Oncorhynchus masou). In this study, we used mitochondrial (mt) NADH dehydrogenase subunit 5 gene (ND5) and six polymorphic nuclear microsatellite DNA loci to compare the genetic variability in three hatchery broodstocks of masu salmon with the variability in eight putative wild masu populations sampled in five rivers including one known source river for the hatchery broodstocks. Both ND5 and microsatellites showed no significant genetic divergence (based on F-ST estimates) between four annual collections from the source river population, suggesting no change in genetic diversity over this time period. The F-ST estimates, an analysis of molecular variance (AMOVA), and a neighbor-joining tree using both DNA markers suggested significant differentiation between the three hatchery and all eight putative wild populations. We conclude that genetic diversity of hatchery populations are low relative to putative wild populations of masu salmon, and we discuss the implications for conservation and fisheries management in Hokkaido.</v>
      </c>
      <c r="C158" s="24" t="str">
        <f>IFERROR(__xludf.DUMMYFUNCTION("""COMPUTED_VALUE"""),"10.1007/s10641-011-9869-0")</f>
        <v>10.1007/s10641-011-9869-0</v>
      </c>
      <c r="D158" s="24" t="str">
        <f>IFERROR(__xludf.DUMMYFUNCTION("""COMPUTED_VALUE"""),"shaw et al")</f>
        <v>shaw et al</v>
      </c>
      <c r="E158" s="24" t="str">
        <f>IFERROR(__xludf.DUMMYFUNCTION("""COMPUTED_VALUE"""),"WOS:000302742500019")</f>
        <v>WOS:000302742500019</v>
      </c>
      <c r="F158" s="24" t="str">
        <f>IFERROR(__xludf.DUMMYFUNCTION("""COMPUTED_VALUE"""),"[""ELIGIBLE""]")</f>
        <v>["ELIGIBLE"]</v>
      </c>
    </row>
    <row r="159">
      <c r="A159" s="24" t="str">
        <f>IFERROR(__xludf.DUMMYFUNCTION("""COMPUTED_VALUE"""),"Genetic heterogeneity in natural beds of the razor clam Ensis siliqua revealed by microsatellites")</f>
        <v>Genetic heterogeneity in natural beds of the razor clam Ensis siliqua revealed by microsatellites</v>
      </c>
      <c r="B159" s="24" t="str">
        <f>IFERROR(__xludf.DUMMYFUNCTION("""COMPUTED_VALUE"""),"The aim of this study was to analyse the genetic diversity and population structure in the razor clam Ensis siliqua along the European Atlantic coast taking into account their recent history of exploitation and the 'Prestige' oil spill. To this end we exa"&amp;"mined the genetic variability of microsatellite markers in 211 razor clams from five populations in Ireland, Portugal and Spain. Microsatellite data revealed a low genetic differentiation between the Spanish and Portuguese populations (F-ST = 0-0.032) and"&amp;" a moderate differentiation of these populations and the Irish samples (F-ST = 0.071-0.100). Although we observed changes in genetic diversity in accordance with the level of exploitation and the distribution of the oil spill, these changes were mild and "&amp;"not significant after Bonferroni correction. This could be the result of a genuine low impact, lack of statistical power and/or the capacity of this species to recolonize quickly after the impact of anthropogenic stressors. Supporting the latter argument "&amp;"we found a significant temporal heterogeneity of allelic frequencies in samples coming from the same sampling locality that could be attributed to the movement of adults or larvae from unaffected source populations.")</f>
        <v>The aim of this study was to analyse the genetic diversity and population structure in the razor clam Ensis siliqua along the European Atlantic coast taking into account their recent history of exploitation and the 'Prestige' oil spill. To this end we examined the genetic variability of microsatellite markers in 211 razor clams from five populations in Ireland, Portugal and Spain. Microsatellite data revealed a low genetic differentiation between the Spanish and Portuguese populations (F-ST = 0-0.032) and a moderate differentiation of these populations and the Irish samples (F-ST = 0.071-0.100). Although we observed changes in genetic diversity in accordance with the level of exploitation and the distribution of the oil spill, these changes were mild and not significant after Bonferroni correction. This could be the result of a genuine low impact, lack of statistical power and/or the capacity of this species to recolonize quickly after the impact of anthropogenic stressors. Supporting the latter argument we found a significant temporal heterogeneity of allelic frequencies in samples coming from the same sampling locality that could be attributed to the movement of adults or larvae from unaffected source populations.</v>
      </c>
      <c r="C159" s="24" t="str">
        <f>IFERROR(__xludf.DUMMYFUNCTION("""COMPUTED_VALUE"""),"10.1017/S0025315411000646")</f>
        <v>10.1017/S0025315411000646</v>
      </c>
      <c r="D159" s="24" t="str">
        <f>IFERROR(__xludf.DUMMYFUNCTION("""COMPUTED_VALUE"""),"shaw et al")</f>
        <v>shaw et al</v>
      </c>
      <c r="E159" s="24" t="str">
        <f>IFERROR(__xludf.DUMMYFUNCTION("""COMPUTED_VALUE"""),"WOS:000299655400015")</f>
        <v>WOS:000299655400015</v>
      </c>
      <c r="F159" s="24" t="str">
        <f>IFERROR(__xludf.DUMMYFUNCTION("""COMPUTED_VALUE"""),"[""ELIGIBLE""]")</f>
        <v>["ELIGIBLE"]</v>
      </c>
    </row>
    <row r="160">
      <c r="A160" s="24" t="str">
        <f>IFERROR(__xludf.DUMMYFUNCTION("""COMPUTED_VALUE"""),"Microsatellite DNA analysis of spatial and temporal population structuring of Phragmites australis along the Hudson River Estuary")</f>
        <v>Microsatellite DNA analysis of spatial and temporal population structuring of Phragmites australis along the Hudson River Estuary</v>
      </c>
      <c r="B160" s="24" t="str">
        <f>IFERROR(__xludf.DUMMYFUNCTION("""COMPUTED_VALUE"""),"Phragmites australis is a perennial grass that has invaded wetlands of the northeastern United States over the past century. The Hudson River Estuary and surrounding watersheds are no exception in that populations of P. australis have spread dramatically "&amp;"along its shores and tributaries in the past 40 years. Recent studies have shown that genetically variable populations of P. australis can spread by seed dispersal in addition to clonal mechanisms. It is important to characterize the genetic variation of "&amp;"Hudson River populations as part of a management strategy for this species to determine the mechanisms by which its spreads and colonizes new habitats, particularly those with frequent anthropogenic disturbances. The goals of this study were to quantify l"&amp;"evels of genetic variation and structuring in Hudson River populations of P. australis using microsatellite DNA analysis. A total of 354 culms of P. australis were collected from nine locations ranging from Albany, New York to Staten Island, New York in t"&amp;"he summers of 2004 (N = 174) and 2011 (N = 180). Microsatellite data from eight loci indicated that the Hudson River Estuary has some of the highest levels of genetic variation of all U. S. Atlantic Coast regions containing P. australis. Gene diversity (H"&amp;"s) across all loci in the 2004 collection was 0.45 (+/- 0.02) and that of the 2011 collection was 0.47 (+/- 0.07). Patches within sample sites were rarely monoclonal and had multiple genetic phenotypes. Moran's Identity tests indicated that individuals wi"&amp;"thin a patch were closely related, whereas little genetic relatedness was evident among individuals from sample sites &gt; 1 km apart. Spatial structuring was also not evident in autospatial correlation and principle coordinate analyses. These findings sugge"&amp;"st that genetic diversity is maintained within stands by sexual reproduction and that seeds are important in dispersal of P. australis across the Hudson River Estuary. Ample habitats are available for establishment of new Phragmites stands due to high lev"&amp;"els of anthropogenic disturbance from populations living along the Estuary. Wildlife managers should focus on monitoring habitats that provide seedbed for Phragmites and promote land use practices that prevent soil disturbance and establishment of new sta"&amp;"nds.")</f>
        <v>Phragmites australis is a perennial grass that has invaded wetlands of the northeastern United States over the past century. The Hudson River Estuary and surrounding watersheds are no exception in that populations of P. australis have spread dramatically along its shores and tributaries in the past 40 years. Recent studies have shown that genetically variable populations of P. australis can spread by seed dispersal in addition to clonal mechanisms. It is important to characterize the genetic variation of Hudson River populations as part of a management strategy for this species to determine the mechanisms by which its spreads and colonizes new habitats, particularly those with frequent anthropogenic disturbances. The goals of this study were to quantify levels of genetic variation and structuring in Hudson River populations of P. australis using microsatellite DNA analysis. A total of 354 culms of P. australis were collected from nine locations ranging from Albany, New York to Staten Island, New York in the summers of 2004 (N = 174) and 2011 (N = 180). Microsatellite data from eight loci indicated that the Hudson River Estuary has some of the highest levels of genetic variation of all U. S. Atlantic Coast regions containing P. australis. Gene diversity (Hs) across all loci in the 2004 collection was 0.45 (+/- 0.02) and that of the 2011 collection was 0.47 (+/- 0.07). Patches within sample sites were rarely monoclonal and had multiple genetic phenotypes. Moran's Identity tests indicated that individuals within a patch were closely related, whereas little genetic relatedness was evident among individuals from sample sites &gt; 1 km apart. Spatial structuring was also not evident in autospatial correlation and principle coordinate analyses. These findings suggest that genetic diversity is maintained within stands by sexual reproduction and that seeds are important in dispersal of P. australis across the Hudson River Estuary. Ample habitats are available for establishment of new Phragmites stands due to high levels of anthropogenic disturbance from populations living along the Estuary. Wildlife managers should focus on monitoring habitats that provide seedbed for Phragmites and promote land use practices that prevent soil disturbance and establishment of new stands.</v>
      </c>
      <c r="C160" s="24" t="str">
        <f>IFERROR(__xludf.DUMMYFUNCTION("""COMPUTED_VALUE"""),"10.1007/s10530-016-1157-7")</f>
        <v>10.1007/s10530-016-1157-7</v>
      </c>
      <c r="D160" s="24" t="str">
        <f>IFERROR(__xludf.DUMMYFUNCTION("""COMPUTED_VALUE"""),"shaw et al")</f>
        <v>shaw et al</v>
      </c>
      <c r="E160" s="24" t="str">
        <f>IFERROR(__xludf.DUMMYFUNCTION("""COMPUTED_VALUE"""),"WOS:000382136500010")</f>
        <v>WOS:000382136500010</v>
      </c>
      <c r="F160" s="24" t="str">
        <f>IFERROR(__xludf.DUMMYFUNCTION("""COMPUTED_VALUE"""),"[""ELIGIBLE""]")</f>
        <v>["ELIGIBLE"]</v>
      </c>
    </row>
    <row r="161">
      <c r="A161" s="24" t="str">
        <f>IFERROR(__xludf.DUMMYFUNCTION("""COMPUTED_VALUE"""),"Temporal genetic stability and high effective population size despite fisheries-induced life-history trait evolution in the North Sea sole")</f>
        <v>Temporal genetic stability and high effective population size despite fisheries-induced life-history trait evolution in the North Sea sole</v>
      </c>
      <c r="B161" s="24" t="str">
        <f>IFERROR(__xludf.DUMMYFUNCTION("""COMPUTED_VALUE"""),"Heavy fishing and other anthropogenic influences can have profound impact on a species' resilience to harvesting. Besides the decrease in the census and effective population size, strong declines in mature adults and recruiting individuals may lead to alm"&amp;"ost irreversible genetic changes in life-history traits. Here, we investigated the evolution of genetic diversity and effective population size in the heavily exploited sole (Solea solea), through the analysis of historical DNA from a collection of 1379 s"&amp;"ole otoliths dating back from 1957. Despite documented shifts in life-history traits, neutral genetic diversity inferred from 11 microsatellite markers showed a remarkable stability over a period of 50 years of heavy fishing. Using simulations and correct"&amp;"ions for fisheries induced demographic variation, both single-sample estimates and temporal estimates of effective population size (N-e) were always higher than 1000, suggesting that despite the severe census size decrease over a 50-year period of harvest"&amp;"ing, genetic drift is probably not strong enough to significantly decrease the neutral diversity of this species in the North Sea. However, the inferred ratio of effective population size to the census size (N-e/N-c) appears very small (10(-5)), suggestin"&amp;"g that overall only a low proportion of adults contribute to the next generation. The high N-e level together with the low N-e/N-c ratio is probably caused by a combination of an equalized reproductive output of younger cohorts, a decrease in generation t"&amp;"ime and a large variance in reproductive success typical for marine species. Because strong evolutionary changes in age and size at first maturation have been observed for sole, changes in adaptive genetic variation should be further monitored to detect t"&amp;"he evolutionary consequences of human-induced selection.")</f>
        <v>Heavy fishing and other anthropogenic influences can have profound impact on a species' resilience to harvesting. Besides the decrease in the census and effective population size, strong declines in mature adults and recruiting individuals may lead to almost irreversible genetic changes in life-history traits. Here, we investigated the evolution of genetic diversity and effective population size in the heavily exploited sole (Solea solea), through the analysis of historical DNA from a collection of 1379 sole otoliths dating back from 1957. Despite documented shifts in life-history traits, neutral genetic diversity inferred from 11 microsatellite markers showed a remarkable stability over a period of 50 years of heavy fishing. Using simulations and corrections for fisheries induced demographic variation, both single-sample estimates and temporal estimates of effective population size (N-e) were always higher than 1000, suggesting that despite the severe census size decrease over a 50-year period of harvesting, genetic drift is probably not strong enough to significantly decrease the neutral diversity of this species in the North Sea. However, the inferred ratio of effective population size to the census size (N-e/N-c) appears very small (10(-5)), suggesting that overall only a low proportion of adults contribute to the next generation. The high N-e level together with the low N-e/N-c ratio is probably caused by a combination of an equalized reproductive output of younger cohorts, a decrease in generation time and a large variance in reproductive success typical for marine species. Because strong evolutionary changes in age and size at first maturation have been observed for sole, changes in adaptive genetic variation should be further monitored to detect the evolutionary consequences of human-induced selection.</v>
      </c>
      <c r="C161" s="24" t="str">
        <f>IFERROR(__xludf.DUMMYFUNCTION("""COMPUTED_VALUE"""),"10.1111/j.1365-294X.2011.05196.x")</f>
        <v>10.1111/j.1365-294X.2011.05196.x</v>
      </c>
      <c r="D161" s="24" t="str">
        <f>IFERROR(__xludf.DUMMYFUNCTION("""COMPUTED_VALUE"""),"shaw et al")</f>
        <v>shaw et al</v>
      </c>
      <c r="E161" s="24" t="str">
        <f>IFERROR(__xludf.DUMMYFUNCTION("""COMPUTED_VALUE"""),"WOS:000294224400009")</f>
        <v>WOS:000294224400009</v>
      </c>
      <c r="F161" s="24" t="str">
        <f>IFERROR(__xludf.DUMMYFUNCTION("""COMPUTED_VALUE"""),"[""ELIGIBLE""]")</f>
        <v>["ELIGIBLE"]</v>
      </c>
    </row>
    <row r="162">
      <c r="A162" s="24" t="str">
        <f>IFERROR(__xludf.DUMMYFUNCTION("""COMPUTED_VALUE"""),"Changes in molecular genetic variation at AFLP loci associated with naturalization and domestication of the Pacific oyster (Crassostrea gigas)")</f>
        <v>Changes in molecular genetic variation at AFLP loci associated with naturalization and domestication of the Pacific oyster (Crassostrea gigas)</v>
      </c>
      <c r="B162" s="24" t="str">
        <f>IFERROR(__xludf.DUMMYFUNCTION("""COMPUTED_VALUE"""),"The Pacific oyster (Crassostrea gigas) is an important commercial species in the US Pacific Northwest with a history of production initially based on wild-caught seed imported directly from the Miyagi region of northern Japan (1920s-1970s) followed by an "&amp;"extended period of seed collection from a small number of naturalized, self-recruiting populations in US estuaries (early 1970s-present) and more recently through large-scale hatchery production of seed oysters (mid 1970s-present). I studied the genetic l"&amp;"evel consequences of each of these major transformations of the oyster industry by examining the patterns of private alleles (bands unique to one sample), the number of polymorphic loci, expected heterozygosity, genetic distance between populations and ge"&amp;"netic divergence between individuals within and among three native Pacific oyster populations in Japan (Hiroshima, Miyagi, Midori River), five naturalized populations in North America (Pipestem Inlet BC, Nootka Inlet BC, Dabob Bay WA, Willapa Bay, WA, and"&amp;" Tillamook Bay, OR), two in New Zealand (Chance Bay and Kaipara Harbor), and seven domesticated and selectively bred cohorts from an ongoing genetic improvement program on the West Coast of the United States using amplified fragment length polymorphism (A"&amp;"FLP) markers. All but one of the naturalized populations in both the USA and New Zealand are genetically more similar to native populations from the Ariake Sea (Midori River) than to the Miyagi region of their origin, but all domesticated stocks more clos"&amp;"ely resemble the wild Miyagi population. According to local oyster producers, the one exceptional naturalized population (Tillamook) is a very recent colonization derived from farmed oysters. Such consistency is unexpected under random genetic drift, and "&amp;"I speculate that both natural and artificial selection may have altered AFLP allele frequencies in this species in the course of naturalization and domestication.")</f>
        <v>The Pacific oyster (Crassostrea gigas) is an important commercial species in the US Pacific Northwest with a history of production initially based on wild-caught seed imported directly from the Miyagi region of northern Japan (1920s-1970s) followed by an extended period of seed collection from a small number of naturalized, self-recruiting populations in US estuaries (early 1970s-present) and more recently through large-scale hatchery production of seed oysters (mid 1970s-present). I studied the genetic level consequences of each of these major transformations of the oyster industry by examining the patterns of private alleles (bands unique to one sample), the number of polymorphic loci, expected heterozygosity, genetic distance between populations and genetic divergence between individuals within and among three native Pacific oyster populations in Japan (Hiroshima, Miyagi, Midori River), five naturalized populations in North America (Pipestem Inlet BC, Nootka Inlet BC, Dabob Bay WA, Willapa Bay, WA, and Tillamook Bay, OR), two in New Zealand (Chance Bay and Kaipara Harbor), and seven domesticated and selectively bred cohorts from an ongoing genetic improvement program on the West Coast of the United States using amplified fragment length polymorphism (AFLP) markers. All but one of the naturalized populations in both the USA and New Zealand are genetically more similar to native populations from the Ariake Sea (Midori River) than to the Miyagi region of their origin, but all domesticated stocks more closely resemble the wild Miyagi population. According to local oyster producers, the one exceptional naturalized population (Tillamook) is a very recent colonization derived from farmed oysters. Such consistency is unexpected under random genetic drift, and I speculate that both natural and artificial selection may have altered AFLP allele frequencies in this species in the course of naturalization and domestication.</v>
      </c>
      <c r="C162" s="24" t="str">
        <f>IFERROR(__xludf.DUMMYFUNCTION("""COMPUTED_VALUE"""),"10.1051/alr/2011107")</f>
        <v>10.1051/alr/2011107</v>
      </c>
      <c r="D162" s="24" t="str">
        <f>IFERROR(__xludf.DUMMYFUNCTION("""COMPUTED_VALUE"""),"shaw et al")</f>
        <v>shaw et al</v>
      </c>
      <c r="E162" s="24" t="str">
        <f>IFERROR(__xludf.DUMMYFUNCTION("""COMPUTED_VALUE"""),"WOS:000289622900004")</f>
        <v>WOS:000289622900004</v>
      </c>
      <c r="F162" s="24" t="str">
        <f>IFERROR(__xludf.DUMMYFUNCTION("""COMPUTED_VALUE"""),"[""ELIGIBLE""]")</f>
        <v>["ELIGIBLE"]</v>
      </c>
    </row>
    <row r="163">
      <c r="A163" s="24" t="str">
        <f>IFERROR(__xludf.DUMMYFUNCTION("""COMPUTED_VALUE"""),"Temporal genetic variation in the raccoon, Procyon lotor")</f>
        <v>Temporal genetic variation in the raccoon, Procyon lotor</v>
      </c>
      <c r="B163" s="24" t="str">
        <f>IFERROR(__xludf.DUMMYFUNCTION("""COMPUTED_VALUE"""),"Starch-gel electrophoresis was used to assess temporal genetic variation in a population of raccoon, Procyon lotor. Specimens (n = 1,056) were collected during nine annual hunts (1984-1992) at Reelfoot National Wildlife Refuge, Obion Co., Tennessee, and F"&amp;"ulton Co., Kentucky. Of 41 loci examined, 35 were monomorphic; 6 exhibited polymorphism and were used in statistical analyses. Heterozygosity ranged from 0.033 (1990) to 0.046 (1992) with a mean of 0.042; however, differences across years were not signifi"&amp;"cant. Significant deviations from Hardy-Weinberg equilibrium were minimal. Chi-square contingency analysis revealed significant differences in allelic frequencies among years for four of the six polymorphic loci. Wright's F-statistics indicated significan"&amp;"t differentiation among years (F-ST = 0.042). Rogers' genetic similarity coefficients ranged from 0.836 to 0.973. The matrix of all pairwise comparisons indicated a random pattern of relationships among years. Hunting appears to have had little influence "&amp;"on the genetic composition of raccoons in the study area over the 9-year period. The observed pattern of low-level temporal variation is probably the result of stochastic events.")</f>
        <v>Starch-gel electrophoresis was used to assess temporal genetic variation in a population of raccoon, Procyon lotor. Specimens (n = 1,056) were collected during nine annual hunts (1984-1992) at Reelfoot National Wildlife Refuge, Obion Co., Tennessee, and Fulton Co., Kentucky. Of 41 loci examined, 35 were monomorphic; 6 exhibited polymorphism and were used in statistical analyses. Heterozygosity ranged from 0.033 (1990) to 0.046 (1992) with a mean of 0.042; however, differences across years were not significant. Significant deviations from Hardy-Weinberg equilibrium were minimal. Chi-square contingency analysis revealed significant differences in allelic frequencies among years for four of the six polymorphic loci. Wright's F-statistics indicated significant differentiation among years (F-ST = 0.042). Rogers' genetic similarity coefficients ranged from 0.836 to 0.973. The matrix of all pairwise comparisons indicated a random pattern of relationships among years. Hunting appears to have had little influence on the genetic composition of raccoons in the study area over the 9-year period. The observed pattern of low-level temporal variation is probably the result of stochastic events.</v>
      </c>
      <c r="C163" s="24" t="str">
        <f>IFERROR(__xludf.DUMMYFUNCTION("""COMPUTED_VALUE"""),"10.2307/1383085")</f>
        <v>10.2307/1383085</v>
      </c>
      <c r="D163" s="24" t="str">
        <f>IFERROR(__xludf.DUMMYFUNCTION("""COMPUTED_VALUE"""),"shaw et al")</f>
        <v>shaw et al</v>
      </c>
      <c r="E163" s="24" t="str">
        <f>IFERROR(__xludf.DUMMYFUNCTION("""COMPUTED_VALUE"""),"WOS:000075624900008")</f>
        <v>WOS:000075624900008</v>
      </c>
      <c r="F163" s="24" t="str">
        <f>IFERROR(__xludf.DUMMYFUNCTION("""COMPUTED_VALUE"""),"[""ELIGIBLE""]")</f>
        <v>["ELIGIBLE"]</v>
      </c>
    </row>
    <row r="164">
      <c r="A164" s="24" t="str">
        <f>IFERROR(__xludf.DUMMYFUNCTION("""COMPUTED_VALUE"""),"Genetic inference of demographic connectivity in the Atlantic European hake metapopulation (Merluccius merluccius) over a spatio-temporal framework")</f>
        <v>Genetic inference of demographic connectivity in the Atlantic European hake metapopulation (Merluccius merluccius) over a spatio-temporal framework</v>
      </c>
      <c r="B164" s="24" t="str">
        <f>IFERROR(__xludf.DUMMYFUNCTION("""COMPUTED_VALUE"""),"Once the metapopulation structure of the European hake (Merluccius merluccius) has been outlined, temporal stability of its stock units and their connectivity pattern are key factors to understand its population dynamics and design appropriate management "&amp;"policies. Using five microsatellite markers from the European hake and an extensive sampling coverage within stocks, we have tested the connectivity pattern between the two managed fish stocks of this species, the Northern stock and the Southern stock, ov"&amp;"er the last decade. On the spatial domain, the non-significant genetic variance between stocks (F-CT = 0.001, k=1 gene pools) as opposed to the low but significant divergence within stocks (F-SC = 0.008) suggests that demographic exchange occurs between s"&amp;"tocks. On the temporal domain, the non-significant variation among years (F-CT &lt; 0.001) suggests that the genetic background within the Atlantic hake metapopulation did not change significantly over the last decade. The pattern of connectivity observed fi"&amp;"ts a classic Wright continuum model and the negative correlation between restriction to gene flow (F-ST) and migration rate (m) responds closely to theoretical expectations. No evidence of stable differences in gene diversity was observed between stocks, "&amp;"what is consistent with an intermittent and variable intensity of bi-directionally exchange between them. The current pattern of connectivity indicates that uncoupling exists between actual management areas and the genetic commonality within this metapopu"&amp;"lation. Nevertheless, the geographic segregation and the relative demographic independence of both stocks advocate for considering two sub-management units. A subsidiary stock assessment capable of modelling fishing effort upon stock interdependence would"&amp;" add up for their sustainability. Indeed, actual EU subsidiary management of both stocks matches social, economic and cultural needs as well as fishing capacity and fishing tradition of local fleets. (C) 2016 Elsevier B.V. All rights reserved.")</f>
        <v>Once the metapopulation structure of the European hake (Merluccius merluccius) has been outlined, temporal stability of its stock units and their connectivity pattern are key factors to understand its population dynamics and design appropriate management policies. Using five microsatellite markers from the European hake and an extensive sampling coverage within stocks, we have tested the connectivity pattern between the two managed fish stocks of this species, the Northern stock and the Southern stock, over the last decade. On the spatial domain, the non-significant genetic variance between stocks (F-CT = 0.001, k=1 gene pools) as opposed to the low but significant divergence within stocks (F-SC = 0.008) suggests that demographic exchange occurs between stocks. On the temporal domain, the non-significant variation among years (F-CT &lt; 0.001) suggests that the genetic background within the Atlantic hake metapopulation did not change significantly over the last decade. The pattern of connectivity observed fits a classic Wright continuum model and the negative correlation between restriction to gene flow (F-ST) and migration rate (m) responds closely to theoretical expectations. No evidence of stable differences in gene diversity was observed between stocks, what is consistent with an intermittent and variable intensity of bi-directionally exchange between them. The current pattern of connectivity indicates that uncoupling exists between actual management areas and the genetic commonality within this metapopulation. Nevertheless, the geographic segregation and the relative demographic independence of both stocks advocate for considering two sub-management units. A subsidiary stock assessment capable of modelling fishing effort upon stock interdependence would add up for their sustainability. Indeed, actual EU subsidiary management of both stocks matches social, economic and cultural needs as well as fishing capacity and fishing tradition of local fleets. (C) 2016 Elsevier B.V. All rights reserved.</v>
      </c>
      <c r="C164" s="24" t="str">
        <f>IFERROR(__xludf.DUMMYFUNCTION("""COMPUTED_VALUE"""),"10.1016/j.fishres.2016.03.017")</f>
        <v>10.1016/j.fishres.2016.03.017</v>
      </c>
      <c r="D164" s="24" t="str">
        <f>IFERROR(__xludf.DUMMYFUNCTION("""COMPUTED_VALUE"""),"shaw et al")</f>
        <v>shaw et al</v>
      </c>
      <c r="E164" s="24" t="str">
        <f>IFERROR(__xludf.DUMMYFUNCTION("""COMPUTED_VALUE"""),"WOS:000375518400030")</f>
        <v>WOS:000375518400030</v>
      </c>
      <c r="F164" s="24" t="str">
        <f>IFERROR(__xludf.DUMMYFUNCTION("""COMPUTED_VALUE"""),"[""ELIGIBLE""]")</f>
        <v>["ELIGIBLE"]</v>
      </c>
    </row>
    <row r="165">
      <c r="A165" s="24" t="str">
        <f>IFERROR(__xludf.DUMMYFUNCTION("""COMPUTED_VALUE"""),"Evolutionary mechanisms shaping the genetic population structure of marine fishes;: lessons from the European flounder (Platichthys flesus L.)")</f>
        <v>Evolutionary mechanisms shaping the genetic population structure of marine fishes;: lessons from the European flounder (Platichthys flesus L.)</v>
      </c>
      <c r="B165" s="24" t="str">
        <f>IFERROR(__xludf.DUMMYFUNCTION("""COMPUTED_VALUE"""),"A number of evolutionary mechanisms have been suggested for generating low but significant genetic structuring among marine fish populations. We used nine microsatellite loci and recently developed methods in landscape genetics and coalescence-based estim"&amp;"ation of historical gene flow and effective population sizes to assess temporal and spatial dynamics of the population structure in European flounder (Platichthys flesus L.). We collected 1062 flounders from 13 localities in the northeast Atlantic and Bal"&amp;"tic Seas and found temporally stable and highly significant genetic differentiation among samples covering a large part of the species' range (global F-ST = 0.024, P &lt; 0.0001). In addition to historical processes, a number of contemporary acting evolution"&amp;"ary mechanisms were associated with genetic structuring. Physical forces, such as oceanographic and bathymetric barriers, were most likely related with the extreme isolation of the island population at the Faroe Islands. A sharp genetic break was associat"&amp;"ed with a change in life history from pelagic to benthic spawners in the Baltic Sea. Partial Mantel tests showed that geographical distance per se was not related with genetic structuring among Atlantic and western Baltic Sea samples. Alternative factors,"&amp;" such as dispersal potential and/or environmental gradients, could be important for generating genetic divergence in this region. The results show that the magnitude and scale of structuring generated by a specific mechanism depend critically on its inter"&amp;"play with other evolutionary mechanisms, highlighting the importance of investigating species with wide geographical and ecological distributions to increase our understanding of evolution in the marine environment.")</f>
        <v>A number of evolutionary mechanisms have been suggested for generating low but significant genetic structuring among marine fish populations. We used nine microsatellite loci and recently developed methods in landscape genetics and coalescence-based estimation of historical gene flow and effective population sizes to assess temporal and spatial dynamics of the population structure in European flounder (Platichthys flesus L.). We collected 1062 flounders from 13 localities in the northeast Atlantic and Baltic Seas and found temporally stable and highly significant genetic differentiation among samples covering a large part of the species' range (global F-ST = 0.024, P &lt; 0.0001). In addition to historical processes, a number of contemporary acting evolutionary mechanisms were associated with genetic structuring. Physical forces, such as oceanographic and bathymetric barriers, were most likely related with the extreme isolation of the island population at the Faroe Islands. A sharp genetic break was associated with a change in life history from pelagic to benthic spawners in the Baltic Sea. Partial Mantel tests showed that geographical distance per se was not related with genetic structuring among Atlantic and western Baltic Sea samples. Alternative factors, such as dispersal potential and/or environmental gradients, could be important for generating genetic divergence in this region. The results show that the magnitude and scale of structuring generated by a specific mechanism depend critically on its interplay with other evolutionary mechanisms, highlighting the importance of investigating species with wide geographical and ecological distributions to increase our understanding of evolution in the marine environment.</v>
      </c>
      <c r="C165" s="24" t="str">
        <f>IFERROR(__xludf.DUMMYFUNCTION("""COMPUTED_VALUE"""),"10.1111/j.1365-294X.2007.03367.x")</f>
        <v>10.1111/j.1365-294X.2007.03367.x</v>
      </c>
      <c r="D165" s="24" t="str">
        <f>IFERROR(__xludf.DUMMYFUNCTION("""COMPUTED_VALUE"""),"shaw et al")</f>
        <v>shaw et al</v>
      </c>
      <c r="E165" s="24" t="str">
        <f>IFERROR(__xludf.DUMMYFUNCTION("""COMPUTED_VALUE"""),"WOS:000248847600005")</f>
        <v>WOS:000248847600005</v>
      </c>
      <c r="F165" s="24" t="str">
        <f>IFERROR(__xludf.DUMMYFUNCTION("""COMPUTED_VALUE"""),"[""ELIGIBLE""]")</f>
        <v>["ELIGIBLE"]</v>
      </c>
    </row>
    <row r="166">
      <c r="A166" s="24" t="str">
        <f>IFERROR(__xludf.DUMMYFUNCTION("""COMPUTED_VALUE"""),"Understanding recruitment patterns of historically strong juvenile year classes in redfish (Sebastes spp.): the importance of species identity, population structure, and juvenile migration")</f>
        <v>Understanding recruitment patterns of historically strong juvenile year classes in redfish (Sebastes spp.): the importance of species identity, population structure, and juvenile migration</v>
      </c>
      <c r="B166" s="24" t="str">
        <f>IFERROR(__xludf.DUMMYFUNCTION("""COMPUTED_VALUE"""),"Genetic analyses were undertaken on archived otoliths from juveniles representing historically strong year classes of northwest Atlantic redfish (Sebastes spp.) and on tissue samples from adults of known species and population of origin. The results indic"&amp;"ated that the species composition of a year class is key information for understanding recruitment dynamics, with redfish species having distinct population-associated patterns of spatial dispersion. In the Gulf of St. Lawrence - Laurentian Channel area ("&amp;"GSL-LCH), the last strong year class (which supported the fishery for more than 30 years) belonged to Sebastes mentella and originated from the area. In contrast, four year classes that appeared abundant at young ages in research surveys in GSL-LCH but co"&amp;"ntributed only marginally to the adult population and the fishery of the region belonged to Sebastes fasciatus and carried the genetic signature of the adult population from the slope of the Newfoundland Grand Banks. Ocean currents and spatiotemporal tren"&amp;"ds in abundance-at-length suggest that the latter population uses the Gulf of St. Lawrence as a nursery area, with larvae and early juveniles drifting toward the Gulf of St. Lawrence and older juveniles migrating back to the slope of the Grand Banks after"&amp;" about 5-6 years. It is suggested that juvenile migration behaviour is a postsettlement process that plays an important role in redfish recruitment dynamics and carries both demographic and evolutionary implications.")</f>
        <v>Genetic analyses were undertaken on archived otoliths from juveniles representing historically strong year classes of northwest Atlantic redfish (Sebastes spp.) and on tissue samples from adults of known species and population of origin. The results indicated that the species composition of a year class is key information for understanding recruitment dynamics, with redfish species having distinct population-associated patterns of spatial dispersion. In the Gulf of St. Lawrence - Laurentian Channel area (GSL-LCH), the last strong year class (which supported the fishery for more than 30 years) belonged to Sebastes mentella and originated from the area. In contrast, four year classes that appeared abundant at young ages in research surveys in GSL-LCH but contributed only marginally to the adult population and the fishery of the region belonged to Sebastes fasciatus and carried the genetic signature of the adult population from the slope of the Newfoundland Grand Banks. Ocean currents and spatiotemporal trends in abundance-at-length suggest that the latter population uses the Gulf of St. Lawrence as a nursery area, with larvae and early juveniles drifting toward the Gulf of St. Lawrence and older juveniles migrating back to the slope of the Grand Banks after about 5-6 years. It is suggested that juvenile migration behaviour is a postsettlement process that plays an important role in redfish recruitment dynamics and carries both demographic and evolutionary implications.</v>
      </c>
      <c r="C166" s="24" t="str">
        <f>IFERROR(__xludf.DUMMYFUNCTION("""COMPUTED_VALUE"""),"10.1139/cjfas-2014-0149")</f>
        <v>10.1139/cjfas-2014-0149</v>
      </c>
      <c r="D166" s="24" t="str">
        <f>IFERROR(__xludf.DUMMYFUNCTION("""COMPUTED_VALUE"""),"shaw et al")</f>
        <v>shaw et al</v>
      </c>
      <c r="E166" s="24" t="str">
        <f>IFERROR(__xludf.DUMMYFUNCTION("""COMPUTED_VALUE"""),"WOS:000353626800014")</f>
        <v>WOS:000353626800014</v>
      </c>
      <c r="F166" s="24" t="str">
        <f>IFERROR(__xludf.DUMMYFUNCTION("""COMPUTED_VALUE"""),"[""ELIGIBLE""]")</f>
        <v>["ELIGIBLE"]</v>
      </c>
    </row>
    <row r="167">
      <c r="A167" s="24" t="str">
        <f>IFERROR(__xludf.DUMMYFUNCTION("""COMPUTED_VALUE"""),"Spatial and temporal patterns of genetic diversity in an endangered Hawaiian honeycreeper, the Hawaii Akepa (Loxops coccineus coccineus)")</f>
        <v>Spatial and temporal patterns of genetic diversity in an endangered Hawaiian honeycreeper, the Hawaii Akepa (Loxops coccineus coccineus)</v>
      </c>
      <c r="B167" s="24" t="str">
        <f>IFERROR(__xludf.DUMMYFUNCTION("""COMPUTED_VALUE"""),"As a result of disease, habitat destruction, and other anthropogenic factors, the Hawaii Akepa (Loxops coccineus coccineus) currently occupies &lt;10% of its original range and exists in five disjunct populations, raising concerns about what effect such redu"&amp;"ction and fragmentation has had on the connectivity and diversity of Akepa populations. In this study, we used both historical and contemporary samples to assess genetic diversity and structure in this endangered Hawaiian honeycreeper. We generated sequen"&amp;"ce data from two mtDNA regions (ND2, control region) and two nuclear introns for contemporary samples representing three of the five current populations. We also generated control region sequence data for museum specimens collected over 100 years ago from"&amp;" throughout the historical range of the bird. Results indicate that despite recent declines and fragmentation, genetic diversity has not been lost. We detected a modest level of genetic differentiation, which followed a combined pattern of isolation-by-ba"&amp;"rriers and isolation-by-distance, across the historical range of Akepa. The similarly low level of differentiation observed between the contemporary populations indicates that not much divergence, if any, has occurred post-fragmentation. Rather, the prese"&amp;"nt structure seen likely reflects the historical pattern of distribution. Ironically, this declining species exhibits the genetic signal of an expanding population, demonstrating that earlier demographic events are outweighing the effects of recent change"&amp;"s in population size, and genetic estimates of Ne, though crude, suggest Hawaii Akepa were at least an order of magnitude more abundant prior to the decline.")</f>
        <v>As a result of disease, habitat destruction, and other anthropogenic factors, the Hawaii Akepa (Loxops coccineus coccineus) currently occupies &lt;10% of its original range and exists in five disjunct populations, raising concerns about what effect such reduction and fragmentation has had on the connectivity and diversity of Akepa populations. In this study, we used both historical and contemporary samples to assess genetic diversity and structure in this endangered Hawaiian honeycreeper. We generated sequence data from two mtDNA regions (ND2, control region) and two nuclear introns for contemporary samples representing three of the five current populations. We also generated control region sequence data for museum specimens collected over 100 years ago from throughout the historical range of the bird. Results indicate that despite recent declines and fragmentation, genetic diversity has not been lost. We detected a modest level of genetic differentiation, which followed a combined pattern of isolation-by-barriers and isolation-by-distance, across the historical range of Akepa. The similarly low level of differentiation observed between the contemporary populations indicates that not much divergence, if any, has occurred post-fragmentation. Rather, the present structure seen likely reflects the historical pattern of distribution. Ironically, this declining species exhibits the genetic signal of an expanding population, demonstrating that earlier demographic events are outweighing the effects of recent changes in population size, and genetic estimates of Ne, though crude, suggest Hawaii Akepa were at least an order of magnitude more abundant prior to the decline.</v>
      </c>
      <c r="C167" s="24" t="str">
        <f>IFERROR(__xludf.DUMMYFUNCTION("""COMPUTED_VALUE"""),"10.1007/s10592-009-0025-8")</f>
        <v>10.1007/s10592-009-0025-8</v>
      </c>
      <c r="D167" s="24" t="str">
        <f>IFERROR(__xludf.DUMMYFUNCTION("""COMPUTED_VALUE"""),"shaw et al")</f>
        <v>shaw et al</v>
      </c>
      <c r="E167" s="24" t="str">
        <f>IFERROR(__xludf.DUMMYFUNCTION("""COMPUTED_VALUE"""),"WOS:000273744300019")</f>
        <v>WOS:000273744300019</v>
      </c>
      <c r="F167" s="24" t="str">
        <f>IFERROR(__xludf.DUMMYFUNCTION("""COMPUTED_VALUE"""),"[""ELIGIBLE""]")</f>
        <v>["ELIGIBLE"]</v>
      </c>
    </row>
    <row r="168">
      <c r="A168" s="24" t="str">
        <f>IFERROR(__xludf.DUMMYFUNCTION("""COMPUTED_VALUE"""),"Loss of genetic variation in declining populations of Aricia artaxerxes in Northern Hungary")</f>
        <v>Loss of genetic variation in declining populations of Aricia artaxerxes in Northern Hungary</v>
      </c>
      <c r="B168" s="24" t="str">
        <f>IFERROR(__xludf.DUMMYFUNCTION("""COMPUTED_VALUE"""),"Rapid decline of population size often gives rise to loss of genetic variation and may result in a reduction in fitness. It is, therefore, essential to detect past demographic changes in populations of endangered species. Aricia artaxerxes occurs in two r"&amp;"egions of Northern Hungary: Bukk Mts. and the Aggtelek Karst region. The species prefers short-grass habitats, which are subject to succession. Due to climatic differences between the two regions succession is more rapid in the Bukk plateau resulting in t"&amp;"he decline and isolation of A. artaxerxes populations there. In contrast, most populations have remained rather large and stable in the Karst region. This situation provides an excellent possibility to compare the genetic composition of stable and declini"&amp;"ng populations. A. artaxerxes was collected in four populations of the Bukk Mountains and in ten in the Aggtelek Karst region in 2002 and 2005. We analysed 19 polymorphic allozyme loci in all samples. The results revealed an extremely high level of enzyme"&amp;" polymorphism in A. artaxerxes. Most parameters of polymorphism proved to be significantly higher in the Karst region compared to the Bukk. The shape of the distribution of alleles among the frequency classes indicated the effect of bottleneck in three Bu"&amp;"kk and one Karst population. Though heterozygote excess was only significant in one Bukk population a tendency was observed for higher values of standardised heterozygote excess in those populations that had a typical bottleneck distribution of alleles. O"&amp;"ur results clearly demonstrated that those populations/subpopulations that compose a network with intense migration are able to maintain their genetic diversity in a long run, while the isolated small populations of the Bukk plateau have lost a sizeable p"&amp;"art of their variation.")</f>
        <v>Rapid decline of population size often gives rise to loss of genetic variation and may result in a reduction in fitness. It is, therefore, essential to detect past demographic changes in populations of endangered species. Aricia artaxerxes occurs in two regions of Northern Hungary: Bukk Mts. and the Aggtelek Karst region. The species prefers short-grass habitats, which are subject to succession. Due to climatic differences between the two regions succession is more rapid in the Bukk plateau resulting in the decline and isolation of A. artaxerxes populations there. In contrast, most populations have remained rather large and stable in the Karst region. This situation provides an excellent possibility to compare the genetic composition of stable and declining populations. A. artaxerxes was collected in four populations of the Bukk Mountains and in ten in the Aggtelek Karst region in 2002 and 2005. We analysed 19 polymorphic allozyme loci in all samples. The results revealed an extremely high level of enzyme polymorphism in A. artaxerxes. Most parameters of polymorphism proved to be significantly higher in the Karst region compared to the Bukk. The shape of the distribution of alleles among the frequency classes indicated the effect of bottleneck in three Bukk and one Karst population. Though heterozygote excess was only significant in one Bukk population a tendency was observed for higher values of standardised heterozygote excess in those populations that had a typical bottleneck distribution of alleles. Our results clearly demonstrated that those populations/subpopulations that compose a network with intense migration are able to maintain their genetic diversity in a long run, while the isolated small populations of the Bukk plateau have lost a sizeable part of their variation.</v>
      </c>
      <c r="C168" s="24" t="str">
        <f>IFERROR(__xludf.DUMMYFUNCTION("""COMPUTED_VALUE"""),"10.1007/s10841-014-9634-8")</f>
        <v>10.1007/s10841-014-9634-8</v>
      </c>
      <c r="D168" s="24" t="str">
        <f>IFERROR(__xludf.DUMMYFUNCTION("""COMPUTED_VALUE"""),"shaw et al")</f>
        <v>shaw et al</v>
      </c>
      <c r="E168" s="24" t="str">
        <f>IFERROR(__xludf.DUMMYFUNCTION("""COMPUTED_VALUE"""),"WOS:000336400000010")</f>
        <v>WOS:000336400000010</v>
      </c>
      <c r="F168" s="24" t="str">
        <f>IFERROR(__xludf.DUMMYFUNCTION("""COMPUTED_VALUE"""),"[""ELIGIBLE""]")</f>
        <v>["ELIGIBLE"]</v>
      </c>
    </row>
    <row r="169">
      <c r="A169" s="24" t="str">
        <f>IFERROR(__xludf.DUMMYFUNCTION("""COMPUTED_VALUE"""),"Temporal analysis of population genetic composition in the overexploited Japanese eel Anguilla japonica")</f>
        <v>Temporal analysis of population genetic composition in the overexploited Japanese eel Anguilla japonica</v>
      </c>
      <c r="B169" s="24" t="str">
        <f>IFERROR(__xludf.DUMMYFUNCTION("""COMPUTED_VALUE"""),"The Japanese eel has dramatically declined in Asia since the 1970s. Over the past two decades, glass eel productivity in Taiwan has decreased, but is highly variable among each year catch, though the cause for this is unknown. The impact of both populatio"&amp;"n decline and instability on genetic diversity, however, is unknown. In this study, we investigated changes in allele frequencies of Japanese eel recruitment events over the past 20 years using six polymorphic microsatellite DNA loci. Specimens of glass e"&amp;"els were collected yearly from a single location in northern Taiwan from 1986 to 2007. Overall genetic differentiation among all samples was very low but significant (F-ST = 0.002, P = 0.002), and only 2 out of 120 pairwise tests were significant. The rel"&amp;"ationship between genetic and temporal distance showed a slight but insignificant correlation (R-2 = 0.03, P = 0.0504). There were no overall significant differences in allelic richness (P = 0.35) or genetic heterozygosity (P = 0.73) among annual recruitm"&amp;"ent events. No apparent loss of genetic diversity and occurrence of a genetic bottleneck for eel populations were observed. Estimates of the effective population size (N-e) generally exceeded 500, although confidence intervals were very wide. While El Nin"&amp;"o/Southern Oscillation (ENSO) events had little impact on genetic diversity, they may account for the annual fluctuation in glass eel catch. These results indicate long-term stability of genetic diversity in the Japanese eel with little evidence for sweep"&amp;"stakes recruitment.")</f>
        <v>The Japanese eel has dramatically declined in Asia since the 1970s. Over the past two decades, glass eel productivity in Taiwan has decreased, but is highly variable among each year catch, though the cause for this is unknown. The impact of both population decline and instability on genetic diversity, however, is unknown. In this study, we investigated changes in allele frequencies of Japanese eel recruitment events over the past 20 years using six polymorphic microsatellite DNA loci. Specimens of glass eels were collected yearly from a single location in northern Taiwan from 1986 to 2007. Overall genetic differentiation among all samples was very low but significant (F-ST = 0.002, P = 0.002), and only 2 out of 120 pairwise tests were significant. The relationship between genetic and temporal distance showed a slight but insignificant correlation (R-2 = 0.03, P = 0.0504). There were no overall significant differences in allelic richness (P = 0.35) or genetic heterozygosity (P = 0.73) among annual recruitment events. No apparent loss of genetic diversity and occurrence of a genetic bottleneck for eel populations were observed. Estimates of the effective population size (N-e) generally exceeded 500, although confidence intervals were very wide. While El Nino/Southern Oscillation (ENSO) events had little impact on genetic diversity, they may account for the annual fluctuation in glass eel catch. These results indicate long-term stability of genetic diversity in the Japanese eel with little evidence for sweepstakes recruitment.</v>
      </c>
      <c r="C169" s="24" t="str">
        <f>IFERROR(__xludf.DUMMYFUNCTION("""COMPUTED_VALUE"""),"10.1007/s00227-008-1057-1")</f>
        <v>10.1007/s00227-008-1057-1</v>
      </c>
      <c r="D169" s="24" t="str">
        <f>IFERROR(__xludf.DUMMYFUNCTION("""COMPUTED_VALUE"""),"shaw et al")</f>
        <v>shaw et al</v>
      </c>
      <c r="E169" s="24" t="str">
        <f>IFERROR(__xludf.DUMMYFUNCTION("""COMPUTED_VALUE"""),"WOS:000260184400006")</f>
        <v>WOS:000260184400006</v>
      </c>
      <c r="F169" s="24" t="str">
        <f>IFERROR(__xludf.DUMMYFUNCTION("""COMPUTED_VALUE"""),"[""ELIGIBLE""]")</f>
        <v>["ELIGIBLE"]</v>
      </c>
    </row>
    <row r="170">
      <c r="A170" s="24" t="str">
        <f>IFERROR(__xludf.DUMMYFUNCTION("""COMPUTED_VALUE"""),"High genetic introgression in alpine brown trout (Salmo trutta L.) populations from Hardangervidda, Norway")</f>
        <v>High genetic introgression in alpine brown trout (Salmo trutta L.) populations from Hardangervidda, Norway</v>
      </c>
      <c r="B170" s="24" t="str">
        <f>IFERROR(__xludf.DUMMYFUNCTION("""COMPUTED_VALUE"""),"We studied the effect of stocking brown trout in three alpine lakes (Skavatn, Midtre Grondalsvatn and Nordmannslagen) of the Hardangervidda mountain plateau by comparing microsatellite data from historical (1933 and 1967) and contemporary (2003) populatio"&amp;"n samples. Historical and contemporary samples from a control lake (Krokavatn) and a contemporary sample from Gjuvsja (suspected donor lake) were included as well. A total of 331 brown trout were genotyped with 11 microsatellites. Very low level of geneti"&amp;"c diversity is observed in the historical samples from Nordmannslagen and Midtre Grondalsvatn but not in the contemporary samples. In Skavatn historical and contemporary samples show similar genetic diversity as in the other contemporary samples. Admixtur"&amp;"e analyses with the structure program indicate high levels of introgression by nonnative brown trout in all three lakes. The stocking source for two lakes (i.e. from Gjuvsja) is partially verifiable via our analyses. The high introgression in these lakes "&amp;"is discussed and the management issues are briefly addressed.")</f>
        <v>We studied the effect of stocking brown trout in three alpine lakes (Skavatn, Midtre Grondalsvatn and Nordmannslagen) of the Hardangervidda mountain plateau by comparing microsatellite data from historical (1933 and 1967) and contemporary (2003) population samples. Historical and contemporary samples from a control lake (Krokavatn) and a contemporary sample from Gjuvsja (suspected donor lake) were included as well. A total of 331 brown trout were genotyped with 11 microsatellites. Very low level of genetic diversity is observed in the historical samples from Nordmannslagen and Midtre Grondalsvatn but not in the contemporary samples. In Skavatn historical and contemporary samples show similar genetic diversity as in the other contemporary samples. Admixture analyses with the structure program indicate high levels of introgression by nonnative brown trout in all three lakes. The stocking source for two lakes (i.e. from Gjuvsja) is partially verifiable via our analyses. The high introgression in these lakes is discussed and the management issues are briefly addressed.</v>
      </c>
      <c r="C170" s="24" t="str">
        <f>IFERROR(__xludf.DUMMYFUNCTION("""COMPUTED_VALUE"""),"10.1111/j.1600-0633.2007.00271.x")</f>
        <v>10.1111/j.1600-0633.2007.00271.x</v>
      </c>
      <c r="D170" s="24" t="str">
        <f>IFERROR(__xludf.DUMMYFUNCTION("""COMPUTED_VALUE"""),"shaw et al")</f>
        <v>shaw et al</v>
      </c>
      <c r="E170" s="24" t="str">
        <f>IFERROR(__xludf.DUMMYFUNCTION("""COMPUTED_VALUE"""),"WOS:000252711800020")</f>
        <v>WOS:000252711800020</v>
      </c>
      <c r="F170" s="24" t="str">
        <f>IFERROR(__xludf.DUMMYFUNCTION("""COMPUTED_VALUE"""),"[""ELIGIBLE""]")</f>
        <v>["ELIGIBLE"]</v>
      </c>
    </row>
    <row r="171">
      <c r="A171" s="24" t="str">
        <f>IFERROR(__xludf.DUMMYFUNCTION("""COMPUTED_VALUE"""),"Genetic and Demographic Insights into the Decline of a Captive Population of the Endangered Hawaiian Tree Snail Achatinella fuscobasis (Achatinellinae)")</f>
        <v>Genetic and Demographic Insights into the Decline of a Captive Population of the Endangered Hawaiian Tree Snail Achatinella fuscobasis (Achatinellinae)</v>
      </c>
      <c r="B171" s="24" t="str">
        <f>IFERROR(__xludf.DUMMYFUNCTION("""COMPUTED_VALUE"""),"Hawaiian tree snails in subfamily Achatinellinae have experienced drastic population declines and range reductions as a result of habitat destruction, overcollection, and introduced predators. In 1991,11 individuals from one of the last remaining populati"&amp;"ons of Achatinella fuscobasis, a federally listed species, were brought to the University of Hawai'i's tree-snail captive-rearing facility. After increasing in population size to 441 snails in 2005, the population subsequently declined to only 120 snails "&amp;"by 2014, a 73% reduction. In this study, we assessed demographic and genetic changes that occurred in the captive-bred population of A. fuscobasis. Demographic data were compared to genetic data collected from 11 microsatellite markers for the F-1 to F-3 "&amp;"generations to investigate the role bottleneck effects such as loss of genetic diversity and inbreeding may have had on the population decline. Demographic measures such as juvenile survival and survival to maturity remained constant for the F-1 and F-2 g"&amp;"enerations, and significantly decreased in the F-3 generation. There was no difference in genetic diversity measures such as allelic richness, gene diversity, and observed heterozygosity among generations, but all generations were characterized by low gen"&amp;"etic diversity and high inbreeding. The drastic population decline appears to have been due to stochastic demographic dynamics characteristic of small populations, with bottleneck effects that occurred before the founding of the ex situ population acting "&amp;"in synergy with factors such as disease.")</f>
        <v>Hawaiian tree snails in subfamily Achatinellinae have experienced drastic population declines and range reductions as a result of habitat destruction, overcollection, and introduced predators. In 1991,11 individuals from one of the last remaining populations of Achatinella fuscobasis, a federally listed species, were brought to the University of Hawai'i's tree-snail captive-rearing facility. After increasing in population size to 441 snails in 2005, the population subsequently declined to only 120 snails by 2014, a 73% reduction. In this study, we assessed demographic and genetic changes that occurred in the captive-bred population of A. fuscobasis. Demographic data were compared to genetic data collected from 11 microsatellite markers for the F-1 to F-3 generations to investigate the role bottleneck effects such as loss of genetic diversity and inbreeding may have had on the population decline. Demographic measures such as juvenile survival and survival to maturity remained constant for the F-1 and F-2 generations, and significantly decreased in the F-3 generation. There was no difference in genetic diversity measures such as allelic richness, gene diversity, and observed heterozygosity among generations, but all generations were characterized by low genetic diversity and high inbreeding. The drastic population decline appears to have been due to stochastic demographic dynamics characteristic of small populations, with bottleneck effects that occurred before the founding of the ex situ population acting in synergy with factors such as disease.</v>
      </c>
      <c r="C171" s="24" t="str">
        <f>IFERROR(__xludf.DUMMYFUNCTION("""COMPUTED_VALUE"""),"10.2984/70.2.1")</f>
        <v>10.2984/70.2.1</v>
      </c>
      <c r="D171" s="24" t="str">
        <f>IFERROR(__xludf.DUMMYFUNCTION("""COMPUTED_VALUE"""),"shaw et al")</f>
        <v>shaw et al</v>
      </c>
      <c r="E171" s="24" t="str">
        <f>IFERROR(__xludf.DUMMYFUNCTION("""COMPUTED_VALUE"""),"WOS:000373647400001")</f>
        <v>WOS:000373647400001</v>
      </c>
      <c r="F171" s="24" t="str">
        <f>IFERROR(__xludf.DUMMYFUNCTION("""COMPUTED_VALUE"""),"[""ELIGIBLE""]")</f>
        <v>["ELIGIBLE"]</v>
      </c>
    </row>
    <row r="172">
      <c r="A172" s="24" t="str">
        <f>IFERROR(__xludf.DUMMYFUNCTION("""COMPUTED_VALUE"""),"Genetic population structure of minke whales Balaenoptera acutorostrata from Greenland, the North East Atlantic and the North Sea probably reflects different ecological regions")</f>
        <v>Genetic population structure of minke whales Balaenoptera acutorostrata from Greenland, the North East Atlantic and the North Sea probably reflects different ecological regions</v>
      </c>
      <c r="B172" s="24" t="str">
        <f>IFERROR(__xludf.DUMMYFUNCTION("""COMPUTED_VALUE"""),"A genetic study to determine the population structure of minke whales Balaenoptera acutorostrata in Greenland, the Central and NE Atlantic and the North Sea was carried out on a sample of 306 individuals. Samples were analysed by sequencing the D-loop in "&amp;"mtDNA and using 16 polymorphic nuclear microsatellite markers. Muscle samples from a total of 154 minke whales, caught between 6 May and 31. October 1998 by Greenland and Norwegian licensed whalers within 6 areas of the North Atlantic, were analysed (West"&amp;" Greenland, n = 44; Jan Mayen, n = 24; Svalbard, n = 16; the Barents Sea, n = 33; Vesteralen/Lofoten on the coast of northwestern Norway, n = 14, and the North Sea, n = 23). In addition, 30 minke whales sampled in East Greenland during 1996, 1997 and 1999"&amp;" were included. Furthermore, 122 minke whales caught in West Greenland in 3 different years (1982, 1996 and 1997) were analysed to determine potential inter-annual variation within a sampling area. The lack of inter-annual variation in West Greenland sugg"&amp;"ests that the minke whales summering in the area year after year belong to the same sub-population. The study indicated the existence of 4 genetically differentiated sub-populations: (1) West Greenland, (2) Central North Atlantic-East Greenland-Jan Mayen "&amp;"area, (3) NE Atlantic (Svalbard, the Barents Sea and northwestern Norway), and (4) North Sea. It is suggested that these sub-populations have been isolated by discontinuities between regions, i.e. each of the sub-populations has evolved in response to reg"&amp;"ional differences in ecological conditions (oceanography, ice cover, prey type and prey availability).")</f>
        <v>A genetic study to determine the population structure of minke whales Balaenoptera acutorostrata in Greenland, the Central and NE Atlantic and the North Sea was carried out on a sample of 306 individuals. Samples were analysed by sequencing the D-loop in mtDNA and using 16 polymorphic nuclear microsatellite markers. Muscle samples from a total of 154 minke whales, caught between 6 May and 31. October 1998 by Greenland and Norwegian licensed whalers within 6 areas of the North Atlantic, were analysed (West Greenland, n = 44; Jan Mayen, n = 24; Svalbard, n = 16; the Barents Sea, n = 33; Vesteralen/Lofoten on the coast of northwestern Norway, n = 14, and the North Sea, n = 23). In addition, 30 minke whales sampled in East Greenland during 1996, 1997 and 1999 were included. Furthermore, 122 minke whales caught in West Greenland in 3 different years (1982, 1996 and 1997) were analysed to determine potential inter-annual variation within a sampling area. The lack of inter-annual variation in West Greenland suggests that the minke whales summering in the area year after year belong to the same sub-population. The study indicated the existence of 4 genetically differentiated sub-populations: (1) West Greenland, (2) Central North Atlantic-East Greenland-Jan Mayen area, (3) NE Atlantic (Svalbard, the Barents Sea and northwestern Norway), and (4) North Sea. It is suggested that these sub-populations have been isolated by discontinuities between regions, i.e. each of the sub-populations has evolved in response to regional differences in ecological conditions (oceanography, ice cover, prey type and prey availability).</v>
      </c>
      <c r="C172" s="24" t="str">
        <f>IFERROR(__xludf.DUMMYFUNCTION("""COMPUTED_VALUE"""),"10.3354/meps247263")</f>
        <v>10.3354/meps247263</v>
      </c>
      <c r="D172" s="24" t="str">
        <f>IFERROR(__xludf.DUMMYFUNCTION("""COMPUTED_VALUE"""),"shaw et al")</f>
        <v>shaw et al</v>
      </c>
      <c r="E172" s="24" t="str">
        <f>IFERROR(__xludf.DUMMYFUNCTION("""COMPUTED_VALUE"""),"WOS:000181318700024")</f>
        <v>WOS:000181318700024</v>
      </c>
      <c r="F172" s="24" t="str">
        <f>IFERROR(__xludf.DUMMYFUNCTION("""COMPUTED_VALUE"""),"[""ELIGIBLE""]")</f>
        <v>["ELIGIBLE"]</v>
      </c>
    </row>
    <row r="173">
      <c r="A173" s="24" t="str">
        <f>IFERROR(__xludf.DUMMYFUNCTION("""COMPUTED_VALUE"""),"Mating patterns and pollinator mobility are critical traits in forest fragmentation genetics")</f>
        <v>Mating patterns and pollinator mobility are critical traits in forest fragmentation genetics</v>
      </c>
      <c r="B173" s="24" t="str">
        <f>IFERROR(__xludf.DUMMYFUNCTION("""COMPUTED_VALUE"""),"Most woody plants are animal-pollinated, but the global problem of habitat fragmentation is changing the pollination dynamics. Consequently, the genetic diversity and fitness of the progeny of animal-pollinated woody plants sired in fragmented landscapes "&amp;"tend to decline due to shifts in plant-mating patterns (for example, reduced outcrossing rate, pollen diversity). However, the magnitude of this mating-pattern shift should theoretically be a function of pollinator mobility. We first test this hypothesis "&amp;"by exploring the mating patterns of three ecologically divergent eucalypts sampled across a habitat fragmentation gradient in southern Australia. We demonstrate increased selfing and decreased pollen diversity with increased fragmentation for two small-in"&amp;"sect-pollinated eucalypts, but no such relationship for the mobile-bird-pollinated eucalypt. In a meta-analysis, we then show that fragmentation generally does increase selfing rates and decrease pollen diversity, and that more mobile pollinators tended t"&amp;"o dampen these mating-pattern shifts. Together, our findings support the premise that variation in pollinator form contributes to the diversity of mating-pattern responses to habitat fragmentation.")</f>
        <v>Most woody plants are animal-pollinated, but the global problem of habitat fragmentation is changing the pollination dynamics. Consequently, the genetic diversity and fitness of the progeny of animal-pollinated woody plants sired in fragmented landscapes tend to decline due to shifts in plant-mating patterns (for example, reduced outcrossing rate, pollen diversity). However, the magnitude of this mating-pattern shift should theoretically be a function of pollinator mobility. We first test this hypothesis by exploring the mating patterns of three ecologically divergent eucalypts sampled across a habitat fragmentation gradient in southern Australia. We demonstrate increased selfing and decreased pollen diversity with increased fragmentation for two small-insect-pollinated eucalypts, but no such relationship for the mobile-bird-pollinated eucalypt. In a meta-analysis, we then show that fragmentation generally does increase selfing rates and decrease pollen diversity, and that more mobile pollinators tended to dampen these mating-pattern shifts. Together, our findings support the premise that variation in pollinator form contributes to the diversity of mating-pattern responses to habitat fragmentation.</v>
      </c>
      <c r="C173" s="24" t="str">
        <f>IFERROR(__xludf.DUMMYFUNCTION("""COMPUTED_VALUE"""),"10.1038/hdy.2013.48")</f>
        <v>10.1038/hdy.2013.48</v>
      </c>
      <c r="D173" s="24" t="str">
        <f>IFERROR(__xludf.DUMMYFUNCTION("""COMPUTED_VALUE"""),"shaw et al")</f>
        <v>shaw et al</v>
      </c>
      <c r="E173" s="24" t="str">
        <f>IFERROR(__xludf.DUMMYFUNCTION("""COMPUTED_VALUE"""),"WOS:000358007200003")</f>
        <v>WOS:000358007200003</v>
      </c>
      <c r="F173" s="24" t="str">
        <f>IFERROR(__xludf.DUMMYFUNCTION("""COMPUTED_VALUE"""),"[""ELIGIBLE""]")</f>
        <v>["ELIGIBLE"]</v>
      </c>
    </row>
    <row r="174">
      <c r="A174" s="24" t="str">
        <f>IFERROR(__xludf.DUMMYFUNCTION("""COMPUTED_VALUE"""),"Genetic influences on male and female variance in reproductive success and implications for the recovery of severely endangered mountain caribou")</f>
        <v>Genetic influences on male and female variance in reproductive success and implications for the recovery of severely endangered mountain caribou</v>
      </c>
      <c r="B174" s="24" t="str">
        <f>IFERROR(__xludf.DUMMYFUNCTION("""COMPUTED_VALUE"""),"Small and declining populations of large mammals are vulnerable to stochastic events and can be at high risk of extinction. Population viability is also susceptible to the detrimental effects of low genetic diversity and inbreeding. The objective of this "&amp;"study was to do an assessment of three endangered caribou subpopulations using non-invasive genetic sampling to assess demographic population changes by combining capture-recapture modeling, familial pedigree networks, individual fitness and inbreeding co"&amp;"efficients. Three subpopulations of the Central Mountain caribou ecotype (Rangifer tarandus caribou) in Jasper National Park, Canada, were systematically surveyed over a 10-year period and fecal samples collected for DNA analyses. For the Tonquin, populat"&amp;"ion size declined at a rate of 0.86 (95% CI 0.82, 0.91), the number of females decreased from 41 in 2006 to only 14 in 2015. The Brazeau and Maligne subpopulations also declined over the same period, from 22 to 11 individuals (11 and 5 females) in 2006, t"&amp;"o 12 and 3 individuals (6 and 1 females) in 2015. The pedigree network confirmed limited interbreeding among subpopulations, varied fitness levels in both males and females, and evidence of inbreeding avoidance among high-fitness individuals. All populati"&amp;"on parameters pointed to a rapid population decline and low population sizes, putting them at high risk of extinction. The varying reproductive fitness observed amongst males and females was significant and should be considered in future population augmen"&amp;"tation or reintroduction efforts. Improved connectivity among and with neighbouring subpopulations should also be considered to sustain or enhance genetic diversity. (C) 2018 Published by Elsevier B.V.")</f>
        <v>Small and declining populations of large mammals are vulnerable to stochastic events and can be at high risk of extinction. Population viability is also susceptible to the detrimental effects of low genetic diversity and inbreeding. The objective of this study was to do an assessment of three endangered caribou subpopulations using non-invasive genetic sampling to assess demographic population changes by combining capture-recapture modeling, familial pedigree networks, individual fitness and inbreeding coefficients. Three subpopulations of the Central Mountain caribou ecotype (Rangifer tarandus caribou) in Jasper National Park, Canada, were systematically surveyed over a 10-year period and fecal samples collected for DNA analyses. For the Tonquin, population size declined at a rate of 0.86 (95% CI 0.82, 0.91), the number of females decreased from 41 in 2006 to only 14 in 2015. The Brazeau and Maligne subpopulations also declined over the same period, from 22 to 11 individuals (11 and 5 females) in 2006, to 12 and 3 individuals (6 and 1 females) in 2015. The pedigree network confirmed limited interbreeding among subpopulations, varied fitness levels in both males and females, and evidence of inbreeding avoidance among high-fitness individuals. All population parameters pointed to a rapid population decline and low population sizes, putting them at high risk of extinction. The varying reproductive fitness observed amongst males and females was significant and should be considered in future population augmentation or reintroduction efforts. Improved connectivity among and with neighbouring subpopulations should also be considered to sustain or enhance genetic diversity. (C) 2018 Published by Elsevier B.V.</v>
      </c>
      <c r="C174" s="24" t="str">
        <f>IFERROR(__xludf.DUMMYFUNCTION("""COMPUTED_VALUE"""),"10.1016/j.gecco.2018.e00451")</f>
        <v>10.1016/j.gecco.2018.e00451</v>
      </c>
      <c r="D174" s="24" t="str">
        <f>IFERROR(__xludf.DUMMYFUNCTION("""COMPUTED_VALUE"""),"shaw et al")</f>
        <v>shaw et al</v>
      </c>
      <c r="E174" s="24" t="str">
        <f>IFERROR(__xludf.DUMMYFUNCTION("""COMPUTED_VALUE"""),"WOS:000454994500011")</f>
        <v>WOS:000454994500011</v>
      </c>
      <c r="F174" s="24" t="str">
        <f>IFERROR(__xludf.DUMMYFUNCTION("""COMPUTED_VALUE"""),"[""ELIGIBLE""]")</f>
        <v>["ELIGIBLE"]</v>
      </c>
    </row>
    <row r="175">
      <c r="A175" s="24" t="str">
        <f>IFERROR(__xludf.DUMMYFUNCTION("""COMPUTED_VALUE"""),"Measuring the demographic and genetic effects of pest control in a highly persecuted feral pig population")</f>
        <v>Measuring the demographic and genetic effects of pest control in a highly persecuted feral pig population</v>
      </c>
      <c r="B175" s="24" t="str">
        <f>IFERROR(__xludf.DUMMYFUNCTION("""COMPUTED_VALUE"""),"Substantial efforts have been made to identify the most effective practices for the control and management of invasive vertebrate pest species, such as the feral pig (Sus scrofa). We investigated the demographics, abundance, and molecular ecology of a per"&amp;"secuted feral pig population that was subjected to control. We then applied methodologies to determine if we could retrospectively quantity any changes in the population structure or dynamics of these pigs. Feral pig demographic and abundance parameters i"&amp;"ndicated that in this population of feral pigs, there were very few detectable changes between the two aerial culling years. We observed this despite environmental conditions being optimal for control. Genetic results indicated that pigs culled in the lat"&amp;"ter 2004 cull were genetically identical to those pigs that inhabited the area a year earlier. The genetic population was geographically larger than the sample area. These findings indicate that the recovery in feral pig density witnessed in the controlle"&amp;"d area was not a result of reinvasion from a separate, genetically distinct population, but rather, it was the result of reinvasion from feral pigs outside the study area but within the same genetic population. Importantly, we were unable to detect any re"&amp;"cent genetic bottlenecks. This approach has considerable potential for auditing the effectiveness of control programs of pest species and assessing the feasibility of impacting upon or locally eradicating many other free-ranging pest species.")</f>
        <v>Substantial efforts have been made to identify the most effective practices for the control and management of invasive vertebrate pest species, such as the feral pig (Sus scrofa). We investigated the demographics, abundance, and molecular ecology of a persecuted feral pig population that was subjected to control. We then applied methodologies to determine if we could retrospectively quantity any changes in the population structure or dynamics of these pigs. Feral pig demographic and abundance parameters indicated that in this population of feral pigs, there were very few detectable changes between the two aerial culling years. We observed this despite environmental conditions being optimal for control. Genetic results indicated that pigs culled in the latter 2004 cull were genetically identical to those pigs that inhabited the area a year earlier. The genetic population was geographically larger than the sample area. These findings indicate that the recovery in feral pig density witnessed in the controlled area was not a result of reinvasion from a separate, genetically distinct population, but rather, it was the result of reinvasion from feral pigs outside the study area but within the same genetic population. Importantly, we were unable to detect any recent genetic bottlenecks. This approach has considerable potential for auditing the effectiveness of control programs of pest species and assessing the feasibility of impacting upon or locally eradicating many other free-ranging pest species.</v>
      </c>
      <c r="C175" s="24" t="str">
        <f>IFERROR(__xludf.DUMMYFUNCTION("""COMPUTED_VALUE"""),"10.2193/0022-541X(2006)70[1690:MTDAGE]2.0.CO;2")</f>
        <v>10.2193/0022-541X(2006)70[1690:MTDAGE]2.0.CO;2</v>
      </c>
      <c r="D175" s="24" t="str">
        <f>IFERROR(__xludf.DUMMYFUNCTION("""COMPUTED_VALUE"""),"shaw et al")</f>
        <v>shaw et al</v>
      </c>
      <c r="E175" s="24" t="str">
        <f>IFERROR(__xludf.DUMMYFUNCTION("""COMPUTED_VALUE"""),"WOS:000244236100023")</f>
        <v>WOS:000244236100023</v>
      </c>
      <c r="F175" s="24" t="str">
        <f>IFERROR(__xludf.DUMMYFUNCTION("""COMPUTED_VALUE"""),"[""ELIGIBLE""]")</f>
        <v>["ELIGIBLE"]</v>
      </c>
    </row>
    <row r="176">
      <c r="A176" s="24" t="str">
        <f>IFERROR(__xludf.DUMMYFUNCTION("""COMPUTED_VALUE"""),"Spatio-temporal genetic structure of the rodent Calomys venustus in linear, fragmented habitats")</f>
        <v>Spatio-temporal genetic structure of the rodent Calomys venustus in linear, fragmented habitats</v>
      </c>
      <c r="B176" s="24" t="str">
        <f>IFERROR(__xludf.DUMMYFUNCTION("""COMPUTED_VALUE"""),"Studies about habitat fragmentation, in terms of how it affects gene flow and genetic variability, have traditionally been conducted on island-like systems in which the remaining habitats form patches embedded in a matrix. However, in agroecosystems, rema"&amp;"ining habitats usually form linear strips along fence lines, roads, and water courses (border habitats). We used the rodent Calomys venustus, a species inhabiting borders in central Argentina agroecosystems, as a model to address how genetic variability i"&amp;"s structured in linear habitats. A total of 359 rodents were captured seasonally from spring 2005 to winter 2006. Genetic variability at microsatellite loci was uniformly high, despite significant variation in population size during the sampling period. G"&amp;"enetic differentiation, spatial autocorrelation, and causal modeling analyses suggested that dispersion patterns in this species depend mainly on geographic distance, with unfavorable habitat like dirt roads and crop fields posing only weak (or no) resist"&amp;"ance to dispersal. Small-scale spatial genetic structure was related to different space use patterns by females and males. Our results showed that, although greatly reduced in area, border habitats can support stable populations of species without loss of"&amp;" either variability or genetic connectivity.")</f>
        <v>Studies about habitat fragmentation, in terms of how it affects gene flow and genetic variability, have traditionally been conducted on island-like systems in which the remaining habitats form patches embedded in a matrix. However, in agroecosystems, remaining habitats usually form linear strips along fence lines, roads, and water courses (border habitats). We used the rodent Calomys venustus, a species inhabiting borders in central Argentina agroecosystems, as a model to address how genetic variability is structured in linear habitats. A total of 359 rodents were captured seasonally from spring 2005 to winter 2006. Genetic variability at microsatellite loci was uniformly high, despite significant variation in population size during the sampling period. Genetic differentiation, spatial autocorrelation, and causal modeling analyses suggested that dispersion patterns in this species depend mainly on geographic distance, with unfavorable habitat like dirt roads and crop fields posing only weak (or no) resistance to dispersal. Small-scale spatial genetic structure was related to different space use patterns by females and males. Our results showed that, although greatly reduced in area, border habitats can support stable populations of species without loss of either variability or genetic connectivity.</v>
      </c>
      <c r="C176" s="24" t="str">
        <f>IFERROR(__xludf.DUMMYFUNCTION("""COMPUTED_VALUE"""),"10.1093/jmammal/gyv186")</f>
        <v>10.1093/jmammal/gyv186</v>
      </c>
      <c r="D176" s="24" t="str">
        <f>IFERROR(__xludf.DUMMYFUNCTION("""COMPUTED_VALUE"""),"shaw et al")</f>
        <v>shaw et al</v>
      </c>
      <c r="E176" s="24" t="str">
        <f>IFERROR(__xludf.DUMMYFUNCTION("""COMPUTED_VALUE"""),"WOS:000373722700008")</f>
        <v>WOS:000373722700008</v>
      </c>
      <c r="F176" s="24" t="str">
        <f>IFERROR(__xludf.DUMMYFUNCTION("""COMPUTED_VALUE"""),"[""ELIGIBLE""]")</f>
        <v>["ELIGIBLE"]</v>
      </c>
    </row>
    <row r="177">
      <c r="A177" s="24" t="str">
        <f>IFERROR(__xludf.DUMMYFUNCTION("""COMPUTED_VALUE"""),"Population genetic patterns in an irruptive species, the long-nosed bandicoot (Perameles nasuta)")</f>
        <v>Population genetic patterns in an irruptive species, the long-nosed bandicoot (Perameles nasuta)</v>
      </c>
      <c r="B177" s="24" t="str">
        <f>IFERROR(__xludf.DUMMYFUNCTION("""COMPUTED_VALUE"""),"Understanding the genetic diversity of a population is important for understanding population persistence and extinction risk. The long-nosed bandicoot (Perameles nasuta) was once regarded as common throughout its range, but it is unknown whether it is at"&amp;" risk of decline and the genetic diversity in this species has not been assessed. We evaluated the genetic structure and diversity of a P. nasuta population from samples collected during a 6 year demographic study that encompassed a cyclical fluctuation i"&amp;"n abundance. Genetic diversity was higher compared to other studies on bandicoot species suggesting the population is not genetically impoverished. We detected significant temporal genetic differentiation suggesting turnover of genotypes. There was no str"&amp;"ong evidence for population structuring, indicating a panmictic population. Individual-based spatial autocorrelation analysis generated a similar pattern of relatedness across geographical distances for both sexes suggesting no or limited sex-biased dispe"&amp;"rsal. This study provides useful baseline genetic data for a large P. nasuta population that is not significantly impacted by introduced predators or habitat destruction.")</f>
        <v>Understanding the genetic diversity of a population is important for understanding population persistence and extinction risk. The long-nosed bandicoot (Perameles nasuta) was once regarded as common throughout its range, but it is unknown whether it is at risk of decline and the genetic diversity in this species has not been assessed. We evaluated the genetic structure and diversity of a P. nasuta population from samples collected during a 6 year demographic study that encompassed a cyclical fluctuation in abundance. Genetic diversity was higher compared to other studies on bandicoot species suggesting the population is not genetically impoverished. We detected significant temporal genetic differentiation suggesting turnover of genotypes. There was no strong evidence for population structuring, indicating a panmictic population. Individual-based spatial autocorrelation analysis generated a similar pattern of relatedness across geographical distances for both sexes suggesting no or limited sex-biased dispersal. This study provides useful baseline genetic data for a large P. nasuta population that is not significantly impacted by introduced predators or habitat destruction.</v>
      </c>
      <c r="C177" s="24" t="str">
        <f>IFERROR(__xludf.DUMMYFUNCTION("""COMPUTED_VALUE"""),"10.1007/s10592-017-1044-5")</f>
        <v>10.1007/s10592-017-1044-5</v>
      </c>
      <c r="D177" s="24" t="str">
        <f>IFERROR(__xludf.DUMMYFUNCTION("""COMPUTED_VALUE"""),"shaw et al")</f>
        <v>shaw et al</v>
      </c>
      <c r="E177" s="24" t="str">
        <f>IFERROR(__xludf.DUMMYFUNCTION("""COMPUTED_VALUE"""),"WOS:000432992100012")</f>
        <v>WOS:000432992100012</v>
      </c>
      <c r="F177" s="24" t="str">
        <f>IFERROR(__xludf.DUMMYFUNCTION("""COMPUTED_VALUE"""),"[""ELIGIBLE""]")</f>
        <v>["ELIGIBLE"]</v>
      </c>
    </row>
    <row r="178">
      <c r="A178" s="24" t="str">
        <f>IFERROR(__xludf.DUMMYFUNCTION("""COMPUTED_VALUE"""),"Investigating the genetic structure of trout from the Garden of Ninfa (central Italy): Suggestions for conservation and management")</f>
        <v>Investigating the genetic structure of trout from the Garden of Ninfa (central Italy): Suggestions for conservation and management</v>
      </c>
      <c r="B178" s="24" t="str">
        <f>IFERROR(__xludf.DUMMYFUNCTION("""COMPUTED_VALUE"""),"Mediterranean populations of brown trout (Salmo trutta L. complex) have lost a large part of their genetic distinctiveness, mostly due to massive restocking, and the waters of the Gardens of Ninfa (province of Latina, central Italy, Site of Community Impo"&amp;"rtance since 2013) are regarded as one of a few potential reservoirs of autochthonous trout lineages in the Tyrrhenian drainage of the Italian peninsula. In this study, nuclear and mitochondrial markers were used on brown trout samples from Ninfa to estim"&amp;"ate non-Mediterranean influence in the population gene pool, potential changes of genetic structure over time and genetic relationships with other sites known (or suspected) to host native trout gene pools. Striking changes in both microsatellite and mtDN"&amp;"A allele frequencies over a 9-year time span were found and provided evidence of unrecorded stocking from the nearby Lake Fibreno. Results are analysed in the light of potential ecological consequences of such events on a longer time scale and provide a s"&amp;"cientific background for fisheries management and conservation programmes in the area.")</f>
        <v>Mediterranean populations of brown trout (Salmo trutta L. complex) have lost a large part of their genetic distinctiveness, mostly due to massive restocking, and the waters of the Gardens of Ninfa (province of Latina, central Italy, Site of Community Importance since 2013) are regarded as one of a few potential reservoirs of autochthonous trout lineages in the Tyrrhenian drainage of the Italian peninsula. In this study, nuclear and mitochondrial markers were used on brown trout samples from Ninfa to estimate non-Mediterranean influence in the population gene pool, potential changes of genetic structure over time and genetic relationships with other sites known (or suspected) to host native trout gene pools. Striking changes in both microsatellite and mtDNA allele frequencies over a 9-year time span were found and provided evidence of unrecorded stocking from the nearby Lake Fibreno. Results are analysed in the light of potential ecological consequences of such events on a longer time scale and provide a scientific background for fisheries management and conservation programmes in the area.</v>
      </c>
      <c r="C178" s="24" t="str">
        <f>IFERROR(__xludf.DUMMYFUNCTION("""COMPUTED_VALUE"""),"10.1111/fme.12259")</f>
        <v>10.1111/fme.12259</v>
      </c>
      <c r="D178" s="24" t="str">
        <f>IFERROR(__xludf.DUMMYFUNCTION("""COMPUTED_VALUE"""),"shaw et al")</f>
        <v>shaw et al</v>
      </c>
      <c r="E178" s="24" t="str">
        <f>IFERROR(__xludf.DUMMYFUNCTION("""COMPUTED_VALUE"""),"WOS:000419709300001")</f>
        <v>WOS:000419709300001</v>
      </c>
      <c r="F178" s="24" t="str">
        <f>IFERROR(__xludf.DUMMYFUNCTION("""COMPUTED_VALUE"""),"[""ELIGIBLE""]")</f>
        <v>["ELIGIBLE"]</v>
      </c>
    </row>
    <row r="179">
      <c r="A179" s="24" t="str">
        <f>IFERROR(__xludf.DUMMYFUNCTION("""COMPUTED_VALUE"""),"Genetic population structure and management units of the endangered Tokyo bitterling, Tanakia tanago (Cyprinidae)")</f>
        <v>Genetic population structure and management units of the endangered Tokyo bitterling, Tanakia tanago (Cyprinidae)</v>
      </c>
      <c r="B179" s="24" t="str">
        <f>IFERROR(__xludf.DUMMYFUNCTION("""COMPUTED_VALUE"""),"The Tokyo bitterling Tanakia tanago (Cyprinidae) was once found throughout the Kanto Plain, central Japan, but most of their habitats have been lost due to human activities such as urbanization and improvement of paddy fields. Subsequently, conservation e"&amp;"fforts, including captive breeding and reintroduction, have been ongoing. However, the genetic relationships among populations of this species including captive and remnant wild populations have been uncertain and thus management units for this species ha"&amp;"ve been unidentified. We examined the population differentiation among 12 populations, including four wild and eight captive populations, and their relative genetic diversities to assist in conservation management decisions. Phylogeographic analyses based"&amp;" on partial mitochondrial cytochrome b gene sequences and microsatellite polymorphisms revealed four geographically associated genetic groups in the populations. Northern Tochigi populations have diverged from other populations (0.77% of d (A) ), likely s"&amp;"temming from allopatric fragmentation following a change in the route of the Naka River, which occurred during the middle of the Pleistocene epoch. Microsatellite analysis has revealed that the genetic diversity of each population is generally low, and th"&amp;"at most of the populations have experienced genetic bottlenecks. For future in- and ex-situ conservation programs to succeed, the population structure and genetic variability of remnant populations need to be taken into consideration.")</f>
        <v>The Tokyo bitterling Tanakia tanago (Cyprinidae) was once found throughout the Kanto Plain, central Japan, but most of their habitats have been lost due to human activities such as urbanization and improvement of paddy fields. Subsequently, conservation efforts, including captive breeding and reintroduction, have been ongoing. However, the genetic relationships among populations of this species including captive and remnant wild populations have been uncertain and thus management units for this species have been unidentified. We examined the population differentiation among 12 populations, including four wild and eight captive populations, and their relative genetic diversities to assist in conservation management decisions. Phylogeographic analyses based on partial mitochondrial cytochrome b gene sequences and microsatellite polymorphisms revealed four geographically associated genetic groups in the populations. Northern Tochigi populations have diverged from other populations (0.77% of d (A) ), likely stemming from allopatric fragmentation following a change in the route of the Naka River, which occurred during the middle of the Pleistocene epoch. Microsatellite analysis has revealed that the genetic diversity of each population is generally low, and that most of the populations have experienced genetic bottlenecks. For future in- and ex-situ conservation programs to succeed, the population structure and genetic variability of remnant populations need to be taken into consideration.</v>
      </c>
      <c r="C179" s="24" t="str">
        <f>IFERROR(__xludf.DUMMYFUNCTION("""COMPUTED_VALUE"""),"10.1007/s10592-010-0120-x")</f>
        <v>10.1007/s10592-010-0120-x</v>
      </c>
      <c r="D179" s="24" t="str">
        <f>IFERROR(__xludf.DUMMYFUNCTION("""COMPUTED_VALUE"""),"shaw et al")</f>
        <v>shaw et al</v>
      </c>
      <c r="E179" s="24" t="str">
        <f>IFERROR(__xludf.DUMMYFUNCTION("""COMPUTED_VALUE"""),"WOS:000283505900022")</f>
        <v>WOS:000283505900022</v>
      </c>
      <c r="F179" s="24" t="str">
        <f>IFERROR(__xludf.DUMMYFUNCTION("""COMPUTED_VALUE"""),"[""ELIGIBLE""]")</f>
        <v>["ELIGIBLE"]</v>
      </c>
    </row>
    <row r="180">
      <c r="A180" s="24" t="str">
        <f>IFERROR(__xludf.DUMMYFUNCTION("""COMPUTED_VALUE"""),"A Genetic Assessment of a Red Drum, Sciaenops ocellatus, Stock Enhancement Program")</f>
        <v>A Genetic Assessment of a Red Drum, Sciaenops ocellatus, Stock Enhancement Program</v>
      </c>
      <c r="B180" s="24" t="str">
        <f>IFERROR(__xludf.DUMMYFUNCTION("""COMPUTED_VALUE"""),"The South Carolina Department of Natural Resources began a stock enhancement research program for red drum, Sciaenops ocellatus, as a possible management strategy for augmenting the availability of juveniles for recreational harvest in South Carolina estu"&amp;"aries. Between 1999 and 2011, approximately 6 million juveniles and 260 million larvae were stocked into the Charleston Harbor (CH) estuary, and proportions of stocked fish were found through standardized sampling as high as 49.6% within a subadult year-c"&amp;"lass and up to 12% within the spatially separate spawning population. This study evaluated the genetic influences of stocking on the spawning population, using microsatellite loci, and examined any changes in genetic diversity metrics over the course of t"&amp;"he stock enhancement program. Percent contribution of stocked fish among subadult and adult collections was compared against measures of genetic diversity. No statistically significant correlations were found among genetic diversity metrics, suggesting th"&amp;"at responsible stocking of red drum as small juveniles has not altered the genetic diversity of adults spawning offshore the CH. Life-history characteristics likely play a large role in mitigating changes in genetic diversity, despite high contributions o"&amp;"f stocked fish in some years, because red drum exhibit a long adult life span and benefit from overlapping generations.")</f>
        <v>The South Carolina Department of Natural Resources began a stock enhancement research program for red drum, Sciaenops ocellatus, as a possible management strategy for augmenting the availability of juveniles for recreational harvest in South Carolina estuaries. Between 1999 and 2011, approximately 6 million juveniles and 260 million larvae were stocked into the Charleston Harbor (CH) estuary, and proportions of stocked fish were found through standardized sampling as high as 49.6% within a subadult year-class and up to 12% within the spatially separate spawning population. This study evaluated the genetic influences of stocking on the spawning population, using microsatellite loci, and examined any changes in genetic diversity metrics over the course of the stock enhancement program. Percent contribution of stocked fish among subadult and adult collections was compared against measures of genetic diversity. No statistically significant correlations were found among genetic diversity metrics, suggesting that responsible stocking of red drum as small juveniles has not altered the genetic diversity of adults spawning offshore the CH. Life-history characteristics likely play a large role in mitigating changes in genetic diversity, despite high contributions of stocked fish in some years, because red drum exhibit a long adult life span and benefit from overlapping generations.</v>
      </c>
      <c r="C180" s="24" t="str">
        <f>IFERROR(__xludf.DUMMYFUNCTION("""COMPUTED_VALUE"""),"10.1111/jwas.12442")</f>
        <v>10.1111/jwas.12442</v>
      </c>
      <c r="D180" s="24" t="str">
        <f>IFERROR(__xludf.DUMMYFUNCTION("""COMPUTED_VALUE"""),"shaw et al")</f>
        <v>shaw et al</v>
      </c>
      <c r="E180" s="24" t="str">
        <f>IFERROR(__xludf.DUMMYFUNCTION("""COMPUTED_VALUE"""),"WOS:000434226500008")</f>
        <v>WOS:000434226500008</v>
      </c>
      <c r="F180" s="24" t="str">
        <f>IFERROR(__xludf.DUMMYFUNCTION("""COMPUTED_VALUE"""),"[""ELIGIBLE""]")</f>
        <v>["ELIGIBLE"]</v>
      </c>
    </row>
    <row r="181">
      <c r="A181" s="24" t="str">
        <f>IFERROR(__xludf.DUMMYFUNCTION("""COMPUTED_VALUE"""),"Archival genetic analysis suggests recent immigration has altered a population of Chinook salmon in an unsupplemented wilderness area")</f>
        <v>Archival genetic analysis suggests recent immigration has altered a population of Chinook salmon in an unsupplemented wilderness area</v>
      </c>
      <c r="B181" s="24" t="str">
        <f>IFERROR(__xludf.DUMMYFUNCTION("""COMPUTED_VALUE"""),"Detecting genetic population shifts (i.e. allele frequency differences) through time is a primary function of effective conservation monitoring, but it is equally vital to understand the underlying causative factors of change which may be revealed through"&amp;" analyses of long-term, temporal trends. We compared archival and contemporary Chinook salmon (Oncorhynchus tshawytscha) collections from the John Day River in Oregon, USA, to evaluate the temporal relationships among four primary spawning areas over a sp"&amp;"an of 28 years (1978-2006). Although it lies amid many hatchery-supplemented salmon populations of the Columbia River, the John Day River has itself experienced no directed supplementation. Using a combined panel of 13 microsatellite and 92 single nucleot"&amp;"ide polymorphism loci, we observed significant temporal heterogeneity across sample sites and tested for two likely evolutionary influences: stochastic processes (i.e. genetic drift) and gene flow via immigration. Based on abundance and effective populati"&amp;"on size estimates, we found no evidence indicating a recent bottleneck. We observed a sharp temporal decline in probability of self-assignment of John Day River fish, particularly for the North Fork tributary. There was a corresponding increase in assignm"&amp;"ent to distant Snake River populations, attributed to accumulating introgression from out-of-basin sources over time. Our study demonstrates that low level immigration sustained over multiple generations can alter the genetic composition of natural popula"&amp;"tions, and while immigration may help maintain genetic population diversity, it risks reducing adaptive advantages in local ecosystems.")</f>
        <v>Detecting genetic population shifts (i.e. allele frequency differences) through time is a primary function of effective conservation monitoring, but it is equally vital to understand the underlying causative factors of change which may be revealed through analyses of long-term, temporal trends. We compared archival and contemporary Chinook salmon (Oncorhynchus tshawytscha) collections from the John Day River in Oregon, USA, to evaluate the temporal relationships among four primary spawning areas over a span of 28 years (1978-2006). Although it lies amid many hatchery-supplemented salmon populations of the Columbia River, the John Day River has itself experienced no directed supplementation. Using a combined panel of 13 microsatellite and 92 single nucleotide polymorphism loci, we observed significant temporal heterogeneity across sample sites and tested for two likely evolutionary influences: stochastic processes (i.e. genetic drift) and gene flow via immigration. Based on abundance and effective population size estimates, we found no evidence indicating a recent bottleneck. We observed a sharp temporal decline in probability of self-assignment of John Day River fish, particularly for the North Fork tributary. There was a corresponding increase in assignment to distant Snake River populations, attributed to accumulating introgression from out-of-basin sources over time. Our study demonstrates that low level immigration sustained over multiple generations can alter the genetic composition of natural populations, and while immigration may help maintain genetic population diversity, it risks reducing adaptive advantages in local ecosystems.</v>
      </c>
      <c r="C181" s="24" t="str">
        <f>IFERROR(__xludf.DUMMYFUNCTION("""COMPUTED_VALUE"""),"10.1007/s10592-013-0546-z")</f>
        <v>10.1007/s10592-013-0546-z</v>
      </c>
      <c r="D181" s="24" t="str">
        <f>IFERROR(__xludf.DUMMYFUNCTION("""COMPUTED_VALUE"""),"shaw et al")</f>
        <v>shaw et al</v>
      </c>
      <c r="E181" s="24" t="str">
        <f>IFERROR(__xludf.DUMMYFUNCTION("""COMPUTED_VALUE"""),"WOS:000332758900013")</f>
        <v>WOS:000332758900013</v>
      </c>
      <c r="F181" s="24" t="str">
        <f>IFERROR(__xludf.DUMMYFUNCTION("""COMPUTED_VALUE"""),"[""ELIGIBLE""]")</f>
        <v>["ELIGIBLE"]</v>
      </c>
    </row>
    <row r="182">
      <c r="A182" s="24" t="str">
        <f>IFERROR(__xludf.DUMMYFUNCTION("""COMPUTED_VALUE"""),"Genetic differentiation and local temporal stability of population structure in the euphausiid Meganyctiphanes norvegica")</f>
        <v>Genetic differentiation and local temporal stability of population structure in the euphausiid Meganyctiphanes norvegica</v>
      </c>
      <c r="B182" s="24" t="str">
        <f>IFERROR(__xludf.DUMMYFUNCTION("""COMPUTED_VALUE"""),"Meganyctiphanes norvegica (M. Sars 1856), the northern krill, is the largest and most abundant euphausiid species in the northern hemisphere, where it represents a key component of many pelagic communities. Although planktonic, krill could be considered a"&amp;" nektonic organism, as it is capable of active movements. This behaviour may be adaptive, because it allows these organisms to maintain their geographic position, leading to stable population structure, despite being continuously exposed to the heterogene"&amp;"ous oceanic conditions. By means of single-strand conformation polymorphism and DNA sequencing, we analyzed allelic variation of the Subunit 1 of NADH dehydrogenase mtDNA locus in 23 populations of the northern krill Meganyctiphanes norvegica, from 15 loc"&amp;"ations spanning the distribution range of the species. Analysis of the data indicated that the genetic structure, as revealed by analysis of population samples collected at the same site in consecutive years, was stable during that sampling period. Our re"&amp;"sults revealed the existence of 4 genetically and geographically distinct gene pools of M. norvegica, 2 occurring in the NE Atlantic ('northern' NE Atlantic and 'southern' NE Atlantic), 1 in the NW Atlantic, and 1 in the Mediterranean (Ligurian) Sea.")</f>
        <v>Meganyctiphanes norvegica (M. Sars 1856), the northern krill, is the largest and most abundant euphausiid species in the northern hemisphere, where it represents a key component of many pelagic communities. Although planktonic, krill could be considered a nektonic organism, as it is capable of active movements. This behaviour may be adaptive, because it allows these organisms to maintain their geographic position, leading to stable population structure, despite being continuously exposed to the heterogeneous oceanic conditions. By means of single-strand conformation polymorphism and DNA sequencing, we analyzed allelic variation of the Subunit 1 of NADH dehydrogenase mtDNA locus in 23 populations of the northern krill Meganyctiphanes norvegica, from 15 locations spanning the distribution range of the species. Analysis of the data indicated that the genetic structure, as revealed by analysis of population samples collected at the same site in consecutive years, was stable during that sampling period. Our results revealed the existence of 4 genetically and geographically distinct gene pools of M. norvegica, 2 occurring in the NE Atlantic ('northern' NE Atlantic and 'southern' NE Atlantic), 1 in the NW Atlantic, and 1 in the Mediterranean (Ligurian) Sea.</v>
      </c>
      <c r="C182" s="24" t="str">
        <f>IFERROR(__xludf.DUMMYFUNCTION("""COMPUTED_VALUE"""),"10.3354/meps289225")</f>
        <v>10.3354/meps289225</v>
      </c>
      <c r="D182" s="24" t="str">
        <f>IFERROR(__xludf.DUMMYFUNCTION("""COMPUTED_VALUE"""),"shaw et al")</f>
        <v>shaw et al</v>
      </c>
      <c r="E182" s="24" t="str">
        <f>IFERROR(__xludf.DUMMYFUNCTION("""COMPUTED_VALUE"""),"WOS:000228927900020")</f>
        <v>WOS:000228927900020</v>
      </c>
      <c r="F182" s="24" t="str">
        <f>IFERROR(__xludf.DUMMYFUNCTION("""COMPUTED_VALUE"""),"[""ELIGIBLE""]")</f>
        <v>["ELIGIBLE"]</v>
      </c>
    </row>
    <row r="183">
      <c r="A183" s="24" t="str">
        <f>IFERROR(__xludf.DUMMYFUNCTION("""COMPUTED_VALUE"""),"Temporal genetic dynamics of reintroduced and translocated populations of the endangered golden lion tamarin (Leontopithecus rosalia)")</f>
        <v>Temporal genetic dynamics of reintroduced and translocated populations of the endangered golden lion tamarin (Leontopithecus rosalia)</v>
      </c>
      <c r="B183" s="24" t="str">
        <f>IFERROR(__xludf.DUMMYFUNCTION("""COMPUTED_VALUE"""),"Reintroductions-captive-born animals introduced into the species' original distribution area-and translocations-free-living animals transferred to another location within the historical distribution area-are important conservation strategies for endangere"&amp;"d species. Genetic analyses of 239 individuals from unmanaged, translocated and reintroduced populations of Leontopithecus rosalia were performed using 14 microsatellites. These samples were collected during two periods: (a) 1996-1997 (historic), when ind"&amp;"ividuals were translocated and reintroduced into forest fragments in the lowland Atlantic Forest, and (b) 2007-09 (recent). We hypothesized that effective population size and genetic diversity would increase over time and that these management strategies "&amp;"would affect the resulting population genetic structure. We found trends indicating that the effective population size at the translocation site increased while that at the reintroduction sites diminished over time. The inbreeding coefficient of the trans"&amp;"located population diminished over time (from 0.38 to 0.03) and was much lower than that of the native (0.29) and reintroduced (0.13) recent populations. We observed a greater genetic admixture among the reintroduced sites on the historic sampling, as wel"&amp;"l as a strong genetic structure at the translocation site. In the recent sampling, the population structuring became more site-related suggesting low or inconsistent gene flow between sampling sites. This research highlights how conservation management de"&amp;"cisions have an important influence on the genetic outcome of translocations and reintroductions. Future conservation planning should consider population genetic monitoring before and after management measures and maintain population connectivity thereaft"&amp;"er to avoid the negative effects of a population size reduction.")</f>
        <v>Reintroductions-captive-born animals introduced into the species' original distribution area-and translocations-free-living animals transferred to another location within the historical distribution area-are important conservation strategies for endangered species. Genetic analyses of 239 individuals from unmanaged, translocated and reintroduced populations of Leontopithecus rosalia were performed using 14 microsatellites. These samples were collected during two periods: (a) 1996-1997 (historic), when individuals were translocated and reintroduced into forest fragments in the lowland Atlantic Forest, and (b) 2007-09 (recent). We hypothesized that effective population size and genetic diversity would increase over time and that these management strategies would affect the resulting population genetic structure. We found trends indicating that the effective population size at the translocation site increased while that at the reintroduction sites diminished over time. The inbreeding coefficient of the translocated population diminished over time (from 0.38 to 0.03) and was much lower than that of the native (0.29) and reintroduced (0.13) recent populations. We observed a greater genetic admixture among the reintroduced sites on the historic sampling, as well as a strong genetic structure at the translocation site. In the recent sampling, the population structuring became more site-related suggesting low or inconsistent gene flow between sampling sites. This research highlights how conservation management decisions have an important influence on the genetic outcome of translocations and reintroductions. Future conservation planning should consider population genetic monitoring before and after management measures and maintain population connectivity thereafter to avoid the negative effects of a population size reduction.</v>
      </c>
      <c r="C183" s="24" t="str">
        <f>IFERROR(__xludf.DUMMYFUNCTION("""COMPUTED_VALUE"""),"10.1007/s10592-017-0948-4")</f>
        <v>10.1007/s10592-017-0948-4</v>
      </c>
      <c r="D183" s="24" t="str">
        <f>IFERROR(__xludf.DUMMYFUNCTION("""COMPUTED_VALUE"""),"shaw et al")</f>
        <v>shaw et al</v>
      </c>
      <c r="E183" s="24" t="str">
        <f>IFERROR(__xludf.DUMMYFUNCTION("""COMPUTED_VALUE"""),"WOS:000411219800002")</f>
        <v>WOS:000411219800002</v>
      </c>
      <c r="F183" s="24" t="str">
        <f>IFERROR(__xludf.DUMMYFUNCTION("""COMPUTED_VALUE"""),"[""ELIGIBLE""]")</f>
        <v>["ELIGIBLE"]</v>
      </c>
    </row>
    <row r="184">
      <c r="A184" s="24" t="str">
        <f>IFERROR(__xludf.DUMMYFUNCTION("""COMPUTED_VALUE"""),"Effect of Compensatory Immigration on the Genetic Structure of Coyotes")</f>
        <v>Effect of Compensatory Immigration on the Genetic Structure of Coyotes</v>
      </c>
      <c r="B184" s="24" t="str">
        <f>IFERROR(__xludf.DUMMYFUNCTION("""COMPUTED_VALUE"""),"Despite efforts to reduce their effects on livestock and native ungulates within the southeastern United States, coyotes (Canis latrans) can recover from control programs. It is unknown how coyotes compensate for high mortality following trapping, so ther"&amp;"e is great interest to identify methods that can provide insight into coyote response to intensive trapping. To investigate if population genetic tools can decipher how coyotes recover from intensive trapping, we combined an empirical test of how genetic "&amp;"differentiation, diversity, and familial structure changed following trapping on the Savannah River Site (SRS), South Carolina, USA, with spatially explicit genetic simulations. The pre- and post-trapping periods had similar genetic diversities and were n"&amp;"ot genetically differentiated as expected by either compensatory reproduction or immigration from a single genetic source. The post-trapping coyote populations exhibited weaker signatures of philopatry with little evidence for increased dispersal distance"&amp;"s of young coyotes, which suggests immigration caused a decrease in familial structure. Our simulations indicated that spatial autocorrelation coefficients and observed heterozygosities change as immigration increases, whereas population differentiation, "&amp;"allelic richness, and displacement distances do not. Collectively, our results suggest that coyotes recover from intensive trapping via reproduction and immigration, which likely makes preventing compensation difficult. Monitoring post-trapping population"&amp;"s may offer more insight into maximizing the effectiveness of control efforts, and based on our simulations, population genetics can provide critical information about the amount of compensatory immigration following trapping. (C) 2017 The Wildlife Societ"&amp;"y.")</f>
        <v>Despite efforts to reduce their effects on livestock and native ungulates within the southeastern United States, coyotes (Canis latrans) can recover from control programs. It is unknown how coyotes compensate for high mortality following trapping, so there is great interest to identify methods that can provide insight into coyote response to intensive trapping. To investigate if population genetic tools can decipher how coyotes recover from intensive trapping, we combined an empirical test of how genetic differentiation, diversity, and familial structure changed following trapping on the Savannah River Site (SRS), South Carolina, USA, with spatially explicit genetic simulations. The pre- and post-trapping periods had similar genetic diversities and were not genetically differentiated as expected by either compensatory reproduction or immigration from a single genetic source. The post-trapping coyote populations exhibited weaker signatures of philopatry with little evidence for increased dispersal distances of young coyotes, which suggests immigration caused a decrease in familial structure. Our simulations indicated that spatial autocorrelation coefficients and observed heterozygosities change as immigration increases, whereas population differentiation, allelic richness, and displacement distances do not. Collectively, our results suggest that coyotes recover from intensive trapping via reproduction and immigration, which likely makes preventing compensation difficult. Monitoring post-trapping populations may offer more insight into maximizing the effectiveness of control efforts, and based on our simulations, population genetics can provide critical information about the amount of compensatory immigration following trapping. (C) 2017 The Wildlife Society.</v>
      </c>
      <c r="C184" s="24" t="str">
        <f>IFERROR(__xludf.DUMMYFUNCTION("""COMPUTED_VALUE"""),"10.1002/jwmg.21320")</f>
        <v>10.1002/jwmg.21320</v>
      </c>
      <c r="D184" s="24" t="str">
        <f>IFERROR(__xludf.DUMMYFUNCTION("""COMPUTED_VALUE"""),"shaw et al")</f>
        <v>shaw et al</v>
      </c>
      <c r="E184" s="24" t="str">
        <f>IFERROR(__xludf.DUMMYFUNCTION("""COMPUTED_VALUE"""),"WOS:000417628900009")</f>
        <v>WOS:000417628900009</v>
      </c>
      <c r="F184" s="24" t="str">
        <f>IFERROR(__xludf.DUMMYFUNCTION("""COMPUTED_VALUE"""),"[""ELIGIBLE""]")</f>
        <v>["ELIGIBLE"]</v>
      </c>
    </row>
    <row r="185">
      <c r="A185" s="24" t="str">
        <f>IFERROR(__xludf.DUMMYFUNCTION("""COMPUTED_VALUE"""),"Reproductive synchrony in a recovering bottlenecked sea turtle population")</f>
        <v>Reproductive synchrony in a recovering bottlenecked sea turtle population</v>
      </c>
      <c r="B185" s="24" t="str">
        <f>IFERROR(__xludf.DUMMYFUNCTION("""COMPUTED_VALUE"""),"1. The assessment of species extinction risk has been well established for some time now. Assessing the potential for recovery in endangered species is however much more challenging, because complementary approaches are required to detect reliable signals"&amp;" of positive trends. 2. This study combines genetics, demography and behavioural data at three different time-scales to assess historical and recent population changes and evidence of reproductive synchrony in a small population of olive ridley sea turtle"&amp;" Lepidochelys olivacea. Lepidochelys is considered as the most extraordinary example of reproductive synchrony in reptiles, yet to date, it has only been reported in large populations. 3. Using Bayesian coalescent-based models on microsatellite nuclear DN"&amp;"A variability, we demonstrate that effective population size in olive ridleys nesting in French Guiana has dramatically declined by 99% over the last 20 centuries. This low current population size is further illustrated by the absence of genetic mitochond"&amp;"rial DNA diversity in the present nesting population. Yet, monitoring of nesting sites in French Guiana suggests a possible recovery of the population over the last decade. 4. Satellite telemetry shows that over the first 14 days of their 28-days inter-ne"&amp;"sting interval, i.e. when eggs maturation is likely to occur, gravid females disperse over the continental shelf. They then gather together with a striking spatiotemporal consistency close to the nesting site, where they later emerge for their second nest"&amp;"ing event. 5. Our results therefore suggest that reproductive synchrony also occurs in small populations. Olive ridleys may ensure this synchrony by adjusting the duration of the second half of their internesting interval prior to landing, possibly throug"&amp;"h social mediation. 6. Such reproductive synchrony may be related to the maintenance of some species-specific strategy despite former collapse and may contribute to the present population recovery. The gregarious behaviour of reproductive individuals clos"&amp;"e to shore where human-induced perturbations occur is however a cause for conservation concern for this still poorly known species.")</f>
        <v>1. The assessment of species extinction risk has been well established for some time now. Assessing the potential for recovery in endangered species is however much more challenging, because complementary approaches are required to detect reliable signals of positive trends. 2. This study combines genetics, demography and behavioural data at three different time-scales to assess historical and recent population changes and evidence of reproductive synchrony in a small population of olive ridley sea turtle Lepidochelys olivacea. Lepidochelys is considered as the most extraordinary example of reproductive synchrony in reptiles, yet to date, it has only been reported in large populations. 3. Using Bayesian coalescent-based models on microsatellite nuclear DNA variability, we demonstrate that effective population size in olive ridleys nesting in French Guiana has dramatically declined by 99% over the last 20 centuries. This low current population size is further illustrated by the absence of genetic mitochondrial DNA diversity in the present nesting population. Yet, monitoring of nesting sites in French Guiana suggests a possible recovery of the population over the last decade. 4. Satellite telemetry shows that over the first 14 days of their 28-days inter-nesting interval, i.e. when eggs maturation is likely to occur, gravid females disperse over the continental shelf. They then gather together with a striking spatiotemporal consistency close to the nesting site, where they later emerge for their second nesting event. 5. Our results therefore suggest that reproductive synchrony also occurs in small populations. Olive ridleys may ensure this synchrony by adjusting the duration of the second half of their internesting interval prior to landing, possibly through social mediation. 6. Such reproductive synchrony may be related to the maintenance of some species-specific strategy despite former collapse and may contribute to the present population recovery. The gregarious behaviour of reproductive individuals close to shore where human-induced perturbations occur is however a cause for conservation concern for this still poorly known species.</v>
      </c>
      <c r="C185" s="24" t="str">
        <f>IFERROR(__xludf.DUMMYFUNCTION("""COMPUTED_VALUE"""),"10.1111/j.1365-2656.2011.01915.x")</f>
        <v>10.1111/j.1365-2656.2011.01915.x</v>
      </c>
      <c r="D185" s="24" t="str">
        <f>IFERROR(__xludf.DUMMYFUNCTION("""COMPUTED_VALUE"""),"shaw et al")</f>
        <v>shaw et al</v>
      </c>
      <c r="E185" s="24" t="str">
        <f>IFERROR(__xludf.DUMMYFUNCTION("""COMPUTED_VALUE"""),"WOS:000300502600005")</f>
        <v>WOS:000300502600005</v>
      </c>
      <c r="F185" s="24" t="str">
        <f>IFERROR(__xludf.DUMMYFUNCTION("""COMPUTED_VALUE"""),"[""ELIGIBLE""]")</f>
        <v>["ELIGIBLE"]</v>
      </c>
    </row>
    <row r="186">
      <c r="A186" s="24" t="str">
        <f>IFERROR(__xludf.DUMMYFUNCTION("""COMPUTED_VALUE"""),"Genetic monitoring of two decades of hybridization between allis shad (Alosa alosa) and twaite shad (Alosa fallax)")</f>
        <v>Genetic monitoring of two decades of hybridization between allis shad (Alosa alosa) and twaite shad (Alosa fallax)</v>
      </c>
      <c r="B186" s="24" t="str">
        <f>IFERROR(__xludf.DUMMYFUNCTION("""COMPUTED_VALUE"""),"Habitat alteration has been implicated in driving hybridization between the sympatric migratory shads Alosa alosa and Alosa fallax. Morphological and molecular evidence is consistent with hybridization across the overlapping range of these species, but th"&amp;"e temporal extent of hybrid occurrence and genetic consequences for populations have not been explored. Using eight nuclear microsatellite loci and samples collected between 1989 and 2008 in the Solway Firth (UK), we genetically identified hybrids, studie"&amp;"d temporal changes in their frequency, and explored changes in allele frequencies of parental populations. These molecular data confirmed the hybrid status of individuals identified using morphology (number of rakers on the outer gill arch), and enabled s"&amp;"eparation of hybrids from purebred individuals. Mitochondrial cytochrome-b sequencing revealed the presence of two haplogroups, each predominantly occurring in one species. Heterospecific haplotypes were found in 22.3 and 12.8% of A. alosa and A. fallax i"&amp;"ndividuals, respectively, consistent with backcrossing and suggesting that hybrids are fertile. On average, microsatellite-identified hybrids comprised 12.7% of all samples, but when individuals with cytonuclear discordance were also considered introgress"&amp;"ed on average 25.4% of individuals were of hybrid ancestry. Overall, allelic richness remained largely unchanged within species, but there were declines in the inbreeding coefficient (F (IS)) of both species and episodes of significant temporal allelic fr"&amp;"equency change. Hybrids sampled between 2004 and 2008 showed no evidence of lower fecundity relative to purebred individuals. Together, results suggest that hybridization between shad species in northern Europe is prevalent, and has been ongoing over at l"&amp;"east two decades. The challenge is now to understand the extent to which observed patterns are linked to immigration from other populations, and the mechanisms that have prevented species collapse despite apparent hybrid fertility and longstanding introgr"&amp;"ession of neutral markers.")</f>
        <v>Habitat alteration has been implicated in driving hybridization between the sympatric migratory shads Alosa alosa and Alosa fallax. Morphological and molecular evidence is consistent with hybridization across the overlapping range of these species, but the temporal extent of hybrid occurrence and genetic consequences for populations have not been explored. Using eight nuclear microsatellite loci and samples collected between 1989 and 2008 in the Solway Firth (UK), we genetically identified hybrids, studied temporal changes in their frequency, and explored changes in allele frequencies of parental populations. These molecular data confirmed the hybrid status of individuals identified using morphology (number of rakers on the outer gill arch), and enabled separation of hybrids from purebred individuals. Mitochondrial cytochrome-b sequencing revealed the presence of two haplogroups, each predominantly occurring in one species. Heterospecific haplotypes were found in 22.3 and 12.8% of A. alosa and A. fallax individuals, respectively, consistent with backcrossing and suggesting that hybrids are fertile. On average, microsatellite-identified hybrids comprised 12.7% of all samples, but when individuals with cytonuclear discordance were also considered introgressed on average 25.4% of individuals were of hybrid ancestry. Overall, allelic richness remained largely unchanged within species, but there were declines in the inbreeding coefficient (F (IS)) of both species and episodes of significant temporal allelic frequency change. Hybrids sampled between 2004 and 2008 showed no evidence of lower fecundity relative to purebred individuals. Together, results suggest that hybridization between shad species in northern Europe is prevalent, and has been ongoing over at least two decades. The challenge is now to understand the extent to which observed patterns are linked to immigration from other populations, and the mechanisms that have prevented species collapse despite apparent hybrid fertility and longstanding introgression of neutral markers.</v>
      </c>
      <c r="C186" s="24" t="str">
        <f>IFERROR(__xludf.DUMMYFUNCTION("""COMPUTED_VALUE"""),"10.1007/s10592-011-0211-3")</f>
        <v>10.1007/s10592-011-0211-3</v>
      </c>
      <c r="D186" s="24" t="str">
        <f>IFERROR(__xludf.DUMMYFUNCTION("""COMPUTED_VALUE"""),"shaw et al")</f>
        <v>shaw et al</v>
      </c>
      <c r="E186" s="24" t="str">
        <f>IFERROR(__xludf.DUMMYFUNCTION("""COMPUTED_VALUE"""),"WOS:000292880800019")</f>
        <v>WOS:000292880800019</v>
      </c>
      <c r="F186" s="24" t="str">
        <f>IFERROR(__xludf.DUMMYFUNCTION("""COMPUTED_VALUE"""),"[""ELIGIBLE""]")</f>
        <v>["ELIGIBLE"]</v>
      </c>
    </row>
    <row r="187">
      <c r="A187" s="24" t="str">
        <f>IFERROR(__xludf.DUMMYFUNCTION("""COMPUTED_VALUE"""),"Single-sample estimation of effective population size in several populations of the endangered Hine's emerald dragonfly")</f>
        <v>Single-sample estimation of effective population size in several populations of the endangered Hine's emerald dragonfly</v>
      </c>
      <c r="B187" s="24" t="str">
        <f>IFERROR(__xludf.DUMMYFUNCTION("""COMPUTED_VALUE"""),"Hine's emerald dragonfly (Somatochlora hineana) is the only odonate on the US Endangered Species list. It prefers discrete fen-and-wet-meadow habitat from Ontario, Canada, to Missouri, USA. This habitat has been destroyed across much of S. hineana's range"&amp;". Its conservation genetics were assessed by microsatellite analysis in a previous study. We applied 2 common single-sample estimators to the same data set to estimate effective population size (N-e), or effective number of breeders, in 5 populations (sep"&amp;"arated into adult and naiad stage classes) across the species' range in 2008 and 2010-2011. Populations of the species in the Upper Peninsula of Michigan, the Door Peninsula of Wisconsin, and along the Des Plaines River Valley in Illinois are made up of i"&amp;"ndividuals collected from multiple sites, but the other 2 populations, at Cedarburg Bog, Wisconsin, and along the Lower Wisconsin River, consist of samples from single habitats disjunct from other known sites. N-e for S. hineana were similar to those for "&amp;"other endangered insects and ranged from 22 adults in the Des Plaines River Valley population in 2010 to 200 adults in the Door Peninsula population in 2010 based on approximate Bayesian estimation in ONeSAMP and from 8 naiads in the Door Peninsula popula"&amp;"tion to 419 adults in the Des Plaines River Valley population based on the linkage disequilibrium method in NeEstimator. These N-e values confirm the endangered status of this species and indicate that efforts to maintain current habitats and connectivity"&amp;" to suitable habitat are essential to maintaining genetic diversity.")</f>
        <v>Hine's emerald dragonfly (Somatochlora hineana) is the only odonate on the US Endangered Species list. It prefers discrete fen-and-wet-meadow habitat from Ontario, Canada, to Missouri, USA. This habitat has been destroyed across much of S. hineana's range. Its conservation genetics were assessed by microsatellite analysis in a previous study. We applied 2 common single-sample estimators to the same data set to estimate effective population size (N-e), or effective number of breeders, in 5 populations (separated into adult and naiad stage classes) across the species' range in 2008 and 2010-2011. Populations of the species in the Upper Peninsula of Michigan, the Door Peninsula of Wisconsin, and along the Des Plaines River Valley in Illinois are made up of individuals collected from multiple sites, but the other 2 populations, at Cedarburg Bog, Wisconsin, and along the Lower Wisconsin River, consist of samples from single habitats disjunct from other known sites. N-e for S. hineana were similar to those for other endangered insects and ranged from 22 adults in the Des Plaines River Valley population in 2010 to 200 adults in the Door Peninsula population in 2010 based on approximate Bayesian estimation in ONeSAMP and from 8 naiads in the Door Peninsula population to 419 adults in the Des Plaines River Valley population based on the linkage disequilibrium method in NeEstimator. These N-e values confirm the endangered status of this species and indicate that efforts to maintain current habitats and connectivity to suitable habitat are essential to maintaining genetic diversity.</v>
      </c>
      <c r="C187" s="24" t="str">
        <f>IFERROR(__xludf.DUMMYFUNCTION("""COMPUTED_VALUE"""),"10.1086/682073")</f>
        <v>10.1086/682073</v>
      </c>
      <c r="D187" s="24" t="str">
        <f>IFERROR(__xludf.DUMMYFUNCTION("""COMPUTED_VALUE"""),"shaw et al")</f>
        <v>shaw et al</v>
      </c>
      <c r="E187" s="24" t="str">
        <f>IFERROR(__xludf.DUMMYFUNCTION("""COMPUTED_VALUE"""),"WOS:000359667700022")</f>
        <v>WOS:000359667700022</v>
      </c>
      <c r="F187" s="24" t="str">
        <f>IFERROR(__xludf.DUMMYFUNCTION("""COMPUTED_VALUE"""),"[""ELIGIBLE""]")</f>
        <v>["ELIGIBLE"]</v>
      </c>
    </row>
    <row r="188">
      <c r="A188" s="24" t="str">
        <f>IFERROR(__xludf.DUMMYFUNCTION("""COMPUTED_VALUE"""),"TEMPORAL GENETIC-VARIATION IN SUBPOPULATIONS OF BICOLOR DAMSELFISH (STEGASTES-PARTITUS) INHABITING CORAL REEFS IN THE FLORIDA KEYS")</f>
        <v>TEMPORAL GENETIC-VARIATION IN SUBPOPULATIONS OF BICOLOR DAMSELFISH (STEGASTES-PARTITUS) INHABITING CORAL REEFS IN THE FLORIDA KEYS</v>
      </c>
      <c r="B188" s="24" t="str">
        <f>IFERROR(__xludf.DUMMYFUNCTION("""COMPUTED_VALUE"""),"In 1986 we observed significant genetic heterogeneity among samples of bicolor damselfish (Stegastes partitus) from geographically proximate coral reefs in the Florida Keys. This result was in contrast to results of virtually all previous studies of coral"&amp;" reef fishes. To assess temporal stability of localized genetic differentiation, we resampled reefs in 1989. Within approximately two generations, allele frequencies at the most differentiated locus, ACO-1*, had changed by as much as 0.65, resulting in al"&amp;"most complete homogeneity between previously differentiated subpopulations. Estimates of 10.78 migrants per generation suggested that high gene flow is the most likely factor responsible for the significant change in allele frequencies. We attribute the o"&amp;"riginal genetic differentiation to a population bottleneck, possibly caused by environmental perturbations such as hurricanes and consequent genetic drift. For reef fishes with pelagic egg and/or larval stages, a growing body of data suggests that: (1) po"&amp;"pulations are geographically extensive gene pools, and (2) rates of dispersal appear to be high enough to allow for continual repopulation of isolated and/or perturbed coral reef communities.")</f>
        <v>In 1986 we observed significant genetic heterogeneity among samples of bicolor damselfish (Stegastes partitus) from geographically proximate coral reefs in the Florida Keys. This result was in contrast to results of virtually all previous studies of coral reef fishes. To assess temporal stability of localized genetic differentiation, we resampled reefs in 1989. Within approximately two generations, allele frequencies at the most differentiated locus, ACO-1*, had changed by as much as 0.65, resulting in almost complete homogeneity between previously differentiated subpopulations. Estimates of 10.78 migrants per generation suggested that high gene flow is the most likely factor responsible for the significant change in allele frequencies. We attribute the original genetic differentiation to a population bottleneck, possibly caused by environmental perturbations such as hurricanes and consequent genetic drift. For reef fishes with pelagic egg and/or larval stages, a growing body of data suggests that: (1) populations are geographically extensive gene pools, and (2) rates of dispersal appear to be high enough to allow for continual repopulation of isolated and/or perturbed coral reef communities.</v>
      </c>
      <c r="C188" s="24" t="str">
        <f>IFERROR(__xludf.DUMMYFUNCTION("""COMPUTED_VALUE"""),"10.1007/BF01344354")</f>
        <v>10.1007/BF01344354</v>
      </c>
      <c r="D188" s="24" t="str">
        <f>IFERROR(__xludf.DUMMYFUNCTION("""COMPUTED_VALUE"""),"shaw et al")</f>
        <v>shaw et al</v>
      </c>
      <c r="E188" s="24" t="str">
        <f>IFERROR(__xludf.DUMMYFUNCTION("""COMPUTED_VALUE"""),"WOS:A1991GG23000005")</f>
        <v>WOS:A1991GG23000005</v>
      </c>
      <c r="F188" s="24" t="str">
        <f>IFERROR(__xludf.DUMMYFUNCTION("""COMPUTED_VALUE"""),"[""ELIGIBLE""]")</f>
        <v>["ELIGIBLE"]</v>
      </c>
    </row>
    <row r="189">
      <c r="A189" s="24" t="str">
        <f>IFERROR(__xludf.DUMMYFUNCTION("""COMPUTED_VALUE"""),"A longitudinal genetic survey identifies temporal shifts in the population structure of Dutch house sparrows")</f>
        <v>A longitudinal genetic survey identifies temporal shifts in the population structure of Dutch house sparrows</v>
      </c>
      <c r="B189" s="24" t="str">
        <f>IFERROR(__xludf.DUMMYFUNCTION("""COMPUTED_VALUE"""),"Dutch house sparrow (Passer domesticus) densities dropped by nearly 50% since the early 1980s, and similar collapses in population sizes have been reported across Europe. Whether, and to what extent, such relatively recent demographic changes are accompan"&amp;"ied by concomitant shifts in the genetic population structure of this species needs further investigation. Therefore, we here explore temporal shifts in genetic diversity, genetic structure and effective sizes of seven Dutch house sparrow populations. To "&amp;"allow the most powerful statistical inference, historical populations were resampled at identical locations and each individual bird was genotyped using nine polymorphic microsatellites. Although the demographic history was not reflected by a reduction in"&amp;" genetic diversity, levels of genetic differentiation increased over time, and the original, panmictic population (inferred from the museum samples) diverged into two distinct genetic clusters. Reductions in census size were supported by a substantial red"&amp;"uction in effective population size, although to a smaller extent. As most studies of contemporary house sparrow populations have been unable to identify genetic signatures of recent population declines, results of this study underpin the importance of lo"&amp;"ngitudinal genetic surveys to unravel cryptic genetic patterns.")</f>
        <v>Dutch house sparrow (Passer domesticus) densities dropped by nearly 50% since the early 1980s, and similar collapses in population sizes have been reported across Europe. Whether, and to what extent, such relatively recent demographic changes are accompanied by concomitant shifts in the genetic population structure of this species needs further investigation. Therefore, we here explore temporal shifts in genetic diversity, genetic structure and effective sizes of seven Dutch house sparrow populations. To allow the most powerful statistical inference, historical populations were resampled at identical locations and each individual bird was genotyped using nine polymorphic microsatellites. Although the demographic history was not reflected by a reduction in genetic diversity, levels of genetic differentiation increased over time, and the original, panmictic population (inferred from the museum samples) diverged into two distinct genetic clusters. Reductions in census size were supported by a substantial reduction in effective population size, although to a smaller extent. As most studies of contemporary house sparrow populations have been unable to identify genetic signatures of recent population declines, results of this study underpin the importance of longitudinal genetic surveys to unravel cryptic genetic patterns.</v>
      </c>
      <c r="C189" s="24" t="str">
        <f>IFERROR(__xludf.DUMMYFUNCTION("""COMPUTED_VALUE"""),"10.1038/hdy.2016.38")</f>
        <v>10.1038/hdy.2016.38</v>
      </c>
      <c r="D189" s="24" t="str">
        <f>IFERROR(__xludf.DUMMYFUNCTION("""COMPUTED_VALUE"""),"shaw et al")</f>
        <v>shaw et al</v>
      </c>
      <c r="E189" s="24" t="str">
        <f>IFERROR(__xludf.DUMMYFUNCTION("""COMPUTED_VALUE"""),"WOS:000383707900009")</f>
        <v>WOS:000383707900009</v>
      </c>
      <c r="F189" s="24" t="str">
        <f>IFERROR(__xludf.DUMMYFUNCTION("""COMPUTED_VALUE"""),"[""ELIGIBLE""]")</f>
        <v>["ELIGIBLE"]</v>
      </c>
    </row>
    <row r="190">
      <c r="A190" s="24" t="str">
        <f>IFERROR(__xludf.DUMMYFUNCTION("""COMPUTED_VALUE"""),"Population genetic structure of the milkfish, Chanos chanos, based on PCR-RFLP analysis of the mitochondrial control region")</f>
        <v>Population genetic structure of the milkfish, Chanos chanos, based on PCR-RFLP analysis of the mitochondrial control region</v>
      </c>
      <c r="B190" s="24" t="str">
        <f>IFERROR(__xludf.DUMMYFUNCTION("""COMPUTED_VALUE"""),"The milkfish, Chanos chanos (Forsskal, 1775) is a pelagic, monotypic gonorhynchiform widely distributed in the tropical Indo-Pacific. This study evaluates temporal variability of milkfish samples from the Philippine archipelago, and spatial variability at"&amp;" two geographic scales based on restriction fragment length polymorphism (RFLP) analysis of a portion of the mitochondrial control region. High levels of genetic diversity characterize the milkfish control region (mean h = 0.908, pi = 1.59%), with 74 hapl"&amp;"otypes detected among the 367 fish analyzed. For temporal analysis of Philippine samples, milkfish were collected over 2 years from three sites (inter-annual variation), and sampled twice within a year during different seasons at four sites (intra-annual "&amp;"variation). No significant temporal variability was detected between or within years. Significant spatial differentiation among the Philippine samples was observed (F-ST = 0.006, P &lt; 0.05), with two northeastern samples, Claveria and Dingalan. found to be"&amp;" genetically distinct. However, an hierarchical analysis of molecular variance (AMOVA), where samples were grouped into four geographic regions, revealed very low levels of genetic partitioning, with less than 1% of the total variation attributed to betwe"&amp;"en-region differences, and lack of genetic structure. Nonetheless, the existence of putative northeastern Philippine populations is not discounted. Strong genetic structure across broad geographical scales was revealed by AMOVA, with 11% of the molecular "&amp;"variance based on haplotype frequencies allocated between three distinct groups: Indian Ocean, west Pacific (Philippines) and north central Pacific (Hawaii) The broad-scale genetic structure points to limited gene flow among disjunct Indo-Pacific populati"&amp;"ons.")</f>
        <v>The milkfish, Chanos chanos (Forsskal, 1775) is a pelagic, monotypic gonorhynchiform widely distributed in the tropical Indo-Pacific. This study evaluates temporal variability of milkfish samples from the Philippine archipelago, and spatial variability at two geographic scales based on restriction fragment length polymorphism (RFLP) analysis of a portion of the mitochondrial control region. High levels of genetic diversity characterize the milkfish control region (mean h = 0.908, pi = 1.59%), with 74 haplotypes detected among the 367 fish analyzed. For temporal analysis of Philippine samples, milkfish were collected over 2 years from three sites (inter-annual variation), and sampled twice within a year during different seasons at four sites (intra-annual variation). No significant temporal variability was detected between or within years. Significant spatial differentiation among the Philippine samples was observed (F-ST = 0.006, P &lt; 0.05), with two northeastern samples, Claveria and Dingalan. found to be genetically distinct. However, an hierarchical analysis of molecular variance (AMOVA), where samples were grouped into four geographic regions, revealed very low levels of genetic partitioning, with less than 1% of the total variation attributed to between-region differences, and lack of genetic structure. Nonetheless, the existence of putative northeastern Philippine populations is not discounted. Strong genetic structure across broad geographical scales was revealed by AMOVA, with 11% of the molecular variance based on haplotype frequencies allocated between three distinct groups: Indian Ocean, west Pacific (Philippines) and north central Pacific (Hawaii) The broad-scale genetic structure points to limited gene flow among disjunct Indo-Pacific populations.</v>
      </c>
      <c r="C190" s="24" t="str">
        <f>IFERROR(__xludf.DUMMYFUNCTION("""COMPUTED_VALUE"""),"10.1007/s00227-004-1372-0")</f>
        <v>10.1007/s00227-004-1372-0</v>
      </c>
      <c r="D190" s="24" t="str">
        <f>IFERROR(__xludf.DUMMYFUNCTION("""COMPUTED_VALUE"""),"shaw et al")</f>
        <v>shaw et al</v>
      </c>
      <c r="E190" s="24" t="str">
        <f>IFERROR(__xludf.DUMMYFUNCTION("""COMPUTED_VALUE"""),"WOS:000224527600017")</f>
        <v>WOS:000224527600017</v>
      </c>
      <c r="F190" s="24" t="str">
        <f>IFERROR(__xludf.DUMMYFUNCTION("""COMPUTED_VALUE"""),"[""ELIGIBLE""]")</f>
        <v>["ELIGIBLE"]</v>
      </c>
    </row>
    <row r="191">
      <c r="A191" s="24" t="str">
        <f>IFERROR(__xludf.DUMMYFUNCTION("""COMPUTED_VALUE"""),"Comparative conservation genetics of protected endemic fishes in an arid-land riverscape")</f>
        <v>Comparative conservation genetics of protected endemic fishes in an arid-land riverscape</v>
      </c>
      <c r="B191" s="24" t="str">
        <f>IFERROR(__xludf.DUMMYFUNCTION("""COMPUTED_VALUE"""),"Conservation genetic studies are challenged by the fact that populations of many imperiled species have experienced declines and fragmentation to the degree they no longer exhibit natural, self-sustaining metapopulation processes; characteristics of great"&amp;" importance to managers charged with their protection. Genetic patterns of species from minimally impacted systems can inform management practices for populations in more modified and fragmented systems. We assessed spatial and temporal patterns of intras"&amp;"pecific genetic diversity and differentiation using microsatellites for three imperiled fishes of the unfragmented upper Gila River, New Mexico, USA. Estimates of contemporary effective size were low for these species, but we observed little genetic evide"&amp;"nce of inbreeding. Overall genetic structure was low (all species F-ST &lt; 0.025) suggesting moderate to high gene flow for all species, but each exhibited different patterns of spatial structuring. Gila nigra (a candidate for listing under the Endangered S"&amp;"pecies Act) appears most at risk of short-term loss of genetic variation and local extinction relative to Meda fulgida or Rhinichthys (Tiaroga) cobitis (both federally endangered) because G. nigra exhibited the lowest diversity, smallest effective size (N"&amp;"-e similar to 100) and temporally unstable population structure. Meda fulgida and R. cobitis exhibited temporally stable spatial structure related to riverscape features but connectivity among occupied habitats is threatened by a proposed diversion struct"&amp;"ure. Data from this comparatively pristine system can inform management of these species in fragmented portions of their ranges.")</f>
        <v>Conservation genetic studies are challenged by the fact that populations of many imperiled species have experienced declines and fragmentation to the degree they no longer exhibit natural, self-sustaining metapopulation processes; characteristics of great importance to managers charged with their protection. Genetic patterns of species from minimally impacted systems can inform management practices for populations in more modified and fragmented systems. We assessed spatial and temporal patterns of intraspecific genetic diversity and differentiation using microsatellites for three imperiled fishes of the unfragmented upper Gila River, New Mexico, USA. Estimates of contemporary effective size were low for these species, but we observed little genetic evidence of inbreeding. Overall genetic structure was low (all species F-ST &lt; 0.025) suggesting moderate to high gene flow for all species, but each exhibited different patterns of spatial structuring. Gila nigra (a candidate for listing under the Endangered Species Act) appears most at risk of short-term loss of genetic variation and local extinction relative to Meda fulgida or Rhinichthys (Tiaroga) cobitis (both federally endangered) because G. nigra exhibited the lowest diversity, smallest effective size (N-e similar to 100) and temporally unstable population structure. Meda fulgida and R. cobitis exhibited temporally stable spatial structure related to riverscape features but connectivity among occupied habitats is threatened by a proposed diversion structure. Data from this comparatively pristine system can inform management of these species in fragmented portions of their ranges.</v>
      </c>
      <c r="C191" s="24" t="str">
        <f>IFERROR(__xludf.DUMMYFUNCTION("""COMPUTED_VALUE"""),"10.1007/s10592-015-0707-3")</f>
        <v>10.1007/s10592-015-0707-3</v>
      </c>
      <c r="D191" s="24" t="str">
        <f>IFERROR(__xludf.DUMMYFUNCTION("""COMPUTED_VALUE"""),"shaw et al")</f>
        <v>shaw et al</v>
      </c>
      <c r="E191" s="24" t="str">
        <f>IFERROR(__xludf.DUMMYFUNCTION("""COMPUTED_VALUE"""),"WOS:000357285500010")</f>
        <v>WOS:000357285500010</v>
      </c>
      <c r="F191" s="24" t="str">
        <f>IFERROR(__xludf.DUMMYFUNCTION("""COMPUTED_VALUE"""),"[""ELIGIBLE""]")</f>
        <v>["ELIGIBLE"]</v>
      </c>
    </row>
    <row r="192">
      <c r="A192" s="24" t="str">
        <f>IFERROR(__xludf.DUMMYFUNCTION("""COMPUTED_VALUE"""),"Genetic structure and differentiation at a short-time scale of the introduced calcarean sponge Paraleucilla magna to the western Mediterranean")</f>
        <v>Genetic structure and differentiation at a short-time scale of the introduced calcarean sponge Paraleucilla magna to the western Mediterranean</v>
      </c>
      <c r="B192" s="24" t="str">
        <f>IFERROR(__xludf.DUMMYFUNCTION("""COMPUTED_VALUE"""),"The allochthonous calcarean sponge Paraleucilla magna has proliferated in the western Mediterranean during the last decade, where it currently shows a highly patchy distribution with dense populations in the neighboring of sea farms and slightly eutrophis"&amp;"ed marinas, and more sparse populations in well-preserved habitats. To gain knowledge about the species invasive capacity, we studied spatial genetic differentiation and structure, clonality, and temporal differentiation, in three close populations of P. "&amp;"magna at the NE of the Iberian Peninsula, in three successive years. The study hypothesis was that the species is able to proliferate under favorable conditions in newly colonized habitats but populations can easily disappear where perturbations occur wit"&amp;"h some frequency. Samples were genotyped for nine polymorphic microsatellites. Spatial genetic structure was found in the three populations of 2006. One population disappeared in 2007, and the other two remained slightly differentiated, while the three po"&amp;"pulations were in place again in 2008, and showed very low (but significant) F-ST values, and non-significant D values. Low but statistically significant differentiation also occurred for the three populations between years. Results showed high-allele div"&amp;"ersity, but heterozygote deficit and changes in allele frequencies in the populations over the 3 years, which are consistent with some genetic drift. The whole population descriptors pointed to the species as a good opportunistic colonizer as it has been "&amp;"hypothesized, but highly sensitive to stochastic events affecting recruitment. This suggests a high impact of the species in favorable habitats (sea culture and sheltered zones) and a low-medium influence in native communities.")</f>
        <v>The allochthonous calcarean sponge Paraleucilla magna has proliferated in the western Mediterranean during the last decade, where it currently shows a highly patchy distribution with dense populations in the neighboring of sea farms and slightly eutrophised marinas, and more sparse populations in well-preserved habitats. To gain knowledge about the species invasive capacity, we studied spatial genetic differentiation and structure, clonality, and temporal differentiation, in three close populations of P. magna at the NE of the Iberian Peninsula, in three successive years. The study hypothesis was that the species is able to proliferate under favorable conditions in newly colonized habitats but populations can easily disappear where perturbations occur with some frequency. Samples were genotyped for nine polymorphic microsatellites. Spatial genetic structure was found in the three populations of 2006. One population disappeared in 2007, and the other two remained slightly differentiated, while the three populations were in place again in 2008, and showed very low (but significant) F-ST values, and non-significant D values. Low but statistically significant differentiation also occurred for the three populations between years. Results showed high-allele diversity, but heterozygote deficit and changes in allele frequencies in the populations over the 3 years, which are consistent with some genetic drift. The whole population descriptors pointed to the species as a good opportunistic colonizer as it has been hypothesized, but highly sensitive to stochastic events affecting recruitment. This suggests a high impact of the species in favorable habitats (sea culture and sheltered zones) and a low-medium influence in native communities.</v>
      </c>
      <c r="C192" s="24" t="str">
        <f>IFERROR(__xludf.DUMMYFUNCTION("""COMPUTED_VALUE"""),"10.1007/s10750-011-0948-1")</f>
        <v>10.1007/s10750-011-0948-1</v>
      </c>
      <c r="D192" s="24" t="str">
        <f>IFERROR(__xludf.DUMMYFUNCTION("""COMPUTED_VALUE"""),"shaw et al")</f>
        <v>shaw et al</v>
      </c>
      <c r="E192" s="24" t="str">
        <f>IFERROR(__xludf.DUMMYFUNCTION("""COMPUTED_VALUE"""),"WOS:000303066300008")</f>
        <v>WOS:000303066300008</v>
      </c>
      <c r="F192" s="24" t="str">
        <f>IFERROR(__xludf.DUMMYFUNCTION("""COMPUTED_VALUE"""),"[""ELIGIBLE""]")</f>
        <v>["ELIGIBLE"]</v>
      </c>
    </row>
    <row r="193">
      <c r="A193" s="24" t="str">
        <f>IFERROR(__xludf.DUMMYFUNCTION("""COMPUTED_VALUE"""),"Spatio-temporal genetic structure and the effects of long-term fishing in two partially sympatric offshore demersal fishes")</f>
        <v>Spatio-temporal genetic structure and the effects of long-term fishing in two partially sympatric offshore demersal fishes</v>
      </c>
      <c r="B193" s="24" t="str">
        <f>IFERROR(__xludf.DUMMYFUNCTION("""COMPUTED_VALUE"""),"Environmental gradients have been shown to disrupt gene flow in marine species, yet their influence in structuring populations at depth remains poorly understood. The Cape hakes (Merluccius paradoxus and M. capensis) are demersal species co-occurring in t"&amp;"he Benguela Current system, where decades of intense fishing resulted in severely depleted stocks in the past. Previous studies identified conflicting mtDNA genetic substructuring patterns and thus contrasting evolutionary trajectories for both species. U"&amp;"sing 10 microsatellite loci, the control region of mtDNA and employing a seascape genetics approach, we investigated genetic connectivity and the impact of prolonged exploitation in the two species, which are characterized by different patterns of fishing"&amp;" pressure. Three consecutive years were sampled covering the entire distribution (N = 2100 fishes). Despite large estimated population sizes, both species exhibited low levels of contemporary genetic diversity (0.581 &lt; H-E &lt; 0.692), implying that fishing "&amp;"has had a significant impact on their genetic composition and evolutionary trajectories. Further, for M. paradoxus, significant temporal, but not spatial, divergence points to the presence of genetic chaotic patchiness. In contrast, M. capensis exhibited "&amp;"a clear latitudinal cline in genetic differentiation between Namibia and South Africa (FST = 0.063, P &lt; 0.05), with low (0.2% per generation) estimates of contemporary gene flow. Seascape analyses reveal an association with bathymetry and upwelling events"&amp;", suggesting that adaptation to local environmental conditions may drive genetic differentiation in M. capensis. Importantly, our results highlight the need for temporal sampling in disentangling the complex factors that impact population divergence in ma"&amp;"rine fishes.")</f>
        <v>Environmental gradients have been shown to disrupt gene flow in marine species, yet their influence in structuring populations at depth remains poorly understood. The Cape hakes (Merluccius paradoxus and M. capensis) are demersal species co-occurring in the Benguela Current system, where decades of intense fishing resulted in severely depleted stocks in the past. Previous studies identified conflicting mtDNA genetic substructuring patterns and thus contrasting evolutionary trajectories for both species. Using 10 microsatellite loci, the control region of mtDNA and employing a seascape genetics approach, we investigated genetic connectivity and the impact of prolonged exploitation in the two species, which are characterized by different patterns of fishing pressure. Three consecutive years were sampled covering the entire distribution (N = 2100 fishes). Despite large estimated population sizes, both species exhibited low levels of contemporary genetic diversity (0.581 &lt; H-E &lt; 0.692), implying that fishing has had a significant impact on their genetic composition and evolutionary trajectories. Further, for M. paradoxus, significant temporal, but not spatial, divergence points to the presence of genetic chaotic patchiness. In contrast, M. capensis exhibited a clear latitudinal cline in genetic differentiation between Namibia and South Africa (FST = 0.063, P &lt; 0.05), with low (0.2% per generation) estimates of contemporary gene flow. Seascape analyses reveal an association with bathymetry and upwelling events, suggesting that adaptation to local environmental conditions may drive genetic differentiation in M. capensis. Importantly, our results highlight the need for temporal sampling in disentangling the complex factors that impact population divergence in marine fishes.</v>
      </c>
      <c r="C193" s="24" t="str">
        <f>IFERROR(__xludf.DUMMYFUNCTION("""COMPUTED_VALUE"""),"10.1111/mec.13890")</f>
        <v>10.1111/mec.13890</v>
      </c>
      <c r="D193" s="24" t="str">
        <f>IFERROR(__xludf.DUMMYFUNCTION("""COMPUTED_VALUE"""),"shaw et al")</f>
        <v>shaw et al</v>
      </c>
      <c r="E193" s="24" t="str">
        <f>IFERROR(__xludf.DUMMYFUNCTION("""COMPUTED_VALUE"""),"WOS:000389133700003")</f>
        <v>WOS:000389133700003</v>
      </c>
      <c r="F193" s="24" t="str">
        <f>IFERROR(__xludf.DUMMYFUNCTION("""COMPUTED_VALUE"""),"[""ELIGIBLE""]")</f>
        <v>["ELIGIBLE"]</v>
      </c>
    </row>
    <row r="194">
      <c r="A194" s="24" t="str">
        <f>IFERROR(__xludf.DUMMYFUNCTION("""COMPUTED_VALUE"""),"Population genetic structure of the Japanese eel Anguilla japonica in the northwest Pacific Ocean:: evidence of non-panmictic populations")</f>
        <v>Population genetic structure of the Japanese eel Anguilla japonica in the northwest Pacific Ocean:: evidence of non-panmictic populations</v>
      </c>
      <c r="B194" s="24" t="str">
        <f>IFERROR(__xludf.DUMMYFUNCTION("""COMPUTED_VALUE"""),"The catadromous Japanese eel has an unusual life history. Controversy remains, however, as to whether its population structure is characterized by panmixia or genetic differentiation. Migration patterns are considered an important factor in determining a "&amp;"species' population structure. Eight polymorphic microsatellite loci were used as genetic markers through which we were able to reject the null hypothesis of panmixia. Slight genetic differentiation between these populations was determined by Wright's and"&amp;" Slatkin's fixation indices, F-ST and R-ST statistics adjusted using Bonferroni's correction. Although isolation-by-distance is often observed in marine species, the present result is thought to follow the member-vagrant migratory hypothesis. The metapopu"&amp;"lation model fits the elver recruitment strategy according to results of the high probability of assignment test. The UPGMA tree showed the Japanese eel populations as being divided into 2 groups: a low-latitude group (Shantou in South China, and Tanshui "&amp;"and Fangliao in Taiwan) and a high-latitude group (Mikawa Bay in Japan, Daecheon-myon in Korea, and the Yalu River and Hangzhou in Northeast China). Temporal genetic variations indicate that most progeny return to similar habitats where their ancestors fo"&amp;"rmerly resided. There was a high correlation (AMOVA; p &lt; 0.05) when the Japanese eel was divided into the 2 management units (high- and low-latitude groups), These units will be useful when applied to fisheries conservation and management in the northwest"&amp;"ern Pacific Ocean.")</f>
        <v>The catadromous Japanese eel has an unusual life history. Controversy remains, however, as to whether its population structure is characterized by panmixia or genetic differentiation. Migration patterns are considered an important factor in determining a species' population structure. Eight polymorphic microsatellite loci were used as genetic markers through which we were able to reject the null hypothesis of panmixia. Slight genetic differentiation between these populations was determined by Wright's and Slatkin's fixation indices, F-ST and R-ST statistics adjusted using Bonferroni's correction. Although isolation-by-distance is often observed in marine species, the present result is thought to follow the member-vagrant migratory hypothesis. The metapopulation model fits the elver recruitment strategy according to results of the high probability of assignment test. The UPGMA tree showed the Japanese eel populations as being divided into 2 groups: a low-latitude group (Shantou in South China, and Tanshui and Fangliao in Taiwan) and a high-latitude group (Mikawa Bay in Japan, Daecheon-myon in Korea, and the Yalu River and Hangzhou in Northeast China). Temporal genetic variations indicate that most progeny return to similar habitats where their ancestors formerly resided. There was a high correlation (AMOVA; p &lt; 0.05) when the Japanese eel was divided into the 2 management units (high- and low-latitude groups), These units will be useful when applied to fisheries conservation and management in the northwestern Pacific Ocean.</v>
      </c>
      <c r="C194" s="24" t="str">
        <f>IFERROR(__xludf.DUMMYFUNCTION("""COMPUTED_VALUE"""),"10.3354/meps308221")</f>
        <v>10.3354/meps308221</v>
      </c>
      <c r="D194" s="24" t="str">
        <f>IFERROR(__xludf.DUMMYFUNCTION("""COMPUTED_VALUE"""),"shaw et al")</f>
        <v>shaw et al</v>
      </c>
      <c r="E194" s="24" t="str">
        <f>IFERROR(__xludf.DUMMYFUNCTION("""COMPUTED_VALUE"""),"WOS:000236141500018")</f>
        <v>WOS:000236141500018</v>
      </c>
      <c r="F194" s="24" t="str">
        <f>IFERROR(__xludf.DUMMYFUNCTION("""COMPUTED_VALUE"""),"[""ELIGIBLE""]")</f>
        <v>["ELIGIBLE"]</v>
      </c>
    </row>
    <row r="195">
      <c r="A195" s="24" t="str">
        <f>IFERROR(__xludf.DUMMYFUNCTION("""COMPUTED_VALUE"""),"Effects of a founder event and supplementary introductions on genetic variation in a captive breeding population of the endangered Spanish killifish")</f>
        <v>Effects of a founder event and supplementary introductions on genetic variation in a captive breeding population of the endangered Spanish killifish</v>
      </c>
      <c r="B195" s="24" t="str">
        <f>IFERROR(__xludf.DUMMYFUNCTION("""COMPUTED_VALUE"""),"Twelve polymorphic allozyme loci were employed to assess the genetic change in a captive breeding population of the endangered killifish Aphanius baeticus in the Donana National Park, south-western Spain. The initial founder event did not significantly re"&amp;"duce the allelic richness or the expected heterozygosity. No genetic bottleneck signature was detected by tests for deviation from mutation-drift equilibrium. The F-ST between the wild source and captive population, however, was relatively high (0(.)053 o"&amp;"r 0(.)122 when excluding or including the locus IDHP-1* respectively), after just two to three generations in captivity. Two generations after the incorporation of 68 new wild specimens (greater than five generations after founding) decreased the genetic "&amp;"differences and the FST (0(.)041 excluding IDHP-1*). The restoration efforts appeared to be helpful and the study of 12 polymorphic loci and a sensitive parameter such as FST were useful for monitoring genetic changes in captivity. Nonetheless, future mon"&amp;"itoring should include additional highly polymorphic loci (microsatellites) to achieve higher power to detect genetic change. Such restoration and monitoring efforts should help to avoid rapid inbreeding, adaptation to captivity, and to maintain the long-"&amp;"term evolutionary potential in small isolated populations. (C) 2003 The Fisheries Society of the British Isles")</f>
        <v>Twelve polymorphic allozyme loci were employed to assess the genetic change in a captive breeding population of the endangered killifish Aphanius baeticus in the Donana National Park, south-western Spain. The initial founder event did not significantly reduce the allelic richness or the expected heterozygosity. No genetic bottleneck signature was detected by tests for deviation from mutation-drift equilibrium. The F-ST between the wild source and captive population, however, was relatively high (0(.)053 or 0(.)122 when excluding or including the locus IDHP-1* respectively), after just two to three generations in captivity. Two generations after the incorporation of 68 new wild specimens (greater than five generations after founding) decreased the genetic differences and the FST (0(.)041 excluding IDHP-1*). The restoration efforts appeared to be helpful and the study of 12 polymorphic loci and a sensitive parameter such as FST were useful for monitoring genetic changes in captivity. Nonetheless, future monitoring should include additional highly polymorphic loci (microsatellites) to achieve higher power to detect genetic change. Such restoration and monitoring efforts should help to avoid rapid inbreeding, adaptation to captivity, and to maintain the long-term evolutionary potential in small isolated populations. (C) 2003 The Fisheries Society of the British Isles</v>
      </c>
      <c r="C195" s="24" t="str">
        <f>IFERROR(__xludf.DUMMYFUNCTION("""COMPUTED_VALUE"""),"10.1111/j.1095-8649.2003.00265.x")</f>
        <v>10.1111/j.1095-8649.2003.00265.x</v>
      </c>
      <c r="D195" s="24" t="str">
        <f>IFERROR(__xludf.DUMMYFUNCTION("""COMPUTED_VALUE"""),"shaw et al")</f>
        <v>shaw et al</v>
      </c>
      <c r="E195" s="24" t="str">
        <f>IFERROR(__xludf.DUMMYFUNCTION("""COMPUTED_VALUE"""),"WOS:000187794400011")</f>
        <v>WOS:000187794400011</v>
      </c>
      <c r="F195" s="24" t="str">
        <f>IFERROR(__xludf.DUMMYFUNCTION("""COMPUTED_VALUE"""),"[""ELIGIBLE""]")</f>
        <v>["ELIGIBLE"]</v>
      </c>
    </row>
    <row r="196">
      <c r="A196" s="24" t="str">
        <f>IFERROR(__xludf.DUMMYFUNCTION("""COMPUTED_VALUE"""),"Assessment of genetic variation between reproductive ecotypes of Klamath River steelhead reveals differentiation associated with different run-timings")</f>
        <v>Assessment of genetic variation between reproductive ecotypes of Klamath River steelhead reveals differentiation associated with different run-timings</v>
      </c>
      <c r="B196" s="24" t="str">
        <f>IFERROR(__xludf.DUMMYFUNCTION("""COMPUTED_VALUE"""),"Seven microsatellite DNA loci were optimized to assess genetic differentiation in coastal steelhead (Oncorhynchus mykiss irideus) sampling groups from the lower Klamath River (California, USA). Genetic relationships among three winter-run and two summer-r"&amp;"un groups were investigated. The different groups displayed high levels of allelic variation. Pairwise F-ST comparisons and Nei's genetic distance supported low, yet significant, genetic differentiation between summer and winter run-timings similar to oth"&amp;"er studies of temporal variation in salmonids. Analysis of molecular variance showed that most of the genetic variation was at the individual level (97.9%), although significant genetic variation existed between timing of runs (2.59%). Additionally, at le"&amp;"ast one locus in each group was out of Hardy-Weinberg equilibrium due to a deficiency in heterozygotes, and significant F-IS values were observed in three temporal collections. Together, these results suggest stock admixture, caused by multiple population"&amp;"s of origin in each sampling group, better known as the Wahlund Effect. These observations are preliminary evidence for isolation by time between Klamath River steelhead runs during distinct periods.")</f>
        <v>Seven microsatellite DNA loci were optimized to assess genetic differentiation in coastal steelhead (Oncorhynchus mykiss irideus) sampling groups from the lower Klamath River (California, USA). Genetic relationships among three winter-run and two summer-run groups were investigated. The different groups displayed high levels of allelic variation. Pairwise F-ST comparisons and Nei's genetic distance supported low, yet significant, genetic differentiation between summer and winter run-timings similar to other studies of temporal variation in salmonids. Analysis of molecular variance showed that most of the genetic variation was at the individual level (97.9%), although significant genetic variation existed between timing of runs (2.59%). Additionally, at least one locus in each group was out of Hardy-Weinberg equilibrium due to a deficiency in heterozygotes, and significant F-IS values were observed in three temporal collections. Together, these results suggest stock admixture, caused by multiple populations of origin in each sampling group, better known as the Wahlund Effect. These observations are preliminary evidence for isolation by time between Klamath River steelhead runs during distinct periods.</v>
      </c>
      <c r="C196" s="24" t="str">
        <f>IFERROR(__xludf.DUMMYFUNCTION("""COMPUTED_VALUE"""),"10.1111/j.1439-0426.2006.00825.x")</f>
        <v>10.1111/j.1439-0426.2006.00825.x</v>
      </c>
      <c r="D196" s="24" t="str">
        <f>IFERROR(__xludf.DUMMYFUNCTION("""COMPUTED_VALUE"""),"shaw et al")</f>
        <v>shaw et al</v>
      </c>
      <c r="E196" s="24" t="str">
        <f>IFERROR(__xludf.DUMMYFUNCTION("""COMPUTED_VALUE"""),"WOS:000245057400005")</f>
        <v>WOS:000245057400005</v>
      </c>
      <c r="F196" s="24" t="str">
        <f>IFERROR(__xludf.DUMMYFUNCTION("""COMPUTED_VALUE"""),"[""ELIGIBLE""]")</f>
        <v>["ELIGIBLE"]</v>
      </c>
    </row>
    <row r="197">
      <c r="A197" s="24" t="str">
        <f>IFERROR(__xludf.DUMMYFUNCTION("""COMPUTED_VALUE"""),"The influence of contrasting life history traits and oceanic processes on genetic structuring of rabbitfish populations Siganus argenteus and Siganus fuscescens along the eastern Philippine coasts")</f>
        <v>The influence of contrasting life history traits and oceanic processes on genetic structuring of rabbitfish populations Siganus argenteus and Siganus fuscescens along the eastern Philippine coasts</v>
      </c>
      <c r="B197" s="24" t="str">
        <f>IFERROR(__xludf.DUMMYFUNCTION("""COMPUTED_VALUE"""),"Genetic variability and structuring of rabbitfish populations with contrasting life histories, Siganus argenteus and Siganus fuscescens were determined using allozyme analysis. A total of 13-14 polymorphic loci were examined from samples collected in 2002"&amp;" and 2003 from eight reefs representing 25 populations north (Kuroshio Current) and south (Mindanao Current) of the bifurcation of the North Equatorial Current along the eastern Philippine coast. S. fuscescens populations (H (OBS) = 0.085) showed higher h"&amp;"eterozygosity than S. argenteus (H (OBS) = 0.053), consistent with predictions of the neutral theory for demersal egg spawners compared to pelagic egg spawners. The generally lower genetic variability of Kuroshio populations may be due to greater environm"&amp;"ental disturbance affecting larval mortality and recruitment success. There was no significant overall population genetic structuring for S. argenteus (F (ST) = 0.01485, P &gt; 0.05) compared to S. fuscescens (F (ST) = 0.03275, P &lt; 0.05). The latter species "&amp;"showed highly significant genetic structuring among Kuroshio and Mindanao Current populations in both 2002 and 2003 (F (CT) = 0.08120, P &lt; 0.05; F (CT) = 0.07500, P &lt; 0.05, respectively), as well as among populations within regions. This conforms to expec"&amp;"tations of correlations between observed population genetic structure and life history features related to dispersal potential and gene flow. However, there were significant temporal (i.e., 2002 vs. 2003 samples) genetic variations for both S. fuscescens "&amp;"(F (CT) = 0.08542, P &lt; 0.05) and S. argenteus (F (CT) = 0.06330, P &lt; 0.05), which may reflect interannual variability in recruitment success. Differences in population spatial genetic patterns between the two reef fish species suggest that broad scale phy"&amp;"sical factors (e.g. NEC bifurcation) and regional environmental perturbations (e.g. incidence of typhoons) affect population genetic structure of sympatric congeneric species with different life histories differently. Finer scale ecological processes, whi"&amp;"ch affect larval dispersal and recruitment (e.g., local hydrographic features, distribution of habitats), particularly in the Mindanao Current region, exert more influence on structuring populations of S. fuscescens.")</f>
        <v>Genetic variability and structuring of rabbitfish populations with contrasting life histories, Siganus argenteus and Siganus fuscescens were determined using allozyme analysis. A total of 13-14 polymorphic loci were examined from samples collected in 2002 and 2003 from eight reefs representing 25 populations north (Kuroshio Current) and south (Mindanao Current) of the bifurcation of the North Equatorial Current along the eastern Philippine coast. S. fuscescens populations (H (OBS) = 0.085) showed higher heterozygosity than S. argenteus (H (OBS) = 0.053), consistent with predictions of the neutral theory for demersal egg spawners compared to pelagic egg spawners. The generally lower genetic variability of Kuroshio populations may be due to greater environmental disturbance affecting larval mortality and recruitment success. There was no significant overall population genetic structuring for S. argenteus (F (ST) = 0.01485, P &gt; 0.05) compared to S. fuscescens (F (ST) = 0.03275, P &lt; 0.05). The latter species showed highly significant genetic structuring among Kuroshio and Mindanao Current populations in both 2002 and 2003 (F (CT) = 0.08120, P &lt; 0.05; F (CT) = 0.07500, P &lt; 0.05, respectively), as well as among populations within regions. This conforms to expectations of correlations between observed population genetic structure and life history features related to dispersal potential and gene flow. However, there were significant temporal (i.e., 2002 vs. 2003 samples) genetic variations for both S. fuscescens (F (CT) = 0.08542, P &lt; 0.05) and S. argenteus (F (CT) = 0.06330, P &lt; 0.05), which may reflect interannual variability in recruitment success. Differences in population spatial genetic patterns between the two reef fish species suggest that broad scale physical factors (e.g. NEC bifurcation) and regional environmental perturbations (e.g. incidence of typhoons) affect population genetic structure of sympatric congeneric species with different life histories differently. Finer scale ecological processes, which affect larval dispersal and recruitment (e.g., local hydrographic features, distribution of habitats), particularly in the Mindanao Current region, exert more influence on structuring populations of S. fuscescens.</v>
      </c>
      <c r="C197" s="24" t="str">
        <f>IFERROR(__xludf.DUMMYFUNCTION("""COMPUTED_VALUE"""),"10.1007/s00227-008-0946-7")</f>
        <v>10.1007/s00227-008-0946-7</v>
      </c>
      <c r="D197" s="24" t="str">
        <f>IFERROR(__xludf.DUMMYFUNCTION("""COMPUTED_VALUE"""),"shaw et al")</f>
        <v>shaw et al</v>
      </c>
      <c r="E197" s="24" t="str">
        <f>IFERROR(__xludf.DUMMYFUNCTION("""COMPUTED_VALUE"""),"WOS:000255093700012")</f>
        <v>WOS:000255093700012</v>
      </c>
      <c r="F197" s="24" t="str">
        <f>IFERROR(__xludf.DUMMYFUNCTION("""COMPUTED_VALUE"""),"[""ELIGIBLE""]")</f>
        <v>["ELIGIBLE"]</v>
      </c>
    </row>
    <row r="198">
      <c r="A198" s="24" t="str">
        <f>IFERROR(__xludf.DUMMYFUNCTION("""COMPUTED_VALUE"""),"Extensive sampling of polar bears (Ursus maritimus) in the Northwest Passage (Canadian Arctic Archipelago) reveals population differentiation across multiple spatial and temporal scales")</f>
        <v>Extensive sampling of polar bears (Ursus maritimus) in the Northwest Passage (Canadian Arctic Archipelago) reveals population differentiation across multiple spatial and temporal scales</v>
      </c>
      <c r="B198" s="24" t="str">
        <f>IFERROR(__xludf.DUMMYFUNCTION("""COMPUTED_VALUE"""),"As global warming accelerates the melting of Arctic sea ice, polar bears (Ursus maritimus) must adapt to a rapidly changing landscape. This process will necessarily alter the species distribution together with population dynamics and structure. Detailed k"&amp;"nowledge of these changes is crucial to delineating conservation priorities. Here, we sampled 361 polar bears from across the center of the Canadian Arctic Archipelago spanning the Gulf of Boothia (GB) and M'Clintock Channel (MC). We use DNA microsatellit"&amp;"es and mitochondrial control region sequences to quantify genetic differentiation, estimate gene flow, and infer population history. Two populations, roughly coincident with GB and MC, are significantly differentiated at both nuclear (F-ST = 0.01) and mit"&amp;"ochondrial (F-ST = 0.47; F-ST = 0.29) loci, allowing Bayesian clustering analyses to assign individuals to either group. Our data imply that the causes of the mitochondrial and nuclear genetic patterns differ. Analysis of mtDNA reveals the matrilineal str"&amp;"ucture dates at least to the Holocene, and is common to individuals throughout the species' range. These mtDNA differences probably reflect both genetic drift and historical colonization dynamics. In contrast, the differentiation inferred from microsatell"&amp;"ites is only on the scale of hundreds of years, possibly reflecting contemporary impediments to gene flow. Taken together, our data suggest that gene flow is insufficient to homogenize the GB and MC populations and support the designation of GB and MC as "&amp;"separate polar bear conservation units. Our study also provide a striking example of how nuclear DNA and mtDNA capture different aspects of a species demographic history.")</f>
        <v>As global warming accelerates the melting of Arctic sea ice, polar bears (Ursus maritimus) must adapt to a rapidly changing landscape. This process will necessarily alter the species distribution together with population dynamics and structure. Detailed knowledge of these changes is crucial to delineating conservation priorities. Here, we sampled 361 polar bears from across the center of the Canadian Arctic Archipelago spanning the Gulf of Boothia (GB) and M'Clintock Channel (MC). We use DNA microsatellites and mitochondrial control region sequences to quantify genetic differentiation, estimate gene flow, and infer population history. Two populations, roughly coincident with GB and MC, are significantly differentiated at both nuclear (F-ST = 0.01) and mitochondrial (F-ST = 0.47; F-ST = 0.29) loci, allowing Bayesian clustering analyses to assign individuals to either group. Our data imply that the causes of the mitochondrial and nuclear genetic patterns differ. Analysis of mtDNA reveals the matrilineal structure dates at least to the Holocene, and is common to individuals throughout the species' range. These mtDNA differences probably reflect both genetic drift and historical colonization dynamics. In contrast, the differentiation inferred from microsatellites is only on the scale of hundreds of years, possibly reflecting contemporary impediments to gene flow. Taken together, our data suggest that gene flow is insufficient to homogenize the GB and MC populations and support the designation of GB and MC as separate polar bear conservation units. Our study also provide a striking example of how nuclear DNA and mtDNA capture different aspects of a species demographic history.</v>
      </c>
      <c r="C198" s="24" t="str">
        <f>IFERROR(__xludf.DUMMYFUNCTION("""COMPUTED_VALUE"""),"10.1002/ece3.662")</f>
        <v>10.1002/ece3.662</v>
      </c>
      <c r="D198" s="24" t="str">
        <f>IFERROR(__xludf.DUMMYFUNCTION("""COMPUTED_VALUE"""),"shaw et al")</f>
        <v>shaw et al</v>
      </c>
      <c r="E198" s="24" t="str">
        <f>IFERROR(__xludf.DUMMYFUNCTION("""COMPUTED_VALUE"""),"WOS:000324046400030")</f>
        <v>WOS:000324046400030</v>
      </c>
      <c r="F198" s="24" t="str">
        <f>IFERROR(__xludf.DUMMYFUNCTION("""COMPUTED_VALUE"""),"[""ELIGIBLE""]")</f>
        <v>["ELIGIBLE"]</v>
      </c>
    </row>
    <row r="199">
      <c r="A199" s="24" t="str">
        <f>IFERROR(__xludf.DUMMYFUNCTION("""COMPUTED_VALUE"""),"Genetic Monitoring Reveals Genetic Stability within and among Threatened Chinook Salmon Populations in the Salmon River, Idaho")</f>
        <v>Genetic Monitoring Reveals Genetic Stability within and among Threatened Chinook Salmon Populations in the Salmon River, Idaho</v>
      </c>
      <c r="B199" s="24" t="str">
        <f>IFERROR(__xludf.DUMMYFUNCTION("""COMPUTED_VALUE"""),"Identifying and understanding temporal genetic changes within fish populations is important for the management of these populations, especially those of conservation concern. Such changes are often the result of genetic drift, which can be exacerbated whe"&amp;"n the size of a population decreases. Using molecular-genetics techniques, we monitored nine populations of Chinook salmon Oncorhynchus tshawytscha in the Salmon River, Idaho, to determine how the genetic characteristics within and among these populations"&amp;" have changed over time. We found no evidence of change in the level of heterozygosity or allelic richness over three to four generations in eight of the populations. This is probably due to the fact that the populations all maintained a sufficiently larg"&amp;"e effective size, even though a few of the populations did show a decline in effective size. Also, the genetic structure among the populations did not change appreciably over time. Populations that had been supplemented with hatchery-reared fish showed ge"&amp;"netic similarity to the within-basin hatchery source population, presumably because of the extensive use of native fish for hatchery brood stocks and minimal out-of-basin stock transfers. The lack of a detectable decline in these populations' levels of ge"&amp;"netic diversity is encouraging, given the species' threatened status under the U.S. Endangered Species Act.")</f>
        <v>Identifying and understanding temporal genetic changes within fish populations is important for the management of these populations, especially those of conservation concern. Such changes are often the result of genetic drift, which can be exacerbated when the size of a population decreases. Using molecular-genetics techniques, we monitored nine populations of Chinook salmon Oncorhynchus tshawytscha in the Salmon River, Idaho, to determine how the genetic characteristics within and among these populations have changed over time. We found no evidence of change in the level of heterozygosity or allelic richness over three to four generations in eight of the populations. This is probably due to the fact that the populations all maintained a sufficiently large effective size, even though a few of the populations did show a decline in effective size. Also, the genetic structure among the populations did not change appreciably over time. Populations that had been supplemented with hatchery-reared fish showed genetic similarity to the within-basin hatchery source population, presumably because of the extensive use of native fish for hatchery brood stocks and minimal out-of-basin stock transfers. The lack of a detectable decline in these populations' levels of genetic diversity is encouraging, given the species' threatened status under the U.S. Endangered Species Act.</v>
      </c>
      <c r="C199" s="24" t="str">
        <f>IFERROR(__xludf.DUMMYFUNCTION("""COMPUTED_VALUE"""),"10.1080/02755947.2011.562443")</f>
        <v>10.1080/02755947.2011.562443</v>
      </c>
      <c r="D199" s="24" t="str">
        <f>IFERROR(__xludf.DUMMYFUNCTION("""COMPUTED_VALUE"""),"shaw et al")</f>
        <v>shaw et al</v>
      </c>
      <c r="E199" s="24" t="str">
        <f>IFERROR(__xludf.DUMMYFUNCTION("""COMPUTED_VALUE"""),"WOS:000288279800011")</f>
        <v>WOS:000288279800011</v>
      </c>
      <c r="F199" s="24" t="str">
        <f>IFERROR(__xludf.DUMMYFUNCTION("""COMPUTED_VALUE"""),"[""ELIGIBLE""]")</f>
        <v>["ELIGIBLE"]</v>
      </c>
    </row>
    <row r="200">
      <c r="A200" s="24" t="str">
        <f>IFERROR(__xludf.DUMMYFUNCTION("""COMPUTED_VALUE"""),"Temporal changes and effective population size of an Italian isolated and supportive-breeding managed northern pike (Esox lucius) population")</f>
        <v>Temporal changes and effective population size of an Italian isolated and supportive-breeding managed northern pike (Esox lucius) population</v>
      </c>
      <c r="B200" s="24" t="str">
        <f>IFERROR(__xludf.DUMMYFUNCTION("""COMPUTED_VALUE"""),"Genetic analyses allowed management and conservative programmes specifically designed for biodiversity conservation purposes. To date, no information is available for the N-e, definition of any Italian northern pike population, because of their wide, high"&amp;"ly fragmented, distribution. Low gene flow levels may have caused some of the health population problems emerging from professional fisheries data, underlining a marked reduction of these populations. This paper reports the first estimate of genetic N-e, "&amp;"of the Lake Trasimeno's northern pike, by means of microsatellites data, over the last four decades compared with five other significant Italian populations. N-e, values were evaluated through specific software and H estimator. The N-e, results confirm th"&amp;"at. despite a marked reduction between 1966 and 1997 and a less than optimal status, the Trasimeno population shows a positive trend in its health status, presumably due to proper management programmes. Considerations on the biological conservation and ma"&amp;"nagement of this pike population are also reported. (C) 2008 Elsevier B.V. All rights reserved.")</f>
        <v>Genetic analyses allowed management and conservative programmes specifically designed for biodiversity conservation purposes. To date, no information is available for the N-e, definition of any Italian northern pike population, because of their wide, highly fragmented, distribution. Low gene flow levels may have caused some of the health population problems emerging from professional fisheries data, underlining a marked reduction of these populations. This paper reports the first estimate of genetic N-e, of the Lake Trasimeno's northern pike, by means of microsatellites data, over the last four decades compared with five other significant Italian populations. N-e, values were evaluated through specific software and H estimator. The N-e, results confirm that. despite a marked reduction between 1966 and 1997 and a less than optimal status, the Trasimeno population shows a positive trend in its health status, presumably due to proper management programmes. Considerations on the biological conservation and management of this pike population are also reported. (C) 2008 Elsevier B.V. All rights reserved.</v>
      </c>
      <c r="C200" s="24" t="str">
        <f>IFERROR(__xludf.DUMMYFUNCTION("""COMPUTED_VALUE"""),"10.1016/j.fishres.2008.10.007")</f>
        <v>10.1016/j.fishres.2008.10.007</v>
      </c>
      <c r="D200" s="24" t="str">
        <f>IFERROR(__xludf.DUMMYFUNCTION("""COMPUTED_VALUE"""),"shaw et al")</f>
        <v>shaw et al</v>
      </c>
      <c r="E200" s="24" t="str">
        <f>IFERROR(__xludf.DUMMYFUNCTION("""COMPUTED_VALUE"""),"WOS:000264087800004")</f>
        <v>WOS:000264087800004</v>
      </c>
      <c r="F200" s="24" t="str">
        <f>IFERROR(__xludf.DUMMYFUNCTION("""COMPUTED_VALUE"""),"[""ELIGIBLE""]")</f>
        <v>["ELIGIBLE"]</v>
      </c>
    </row>
    <row r="201">
      <c r="A201" s="24" t="str">
        <f>IFERROR(__xludf.DUMMYFUNCTION("""COMPUTED_VALUE"""),"Temporal patterns and processes of genetic differentiation of the Brachionus calyciflorus (Rotifera) complex in a subtropical shallow lake")</f>
        <v>Temporal patterns and processes of genetic differentiation of the Brachionus calyciflorus (Rotifera) complex in a subtropical shallow lake</v>
      </c>
      <c r="B201" s="24" t="str">
        <f>IFERROR(__xludf.DUMMYFUNCTION("""COMPUTED_VALUE"""),"Sympatric distribution and temporal overlap of cryptic zooplankton species pose a challenge to the framework of the niche differentiation theory and the mechanisms underlying the coexistence of potentially strong competitors. In this study, we collected B"&amp;"rachionus calyciflorus Pallas monthly from Lake Tingtang over the course of 1 year and clonally cultured them in the laboratory. Finally, 204 clones were established, and their nuDNA ITS1 and mtCOI sequences were analyzed. The phylogenetic relationships a"&amp;"nd GMYC model analyses revealed that B. calyciflorus was a species complex composed of three cryptic species. Cryptic species BcI-W, and BcII-S and Bc-SW underwent a clear seasonal succession. However, BcII-S and Bc-SW overlapped in June and July, and all"&amp;" the three cryptic species coexisted in November. Different preferences to water temperature might contribute to the seasonal succession. More investment in sexual reproduction accelerated the disappearance of cryptic species from the water column during "&amp;"the seasonal succession process. Differential responses in rate of population growth of the two overlapping cryptic species to increasing food level might reduce the intensity of competition between them and promote their coexistence over time. Difference"&amp;"s in population growth rate partially resulted in the different relative abundances of the two overlapping cryptic species.")</f>
        <v>Sympatric distribution and temporal overlap of cryptic zooplankton species pose a challenge to the framework of the niche differentiation theory and the mechanisms underlying the coexistence of potentially strong competitors. In this study, we collected Brachionus calyciflorus Pallas monthly from Lake Tingtang over the course of 1 year and clonally cultured them in the laboratory. Finally, 204 clones were established, and their nuDNA ITS1 and mtCOI sequences were analyzed. The phylogenetic relationships and GMYC model analyses revealed that B. calyciflorus was a species complex composed of three cryptic species. Cryptic species BcI-W, and BcII-S and Bc-SW underwent a clear seasonal succession. However, BcII-S and Bc-SW overlapped in June and July, and all the three cryptic species coexisted in November. Different preferences to water temperature might contribute to the seasonal succession. More investment in sexual reproduction accelerated the disappearance of cryptic species from the water column during the seasonal succession process. Differential responses in rate of population growth of the two overlapping cryptic species to increasing food level might reduce the intensity of competition between them and promote their coexistence over time. Differences in population growth rate partially resulted in the different relative abundances of the two overlapping cryptic species.</v>
      </c>
      <c r="C201" s="24" t="str">
        <f>IFERROR(__xludf.DUMMYFUNCTION("""COMPUTED_VALUE"""),"10.1007/s10750-017-3407-9")</f>
        <v>10.1007/s10750-017-3407-9</v>
      </c>
      <c r="D201" s="24" t="str">
        <f>IFERROR(__xludf.DUMMYFUNCTION("""COMPUTED_VALUE"""),"shaw et al")</f>
        <v>shaw et al</v>
      </c>
      <c r="E201" s="24" t="str">
        <f>IFERROR(__xludf.DUMMYFUNCTION("""COMPUTED_VALUE"""),"WOS:000417867600020")</f>
        <v>WOS:000417867600020</v>
      </c>
      <c r="F201" s="24" t="str">
        <f>IFERROR(__xludf.DUMMYFUNCTION("""COMPUTED_VALUE"""),"[""ELIGIBLE""]")</f>
        <v>["ELIGIBLE"]</v>
      </c>
    </row>
    <row r="202">
      <c r="A202" s="24" t="str">
        <f>IFERROR(__xludf.DUMMYFUNCTION("""COMPUTED_VALUE"""),"Microspatial sampling reveals cryptic influences on gene flow in a threatened mammal")</f>
        <v>Microspatial sampling reveals cryptic influences on gene flow in a threatened mammal</v>
      </c>
      <c r="B202" s="24" t="str">
        <f>IFERROR(__xludf.DUMMYFUNCTION("""COMPUTED_VALUE"""),"We studied the population structure and historical demography of the last remaining core population of the threatened southeastern beach mouse (SEBM; Peromyscus polionotus niveiventris) located on a federally protected barrier island complex at the Kenned"&amp;"y Space Center (KSC), Merritt Island National Wildlife Refuge (MINWR) and Cape Canaveral Air Force Station (CCAFS) in Florida, USA. Beach mice (N = 171) were collected from 33 trapping locations along 30 km of coastline on KSC/MINWR/CCAFS and were genotyp"&amp;"ed using 10 microsatellite loci. We found four genetic clusters of mice that likely form a metapopulation. Gene flow among clusters, assessed using assignment tests, was limited suggesting that human development can serve to inhibit dispersal of beach mic"&amp;"e. However, when the presence of roads were examined as possible barriers to movement, gene flow appeared to be facilitated suggesting that removal of thick vegetation along roadsides increases movement. We used approximate Bayesian computation (ABC) to e"&amp;"stimate divergence time among clusters and effective population sizes for each cluster and for the pre-divergence population. Results of ABC analyses suggest that barriers to movement likely formed following the construction of the John F. Kennedy Space C"&amp;"enter beginning in the 1960s but that this has not heavily impacted the effective size of populations. Pre-divergence and contemporary effective sizes are similar, thus, population sizes likely remained relatively large over the last 50-100 years. The pop"&amp;"ulation of SEBM on KSC/MINWR/CCAFS appears to be a genetically diverse core population and individuals from this population will most likely be good candidates for any future reintroduction and translocation programs.")</f>
        <v>We studied the population structure and historical demography of the last remaining core population of the threatened southeastern beach mouse (SEBM; Peromyscus polionotus niveiventris) located on a federally protected barrier island complex at the Kennedy Space Center (KSC), Merritt Island National Wildlife Refuge (MINWR) and Cape Canaveral Air Force Station (CCAFS) in Florida, USA. Beach mice (N = 171) were collected from 33 trapping locations along 30 km of coastline on KSC/MINWR/CCAFS and were genotyped using 10 microsatellite loci. We found four genetic clusters of mice that likely form a metapopulation. Gene flow among clusters, assessed using assignment tests, was limited suggesting that human development can serve to inhibit dispersal of beach mice. However, when the presence of roads were examined as possible barriers to movement, gene flow appeared to be facilitated suggesting that removal of thick vegetation along roadsides increases movement. We used approximate Bayesian computation (ABC) to estimate divergence time among clusters and effective population sizes for each cluster and for the pre-divergence population. Results of ABC analyses suggest that barriers to movement likely formed following the construction of the John F. Kennedy Space Center beginning in the 1960s but that this has not heavily impacted the effective size of populations. Pre-divergence and contemporary effective sizes are similar, thus, population sizes likely remained relatively large over the last 50-100 years. The population of SEBM on KSC/MINWR/CCAFS appears to be a genetically diverse core population and individuals from this population will most likely be good candidates for any future reintroduction and translocation programs.</v>
      </c>
      <c r="C202" s="24" t="str">
        <f>IFERROR(__xludf.DUMMYFUNCTION("""COMPUTED_VALUE"""),"10.1007/s10592-015-0749-6")</f>
        <v>10.1007/s10592-015-0749-6</v>
      </c>
      <c r="D202" s="24" t="str">
        <f>IFERROR(__xludf.DUMMYFUNCTION("""COMPUTED_VALUE"""),"shaw et al")</f>
        <v>shaw et al</v>
      </c>
      <c r="E202" s="24" t="str">
        <f>IFERROR(__xludf.DUMMYFUNCTION("""COMPUTED_VALUE"""),"WOS:000363957700011")</f>
        <v>WOS:000363957700011</v>
      </c>
      <c r="F202" s="24" t="str">
        <f>IFERROR(__xludf.DUMMYFUNCTION("""COMPUTED_VALUE"""),"[""ELIGIBLE""]")</f>
        <v>["ELIGIBLE"]</v>
      </c>
    </row>
    <row r="203">
      <c r="A203" s="24" t="str">
        <f>IFERROR(__xludf.DUMMYFUNCTION("""COMPUTED_VALUE"""),"Museum samples provide novel insights into the taxonomy and genetic diversity of Irish red grouse")</f>
        <v>Museum samples provide novel insights into the taxonomy and genetic diversity of Irish red grouse</v>
      </c>
      <c r="B203" s="24" t="str">
        <f>IFERROR(__xludf.DUMMYFUNCTION("""COMPUTED_VALUE"""),"The taxonomic status of red grouse in Ireland has been the subject of considerable debate over the past century. Irish red grouse are usually classified as Lagopus lagopus scoticus, which is the same subspecies as that found in Britain, but some ornitholo"&amp;"gists believe that native Irish red grouse constitute an endemic subspecies, namely L. lagopus hibernicus. The considerable decline of Irish red grouse over the past century, along with possible hybridization with introduced grouse from Britain, have high"&amp;"lighted the need to resolve their taxonomic status as part of a biodiversity management plan. However, genetic analysis of samples from a single point in time will provide limited insight into potentially confounding historical events such as hybridizatio"&amp;"n and introgression. We therefore compared mtDNA sequences from both current and historical samples of the two putative subspecies, scoticus and hibernicus, to see if they are or were genetically distinct. Red grouse from Britain and Ireland shared mitoch"&amp;"ondrial haplotypes, and our historical data suggest that this is unlikely to be the result of recent hybridization and introgression. These findings, combined with a general lack of documented differences in behaviour and ecology, suggest that Irish red g"&amp;"rouse should remain classified as L. lagopus scoticus. At the same time, we found evidence that a significant amount of genetic diversity has been lost from Irish red grouse over the past century, presumably as a result of diminishing population sizes and"&amp;" fragmentation of extant populations. A loss of habitat, combined with the declining numbers and genetic diversity of Irish red grouse, justify their designation as an All-Ireland Priority (Red List) species and a Northern Ireland Priority Species for con"&amp;"servation.")</f>
        <v>The taxonomic status of red grouse in Ireland has been the subject of considerable debate over the past century. Irish red grouse are usually classified as Lagopus lagopus scoticus, which is the same subspecies as that found in Britain, but some ornithologists believe that native Irish red grouse constitute an endemic subspecies, namely L. lagopus hibernicus. The considerable decline of Irish red grouse over the past century, along with possible hybridization with introduced grouse from Britain, have highlighted the need to resolve their taxonomic status as part of a biodiversity management plan. However, genetic analysis of samples from a single point in time will provide limited insight into potentially confounding historical events such as hybridization and introgression. We therefore compared mtDNA sequences from both current and historical samples of the two putative subspecies, scoticus and hibernicus, to see if they are or were genetically distinct. Red grouse from Britain and Ireland shared mitochondrial haplotypes, and our historical data suggest that this is unlikely to be the result of recent hybridization and introgression. These findings, combined with a general lack of documented differences in behaviour and ecology, suggest that Irish red grouse should remain classified as L. lagopus scoticus. At the same time, we found evidence that a significant amount of genetic diversity has been lost from Irish red grouse over the past century, presumably as a result of diminishing population sizes and fragmentation of extant populations. A loss of habitat, combined with the declining numbers and genetic diversity of Irish red grouse, justify their designation as an All-Ireland Priority (Red List) species and a Northern Ireland Priority Species for conservation.</v>
      </c>
      <c r="C203" s="24" t="str">
        <f>IFERROR(__xludf.DUMMYFUNCTION("""COMPUTED_VALUE"""),"10.1007/s10592-006-9217-7")</f>
        <v>10.1007/s10592-006-9217-7</v>
      </c>
      <c r="D203" s="24" t="str">
        <f>IFERROR(__xludf.DUMMYFUNCTION("""COMPUTED_VALUE"""),"shaw et al")</f>
        <v>shaw et al</v>
      </c>
      <c r="E203" s="24" t="str">
        <f>IFERROR(__xludf.DUMMYFUNCTION("""COMPUTED_VALUE"""),"WOS:000246103500016")</f>
        <v>WOS:000246103500016</v>
      </c>
      <c r="F203" s="24" t="str">
        <f>IFERROR(__xludf.DUMMYFUNCTION("""COMPUTED_VALUE"""),"[""ELIGIBLE""]")</f>
        <v>["ELIGIBLE"]</v>
      </c>
    </row>
    <row r="204">
      <c r="A204" s="24" t="str">
        <f>IFERROR(__xludf.DUMMYFUNCTION("""COMPUTED_VALUE"""),"Temporal and spatial analyses disclose consequences of habitat fragmentation on the genetic diversity in capercaillie (Tetrao urogallus)")</f>
        <v>Temporal and spatial analyses disclose consequences of habitat fragmentation on the genetic diversity in capercaillie (Tetrao urogallus)</v>
      </c>
      <c r="B204" s="24" t="str">
        <f>IFERROR(__xludf.DUMMYFUNCTION("""COMPUTED_VALUE"""),"As a result of habitat fragmentation, the capercaillie (Tetrao urogallus) population in the Black Forest mountain range in southwestern Germany has declined rapidly during the last decades and now persists in patchy isolated fragments. To study the effect"&amp;"s of fragmentation, we quantified dispersal patterns by genotyping 213 individuals in four subpopulations. We used a landscape genetics approach to analyse individual genetic variation, and despite overall low genetic structure, we found strong indication"&amp;"s for a major boundary separating the northern part of the Black Forest area from the other subpopulations. Males and females display different gene flow patterns across the landscape. Females tend to disperse across longer distances than do males. We add"&amp;"itionally studied the effects of the population decline on genetic diversity during the last hundred years. Although the population has dramatically declined from over 4000 to 250 males over a few decades, genetic diversity was not affected in the same wa"&amp;"y. We found two haplotypes that were present only in historic samples but microsatellite markers revealed no significant reduction in genetic diversity. Among historic samples, genetic differentiation was very low, indicating that the current genetic stru"&amp;"cture is caused by recent habitat fragmentation. We argue that inferences about reduced genetic diversity are drawn cautiously and recommend sampling over different temporal scales.")</f>
        <v>As a result of habitat fragmentation, the capercaillie (Tetrao urogallus) population in the Black Forest mountain range in southwestern Germany has declined rapidly during the last decades and now persists in patchy isolated fragments. To study the effects of fragmentation, we quantified dispersal patterns by genotyping 213 individuals in four subpopulations. We used a landscape genetics approach to analyse individual genetic variation, and despite overall low genetic structure, we found strong indications for a major boundary separating the northern part of the Black Forest area from the other subpopulations. Males and females display different gene flow patterns across the landscape. Females tend to disperse across longer distances than do males. We additionally studied the effects of the population decline on genetic diversity during the last hundred years. Although the population has dramatically declined from over 4000 to 250 males over a few decades, genetic diversity was not affected in the same way. We found two haplotypes that were present only in historic samples but microsatellite markers revealed no significant reduction in genetic diversity. Among historic samples, genetic differentiation was very low, indicating that the current genetic structure is caused by recent habitat fragmentation. We argue that inferences about reduced genetic diversity are drawn cautiously and recommend sampling over different temporal scales.</v>
      </c>
      <c r="C204" s="24" t="str">
        <f>IFERROR(__xludf.DUMMYFUNCTION("""COMPUTED_VALUE"""),"10.1111/j.1365-294X.2008.03767.x")</f>
        <v>10.1111/j.1365-294X.2008.03767.x</v>
      </c>
      <c r="D204" s="24" t="str">
        <f>IFERROR(__xludf.DUMMYFUNCTION("""COMPUTED_VALUE"""),"shaw et al")</f>
        <v>shaw et al</v>
      </c>
      <c r="E204" s="24" t="str">
        <f>IFERROR(__xludf.DUMMYFUNCTION("""COMPUTED_VALUE"""),"WOS:000255464800004")</f>
        <v>WOS:000255464800004</v>
      </c>
      <c r="F204" s="24" t="str">
        <f>IFERROR(__xludf.DUMMYFUNCTION("""COMPUTED_VALUE"""),"[""ELIGIBLE""]")</f>
        <v>["ELIGIBLE"]</v>
      </c>
    </row>
    <row r="205">
      <c r="A205" s="24" t="str">
        <f>IFERROR(__xludf.DUMMYFUNCTION("""COMPUTED_VALUE"""),"Conservation of the Owens Pupfish: Genetic Effects of Multiple Translocations and Extirpations")</f>
        <v>Conservation of the Owens Pupfish: Genetic Effects of Multiple Translocations and Extirpations</v>
      </c>
      <c r="B205" s="24" t="str">
        <f>IFERROR(__xludf.DUMMYFUNCTION("""COMPUTED_VALUE"""),"The Owens Pupfish Cyprinodon radiosus represents many of the challenges of managing threatened or endangered species in fragmented refuge populations. All six extant populations of the endangered Owens Pupfish were examined to assess how management practi"&amp;"ces, including serial translocations and founder events, have influenced the genetic diversity of the species and to make recommendations for future management. Four populations were sampled twice with 3-4years intervening; two additional populations were"&amp;" sampled once. Populations were genotyped at nine microsatellite loci; estimated effective population sizes ranged from 34.2 to 347.8 individuals based on the linkage disequilibrium method and from 10 to 48 using the sibship assignment method. All of the "&amp;"populations were estimated to have undergone severe bottlenecks, and statistically significant pairwise F-ST values increased during the period between sampling. From this data we infer that the individual refuge populations have differentiated and lost g"&amp;"enetic diversity and that without intervention they will continue to do so. For the long-term persistence of this species, we recommend founding new populations composed of 30-50 founders from each of the extant populations, regularly translocating up to "&amp;"10 migrants per generation among stable populations, and maximizing habitat area and quality. Received April 13, 2012; accepted May 21, 2013")</f>
        <v>The Owens Pupfish Cyprinodon radiosus represents many of the challenges of managing threatened or endangered species in fragmented refuge populations. All six extant populations of the endangered Owens Pupfish were examined to assess how management practices, including serial translocations and founder events, have influenced the genetic diversity of the species and to make recommendations for future management. Four populations were sampled twice with 3-4years intervening; two additional populations were sampled once. Populations were genotyped at nine microsatellite loci; estimated effective population sizes ranged from 34.2 to 347.8 individuals based on the linkage disequilibrium method and from 10 to 48 using the sibship assignment method. All of the populations were estimated to have undergone severe bottlenecks, and statistically significant pairwise F-ST values increased during the period between sampling. From this data we infer that the individual refuge populations have differentiated and lost genetic diversity and that without intervention they will continue to do so. For the long-term persistence of this species, we recommend founding new populations composed of 30-50 founders from each of the extant populations, regularly translocating up to 10 migrants per generation among stable populations, and maximizing habitat area and quality. Received April 13, 2012; accepted May 21, 2013</v>
      </c>
      <c r="C205" s="24" t="str">
        <f>IFERROR(__xludf.DUMMYFUNCTION("""COMPUTED_VALUE"""),"10.1080/00028487.2013.811097")</f>
        <v>10.1080/00028487.2013.811097</v>
      </c>
      <c r="D205" s="24" t="str">
        <f>IFERROR(__xludf.DUMMYFUNCTION("""COMPUTED_VALUE"""),"shaw et al")</f>
        <v>shaw et al</v>
      </c>
      <c r="E205" s="24" t="str">
        <f>IFERROR(__xludf.DUMMYFUNCTION("""COMPUTED_VALUE"""),"WOS:000324613800023")</f>
        <v>WOS:000324613800023</v>
      </c>
      <c r="F205" s="24" t="str">
        <f>IFERROR(__xludf.DUMMYFUNCTION("""COMPUTED_VALUE"""),"[""ELIGIBLE""]")</f>
        <v>["ELIGIBLE"]</v>
      </c>
    </row>
    <row r="206">
      <c r="A206" s="24" t="str">
        <f>IFERROR(__xludf.DUMMYFUNCTION("""COMPUTED_VALUE"""),"Population genetic and behavioural variation of the two remaining colonies of Providence petrel (Pterodroma solandri)")</f>
        <v>Population genetic and behavioural variation of the two remaining colonies of Providence petrel (Pterodroma solandri)</v>
      </c>
      <c r="B206" s="24" t="str">
        <f>IFERROR(__xludf.DUMMYFUNCTION("""COMPUTED_VALUE"""),"Knowledge of the dispersal capacity of species is crucial to assess their extinction risk, and to establish appropriate monitoring and management strategies. The Providence petrel (Pterodroma solandri) presently breeds only at Lord Howe Island (similar to"&amp;" 32,000 breeding pairs) and Phillip Island-7 km south of Norfolk Island (similar to 20 breeding pairs). A much larger colony previously existed on Norfolk Island (similar to 1,000,000 breeding pairs) but was hunted to extinction in the 18th Century. Diffe"&amp;"rences in time of return to nesting sites are presently observed between the two extant colonies. Information on whether the Phillip Island colony is a relict population from Norfolk Island, or a recent colonization from Lord Howe Island, is essential to "&amp;"assess long-term sustainability and conservation significance of this small colony. Here, we sequenced the mitochondrial cytochrome b gene and 14 nuclear introns, in addition to genotyping 10 microsatellite loci, to investigate connectivity of the two ext"&amp;"ant P. solandri populations. High gene flow between populations and recent colonization of Phillip Island (95 % HPD 56-200 ya) are inferred, which may delay or prevent the genetic differentiation of these insular populations. These results suggest high pl"&amp;"asticity in behaviour in this species and imply limited genetic risks surrounding both the sustainability of the small Phillip Island colony, and a proposal for translocation of Lord Howe Island individuals to re-establish a colony on Norfolk Island.")</f>
        <v>Knowledge of the dispersal capacity of species is crucial to assess their extinction risk, and to establish appropriate monitoring and management strategies. The Providence petrel (Pterodroma solandri) presently breeds only at Lord Howe Island (similar to 32,000 breeding pairs) and Phillip Island-7 km south of Norfolk Island (similar to 20 breeding pairs). A much larger colony previously existed on Norfolk Island (similar to 1,000,000 breeding pairs) but was hunted to extinction in the 18th Century. Differences in time of return to nesting sites are presently observed between the two extant colonies. Information on whether the Phillip Island colony is a relict population from Norfolk Island, or a recent colonization from Lord Howe Island, is essential to assess long-term sustainability and conservation significance of this small colony. Here, we sequenced the mitochondrial cytochrome b gene and 14 nuclear introns, in addition to genotyping 10 microsatellite loci, to investigate connectivity of the two extant P. solandri populations. High gene flow between populations and recent colonization of Phillip Island (95 % HPD 56-200 ya) are inferred, which may delay or prevent the genetic differentiation of these insular populations. These results suggest high plasticity in behaviour in this species and imply limited genetic risks surrounding both the sustainability of the small Phillip Island colony, and a proposal for translocation of Lord Howe Island individuals to re-establish a colony on Norfolk Island.</v>
      </c>
      <c r="C206" s="24" t="str">
        <f>IFERROR(__xludf.DUMMYFUNCTION("""COMPUTED_VALUE"""),"10.1007/s10592-016-0887-5")</f>
        <v>10.1007/s10592-016-0887-5</v>
      </c>
      <c r="D206" s="24" t="str">
        <f>IFERROR(__xludf.DUMMYFUNCTION("""COMPUTED_VALUE"""),"shaw et al")</f>
        <v>shaw et al</v>
      </c>
      <c r="E206" s="24" t="str">
        <f>IFERROR(__xludf.DUMMYFUNCTION("""COMPUTED_VALUE"""),"WOS:000394253300009")</f>
        <v>WOS:000394253300009</v>
      </c>
      <c r="F206" s="24" t="str">
        <f>IFERROR(__xludf.DUMMYFUNCTION("""COMPUTED_VALUE"""),"[""ELIGIBLE""]")</f>
        <v>["ELIGIBLE"]</v>
      </c>
    </row>
    <row r="207">
      <c r="A207" s="24" t="str">
        <f>IFERROR(__xludf.DUMMYFUNCTION("""COMPUTED_VALUE"""),"Population structure of striped marlin (Kajikia audax) in the Pacific Ocean based on analysis of microsatellite and mitochondrial DNA")</f>
        <v>Population structure of striped marlin (Kajikia audax) in the Pacific Ocean based on analysis of microsatellite and mitochondrial DNA</v>
      </c>
      <c r="B207" s="24" t="str">
        <f>IFERROR(__xludf.DUMMYFUNCTION("""COMPUTED_VALUE"""),"Genetic variation was surveyed at five microsatellite loci and the mitochondrial control region (819 bp) to test for the presence of genetic stock structure in striped marlin (Kajikia audax) collections taken from seven locations throughout the Pacific Oc"&amp;"ean. Temporal replicates separated by 9 years were taken off Japan, and three temporal samples spanning 11 years were collected off the coast of eastern Australia. Analyses of multilocus microsatellite genotypes and mitochondrial control region sequences "&amp;"showed no significant heterogeneity among collections taken from the same location in different years; however, significant spatial genetic heterogeneity was observed across all samples for microsatellite markers (F-ST = 0.013, P &lt; 0.001). Mitochondrial c"&amp;"ontrol region sequences were not different across all samples (Phi(ST) = -0.01, P = 0.642). Analyses of molecular variance (AMOVA) revealed significant genetic differentiation between geographic regions for both microsatellite and mitochondrial markers. T"&amp;"hese results suggest the presence of genetically discrete populations within the Pacific Ocean and are supported by both the results of tagging studies, which show limited dispersal, and the presence of geographically separated spawning grounds.")</f>
        <v>Genetic variation was surveyed at five microsatellite loci and the mitochondrial control region (819 bp) to test for the presence of genetic stock structure in striped marlin (Kajikia audax) collections taken from seven locations throughout the Pacific Ocean. Temporal replicates separated by 9 years were taken off Japan, and three temporal samples spanning 11 years were collected off the coast of eastern Australia. Analyses of multilocus microsatellite genotypes and mitochondrial control region sequences showed no significant heterogeneity among collections taken from the same location in different years; however, significant spatial genetic heterogeneity was observed across all samples for microsatellite markers (F-ST = 0.013, P &lt; 0.001). Mitochondrial control region sequences were not different across all samples (Phi(ST) = -0.01, P = 0.642). Analyses of molecular variance (AMOVA) revealed significant genetic differentiation between geographic regions for both microsatellite and mitochondrial markers. These results suggest the presence of genetically discrete populations within the Pacific Ocean and are supported by both the results of tagging studies, which show limited dispersal, and the presence of geographically separated spawning grounds.</v>
      </c>
      <c r="C207" s="24" t="str">
        <f>IFERROR(__xludf.DUMMYFUNCTION("""COMPUTED_VALUE"""),"10.1139/F08-054")</f>
        <v>10.1139/F08-054</v>
      </c>
      <c r="D207" s="24" t="str">
        <f>IFERROR(__xludf.DUMMYFUNCTION("""COMPUTED_VALUE"""),"shaw et al")</f>
        <v>shaw et al</v>
      </c>
      <c r="E207" s="24" t="str">
        <f>IFERROR(__xludf.DUMMYFUNCTION("""COMPUTED_VALUE"""),"WOS:000257359100007")</f>
        <v>WOS:000257359100007</v>
      </c>
      <c r="F207" s="24" t="str">
        <f>IFERROR(__xludf.DUMMYFUNCTION("""COMPUTED_VALUE"""),"[""ELIGIBLE""]")</f>
        <v>["ELIGIBLE"]</v>
      </c>
    </row>
    <row r="208">
      <c r="A208" s="24" t="str">
        <f>IFERROR(__xludf.DUMMYFUNCTION("""COMPUTED_VALUE"""),"Multi-marker estimate of genetic connectivity of sole (Solea solea) in the North-East Atlantic Ocean")</f>
        <v>Multi-marker estimate of genetic connectivity of sole (Solea solea) in the North-East Atlantic Ocean</v>
      </c>
      <c r="B208" s="24" t="str">
        <f>IFERROR(__xludf.DUMMYFUNCTION("""COMPUTED_VALUE"""),"A thorough knowledge on the genetic connectivity of marine populations is important for fisheries management and conservation. Using a dense population sampling design and two types of neutral molecular markers (10 nuclear microsatellite loci and a mtDNA "&amp;"cytochrome b fragment), we inferred the genetic connectivity among the main known spawning grounds of sole (Solea solea L.) in the North-East Atlantic Ocean. The results revealed a clear genetic structure for sole in the North-East Atlantic Ocean with at "&amp;"least three different populations, namely the Kattegat/Skagerrak region, the North Sea and the Bay of Biscay, and with indications for a fourth population, namely the Irish/Celtic Sea. The lack of genetically meaningful differences between biological popu"&amp;"lations within the southern North Sea is likely due to a large effective population size and sufficient connection (gene flow) between populations. Nevertheless, an isolation-by-distance pattern was found based on microsatellite genotyping, while no such "&amp;"pattern was observed with the cytochrome b marker, indicating an historical pattern prevailing in the latter marker. Our results demonstrate the importance of a combined multi-marker approach to understand the connectivity among marine populations at regi"&amp;"on scales.")</f>
        <v>A thorough knowledge on the genetic connectivity of marine populations is important for fisheries management and conservation. Using a dense population sampling design and two types of neutral molecular markers (10 nuclear microsatellite loci and a mtDNA cytochrome b fragment), we inferred the genetic connectivity among the main known spawning grounds of sole (Solea solea L.) in the North-East Atlantic Ocean. The results revealed a clear genetic structure for sole in the North-East Atlantic Ocean with at least three different populations, namely the Kattegat/Skagerrak region, the North Sea and the Bay of Biscay, and with indications for a fourth population, namely the Irish/Celtic Sea. The lack of genetically meaningful differences between biological populations within the southern North Sea is likely due to a large effective population size and sufficient connection (gene flow) between populations. Nevertheless, an isolation-by-distance pattern was found based on microsatellite genotyping, while no such pattern was observed with the cytochrome b marker, indicating an historical pattern prevailing in the latter marker. Our results demonstrate the importance of a combined multi-marker approach to understand the connectivity among marine populations at region scales.</v>
      </c>
      <c r="C208" s="24" t="str">
        <f>IFERROR(__xludf.DUMMYFUNCTION("""COMPUTED_VALUE"""),"10.1007/s00227-012-1905-x")</f>
        <v>10.1007/s00227-012-1905-x</v>
      </c>
      <c r="D208" s="24" t="str">
        <f>IFERROR(__xludf.DUMMYFUNCTION("""COMPUTED_VALUE"""),"shaw et al")</f>
        <v>shaw et al</v>
      </c>
      <c r="E208" s="24" t="str">
        <f>IFERROR(__xludf.DUMMYFUNCTION("""COMPUTED_VALUE"""),"WOS:000303472100006")</f>
        <v>WOS:000303472100006</v>
      </c>
      <c r="F208" s="24" t="str">
        <f>IFERROR(__xludf.DUMMYFUNCTION("""COMPUTED_VALUE"""),"[""ELIGIBLE""]")</f>
        <v>["ELIGIBLE"]</v>
      </c>
    </row>
    <row r="209">
      <c r="A209" s="24" t="str">
        <f>IFERROR(__xludf.DUMMYFUNCTION("""COMPUTED_VALUE"""),"Genetic Impact of a Severe El Nino Event on Galapagos Marine Iguanas (Amblyrhynchus cristatus)")</f>
        <v>Genetic Impact of a Severe El Nino Event on Galapagos Marine Iguanas (Amblyrhynchus cristatus)</v>
      </c>
      <c r="B209" s="24" t="str">
        <f>IFERROR(__xludf.DUMMYFUNCTION("""COMPUTED_VALUE"""),"The El Nino-Southern Oscillation (ENSO) is a major source of climatic disturbance, impacting the dynamics of ecosystems worldwide. Recent models predict that human-generated rises in green-house gas levels will cause an increase in the strength and freque"&amp;"ncy of El Nino warming events in the next several decades, highlighting the need to understand the potential biological consequences of increased ENSO activity. Studies have focused on the ecological and demographic implications of El Nino in a range of o"&amp;"rganisms, but there have been few systematic attempts to measure the impact of these processes on genetic diversity in populations. Here, we evaluate whether the 1997-1998 El Nino altered the genetic composition of Galapagos marine iguana populations from"&amp;" eleven islands, some of which experienced mortality rates of up to 90% as a result of El Nino warming. Specifically, we measured the temporal variation in microsatellite allele frequencies and mitochondrial DNA diversity (mtDNA) in samples collected befo"&amp;"re (1991/1993) and after (2004) the El Nino event. Based on microsatellite data, only one island (Marchena) showed signatures of a genetic bottleneck, where the harmonic mean of the effective population size (N(e)) was estimated to be less than 50 individ"&amp;"uals during the period between samplings. Substantial decreases in mtDNA variation between time points were observed in populations from just two islands (Marchena and Genovesa). Our results suggests that, for the majority of islands, a single, intense El"&amp;" Nino event did not reduce marine iguana populations to the point where substantial neutral genetic diversity was lost. In the case of Marchena, simultaneous changes to both nuclear and mitochondrial DNA variation may also be the result of a volcanic erup"&amp;"tion on the island in 1991. Therefore, studies that seek to evaluate the genetic impact of El Nino must also consider the confounding or potentially synergistic effect of other environmental and biological forces shaping populations.")</f>
        <v>The El Nino-Southern Oscillation (ENSO) is a major source of climatic disturbance, impacting the dynamics of ecosystems worldwide. Recent models predict that human-generated rises in green-house gas levels will cause an increase in the strength and frequency of El Nino warming events in the next several decades, highlighting the need to understand the potential biological consequences of increased ENSO activity. Studies have focused on the ecological and demographic implications of El Nino in a range of organisms, but there have been few systematic attempts to measure the impact of these processes on genetic diversity in populations. Here, we evaluate whether the 1997-1998 El Nino altered the genetic composition of Galapagos marine iguana populations from eleven islands, some of which experienced mortality rates of up to 90% as a result of El Nino warming. Specifically, we measured the temporal variation in microsatellite allele frequencies and mitochondrial DNA diversity (mtDNA) in samples collected before (1991/1993) and after (2004) the El Nino event. Based on microsatellite data, only one island (Marchena) showed signatures of a genetic bottleneck, where the harmonic mean of the effective population size (N(e)) was estimated to be less than 50 individuals during the period between samplings. Substantial decreases in mtDNA variation between time points were observed in populations from just two islands (Marchena and Genovesa). Our results suggests that, for the majority of islands, a single, intense El Nino event did not reduce marine iguana populations to the point where substantial neutral genetic diversity was lost. In the case of Marchena, simultaneous changes to both nuclear and mitochondrial DNA variation may also be the result of a volcanic eruption on the island in 1991. Therefore, studies that seek to evaluate the genetic impact of El Nino must also consider the confounding or potentially synergistic effect of other environmental and biological forces shaping populations.</v>
      </c>
      <c r="C209" s="24" t="str">
        <f>IFERROR(__xludf.DUMMYFUNCTION("""COMPUTED_VALUE"""),"10.1371/journal.pone.0001285")</f>
        <v>10.1371/journal.pone.0001285</v>
      </c>
      <c r="D209" s="24" t="str">
        <f>IFERROR(__xludf.DUMMYFUNCTION("""COMPUTED_VALUE"""),"shaw et al")</f>
        <v>shaw et al</v>
      </c>
      <c r="E209" s="24" t="str">
        <f>IFERROR(__xludf.DUMMYFUNCTION("""COMPUTED_VALUE"""),"WOS:000207459500004")</f>
        <v>WOS:000207459500004</v>
      </c>
      <c r="F209" s="24" t="str">
        <f>IFERROR(__xludf.DUMMYFUNCTION("""COMPUTED_VALUE"""),"[""ELIGIBLE""]")</f>
        <v>["ELIGIBLE"]</v>
      </c>
    </row>
    <row r="210">
      <c r="A210" s="24" t="str">
        <f>IFERROR(__xludf.DUMMYFUNCTION("""COMPUTED_VALUE"""),"Genetic monitoring of a founder population of brown bears (Ursus arctos) in central Austria")</f>
        <v>Genetic monitoring of a founder population of brown bears (Ursus arctos) in central Austria</v>
      </c>
      <c r="B210" s="24" t="str">
        <f>IFERROR(__xludf.DUMMYFUNCTION("""COMPUTED_VALUE"""),"The small population of brown bears in central Austria originated from a single migrant bear that had settled in the area in 1972 and three bears that were released in the years 1989-1993. Subsequently, the population has been monitored by radio-tracking "&amp;"and collecting data on bear signs and observations. In 2000 we started a genetic monitoring program of the population with the aim to obtain data on population size, sex ratio, relationships as well as movements of individuals. We present results from six"&amp;" years of genetic monitoring, which were combined with field observations. During this time 1,005 hair and faecal samples were gathered in an area of[ 3,000 km(2), most of them in the core area of &lt;1,000 km(2). Furthermore we analysed blood samples from c"&amp;"aptured individuals. Eight microsatellite and two sex determination loci were employed for DNA profiling. The number of detected individuals is surprisingly low, ranging from 5-8 per year. Concerning relationships the analysis reveals that all genotyped i"&amp;"ndividuals are descendants of the founder individuals indicating that no immigration took place. Only one male and three females (mother and 2 daughters) took part in reproduction. Considering the fact that 28 bears were born in this region since 1991 the"&amp;" question arises where the bears disappear to. Our results suggest that subadult bears migrate from the core area. However, indices of bear occurrence outside the core area are rare and migration could be proved only for two young males. Other explanation"&amp;"s, such as increased natural mortality and illegal hunting are discussed.")</f>
        <v>The small population of brown bears in central Austria originated from a single migrant bear that had settled in the area in 1972 and three bears that were released in the years 1989-1993. Subsequently, the population has been monitored by radio-tracking and collecting data on bear signs and observations. In 2000 we started a genetic monitoring program of the population with the aim to obtain data on population size, sex ratio, relationships as well as movements of individuals. We present results from six years of genetic monitoring, which were combined with field observations. During this time 1,005 hair and faecal samples were gathered in an area of[ 3,000 km(2), most of them in the core area of &lt;1,000 km(2). Furthermore we analysed blood samples from captured individuals. Eight microsatellite and two sex determination loci were employed for DNA profiling. The number of detected individuals is surprisingly low, ranging from 5-8 per year. Concerning relationships the analysis reveals that all genotyped individuals are descendants of the founder individuals indicating that no immigration took place. Only one male and three females (mother and 2 daughters) took part in reproduction. Considering the fact that 28 bears were born in this region since 1991 the question arises where the bears disappear to. Our results suggest that subadult bears migrate from the core area. However, indices of bear occurrence outside the core area are rare and migration could be proved only for two young males. Other explanations, such as increased natural mortality and illegal hunting are discussed.</v>
      </c>
      <c r="C210" s="24" t="str">
        <f>IFERROR(__xludf.DUMMYFUNCTION("""COMPUTED_VALUE"""),"10.1007/s10592-008-9654-6")</f>
        <v>10.1007/s10592-008-9654-6</v>
      </c>
      <c r="D210" s="24" t="str">
        <f>IFERROR(__xludf.DUMMYFUNCTION("""COMPUTED_VALUE"""),"shaw et al")</f>
        <v>shaw et al</v>
      </c>
      <c r="E210" s="24" t="str">
        <f>IFERROR(__xludf.DUMMYFUNCTION("""COMPUTED_VALUE"""),"WOS:000270737400003")</f>
        <v>WOS:000270737400003</v>
      </c>
      <c r="F210" s="24" t="str">
        <f>IFERROR(__xludf.DUMMYFUNCTION("""COMPUTED_VALUE"""),"[""ELIGIBLE""]")</f>
        <v>["ELIGIBLE"]</v>
      </c>
    </row>
    <row r="211">
      <c r="A211" s="24" t="str">
        <f>IFERROR(__xludf.DUMMYFUNCTION("""COMPUTED_VALUE"""),"Temporal Patterns of Genetic Diversity in an Imperiled Population of the Eastern Massasauga Rattlesnake (Sistrurus catenatus)")</f>
        <v>Temporal Patterns of Genetic Diversity in an Imperiled Population of the Eastern Massasauga Rattlesnake (Sistrurus catenatus)</v>
      </c>
      <c r="B211" s="24" t="str">
        <f>IFERROR(__xludf.DUMMYFUNCTION("""COMPUTED_VALUE"""),"The Eastern Massasauga (Sistrurus catenatus) is a small, grassland-dependent rattlesnake species declining throughout its native range, and is thus a species of high conservation priority. In Illinois, only a single population remains of a once widespread"&amp;" distribution. We documented genetic diversity in this population over a ten-year period and assessed levels of heterozygosity, allelic diversity, inbreeding (f(1s)), and effective population size (N-e). Neither heterozygosity nor levels of inbreeding dif"&amp;"fered significantly among periods. We identified 21 alleles that occurred in a single time period, some of which may have been lost from the population given our estimated detection probability of 93%. Effective population size (N-e) was numerically small"&amp;" and showed a decreasing trend through time. Despite small population size and a lack of connectivity, there was no significant decline in genetic diversity over the ten-year study. Aspects of life history, coupled with a preference for a historically pat"&amp;"chy habitat, may mitigate the loss of genetic diversity in the species and promote their persistence in the fragmented habitats of the Anthropocene. However, continued genetic monitoring is recommended, and population recovery measures should be implement"&amp;"ed as soon as possible to mitigate the deleterious effects of small population size.")</f>
        <v>The Eastern Massasauga (Sistrurus catenatus) is a small, grassland-dependent rattlesnake species declining throughout its native range, and is thus a species of high conservation priority. In Illinois, only a single population remains of a once widespread distribution. We documented genetic diversity in this population over a ten-year period and assessed levels of heterozygosity, allelic diversity, inbreeding (f(1s)), and effective population size (N-e). Neither heterozygosity nor levels of inbreeding differed significantly among periods. We identified 21 alleles that occurred in a single time period, some of which may have been lost from the population given our estimated detection probability of 93%. Effective population size (N-e) was numerically small and showed a decreasing trend through time. Despite small population size and a lack of connectivity, there was no significant decline in genetic diversity over the ten-year study. Aspects of life history, coupled with a preference for a historically patchy habitat, may mitigate the loss of genetic diversity in the species and promote their persistence in the fragmented habitats of the Anthropocene. However, continued genetic monitoring is recommended, and population recovery measures should be implemented as soon as possible to mitigate the deleterious effects of small population size.</v>
      </c>
      <c r="C211" s="24" t="str">
        <f>IFERROR(__xludf.DUMMYFUNCTION("""COMPUTED_VALUE"""),"10.1643/CG-17-682")</f>
        <v>10.1643/CG-17-682</v>
      </c>
      <c r="D211" s="24" t="str">
        <f>IFERROR(__xludf.DUMMYFUNCTION("""COMPUTED_VALUE"""),"shaw et al")</f>
        <v>shaw et al</v>
      </c>
      <c r="E211" s="24" t="str">
        <f>IFERROR(__xludf.DUMMYFUNCTION("""COMPUTED_VALUE"""),"WOS:000446747700002")</f>
        <v>WOS:000446747700002</v>
      </c>
      <c r="F211" s="24" t="str">
        <f>IFERROR(__xludf.DUMMYFUNCTION("""COMPUTED_VALUE"""),"[""ELIGIBLE""]")</f>
        <v>["ELIGIBLE"]</v>
      </c>
    </row>
    <row r="212">
      <c r="A212" s="24" t="str">
        <f>IFERROR(__xludf.DUMMYFUNCTION("""COMPUTED_VALUE"""),"Fine-scale spatial and temporal population genetics of Aedes japonicus, a new US mosquito, reveal multiple introductions")</f>
        <v>Fine-scale spatial and temporal population genetics of Aedes japonicus, a new US mosquito, reveal multiple introductions</v>
      </c>
      <c r="B212" s="24" t="str">
        <f>IFERROR(__xludf.DUMMYFUNCTION("""COMPUTED_VALUE"""),"The newly introduced mosquito Aedes japonicus has expanded from its original range in Northeastern Asia to 29 US states (including Hawaii) plus Canada and northern Europe. Our objectives were to test an earlier hypothesis of multiple introductions of this"&amp;" species to the Northeastern US and evaluate putative temporal changes in genetic makeup. Using a panel of seven microsatellite loci, we confirmed the existence of two abundant genetic forms in specimens originally collected in 1999-2000 (F-ST value based"&amp;" on microsatellite data = 0.26) that matches the disjunctive distribution of mitochondrial haplotypes. To examine the distribution of the two genetic 'types' across Pennsylvania we created a fine-scale genetic map of Ae. japonicus using 439 specimens coll"&amp;"ected from 54 Pennsylvania counties in 2002-2003. We also made direct comparisons between collections in 1999-2000 and new collections made in 2004-2005 obtained from the same areas in the northeastern US. We observed that the strong association between m"&amp;"tDNA haplotype and microsatellite signature seen in 1999-2000 had weakened significantly by 2002 across Pennsylvania, a trend continued to some extent in 2004-2005 in PA, NJ, and NY, indicating that once easily distinguishable separate introductions are m"&amp;"erging. The two expanding genetic forms create a complex correlation between spatial and genetic distances. The existence of multiple introductions would be obscured without sampling early and across time with highly polymorphic molecular markers. Our res"&amp;"ults provide a high-resolution analysis of the spatial and temporal dynamics of a newly introduced disease vector and argue that successive introductions may be a common pattern for invasive mosquitoes.")</f>
        <v>The newly introduced mosquito Aedes japonicus has expanded from its original range in Northeastern Asia to 29 US states (including Hawaii) plus Canada and northern Europe. Our objectives were to test an earlier hypothesis of multiple introductions of this species to the Northeastern US and evaluate putative temporal changes in genetic makeup. Using a panel of seven microsatellite loci, we confirmed the existence of two abundant genetic forms in specimens originally collected in 1999-2000 (F-ST value based on microsatellite data = 0.26) that matches the disjunctive distribution of mitochondrial haplotypes. To examine the distribution of the two genetic 'types' across Pennsylvania we created a fine-scale genetic map of Ae. japonicus using 439 specimens collected from 54 Pennsylvania counties in 2002-2003. We also made direct comparisons between collections in 1999-2000 and new collections made in 2004-2005 obtained from the same areas in the northeastern US. We observed that the strong association between mtDNA haplotype and microsatellite signature seen in 1999-2000 had weakened significantly by 2002 across Pennsylvania, a trend continued to some extent in 2004-2005 in PA, NJ, and NY, indicating that once easily distinguishable separate introductions are merging. The two expanding genetic forms create a complex correlation between spatial and genetic distances. The existence of multiple introductions would be obscured without sampling early and across time with highly polymorphic molecular markers. Our results provide a high-resolution analysis of the spatial and temporal dynamics of a newly introduced disease vector and argue that successive introductions may be a common pattern for invasive mosquitoes.</v>
      </c>
      <c r="C212" s="24" t="str">
        <f>IFERROR(__xludf.DUMMYFUNCTION("""COMPUTED_VALUE"""),"10.1111/j.1365-294X.2010.04576.x")</f>
        <v>10.1111/j.1365-294X.2010.04576.x</v>
      </c>
      <c r="D212" s="24" t="str">
        <f>IFERROR(__xludf.DUMMYFUNCTION("""COMPUTED_VALUE"""),"shaw et al")</f>
        <v>shaw et al</v>
      </c>
      <c r="E212" s="24" t="str">
        <f>IFERROR(__xludf.DUMMYFUNCTION("""COMPUTED_VALUE"""),"WOS:000276151600006")</f>
        <v>WOS:000276151600006</v>
      </c>
      <c r="F212" s="24" t="str">
        <f>IFERROR(__xludf.DUMMYFUNCTION("""COMPUTED_VALUE"""),"[""ELIGIBLE""]")</f>
        <v>["ELIGIBLE"]</v>
      </c>
    </row>
    <row r="213">
      <c r="A213" s="24" t="str">
        <f>IFERROR(__xludf.DUMMYFUNCTION("""COMPUTED_VALUE"""),"Population genetic structure of dolphinfish (Coryphaena hippurus) in the Gulf of California, using microsatellite loci")</f>
        <v>Population genetic structure of dolphinfish (Coryphaena hippurus) in the Gulf of California, using microsatellite loci</v>
      </c>
      <c r="B213" s="24" t="str">
        <f>IFERROR(__xludf.DUMMYFUNCTION("""COMPUTED_VALUE"""),"We assayed genetic variations at five microsatellite loci of dolphinfish captured at five sites in 2005 and eight sites in 2006 to detect genetic population structure of dolphinfish Coryphaena hippurus in the Gulf of California and surrounding waters. Res"&amp;"ults show high genetic variation, similar to other pelagic fishes with large populations. Pairwise F-ST values and hierarchical AMOVA detected subtle but significant spatial and temporal heterogeneity, mainly in samples of 2005 and some of 2006. However, "&amp;"Bayesian assignment analysis failed to detect genetic differentiation, which was also supported by the Mantel test and gene flow estimates among the sampled sites. This suggests that, despite the slight heterogeneity detected in this region, the dolphinfi"&amp;"sh forms a single panmictic population with high genetic variation and gene flow. (C) 2010 Elsevier B.V. All rights reserved.")</f>
        <v>We assayed genetic variations at five microsatellite loci of dolphinfish captured at five sites in 2005 and eight sites in 2006 to detect genetic population structure of dolphinfish Coryphaena hippurus in the Gulf of California and surrounding waters. Results show high genetic variation, similar to other pelagic fishes with large populations. Pairwise F-ST values and hierarchical AMOVA detected subtle but significant spatial and temporal heterogeneity, mainly in samples of 2005 and some of 2006. However, Bayesian assignment analysis failed to detect genetic differentiation, which was also supported by the Mantel test and gene flow estimates among the sampled sites. This suggests that, despite the slight heterogeneity detected in this region, the dolphinfish forms a single panmictic population with high genetic variation and gene flow. (C) 2010 Elsevier B.V. All rights reserved.</v>
      </c>
      <c r="C213" s="24" t="str">
        <f>IFERROR(__xludf.DUMMYFUNCTION("""COMPUTED_VALUE"""),"10.1016/j.fishres.2010.03.023")</f>
        <v>10.1016/j.fishres.2010.03.023</v>
      </c>
      <c r="D213" s="24" t="str">
        <f>IFERROR(__xludf.DUMMYFUNCTION("""COMPUTED_VALUE"""),"shaw et al")</f>
        <v>shaw et al</v>
      </c>
      <c r="E213" s="24" t="str">
        <f>IFERROR(__xludf.DUMMYFUNCTION("""COMPUTED_VALUE"""),"WOS:000281181500007")</f>
        <v>WOS:000281181500007</v>
      </c>
      <c r="F213" s="24" t="str">
        <f>IFERROR(__xludf.DUMMYFUNCTION("""COMPUTED_VALUE"""),"[""ELIGIBLE""]")</f>
        <v>["ELIGIBLE"]</v>
      </c>
    </row>
    <row r="214">
      <c r="A214" s="24" t="str">
        <f>IFERROR(__xludf.DUMMYFUNCTION("""COMPUTED_VALUE"""),"Population structure and gene flow in a newly harvested gray wolf (Canis lupus) population")</f>
        <v>Population structure and gene flow in a newly harvested gray wolf (Canis lupus) population</v>
      </c>
      <c r="B214" s="24" t="str">
        <f>IFERROR(__xludf.DUMMYFUNCTION("""COMPUTED_VALUE"""),"The genetic effects of harvest may be especially important in species that form social groups, such as gray wolves (Canis lupus). Though much research exists on the ecology and population dynamics of gray wolves, little research has focused on how anthrop"&amp;"ogenic harvest relates to the genetics of wolf populations. To analyze the short-term genetic consequences of the first two years of public wolf harvest in Minnesota following delisting under the Endangered Species Act, we genotyped harvested individuals "&amp;"at 18 microsatellite loci and quantified changes in population genetic structure and diversity in the first post-harvest year. If the harvest rate was high enough to create detectable genetic changes, population structure and differentiation between clust"&amp;"ers could both increase because of decreased natal dispersal and increased disperser mortality, or they could decrease because of increased immigration from outside the population. In the Minnesota population, heterozygosity and allelic richness were not "&amp;"significantly different between years. However, population genetic structure increased and effective migration decreased among the sampled wolves. While the role of anthropogenic harvest in these changes cannot be distinguished from other confounding fact"&amp;"ors, this analysis suggests that harvest has a non-negligible effect and indicates the need for continued study to determine whether harvest-induced changes in genetic structure affect the evolutionary trajectory of harvested populations.")</f>
        <v>The genetic effects of harvest may be especially important in species that form social groups, such as gray wolves (Canis lupus). Though much research exists on the ecology and population dynamics of gray wolves, little research has focused on how anthropogenic harvest relates to the genetics of wolf populations. To analyze the short-term genetic consequences of the first two years of public wolf harvest in Minnesota following delisting under the Endangered Species Act, we genotyped harvested individuals at 18 microsatellite loci and quantified changes in population genetic structure and diversity in the first post-harvest year. If the harvest rate was high enough to create detectable genetic changes, population structure and differentiation between clusters could both increase because of decreased natal dispersal and increased disperser mortality, or they could decrease because of increased immigration from outside the population. In the Minnesota population, heterozygosity and allelic richness were not significantly different between years. However, population genetic structure increased and effective migration decreased among the sampled wolves. While the role of anthropogenic harvest in these changes cannot be distinguished from other confounding factors, this analysis suggests that harvest has a non-negligible effect and indicates the need for continued study to determine whether harvest-induced changes in genetic structure affect the evolutionary trajectory of harvested populations.</v>
      </c>
      <c r="C214" s="24" t="str">
        <f>IFERROR(__xludf.DUMMYFUNCTION("""COMPUTED_VALUE"""),"10.1007/s10592-017-0961-7")</f>
        <v>10.1007/s10592-017-0961-7</v>
      </c>
      <c r="D214" s="24" t="str">
        <f>IFERROR(__xludf.DUMMYFUNCTION("""COMPUTED_VALUE"""),"shaw et al")</f>
        <v>shaw et al</v>
      </c>
      <c r="E214" s="24" t="str">
        <f>IFERROR(__xludf.DUMMYFUNCTION("""COMPUTED_VALUE"""),"WOS:000411219800009")</f>
        <v>WOS:000411219800009</v>
      </c>
      <c r="F214" s="24" t="str">
        <f>IFERROR(__xludf.DUMMYFUNCTION("""COMPUTED_VALUE"""),"[""ELIGIBLE""]")</f>
        <v>["ELIGIBLE"]</v>
      </c>
    </row>
    <row r="215">
      <c r="A215" s="24" t="str">
        <f>IFERROR(__xludf.DUMMYFUNCTION("""COMPUTED_VALUE"""),"Decreasing genetic diversity in wild and captive populations of endangered Itasenpara bittering (Acheilognathus longipinnis) in the Himi region, central Japan, and recommendations for conservation")</f>
        <v>Decreasing genetic diversity in wild and captive populations of endangered Itasenpara bittering (Acheilognathus longipinnis) in the Himi region, central Japan, and recommendations for conservation</v>
      </c>
      <c r="B215" s="24" t="str">
        <f>IFERROR(__xludf.DUMMYFUNCTION("""COMPUTED_VALUE"""),"Biodiversity is increasingly declining as a result of direct human impact and structural alteration of ecosystems resulting from changes in human life styles. Itasenpara bittering (Acheilognathus longipinnis), which has been maintained in floodplain and p"&amp;"addy fields, is a threatened cyprinid fish endemic to central Japan. To aid in the preservation of this species, information on genetic diversity and demographic variables in wild and captive populations was obtained using microsatellite DNA analysis. Tem"&amp;"poral changes in genetic diversity and effective population size (N (e)) tended to be relatively stable in the wild Moo River population, although lower values were detected in the wild Busshouji River population, suggesting an extremely high risk of exti"&amp;"nction in the latter. Captive populations derived from the Busshouji River population demonstrated significant genetic divergence even among intrapopulational cohorts, suggesting the influence of genetic drift caused by geographic isolation and small popu"&amp;"lation size. Active maintenance of genetic diversity in captive population is a necessary part of conservation programs, as are continuous addition of wild individuals and replacement of individuals among captive populations. In addition, increasing or ma"&amp;"intaining suitable floodplain areas and artificial habitats such as paddy fields might contribute to the conservation of genetic diversity in the Itasenpara bittering.")</f>
        <v>Biodiversity is increasingly declining as a result of direct human impact and structural alteration of ecosystems resulting from changes in human life styles. Itasenpara bittering (Acheilognathus longipinnis), which has been maintained in floodplain and paddy fields, is a threatened cyprinid fish endemic to central Japan. To aid in the preservation of this species, information on genetic diversity and demographic variables in wild and captive populations was obtained using microsatellite DNA analysis. Temporal changes in genetic diversity and effective population size (N (e)) tended to be relatively stable in the wild Moo River population, although lower values were detected in the wild Busshouji River population, suggesting an extremely high risk of extinction in the latter. Captive populations derived from the Busshouji River population demonstrated significant genetic divergence even among intrapopulational cohorts, suggesting the influence of genetic drift caused by geographic isolation and small population size. Active maintenance of genetic diversity in captive population is a necessary part of conservation programs, as are continuous addition of wild individuals and replacement of individuals among captive populations. In addition, increasing or maintaining suitable floodplain areas and artificial habitats such as paddy fields might contribute to the conservation of genetic diversity in the Itasenpara bittering.</v>
      </c>
      <c r="C215" s="24" t="str">
        <f>IFERROR(__xludf.DUMMYFUNCTION("""COMPUTED_VALUE"""),"10.1007/s10592-014-0589-9")</f>
        <v>10.1007/s10592-014-0589-9</v>
      </c>
      <c r="D215" s="24" t="str">
        <f>IFERROR(__xludf.DUMMYFUNCTION("""COMPUTED_VALUE"""),"shaw et al")</f>
        <v>shaw et al</v>
      </c>
      <c r="E215" s="24" t="str">
        <f>IFERROR(__xludf.DUMMYFUNCTION("""COMPUTED_VALUE"""),"WOS:000339732800014")</f>
        <v>WOS:000339732800014</v>
      </c>
      <c r="F215" s="24" t="str">
        <f>IFERROR(__xludf.DUMMYFUNCTION("""COMPUTED_VALUE"""),"[""ELIGIBLE""]")</f>
        <v>["ELIGIBLE"]</v>
      </c>
    </row>
    <row r="216">
      <c r="A216" s="24" t="str">
        <f>IFERROR(__xludf.DUMMYFUNCTION("""COMPUTED_VALUE"""),"A study of genetic variations, population size, and population dynamics of the catadromous Japanese eel Anguilla japonica (Pisces) in northern Taiwan")</f>
        <v>A study of genetic variations, population size, and population dynamics of the catadromous Japanese eel Anguilla japonica (Pisces) in northern Taiwan</v>
      </c>
      <c r="B216" s="24" t="str">
        <f>IFERROR(__xludf.DUMMYFUNCTION("""COMPUTED_VALUE"""),"Japanese eels are widely distributed in northeast Asian countries, and they have a catadromous life history. In this article, we explored whether Japanese elvers have temporal genetic structure and whether the population went through population expansion "&amp;"during the Pleistocene. In total, 273 specimens were collected from the Tanshui River estuary, northern Taiwan, in 1989-2008. The highly variable region of the mitochondrial DNA D-loop was cloned and sequenced. A genealogy was reconstructed based on the N"&amp;"eighbor-joining method, and results showed an unobvious yearly clade and a high level of haplotype diversity, but low mean nucleotide diversity among samples. Most of the pairwise F (ST) appeared statistically insignificant. These genetic parameters sugge"&amp;"sted a lack of temporal population structure combined with a sustainable high effective population size of Japanese eels. Negative values of Tajima's D and Fu's F (s) appeared in all samples with high significance. The mismatch distribution, skyline plot,"&amp;" and minimum spanning network indicated that historical population expansion of the Japanese eel could be traced back to the Pleistocene. Results of this study imply the Japanese eel has a complex life history, and the temporal structure of Japanese eels "&amp;"should be continually monitored in the future.")</f>
        <v>Japanese eels are widely distributed in northeast Asian countries, and they have a catadromous life history. In this article, we explored whether Japanese elvers have temporal genetic structure and whether the population went through population expansion during the Pleistocene. In total, 273 specimens were collected from the Tanshui River estuary, northern Taiwan, in 1989-2008. The highly variable region of the mitochondrial DNA D-loop was cloned and sequenced. A genealogy was reconstructed based on the Neighbor-joining method, and results showed an unobvious yearly clade and a high level of haplotype diversity, but low mean nucleotide diversity among samples. Most of the pairwise F (ST) appeared statistically insignificant. These genetic parameters suggested a lack of temporal population structure combined with a sustainable high effective population size of Japanese eels. Negative values of Tajima's D and Fu's F (s) appeared in all samples with high significance. The mismatch distribution, skyline plot, and minimum spanning network indicated that historical population expansion of the Japanese eel could be traced back to the Pleistocene. Results of this study imply the Japanese eel has a complex life history, and the temporal structure of Japanese eels should be continually monitored in the future.</v>
      </c>
      <c r="C216" s="24" t="str">
        <f>IFERROR(__xludf.DUMMYFUNCTION("""COMPUTED_VALUE"""),"10.1007/s10750-011-0958-z")</f>
        <v>10.1007/s10750-011-0958-z</v>
      </c>
      <c r="D216" s="24" t="str">
        <f>IFERROR(__xludf.DUMMYFUNCTION("""COMPUTED_VALUE"""),"shaw et al")</f>
        <v>shaw et al</v>
      </c>
      <c r="E216" s="24" t="str">
        <f>IFERROR(__xludf.DUMMYFUNCTION("""COMPUTED_VALUE"""),"WOS:000299925200015")</f>
        <v>WOS:000299925200015</v>
      </c>
      <c r="F216" s="24" t="str">
        <f>IFERROR(__xludf.DUMMYFUNCTION("""COMPUTED_VALUE"""),"[""ELIGIBLE""]")</f>
        <v>["ELIGIBLE"]</v>
      </c>
    </row>
    <row r="217">
      <c r="A217" s="24" t="str">
        <f>IFERROR(__xludf.DUMMYFUNCTION("""COMPUTED_VALUE"""),"Seasonal dynamics of sestonic protease inhibition: impact on Daphnia populations")</f>
        <v>Seasonal dynamics of sestonic protease inhibition: impact on Daphnia populations</v>
      </c>
      <c r="B217" s="24" t="str">
        <f>IFERROR(__xludf.DUMMYFUNCTION("""COMPUTED_VALUE"""),"Daphnia populations often show rapid microevolutionary adaptation to environmental changes. Here, we investigated the possibility that microevolution of Daphnia populations could be driven by natural sestonic Protease Inhibition (PI). We hypothesized that"&amp;" PI changes seasonally, which might lead to concomitant changes in tolerance to PI in a co-occurring Daphnia magna population. In order to test this, seston from a eutrophic pond was sampled regularly over two successive years. Extracts of these freeze-dr"&amp;"ied samples were used to determine their Inhibitory Potential (IP) on D. magna gut proteases. In the summer seston the IP against chymotrypsins exceeded that of spring seston 200-fold. In order to test for possible impacts on the co-existing D. magna popu"&amp;"lation, we isolated clones before (spring) and after (fall) the peak of the IP. Microsatellite analyses revealed that the two subpopulations were genetically distinct. Individual exposure of three clones from each population to varying concentrations of a"&amp;" cyanobacterium that contains chymotrypsin inhibitors revealed a decrease in population and somatic growth rate for each clone, but no seasonal effects on Daphnia's tolerance. In order to include maternal effects, we conducted a multi-clonal competition e"&amp;"xperiment on various cyanobacterial concentrations. However, no evidence for seasonally increased tolerance of D. magna to dietary protease inhibitors could be found.")</f>
        <v>Daphnia populations often show rapid microevolutionary adaptation to environmental changes. Here, we investigated the possibility that microevolution of Daphnia populations could be driven by natural sestonic Protease Inhibition (PI). We hypothesized that PI changes seasonally, which might lead to concomitant changes in tolerance to PI in a co-occurring Daphnia magna population. In order to test this, seston from a eutrophic pond was sampled regularly over two successive years. Extracts of these freeze-dried samples were used to determine their Inhibitory Potential (IP) on D. magna gut proteases. In the summer seston the IP against chymotrypsins exceeded that of spring seston 200-fold. In order to test for possible impacts on the co-existing D. magna population, we isolated clones before (spring) and after (fall) the peak of the IP. Microsatellite analyses revealed that the two subpopulations were genetically distinct. Individual exposure of three clones from each population to varying concentrations of a cyanobacterium that contains chymotrypsin inhibitors revealed a decrease in population and somatic growth rate for each clone, but no seasonal effects on Daphnia's tolerance. In order to include maternal effects, we conducted a multi-clonal competition experiment on various cyanobacterial concentrations. However, no evidence for seasonally increased tolerance of D. magna to dietary protease inhibitors could be found.</v>
      </c>
      <c r="C217" s="24" t="str">
        <f>IFERROR(__xludf.DUMMYFUNCTION("""COMPUTED_VALUE"""),"10.1007/s10750-012-1303-x")</f>
        <v>10.1007/s10750-012-1303-x</v>
      </c>
      <c r="D217" s="24" t="str">
        <f>IFERROR(__xludf.DUMMYFUNCTION("""COMPUTED_VALUE"""),"shaw et al")</f>
        <v>shaw et al</v>
      </c>
      <c r="E217" s="24" t="str">
        <f>IFERROR(__xludf.DUMMYFUNCTION("""COMPUTED_VALUE"""),"WOS:000322901200005")</f>
        <v>WOS:000322901200005</v>
      </c>
      <c r="F217" s="24" t="str">
        <f>IFERROR(__xludf.DUMMYFUNCTION("""COMPUTED_VALUE"""),"[""ELIGIBLE""]")</f>
        <v>["ELIGIBLE"]</v>
      </c>
    </row>
    <row r="218">
      <c r="A218" s="24" t="str">
        <f>IFERROR(__xludf.DUMMYFUNCTION("""COMPUTED_VALUE"""),"Temporal genetic variation in populations of the limpet Cellana grata from Hong Kong shores")</f>
        <v>Temporal genetic variation in populations of the limpet Cellana grata from Hong Kong shores</v>
      </c>
      <c r="B218" s="24" t="str">
        <f>IFERROR(__xludf.DUMMYFUNCTION("""COMPUTED_VALUE"""),"Variations in the relative contributions of gene flow and spatial and temporal variation in recruitment are considered the major determinants of population genetic structure in marine organisms. Such variation can be assessed through repeated measures of "&amp;"the genetic structure of a species over time. To test the relative importance of these two phenomena, temporal variation in genetic composition was measured in the limpet Cellana grata, among four annual cohorts over 10 years at four rocky shores in Hong "&amp;"Kong. A total of 408 limpets, comprising individuals from 1998, 1999, 2006 and 2007 cohorts were screened for genetic variation using five microsatellite loci. Minor but significant genetic differentiation was detected among samples from the 1998/1999 col"&amp;"lection (F (ST) = 0.0023), but there was no significant differentiation among the 2006/2007 collection (F (ST) = 0.0008). Partitioning of genetic variation among shores was also significant in 1998/1999 but not in the 2006/2007 collection, although there "&amp;"was no correlation between genetic and geographic distances. There was no significant difference between collections made in 1998/1999 and 2006/2007. This lack of clear structure implies a high level of gene flow, but differentiation with time may be the "&amp;"result of stochastic recruitment variation among shores. Estimates of effective population size were not high (599, 95% C.L. 352-11397), suggesting the potential susceptibility of the populations to genetic drift, although a significant bottleneck effect "&amp;"was not detected. These findings indicate that genetic structuring between populations of C. grata in space and time may result from spatio-temporal variation in recruitment, but the potential development of biologically significant differentiation is sup"&amp;"pressed by a lack of consistency in recruitment variability and high connectivity among shores.")</f>
        <v>Variations in the relative contributions of gene flow and spatial and temporal variation in recruitment are considered the major determinants of population genetic structure in marine organisms. Such variation can be assessed through repeated measures of the genetic structure of a species over time. To test the relative importance of these two phenomena, temporal variation in genetic composition was measured in the limpet Cellana grata, among four annual cohorts over 10 years at four rocky shores in Hong Kong. A total of 408 limpets, comprising individuals from 1998, 1999, 2006 and 2007 cohorts were screened for genetic variation using five microsatellite loci. Minor but significant genetic differentiation was detected among samples from the 1998/1999 collection (F (ST) = 0.0023), but there was no significant differentiation among the 2006/2007 collection (F (ST) = 0.0008). Partitioning of genetic variation among shores was also significant in 1998/1999 but not in the 2006/2007 collection, although there was no correlation between genetic and geographic distances. There was no significant difference between collections made in 1998/1999 and 2006/2007. This lack of clear structure implies a high level of gene flow, but differentiation with time may be the result of stochastic recruitment variation among shores. Estimates of effective population size were not high (599, 95% C.L. 352-11397), suggesting the potential susceptibility of the populations to genetic drift, although a significant bottleneck effect was not detected. These findings indicate that genetic structuring between populations of C. grata in space and time may result from spatio-temporal variation in recruitment, but the potential development of biologically significant differentiation is suppressed by a lack of consistency in recruitment variability and high connectivity among shores.</v>
      </c>
      <c r="C218" s="24" t="str">
        <f>IFERROR(__xludf.DUMMYFUNCTION("""COMPUTED_VALUE"""),"10.1007/s00227-009-1320-0")</f>
        <v>10.1007/s00227-009-1320-0</v>
      </c>
      <c r="D218" s="24" t="str">
        <f>IFERROR(__xludf.DUMMYFUNCTION("""COMPUTED_VALUE"""),"shaw et al")</f>
        <v>shaw et al</v>
      </c>
      <c r="E218" s="24" t="str">
        <f>IFERROR(__xludf.DUMMYFUNCTION("""COMPUTED_VALUE"""),"WOS:000273560200010")</f>
        <v>WOS:000273560200010</v>
      </c>
      <c r="F218" s="24" t="str">
        <f>IFERROR(__xludf.DUMMYFUNCTION("""COMPUTED_VALUE"""),"[""ELIGIBLE""]")</f>
        <v>["ELIGIBLE"]</v>
      </c>
    </row>
    <row r="219">
      <c r="A219" s="24" t="str">
        <f>IFERROR(__xludf.DUMMYFUNCTION("""COMPUTED_VALUE"""),"Loss of microsatellite diversity and low effective population size in an overexploited population of New Zealand snapper (Pagrus auratus)")</f>
        <v>Loss of microsatellite diversity and low effective population size in an overexploited population of New Zealand snapper (Pagrus auratus)</v>
      </c>
      <c r="B219" s="24" t="str">
        <f>IFERROR(__xludf.DUMMYFUNCTION("""COMPUTED_VALUE"""),"Although the effects of overfishing on species diversity and abundance are well documented, threats to the genetic diversity of marine fish populations have so far been largely neglected. Indeed, there seems to be little cause for concern, as even collaps"&amp;"ed stocks usually consist of several million individuals, whereas population genetics theory suggests that only very small populations suffer significant loss of genetic diversity. On the other hand, in many marine species the genetically effective popula"&amp;"tion size (N-e), which determines the genetic properties of a population, may be orders of magnitude smaller than the census population size (N). Here, microsatellite analyses of a time series of archived scales demonstrated a significant decline in genet"&amp;"ic diversity in a New Zealand snapper population during its exploitation history. Effective population sizes estimated both from the decline in heterozygosity and from temporal fluctuations in allele frequency were five orders of magnitude smaller than ce"&amp;"nsus population sizes from fishery data. If such low N-e/N ratios are commonplace in marine species, many exploited marine fish stocks may be in danger of losing genetic variability, potentially resulting in reduced adaptability, population persistence, a"&amp;"nd productivity.")</f>
        <v>Although the effects of overfishing on species diversity and abundance are well documented, threats to the genetic diversity of marine fish populations have so far been largely neglected. Indeed, there seems to be little cause for concern, as even collapsed stocks usually consist of several million individuals, whereas population genetics theory suggests that only very small populations suffer significant loss of genetic diversity. On the other hand, in many marine species the genetically effective population size (N-e), which determines the genetic properties of a population, may be orders of magnitude smaller than the census population size (N). Here, microsatellite analyses of a time series of archived scales demonstrated a significant decline in genetic diversity in a New Zealand snapper population during its exploitation history. Effective population sizes estimated both from the decline in heterozygosity and from temporal fluctuations in allele frequency were five orders of magnitude smaller than census population sizes from fishery data. If such low N-e/N ratios are commonplace in marine species, many exploited marine fish stocks may be in danger of losing genetic variability, potentially resulting in reduced adaptability, population persistence, and productivity.</v>
      </c>
      <c r="C219" s="24" t="str">
        <f>IFERROR(__xludf.DUMMYFUNCTION("""COMPUTED_VALUE"""),"10.1073/pnas.172242899")</f>
        <v>10.1073/pnas.172242899</v>
      </c>
      <c r="D219" s="24" t="str">
        <f>IFERROR(__xludf.DUMMYFUNCTION("""COMPUTED_VALUE"""),"shaw et al")</f>
        <v>shaw et al</v>
      </c>
      <c r="E219" s="24" t="str">
        <f>IFERROR(__xludf.DUMMYFUNCTION("""COMPUTED_VALUE"""),"WOS:000177843100039")</f>
        <v>WOS:000177843100039</v>
      </c>
      <c r="F219" s="24" t="str">
        <f>IFERROR(__xludf.DUMMYFUNCTION("""COMPUTED_VALUE"""),"[""ELIGIBLE""]")</f>
        <v>["ELIGIBLE"]</v>
      </c>
    </row>
    <row r="220">
      <c r="A220" s="24" t="str">
        <f>IFERROR(__xludf.DUMMYFUNCTION("""COMPUTED_VALUE"""),"Genetic signatures of population change in the British golden eagle (Aquila chrysaetos)")</f>
        <v>Genetic signatures of population change in the British golden eagle (Aquila chrysaetos)</v>
      </c>
      <c r="B220" s="24" t="str">
        <f>IFERROR(__xludf.DUMMYFUNCTION("""COMPUTED_VALUE"""),"The golden eagle (Aquila chrysaetos) was once widely distributed in the uplands of the British Isles, but is now extinct in Ireland, and largely confined to the highlands and islands of Scotland. As the precise extent and severity of the reduction in popu"&amp;"lation size are unclear, it is important to understand how the population was affected by the decline. We therefore genotyped 13 polymorphic microsatellite loci in 172 individuals from the contemporary British population and compared their genetic diversi"&amp;"ty to 70 British and 9 Irish museum specimens. Despite the recent population decline, there is only slight evidence for a concomitant loss of genetic variation. Instead, two likelihood-based Bayesian methods provided evidence for a severe ancient genetic "&amp;"bottleneck, possibly caused by the fragmentation of a large mainland European population and/or the founding effects of colonising the British Isles. As the population persisted despite this ancient bottleneck, our conclusion is that there is limited need"&amp;" for intervention to augment the present-day genetic diversity. The main short-term objective of conservation measures should be to increase population sizes by continuous safeguarding of individuals and habitat management. Finally, we also confirmed that"&amp;", for management purposes, the species should be considered a single population unit and that the extinct Irish population was not differentiated from the British one.")</f>
        <v>The golden eagle (Aquila chrysaetos) was once widely distributed in the uplands of the British Isles, but is now extinct in Ireland, and largely confined to the highlands and islands of Scotland. As the precise extent and severity of the reduction in population size are unclear, it is important to understand how the population was affected by the decline. We therefore genotyped 13 polymorphic microsatellite loci in 172 individuals from the contemporary British population and compared their genetic diversity to 70 British and 9 Irish museum specimens. Despite the recent population decline, there is only slight evidence for a concomitant loss of genetic variation. Instead, two likelihood-based Bayesian methods provided evidence for a severe ancient genetic bottleneck, possibly caused by the fragmentation of a large mainland European population and/or the founding effects of colonising the British Isles. As the population persisted despite this ancient bottleneck, our conclusion is that there is limited need for intervention to augment the present-day genetic diversity. The main short-term objective of conservation measures should be to increase population sizes by continuous safeguarding of individuals and habitat management. Finally, we also confirmed that, for management purposes, the species should be considered a single population unit and that the extinct Irish population was not differentiated from the British one.</v>
      </c>
      <c r="C220" s="24" t="str">
        <f>IFERROR(__xludf.DUMMYFUNCTION("""COMPUTED_VALUE"""),"10.1007/s10592-010-0076-x")</f>
        <v>10.1007/s10592-010-0076-x</v>
      </c>
      <c r="D220" s="24" t="str">
        <f>IFERROR(__xludf.DUMMYFUNCTION("""COMPUTED_VALUE"""),"shaw et al")</f>
        <v>shaw et al</v>
      </c>
      <c r="E220" s="24" t="str">
        <f>IFERROR(__xludf.DUMMYFUNCTION("""COMPUTED_VALUE"""),"WOS:000281907000020")</f>
        <v>WOS:000281907000020</v>
      </c>
      <c r="F220" s="24" t="str">
        <f>IFERROR(__xludf.DUMMYFUNCTION("""COMPUTED_VALUE"""),"[""ELIGIBLE""]")</f>
        <v>["ELIGIBLE"]</v>
      </c>
    </row>
    <row r="221">
      <c r="A221" s="24" t="str">
        <f>IFERROR(__xludf.DUMMYFUNCTION("""COMPUTED_VALUE"""),"Temporal variation of the genetic diversity of a German red deer population between 1960 and 2012")</f>
        <v>Temporal variation of the genetic diversity of a German red deer population between 1960 and 2012</v>
      </c>
      <c r="B221" s="24" t="str">
        <f>IFERROR(__xludf.DUMMYFUNCTION("""COMPUTED_VALUE"""),"This study investigates the genetic development of the German Krofdorfer Forst red deer population, located in the federal state of Hesse, by genotyping red deer hunted between 1960 and 1984 (ancient population) and between 2002 and 2012 (extant populatio"&amp;"n). Krofdorfer Forst belongs to the smaller red deer areas in Hesse, with a census size in spring of 200 animals and is surrounded by areas designated as free of red deer. Because of this island position, it should be evaluated whether there was a signifi"&amp;"cant decrease in genetic diversity over time. DNA extracted from bone shavings of antlers and skulls was genotyped with 16 unlinked microsatellites. In the ancient population, 131 alleles were detected, from which 39 were private alleles which disappeared"&amp;" from the extant population over time. On the other hand, the extant population had 112 alleles, from which 20 were new alleles acquired between 1984 and 2012. This means a net loss of 19 alleles over time in the extant population. Despite this decrease i"&amp;"n genetic diversity, there was a high number of effective alleles as compared to red deer populations in Bavaria. Furthermore, the low F value of 0.032 indicates low (or no) inbreeding and thus a likewise extremely low probability of deleterious alleles t"&amp;"o become fixed. Using demographic data obtained from the red deer association of the Krofdorfer Forst, the effective population size was calculated to be 73, which reflects an increase in inbreeding of only 0.7 % per generation which confirms the low F va"&amp;"lue.")</f>
        <v>This study investigates the genetic development of the German Krofdorfer Forst red deer population, located in the federal state of Hesse, by genotyping red deer hunted between 1960 and 1984 (ancient population) and between 2002 and 2012 (extant population). Krofdorfer Forst belongs to the smaller red deer areas in Hesse, with a census size in spring of 200 animals and is surrounded by areas designated as free of red deer. Because of this island position, it should be evaluated whether there was a significant decrease in genetic diversity over time. DNA extracted from bone shavings of antlers and skulls was genotyped with 16 unlinked microsatellites. In the ancient population, 131 alleles were detected, from which 39 were private alleles which disappeared from the extant population over time. On the other hand, the extant population had 112 alleles, from which 20 were new alleles acquired between 1984 and 2012. This means a net loss of 19 alleles over time in the extant population. Despite this decrease in genetic diversity, there was a high number of effective alleles as compared to red deer populations in Bavaria. Furthermore, the low F value of 0.032 indicates low (or no) inbreeding and thus a likewise extremely low probability of deleterious alleles to become fixed. Using demographic data obtained from the red deer association of the Krofdorfer Forst, the effective population size was calculated to be 73, which reflects an increase in inbreeding of only 0.7 % per generation which confirms the low F value.</v>
      </c>
      <c r="C221" s="24" t="str">
        <f>IFERROR(__xludf.DUMMYFUNCTION("""COMPUTED_VALUE"""),"10.1007/s10344-016-0999-8")</f>
        <v>10.1007/s10344-016-0999-8</v>
      </c>
      <c r="D221" s="24" t="str">
        <f>IFERROR(__xludf.DUMMYFUNCTION("""COMPUTED_VALUE"""),"shaw et al")</f>
        <v>shaw et al</v>
      </c>
      <c r="E221" s="24" t="str">
        <f>IFERROR(__xludf.DUMMYFUNCTION("""COMPUTED_VALUE"""),"WOS:000376592300003")</f>
        <v>WOS:000376592300003</v>
      </c>
      <c r="F221" s="24" t="str">
        <f>IFERROR(__xludf.DUMMYFUNCTION("""COMPUTED_VALUE"""),"[""ELIGIBLE""]")</f>
        <v>["ELIGIBLE"]</v>
      </c>
    </row>
    <row r="222">
      <c r="A222" s="24" t="str">
        <f>IFERROR(__xludf.DUMMYFUNCTION("""COMPUTED_VALUE"""),"EXPERIMENTAL RELEASE OF JUVENILE SEA URCHINS (PARACENTROTUS LIVIDUS) IN EXPLOITED SITES ALONG THE FRENCH MEDITERRANEAN COAST")</f>
        <v>EXPERIMENTAL RELEASE OF JUVENILE SEA URCHINS (PARACENTROTUS LIVIDUS) IN EXPLOITED SITES ALONG THE FRENCH MEDITERRANEAN COAST</v>
      </c>
      <c r="B222" s="24" t="str">
        <f>IFERROR(__xludf.DUMMYFUNCTION("""COMPUTED_VALUE"""),"During the past 40 y, natural stocks of the edible sea urchin Paracentrotus lividus have declined sharply in many sites along the French Mediterranean coast. Despite current management measures, this resource remains at low densities, raising concerns amo"&amp;"ng commercial fishermen and managers. The reseeding of depleted sea urchin populations is currently under consideration. In this study, a pilot-scale experiment was conducted to assess the feasibility of such an operation and to evaluate the impact on bot"&amp;"h the population structure and genetic diversity of wild communities. The genetic diversity and population differentiation of wild populations was assessed before reseeding five depleted populations with 250,000 hatchery-produced juveniles. A year after r"&amp;"elease, parentage assignment tests were performed on small recaptured sea urchins to address their origin. Sea urchins from the hatchery were found at two of five sites, representing 3% and 12% of the total recaptured urchins in the concerned sites. The g"&amp;"enetic analysis performed with six microsatellite loci revealed genetically homogeneous populations in the area studied. Within and among populations, genetic diversity seems not to be affected by introducing juveniles from the hatchery into wild populati"&amp;"ons. Therefore, following strict recommendations, reseeding could be considered a potential and efficient management tool to restock or sustain overexploited populations in areas where natural recruitment appears insufficient.")</f>
        <v>During the past 40 y, natural stocks of the edible sea urchin Paracentrotus lividus have declined sharply in many sites along the French Mediterranean coast. Despite current management measures, this resource remains at low densities, raising concerns among commercial fishermen and managers. The reseeding of depleted sea urchin populations is currently under consideration. In this study, a pilot-scale experiment was conducted to assess the feasibility of such an operation and to evaluate the impact on both the population structure and genetic diversity of wild communities. The genetic diversity and population differentiation of wild populations was assessed before reseeding five depleted populations with 250,000 hatchery-produced juveniles. A year after release, parentage assignment tests were performed on small recaptured sea urchins to address their origin. Sea urchins from the hatchery were found at two of five sites, representing 3% and 12% of the total recaptured urchins in the concerned sites. The genetic analysis performed with six microsatellite loci revealed genetically homogeneous populations in the area studied. Within and among populations, genetic diversity seems not to be affected by introducing juveniles from the hatchery into wild populations. Therefore, following strict recommendations, reseeding could be considered a potential and efficient management tool to restock or sustain overexploited populations in areas where natural recruitment appears insufficient.</v>
      </c>
      <c r="C222" s="24" t="str">
        <f>IFERROR(__xludf.DUMMYFUNCTION("""COMPUTED_VALUE"""),"10.2983/035.034.0240")</f>
        <v>10.2983/035.034.0240</v>
      </c>
      <c r="D222" s="24" t="str">
        <f>IFERROR(__xludf.DUMMYFUNCTION("""COMPUTED_VALUE"""),"shaw et al")</f>
        <v>shaw et al</v>
      </c>
      <c r="E222" s="24" t="str">
        <f>IFERROR(__xludf.DUMMYFUNCTION("""COMPUTED_VALUE"""),"WOS:000360410500040")</f>
        <v>WOS:000360410500040</v>
      </c>
      <c r="F222" s="24" t="str">
        <f>IFERROR(__xludf.DUMMYFUNCTION("""COMPUTED_VALUE"""),"[""ELIGIBLE""]")</f>
        <v>["ELIGIBLE"]</v>
      </c>
    </row>
    <row r="223">
      <c r="A223" s="24" t="str">
        <f>IFERROR(__xludf.DUMMYFUNCTION("""COMPUTED_VALUE"""),"Conservation of genetic diversity in slippery elm (Ulmus rubra) in Wisconsin despite the devastating impact of Dutch elm disease")</f>
        <v>Conservation of genetic diversity in slippery elm (Ulmus rubra) in Wisconsin despite the devastating impact of Dutch elm disease</v>
      </c>
      <c r="B223" s="24" t="str">
        <f>IFERROR(__xludf.DUMMYFUNCTION("""COMPUTED_VALUE"""),"Forest pest epidemics are responsible for many population declines reported in forest trees. While forest tree populations tend to be genetically diverse, in principle mortality resulting from disease could diminish that genetic diversity and alter the ge"&amp;"netic structure of the remnant populations with consequences for the ability of a species to adapt to changing environments. Slippery elm (Ulmus rubra Muhl.) is a long-lived, wind-pollinated forest tree with a native range covering essentially all of east"&amp;"ern North America. Dutch elm disease (DED) caused by an introduced fungal pathogen (Ophiostoma ulmi) devastated North American elm populations, including slippery elm, beginning in the 1930s. Estimates of the numbers of elms lost to DED are unknown but ra"&amp;"nge into the hundreds of millions of trees given their former abundance. In this study, the genotypes of 77 herbarium specimens collected between 1890 and 2004 in Wisconsin, and of 100 slippery elm trees from five wild Wisconsin populations, were characte"&amp;"rized using 13 microsatellite loci. Levels of genetic diversity were compared between the herbarium specimens collected pre- and post-DED spread in Wisconsin. In addition, the levels of genetic diversity and degree of genetic differentiation were quantifi"&amp;"ed in the five wild populations. The allelic diversity and expected levels of heterozygosity were similar between the pre- and post-DED herbarium specimens. The five wild populations were only slightly differentiated and no genetic bottleneck was detected"&amp;" for any population. At least in Wisconsin, slippery elm apparently has maintained levels of genetic diversity that could facilitate adaptation to future climatic and environmental changes.")</f>
        <v>Forest pest epidemics are responsible for many population declines reported in forest trees. While forest tree populations tend to be genetically diverse, in principle mortality resulting from disease could diminish that genetic diversity and alter the genetic structure of the remnant populations with consequences for the ability of a species to adapt to changing environments. Slippery elm (Ulmus rubra Muhl.) is a long-lived, wind-pollinated forest tree with a native range covering essentially all of eastern North America. Dutch elm disease (DED) caused by an introduced fungal pathogen (Ophiostoma ulmi) devastated North American elm populations, including slippery elm, beginning in the 1930s. Estimates of the numbers of elms lost to DED are unknown but range into the hundreds of millions of trees given their former abundance. In this study, the genotypes of 77 herbarium specimens collected between 1890 and 2004 in Wisconsin, and of 100 slippery elm trees from five wild Wisconsin populations, were characterized using 13 microsatellite loci. Levels of genetic diversity were compared between the herbarium specimens collected pre- and post-DED spread in Wisconsin. In addition, the levels of genetic diversity and degree of genetic differentiation were quantified in the five wild populations. The allelic diversity and expected levels of heterozygosity were similar between the pre- and post-DED herbarium specimens. The five wild populations were only slightly differentiated and no genetic bottleneck was detected for any population. At least in Wisconsin, slippery elm apparently has maintained levels of genetic diversity that could facilitate adaptation to future climatic and environmental changes.</v>
      </c>
      <c r="C223" s="24" t="str">
        <f>IFERROR(__xludf.DUMMYFUNCTION("""COMPUTED_VALUE"""),"10.1007/s10592-016-0838-1")</f>
        <v>10.1007/s10592-016-0838-1</v>
      </c>
      <c r="D223" s="24" t="str">
        <f>IFERROR(__xludf.DUMMYFUNCTION("""COMPUTED_VALUE"""),"shaw et al")</f>
        <v>shaw et al</v>
      </c>
      <c r="E223" s="24" t="str">
        <f>IFERROR(__xludf.DUMMYFUNCTION("""COMPUTED_VALUE"""),"WOS:000382934400002")</f>
        <v>WOS:000382934400002</v>
      </c>
      <c r="F223" s="24" t="str">
        <f>IFERROR(__xludf.DUMMYFUNCTION("""COMPUTED_VALUE"""),"[""ELIGIBLE""]")</f>
        <v>["ELIGIBLE"]</v>
      </c>
    </row>
    <row r="224">
      <c r="A224" s="24" t="str">
        <f>IFERROR(__xludf.DUMMYFUNCTION("""COMPUTED_VALUE"""),"Effect of harvest and effective population size on genetic diversity in a striped bass population")</f>
        <v>Effect of harvest and effective population size on genetic diversity in a striped bass population</v>
      </c>
      <c r="B224" s="24" t="str">
        <f>IFERROR(__xludf.DUMMYFUNCTION("""COMPUTED_VALUE"""),"A major factor that contributes to loss of genetic variation in natural populations is a small effective population size. In species with a complex life history that involves overlapping generations and delayed maturity, the impact of infrequent annual re"&amp;"productive bottlenecks is likely to be small because effective population size is defined by the number of individuals contributing to a generation and not to a single year-class. The striped bass Morone saxatilis is a long-lived species with overlapping "&amp;"generations and age structure, whose recreational and commercial importance has made it a target of intense harvest. We analyzed allele frequency fluctuation among juvenile year-classes of the Santee-Cooper, South Carolina, population from 1990 through 19"&amp;"94 with three independently segregating polymorphic nuclear DNA loci to examine genetic drift and estimate the number of breeders each year. Significant fluctuations in allele frequencies among juvenile year-classes were observed, and most of the variatio"&amp;"n was attributed to a small number of parents in 1992. The potential impact of this year-class is likely to be low because 1992 was a poor recruitment year, and striped bass have multiple opportunities to breed. However, high adult mortality due to fishin"&amp;"g may increase the impact of the 1992 year-class by decreasing the number of adult age-classes in this population. Thus, high exploitation in species with overlapping generations can reduce the long-term effective population size by abrogating the possibi"&amp;"lity of multiple breeding opportunities.")</f>
        <v>A major factor that contributes to loss of genetic variation in natural populations is a small effective population size. In species with a complex life history that involves overlapping generations and delayed maturity, the impact of infrequent annual reproductive bottlenecks is likely to be small because effective population size is defined by the number of individuals contributing to a generation and not to a single year-class. The striped bass Morone saxatilis is a long-lived species with overlapping generations and age structure, whose recreational and commercial importance has made it a target of intense harvest. We analyzed allele frequency fluctuation among juvenile year-classes of the Santee-Cooper, South Carolina, population from 1990 through 1994 with three independently segregating polymorphic nuclear DNA loci to examine genetic drift and estimate the number of breeders each year. Significant fluctuations in allele frequencies among juvenile year-classes were observed, and most of the variation was attributed to a small number of parents in 1992. The potential impact of this year-class is likely to be low because 1992 was a poor recruitment year, and striped bass have multiple opportunities to breed. However, high adult mortality due to fishing may increase the impact of the 1992 year-class by decreasing the number of adult age-classes in this population. Thus, high exploitation in species with overlapping generations can reduce the long-term effective population size by abrogating the possibility of multiple breeding opportunities.</v>
      </c>
      <c r="C224" s="24" t="str">
        <f>IFERROR(__xludf.DUMMYFUNCTION("""COMPUTED_VALUE"""),"10.1577/1548-8659(2000)129&lt;1367:EOHAEP&gt;2.0.CO;2")</f>
        <v>10.1577/1548-8659(2000)129&lt;1367:EOHAEP&gt;2.0.CO;2</v>
      </c>
      <c r="D224" s="24" t="str">
        <f>IFERROR(__xludf.DUMMYFUNCTION("""COMPUTED_VALUE"""),"shaw et al")</f>
        <v>shaw et al</v>
      </c>
      <c r="E224" s="24" t="str">
        <f>IFERROR(__xludf.DUMMYFUNCTION("""COMPUTED_VALUE"""),"WOS:000167141400013")</f>
        <v>WOS:000167141400013</v>
      </c>
      <c r="F224" s="24" t="str">
        <f>IFERROR(__xludf.DUMMYFUNCTION("""COMPUTED_VALUE"""),"[""ELIGIBLE""]")</f>
        <v>["ELIGIBLE"]</v>
      </c>
    </row>
    <row r="225">
      <c r="A225" s="24" t="str">
        <f>IFERROR(__xludf.DUMMYFUNCTION("""COMPUTED_VALUE"""),"No loss of genetic diversity in the exploited and recently collapsed population of Bay of Biscay anchovy (Engraulis encrasicolus, L.)")</f>
        <v>No loss of genetic diversity in the exploited and recently collapsed population of Bay of Biscay anchovy (Engraulis encrasicolus, L.)</v>
      </c>
      <c r="B225" s="24" t="str">
        <f>IFERROR(__xludf.DUMMYFUNCTION("""COMPUTED_VALUE"""),"The European anchovy, Engraulis encrasicolus, in the Bay of Biscay suffered a collapse in census population size (N-c) starting in 2002, from which it did not recover until 2010. The slow recovery raised concern over sustainability, potential reduction in"&amp;" adaptive potential, and vulnerability to local extirpation. Long- and short-term effective population size (Ne), N-e/N-c ratio, and other genetic parameters were estimated to evaluate demographic signals of population decline. A total of 349 neutral sing"&amp;"le-nucleotide polymorphisms (SNPs) were screened in 330 anchovy individuals from the Bay of Biscay distributed across a 20-year period. We show that N-c fluctuations have not significantly affected short-term N-e, and therefore, genetic diversity has rema"&amp;"ined stable throughout the recent collapse. This study illustrates that N-e estimates should be incorporated into management plans. Our results on short-term N-e suggested that the anchovy in the Bay of Biscay has not faced any recent severe threat of los"&amp;"ing evolutionary potential due to genetic drift. However, differences between short- and long-term N-e estimates suggested that the Bay of Biscay anchovy population may be currently much smaller than in the historical past.")</f>
        <v>The European anchovy, Engraulis encrasicolus, in the Bay of Biscay suffered a collapse in census population size (N-c) starting in 2002, from which it did not recover until 2010. The slow recovery raised concern over sustainability, potential reduction in adaptive potential, and vulnerability to local extirpation. Long- and short-term effective population size (Ne), N-e/N-c ratio, and other genetic parameters were estimated to evaluate demographic signals of population decline. A total of 349 neutral single-nucleotide polymorphisms (SNPs) were screened in 330 anchovy individuals from the Bay of Biscay distributed across a 20-year period. We show that N-c fluctuations have not significantly affected short-term N-e, and therefore, genetic diversity has remained stable throughout the recent collapse. This study illustrates that N-e estimates should be incorporated into management plans. Our results on short-term N-e suggested that the anchovy in the Bay of Biscay has not faced any recent severe threat of losing evolutionary potential due to genetic drift. However, differences between short- and long-term N-e estimates suggested that the Bay of Biscay anchovy population may be currently much smaller than in the historical past.</v>
      </c>
      <c r="C225" s="24" t="str">
        <f>IFERROR(__xludf.DUMMYFUNCTION("""COMPUTED_VALUE"""),"10.1007/s00227-016-2866-2")</f>
        <v>10.1007/s00227-016-2866-2</v>
      </c>
      <c r="D225" s="24" t="str">
        <f>IFERROR(__xludf.DUMMYFUNCTION("""COMPUTED_VALUE"""),"shaw et al")</f>
        <v>shaw et al</v>
      </c>
      <c r="E225" s="24" t="str">
        <f>IFERROR(__xludf.DUMMYFUNCTION("""COMPUTED_VALUE"""),"WOS:000375330500005")</f>
        <v>WOS:000375330500005</v>
      </c>
      <c r="F225" s="24" t="str">
        <f>IFERROR(__xludf.DUMMYFUNCTION("""COMPUTED_VALUE"""),"[""ELIGIBLE""]")</f>
        <v>["ELIGIBLE"]</v>
      </c>
    </row>
    <row r="226">
      <c r="A226" s="24" t="str">
        <f>IFERROR(__xludf.DUMMYFUNCTION("""COMPUTED_VALUE"""),"Spatial and temporal variation of genetic diversity and estimation of effective population sizes in Atlantic salmon (Salmo salar, L.) populations from Asturias (Northern Spain) using microsatellites")</f>
        <v>Spatial and temporal variation of genetic diversity and estimation of effective population sizes in Atlantic salmon (Salmo salar, L.) populations from Asturias (Northern Spain) using microsatellites</v>
      </c>
      <c r="B226" s="24" t="str">
        <f>IFERROR(__xludf.DUMMYFUNCTION("""COMPUTED_VALUE"""),"Rivers in Asturias (northern Spain) constitute the southern limit of the distribution of Atlantic salmon (Salmo salar L.) in Europe, a biological resource facing one of the more serious challenges for conservation today. In this work, eight microsatellite"&amp;" loci have been used to analyse samples collected in 1993 and 1999 from four Asturian rivers (Esva, Narcea, Sella, and Cares), obtaining information about the temporal and the spatial genetic variation in these populations and, in addition, estimations of"&amp;" their effective population sizes. The temporal analysis revealed a general decrease in all the estimated genetic variability parameters when samples from 1993 (mean A((1993)) = 6.47, mean H-O(1993) = 0.472, mean H-E(1993) = 0.530) were compared with thos"&amp;"e obtained in 1999 (mean A((1999)) = 6.16, mean H-O(1999) = 0.460, mean H-E(1999) = 0,490). This reduction was particularly notable for the case of the Esva river. Our results pointed to a pattern of spatial genetic differentiation inside the Asturian reg"&amp;"ion (F-ST ((1993)) = 0.0 16 P &lt; 0.01; F-ST ((1999)) = 0.023 P &lt; 0.0 1). Using the standard Temporal Method we found estimates of N-e(Lambda) ((Esva)) = 75.1 (33.2-267.2); N-e(Lambda) ((Cares)) = 96.6 (40.0-507.5), N-e(Lambda) ((Slla)) = 106.5 (39.1-9396.4"&amp;") and N-e(Lambda) ((Narcea)) = 113.9 (42.0-3693.3). The use of likelihood-based methods for the N-e(Lambda) estimations improved the results (smaller CIs) for the Esva and Cares rivers (N-e(Lambda) ((Esva)) = 63.9 (32.3-165.3); N-e(Lambda) ((Cares)) = 76."&amp;"4 (38.8-202.0) using a Maximum likelihood approach) and suggested the presence of larger Populations for the Sella and Narcea rivers (N-e(Lambda)approximate to 200) These results showed that the Asturian Atlantic salmon populations (in particular Esva and"&amp;" Cares river populations) could be close to the conservation genetic borderline for avoiding inbreeding depression although we discuss some implications of the analysis of temporal genetic change in populations with overlapping generations.")</f>
        <v>Rivers in Asturias (northern Spain) constitute the southern limit of the distribution of Atlantic salmon (Salmo salar L.) in Europe, a biological resource facing one of the more serious challenges for conservation today. In this work, eight microsatellite loci have been used to analyse samples collected in 1993 and 1999 from four Asturian rivers (Esva, Narcea, Sella, and Cares), obtaining information about the temporal and the spatial genetic variation in these populations and, in addition, estimations of their effective population sizes. The temporal analysis revealed a general decrease in all the estimated genetic variability parameters when samples from 1993 (mean A((1993)) = 6.47, mean H-O(1993) = 0.472, mean H-E(1993) = 0.530) were compared with those obtained in 1999 (mean A((1999)) = 6.16, mean H-O(1999) = 0.460, mean H-E(1999) = 0,490). This reduction was particularly notable for the case of the Esva river. Our results pointed to a pattern of spatial genetic differentiation inside the Asturian region (F-ST ((1993)) = 0.0 16 P &lt; 0.01; F-ST ((1999)) = 0.023 P &lt; 0.0 1). Using the standard Temporal Method we found estimates of N-e(Lambda) ((Esva)) = 75.1 (33.2-267.2); N-e(Lambda) ((Cares)) = 96.6 (40.0-507.5), N-e(Lambda) ((Slla)) = 106.5 (39.1-9396.4) and N-e(Lambda) ((Narcea)) = 113.9 (42.0-3693.3). The use of likelihood-based methods for the N-e(Lambda) estimations improved the results (smaller CIs) for the Esva and Cares rivers (N-e(Lambda) ((Esva)) = 63.9 (32.3-165.3); N-e(Lambda) ((Cares)) = 76.4 (38.8-202.0) using a Maximum likelihood approach) and suggested the presence of larger Populations for the Sella and Narcea rivers (N-e(Lambda)approximate to 200) These results showed that the Asturian Atlantic salmon populations (in particular Esva and Cares river populations) could be close to the conservation genetic borderline for avoiding inbreeding depression although we discuss some implications of the analysis of temporal genetic change in populations with overlapping generations.</v>
      </c>
      <c r="C226" s="24" t="str">
        <f>IFERROR(__xludf.DUMMYFUNCTION("""COMPUTED_VALUE"""),"10.1007/s10592-007-9400-5")</f>
        <v>10.1007/s10592-007-9400-5</v>
      </c>
      <c r="D226" s="24" t="str">
        <f>IFERROR(__xludf.DUMMYFUNCTION("""COMPUTED_VALUE"""),"shaw et al")</f>
        <v>shaw et al</v>
      </c>
      <c r="E226" s="24" t="str">
        <f>IFERROR(__xludf.DUMMYFUNCTION("""COMPUTED_VALUE"""),"WOS:000257420700002")</f>
        <v>WOS:000257420700002</v>
      </c>
      <c r="F226" s="24" t="str">
        <f>IFERROR(__xludf.DUMMYFUNCTION("""COMPUTED_VALUE"""),"[""ELIGIBLE""]")</f>
        <v>["ELIGIBLE"]</v>
      </c>
    </row>
    <row r="227">
      <c r="A227" s="24" t="str">
        <f>IFERROR(__xludf.DUMMYFUNCTION("""COMPUTED_VALUE"""),"Fauna crime: elucidating the potential source and introduction history of European smelt (Osmerus eperlanus L.) into Lake Storsjoen, Norway")</f>
        <v>Fauna crime: elucidating the potential source and introduction history of European smelt (Osmerus eperlanus L.) into Lake Storsjoen, Norway</v>
      </c>
      <c r="B227" s="24" t="str">
        <f>IFERROR(__xludf.DUMMYFUNCTION("""COMPUTED_VALUE"""),"The ability to accurately determine the original source of invading species offers several powerful applications in invasive species ecology and management and may enable important information on the invading species in its native habitat. Lake Storsjoen "&amp;"in South-Central Norway was recently found to have been subjected to an illegal translocation of the European smelt (Osmerus eperlanus). The main aim of this study was to infer the most likely source (s) of the invading smelt by using microsatellite marke"&amp;"rs, and subsequently to infer its introduction history. The results indicated that the smelt is most likely a result of introduction from the large Lake Mjosa, and that the translocated smelt comprise a large number of individuals. The smelt in Lake Stors"&amp;"joen showed no significant genetic bottleneck effect. However, a corresponding significant test for a recent population expansion indicates that the smelt has had a high reproductive success and population growth in its new environment. The results from t"&amp;"his study illustrate the usefulness of applying multilocus genetic markers for inferring origin of translocated populations, demographic events and introduction histories comprising an effective tool for assessment of invasive species.")</f>
        <v>The ability to accurately determine the original source of invading species offers several powerful applications in invasive species ecology and management and may enable important information on the invading species in its native habitat. Lake Storsjoen in South-Central Norway was recently found to have been subjected to an illegal translocation of the European smelt (Osmerus eperlanus). The main aim of this study was to infer the most likely source (s) of the invading smelt by using microsatellite markers, and subsequently to infer its introduction history. The results indicated that the smelt is most likely a result of introduction from the large Lake Mjosa, and that the translocated smelt comprise a large number of individuals. The smelt in Lake Storsjoen showed no significant genetic bottleneck effect. However, a corresponding significant test for a recent population expansion indicates that the smelt has had a high reproductive success and population growth in its new environment. The results from this study illustrate the usefulness of applying multilocus genetic markers for inferring origin of translocated populations, demographic events and introduction histories comprising an effective tool for assessment of invasive species.</v>
      </c>
      <c r="C227" s="24" t="str">
        <f>IFERROR(__xludf.DUMMYFUNCTION("""COMPUTED_VALUE"""),"10.1007/s10592-015-0724-2")</f>
        <v>10.1007/s10592-015-0724-2</v>
      </c>
      <c r="D227" s="24" t="str">
        <f>IFERROR(__xludf.DUMMYFUNCTION("""COMPUTED_VALUE"""),"shaw et al")</f>
        <v>shaw et al</v>
      </c>
      <c r="E227" s="24" t="str">
        <f>IFERROR(__xludf.DUMMYFUNCTION("""COMPUTED_VALUE"""),"WOS:000360940400006")</f>
        <v>WOS:000360940400006</v>
      </c>
      <c r="F227" s="24" t="str">
        <f>IFERROR(__xludf.DUMMYFUNCTION("""COMPUTED_VALUE"""),"[""ELIGIBLE""]")</f>
        <v>["ELIGIBLE"]</v>
      </c>
    </row>
    <row r="228">
      <c r="A228" s="24" t="str">
        <f>IFERROR(__xludf.DUMMYFUNCTION("""COMPUTED_VALUE"""),"MITOCHONDRIAL-DNA DIFFERENTIATION AND POPULATION-STRUCTURE IN RED DRUM (SCIAENOPS-OCELLATUS) FROM THE GULF-OF-MEXICO AND ATLANTIC-OCEAN")</f>
        <v>MITOCHONDRIAL-DNA DIFFERENTIATION AND POPULATION-STRUCTURE IN RED DRUM (SCIAENOPS-OCELLATUS) FROM THE GULF-OF-MEXICO AND ATLANTIC-OCEAN</v>
      </c>
      <c r="B228" s="24" t="str">
        <f>IFERROR(__xludf.DUMMYFUNCTION("""COMPUTED_VALUE"""),"Variation in mitochondrial (mt)DNA was examined among 473 red drum (Sciaenops ocellatus) sampled in 1988 and 1989 from nearshore localities in the northern Gulf of Mexico (Gulf) and the Atlantic coast of the southeastern United States (Atlantic). Data wer"&amp;"e combined with those from a previous study to generate a total of 871 individuals sampled from 11 localities in the Gulf and 5 localities in the Atlantic. Individuals assayed were from the 1986 and 1987 year-classes. A total of 118 composite mtDNA genoty"&amp;"pes (haplotypes) was found. The percentage nucleotide sequence divergence among the 118 haplotypes ranged from 0.184 to 1.913, with a mean (+/- SE) of 0.878 +/- 0.004. MtDNA nucleon diversities and intrapopulational nucleotide-sequence divergence values w"&amp;"ere similar over all Gulf and Atlantic localities, and were high relative to most fish species surveyed to date. These data indicate that the perceived decline in red drum abundance appears not to have affected the genetic variability base of the species."&amp;" Significant heterogeneity in the frequencies of at least four haplotypes was detected between pooled samples from the Gulf vs pooled samples from the Atlantic. No heterogeneity was found among localities from the Gulf or localities from the Atlantic. Hig"&amp;"h levels of gene flow among all localities were inferred from F(ST) values (a measure of the variance in mtDNA haplotype frequencies) and from Slatkin's qualitative and quantitative analyses. Parsimony and phenetic analyses revealed no strong evidence for"&amp;" phylogeographic cohesion of localities, although there was weak support for cohesion of four of five localities from the Atlantic. These data indicate that the red drum population is subdivided, with weakly differentiated subpopulations (stocks) occurrin"&amp;"g in the northern Gulf and along the Atlantic coast of southeastern USA. Spatial autocorrelation analysis and heterogeneity tests of haplotype frequencies among regions within the Gulf supported the hypothesis of increased gene flow among neighboring loca"&amp;"lities; i.e., migration of individuals within the Gulf may be inversely related to geographic distance from an estuary or bay of natal origin. Estimates of evolutionary effective female-population size indicate that the red drum subpopulations may be larg"&amp;"e.")</f>
        <v>Variation in mitochondrial (mt)DNA was examined among 473 red drum (Sciaenops ocellatus) sampled in 1988 and 1989 from nearshore localities in the northern Gulf of Mexico (Gulf) and the Atlantic coast of the southeastern United States (Atlantic). Data were combined with those from a previous study to generate a total of 871 individuals sampled from 11 localities in the Gulf and 5 localities in the Atlantic. Individuals assayed were from the 1986 and 1987 year-classes. A total of 118 composite mtDNA genotypes (haplotypes) was found. The percentage nucleotide sequence divergence among the 118 haplotypes ranged from 0.184 to 1.913, with a mean (+/- SE) of 0.878 +/- 0.004. MtDNA nucleon diversities and intrapopulational nucleotide-sequence divergence values were similar over all Gulf and Atlantic localities, and were high relative to most fish species surveyed to date. These data indicate that the perceived decline in red drum abundance appears not to have affected the genetic variability base of the species. Significant heterogeneity in the frequencies of at least four haplotypes was detected between pooled samples from the Gulf vs pooled samples from the Atlantic. No heterogeneity was found among localities from the Gulf or localities from the Atlantic. High levels of gene flow among all localities were inferred from F(ST) values (a measure of the variance in mtDNA haplotype frequencies) and from Slatkin's qualitative and quantitative analyses. Parsimony and phenetic analyses revealed no strong evidence for phylogeographic cohesion of localities, although there was weak support for cohesion of four of five localities from the Atlantic. These data indicate that the red drum population is subdivided, with weakly differentiated subpopulations (stocks) occurring in the northern Gulf and along the Atlantic coast of southeastern USA. Spatial autocorrelation analysis and heterogeneity tests of haplotype frequencies among regions within the Gulf supported the hypothesis of increased gene flow among neighboring localities; i.e., migration of individuals within the Gulf may be inversely related to geographic distance from an estuary or bay of natal origin. Estimates of evolutionary effective female-population size indicate that the red drum subpopulations may be large.</v>
      </c>
      <c r="C228" s="24" t="str">
        <f>IFERROR(__xludf.DUMMYFUNCTION("""COMPUTED_VALUE"""),"10.1007/BF00350007")</f>
        <v>10.1007/BF00350007</v>
      </c>
      <c r="D228" s="24" t="str">
        <f>IFERROR(__xludf.DUMMYFUNCTION("""COMPUTED_VALUE"""),"shaw et al")</f>
        <v>shaw et al</v>
      </c>
      <c r="E228" s="24" t="str">
        <f>IFERROR(__xludf.DUMMYFUNCTION("""COMPUTED_VALUE"""),"WOS:A1993LR14000001")</f>
        <v>WOS:A1993LR14000001</v>
      </c>
      <c r="F228" s="24" t="str">
        <f>IFERROR(__xludf.DUMMYFUNCTION("""COMPUTED_VALUE"""),"[""ELIGIBLE""]")</f>
        <v>["ELIGIBLE"]</v>
      </c>
    </row>
    <row r="229">
      <c r="A229" s="24" t="str">
        <f>IFERROR(__xludf.DUMMYFUNCTION("""COMPUTED_VALUE"""),"Relationship of habitat variability to population size in a stream fish")</f>
        <v>Relationship of habitat variability to population size in a stream fish</v>
      </c>
      <c r="B229" s="24" t="str">
        <f>IFERROR(__xludf.DUMMYFUNCTION("""COMPUTED_VALUE"""),"The relationship between habitat variability and population size in fragmented habitats is poorly understood, yet might have important evolutionary consequences. For instance, fragmentation could (1) shift habitat characteristics, and by extension, select"&amp;"ive regimes, in a consistent direction as populations and the fragments they occupy are reduced in size (directional hypothesis); or (2) increase variability in habitats among similarly sized populations as fragment size decreases (variable hypothesis). W"&amp;"e investigated these alternatives based on multiyear habitat, demographic, and genetic data from 19 fragmented populations of a stream fish varying in census size (N) and effective number of breeders (N-b). Mean habitat parameters were significantly relat"&amp;"ed to N and N-b, but the forms of the relationships varied, and there was no evidence of consistent directional differences in habitat parameters from small to large population size. Small populations exhibited a wider range of variances in habitat parame"&amp;"ters than large populations, and to a lesser extent, small populations also had greater variability in mean habitat parameters, possibly signaling more diverse selective regimes. These results suggest that many different environments are associated with s"&amp;"mall population size in nature, counter to the frequently cited assumption that small populations tend to occur only in marginal environments. In addition to well-documented demographic and genetic stochasticity operating within small populations, our wor"&amp;"k raises the possibility that small populations exhibit more variable and potentially less predictable evolutionary responses to future environmental change.")</f>
        <v>The relationship between habitat variability and population size in fragmented habitats is poorly understood, yet might have important evolutionary consequences. For instance, fragmentation could (1) shift habitat characteristics, and by extension, selective regimes, in a consistent direction as populations and the fragments they occupy are reduced in size (directional hypothesis); or (2) increase variability in habitats among similarly sized populations as fragment size decreases (variable hypothesis). We investigated these alternatives based on multiyear habitat, demographic, and genetic data from 19 fragmented populations of a stream fish varying in census size (N) and effective number of breeders (N-b). Mean habitat parameters were significantly related to N and N-b, but the forms of the relationships varied, and there was no evidence of consistent directional differences in habitat parameters from small to large population size. Small populations exhibited a wider range of variances in habitat parameters than large populations, and to a lesser extent, small populations also had greater variability in mean habitat parameters, possibly signaling more diverse selective regimes. These results suggest that many different environments are associated with small population size in nature, counter to the frequently cited assumption that small populations tend to occur only in marginal environments. In addition to well-documented demographic and genetic stochasticity operating within small populations, our work raises the possibility that small populations exhibit more variable and potentially less predictable evolutionary responses to future environmental change.</v>
      </c>
      <c r="C229" s="24" t="str">
        <f>IFERROR(__xludf.DUMMYFUNCTION("""COMPUTED_VALUE"""),"10.1890/13-1647.1")</f>
        <v>10.1890/13-1647.1</v>
      </c>
      <c r="D229" s="24" t="str">
        <f>IFERROR(__xludf.DUMMYFUNCTION("""COMPUTED_VALUE"""),"shaw et al")</f>
        <v>shaw et al</v>
      </c>
      <c r="E229" s="24" t="str">
        <f>IFERROR(__xludf.DUMMYFUNCTION("""COMPUTED_VALUE"""),"WOS:000338109700014")</f>
        <v>WOS:000338109700014</v>
      </c>
      <c r="F229" s="24" t="str">
        <f>IFERROR(__xludf.DUMMYFUNCTION("""COMPUTED_VALUE"""),"[""ELIGIBLE""]")</f>
        <v>["ELIGIBLE"]</v>
      </c>
    </row>
    <row r="230">
      <c r="A230" s="24" t="str">
        <f>IFERROR(__xludf.DUMMYFUNCTION("""COMPUTED_VALUE"""),"Reduced genetic diversity and effective population size in an endangered Atlantic salmon (Salmo salar) population from Maine, USA")</f>
        <v>Reduced genetic diversity and effective population size in an endangered Atlantic salmon (Salmo salar) population from Maine, USA</v>
      </c>
      <c r="B230" s="24" t="str">
        <f>IFERROR(__xludf.DUMMYFUNCTION("""COMPUTED_VALUE"""),"Atlantic salmon (Salmo salar) populations in Maine, USA, are listed as a Distinct Population Segment under the U.S. Endangered Species Act due to reduced spawning runs and juvenile densities. Whenever possible, optimal conservation strategies for endanger"&amp;"ed populations should incorporate both present and historical knowledge of genetic variation. We assayed genetic diversity at seven microsatellite loci and at the mitochondrial ND1 gene in an endangered wild population of Atlantic salmon captured from the"&amp;" Dennys River from 1963 to 2001 using DNA's extracted from archival scale and tissue samples. We examined temporal trends of genetic diversity, population structure, and effective population size (Ne). Overall temporal trends of diversity and Ne show sign"&amp;"ificant reductions from 1963 to 2001 raising the possibility that current restoration efforts may be impacted by historical loss of diversity potentially critical to adaptation. Although our results suggest genetic stability in this population from 1963 t"&amp;"o 1981, significant differentiation was observed for both the 1995 and 2001 samples compared with all other temporal samples. The presence of an ND1 mtDNA haplotype in this population, historically observed only in European and Newfoundland stocks, may re"&amp;"present previously unrecognized local wild diversity or, alternatively, may represent introgression from non-native fish.")</f>
        <v>Atlantic salmon (Salmo salar) populations in Maine, USA, are listed as a Distinct Population Segment under the U.S. Endangered Species Act due to reduced spawning runs and juvenile densities. Whenever possible, optimal conservation strategies for endangered populations should incorporate both present and historical knowledge of genetic variation. We assayed genetic diversity at seven microsatellite loci and at the mitochondrial ND1 gene in an endangered wild population of Atlantic salmon captured from the Dennys River from 1963 to 2001 using DNA's extracted from archival scale and tissue samples. We examined temporal trends of genetic diversity, population structure, and effective population size (Ne). Overall temporal trends of diversity and Ne show significant reductions from 1963 to 2001 raising the possibility that current restoration efforts may be impacted by historical loss of diversity potentially critical to adaptation. Although our results suggest genetic stability in this population from 1963 to 1981, significant differentiation was observed for both the 1995 and 2001 samples compared with all other temporal samples. The presence of an ND1 mtDNA haplotype in this population, historically observed only in European and Newfoundland stocks, may represent previously unrecognized local wild diversity or, alternatively, may represent introgression from non-native fish.</v>
      </c>
      <c r="C230" s="24" t="str">
        <f>IFERROR(__xludf.DUMMYFUNCTION("""COMPUTED_VALUE"""),"10.1007/s10592-005-8669-5")</f>
        <v>10.1007/s10592-005-8669-5</v>
      </c>
      <c r="D230" s="24" t="str">
        <f>IFERROR(__xludf.DUMMYFUNCTION("""COMPUTED_VALUE"""),"shaw et al")</f>
        <v>shaw et al</v>
      </c>
      <c r="E230" s="24" t="str">
        <f>IFERROR(__xludf.DUMMYFUNCTION("""COMPUTED_VALUE"""),"WOS:000235571700008")</f>
        <v>WOS:000235571700008</v>
      </c>
      <c r="F230" s="24" t="str">
        <f>IFERROR(__xludf.DUMMYFUNCTION("""COMPUTED_VALUE"""),"[""ELIGIBLE""]")</f>
        <v>["ELIGIBLE"]</v>
      </c>
    </row>
    <row r="231">
      <c r="A231" s="24" t="str">
        <f>IFERROR(__xludf.DUMMYFUNCTION("""COMPUTED_VALUE"""),"Temporal Stability of Genetic Variability and Differentiation in the Three-Spined Stickleback (Gasterosteus aculeatus)")</f>
        <v>Temporal Stability of Genetic Variability and Differentiation in the Three-Spined Stickleback (Gasterosteus aculeatus)</v>
      </c>
      <c r="B231" s="24" t="str">
        <f>IFERROR(__xludf.DUMMYFUNCTION("""COMPUTED_VALUE"""),"Temporal variation in allele frequencies, whether caused by deterministic or stochastic forces, can inform us about interesting demographic and evolutionary phenomena occurring in wild populations. In spite of the continued surge of interest in the geneti"&amp;"cs of three-spined stickleback (Gasterosteus aculeatus) populations, little attention has been paid towards the temporal stability of allele frequency distributions, and whether there are consistent differences in effective size (Ne) of local populations."&amp;" We investigated temporal stability of genetic variability and differentiation in 15 microsatellite loci within and among eight collection sites of varying habitat type, surveyed twice over a six-year time period. In addition, Nes were estimated with the "&amp;"expectation that they would be lowest in isolated ponds, intermediate in larger lakes and largest in open marine sites. In spite of the marked differences in genetic variability and differentiation among the study sites, the temporal differences in allele"&amp;" frequencies, as well as measures of genetic diversity and differentiation, were negligible. Accordingly, the Ne estimates were temporally stable, but tended to be lower in ponds than in lake or marine habitats. Hence, we conclude that allele frequencies "&amp;"in putatively neutral markers in three-spined sticklebacks seem to be temporally stable -at least over periods of few generations - across a wide range of habitat types differing markedly in levels of genetic variability, effective population size and gen"&amp;"e flow.")</f>
        <v>Temporal variation in allele frequencies, whether caused by deterministic or stochastic forces, can inform us about interesting demographic and evolutionary phenomena occurring in wild populations. In spite of the continued surge of interest in the genetics of three-spined stickleback (Gasterosteus aculeatus) populations, little attention has been paid towards the temporal stability of allele frequency distributions, and whether there are consistent differences in effective size (Ne) of local populations. We investigated temporal stability of genetic variability and differentiation in 15 microsatellite loci within and among eight collection sites of varying habitat type, surveyed twice over a six-year time period. In addition, Nes were estimated with the expectation that they would be lowest in isolated ponds, intermediate in larger lakes and largest in open marine sites. In spite of the marked differences in genetic variability and differentiation among the study sites, the temporal differences in allele frequencies, as well as measures of genetic diversity and differentiation, were negligible. Accordingly, the Ne estimates were temporally stable, but tended to be lower in ponds than in lake or marine habitats. Hence, we conclude that allele frequencies in putatively neutral markers in three-spined sticklebacks seem to be temporally stable -at least over periods of few generations - across a wide range of habitat types differing markedly in levels of genetic variability, effective population size and gene flow.</v>
      </c>
      <c r="C231" s="24" t="str">
        <f>IFERROR(__xludf.DUMMYFUNCTION("""COMPUTED_VALUE"""),"10.1371/journal.pone.0123891")</f>
        <v>10.1371/journal.pone.0123891</v>
      </c>
      <c r="D231" s="24" t="str">
        <f>IFERROR(__xludf.DUMMYFUNCTION("""COMPUTED_VALUE"""),"shaw et al")</f>
        <v>shaw et al</v>
      </c>
      <c r="E231" s="24" t="str">
        <f>IFERROR(__xludf.DUMMYFUNCTION("""COMPUTED_VALUE"""),"WOS:000352478400126")</f>
        <v>WOS:000352478400126</v>
      </c>
      <c r="F231" s="24" t="str">
        <f>IFERROR(__xludf.DUMMYFUNCTION("""COMPUTED_VALUE"""),"[""ELIGIBLE""]")</f>
        <v>["ELIGIBLE"]</v>
      </c>
    </row>
    <row r="232">
      <c r="A232" s="24" t="str">
        <f>IFERROR(__xludf.DUMMYFUNCTION("""COMPUTED_VALUE"""),"Reduced major histocompatibility complex class II polymorphism in a hunter-managed isolated Iberian red deer population")</f>
        <v>Reduced major histocompatibility complex class II polymorphism in a hunter-managed isolated Iberian red deer population</v>
      </c>
      <c r="B232" s="24" t="str">
        <f>IFERROR(__xludf.DUMMYFUNCTION("""COMPUTED_VALUE"""),"The major histocompatibility complex (MHC) contains the most variable functional genes described in vertebrates. Individuals from natural populations deal constantly with a diverse range of pathogens and the polymorphism at MHC loci is what determines the"&amp;" diversity of foreign antigens that the host immune system can recognize. Polymorphism at individual loci may result in variable MHC class II (MHC-II) haplotypes. We characterized for the first time, the allelic diversity at the second DRB locus of the MH"&amp;"C-II in the Iberian red deer Cervus elaphus hispanicus. The studied population was sampled from a fenced estate that has been managed for hunting purposes and may provide information of the effect of game management on the genetic diversity of this specie"&amp;"s. Deer presented high levels of variation at MHC-II DRB-2 with 18 different alleles detected in 94 individuals. However, a significant heterozygous deficiency was found for MHC-II DRB-2 locus (92.5% of individuals only amplified one allele), whereas geno"&amp;"type frequencies at three neutral microsatellite loci were according to Hardy-Weinberg equilibrium, with heterozygosity over 50%. The analysis of control Iberian red deer from different geographic locations identified two expressed DRB-2 loci with a high "&amp;"degree of heterozygosis. The annual diversity index of MHC-II DRB-2 alleles significantly decreased along the 16-year study period, which was confirmed with losses in microsatellite markers. Although we cannot exclude positive non-assortative mating and/o"&amp;"r substructured breeding (Wahlund effect) within our reference population, such unexpected apparent homozygosity at MHC DRB-2 loci is suggestive of null alleles occurring at our population. The observed pattern could be the result of a founder effect in t"&amp;"his recently established population. Nonetheless, the loss of MHC-II DRB-2 allele diversity could reflect the effects of inbreeding in this fenced population managed for hunting. These findings support the importance of immunogenetic studies to assess man"&amp;"agement decisions, especially in isolated ungulate populations.")</f>
        <v>The major histocompatibility complex (MHC) contains the most variable functional genes described in vertebrates. Individuals from natural populations deal constantly with a diverse range of pathogens and the polymorphism at MHC loci is what determines the diversity of foreign antigens that the host immune system can recognize. Polymorphism at individual loci may result in variable MHC class II (MHC-II) haplotypes. We characterized for the first time, the allelic diversity at the second DRB locus of the MHC-II in the Iberian red deer Cervus elaphus hispanicus. The studied population was sampled from a fenced estate that has been managed for hunting purposes and may provide information of the effect of game management on the genetic diversity of this species. Deer presented high levels of variation at MHC-II DRB-2 with 18 different alleles detected in 94 individuals. However, a significant heterozygous deficiency was found for MHC-II DRB-2 locus (92.5% of individuals only amplified one allele), whereas genotype frequencies at three neutral microsatellite loci were according to Hardy-Weinberg equilibrium, with heterozygosity over 50%. The analysis of control Iberian red deer from different geographic locations identified two expressed DRB-2 loci with a high degree of heterozygosis. The annual diversity index of MHC-II DRB-2 alleles significantly decreased along the 16-year study period, which was confirmed with losses in microsatellite markers. Although we cannot exclude positive non-assortative mating and/or substructured breeding (Wahlund effect) within our reference population, such unexpected apparent homozygosity at MHC DRB-2 loci is suggestive of null alleles occurring at our population. The observed pattern could be the result of a founder effect in this recently established population. Nonetheless, the loss of MHC-II DRB-2 allele diversity could reflect the effects of inbreeding in this fenced population managed for hunting. These findings support the importance of immunogenetic studies to assess management decisions, especially in isolated ungulate populations.</v>
      </c>
      <c r="C232" s="24" t="str">
        <f>IFERROR(__xludf.DUMMYFUNCTION("""COMPUTED_VALUE"""),"10.1111/j.1469-7998.2008.00524.x")</f>
        <v>10.1111/j.1469-7998.2008.00524.x</v>
      </c>
      <c r="D232" s="24" t="str">
        <f>IFERROR(__xludf.DUMMYFUNCTION("""COMPUTED_VALUE"""),"shaw et al")</f>
        <v>shaw et al</v>
      </c>
      <c r="E232" s="24" t="str">
        <f>IFERROR(__xludf.DUMMYFUNCTION("""COMPUTED_VALUE"""),"WOS:000262678200010")</f>
        <v>WOS:000262678200010</v>
      </c>
      <c r="F232" s="24" t="str">
        <f>IFERROR(__xludf.DUMMYFUNCTION("""COMPUTED_VALUE"""),"[""ELIGIBLE""]")</f>
        <v>["ELIGIBLE"]</v>
      </c>
    </row>
    <row r="233">
      <c r="A233" s="24" t="str">
        <f>IFERROR(__xludf.DUMMYFUNCTION("""COMPUTED_VALUE"""),"Bayesian inference of a historical bottleneck in a heavily exploited marine mammal")</f>
        <v>Bayesian inference of a historical bottleneck in a heavily exploited marine mammal</v>
      </c>
      <c r="B233" s="24" t="str">
        <f>IFERROR(__xludf.DUMMYFUNCTION("""COMPUTED_VALUE"""),"Emerging Bayesian analytical approaches offer increasingly sophisticated means of reconstructing historical population dynamics from genetic data, but have been little applied to scenarios involving demographic bottlenecks. Consequently, we analysed a lar"&amp;"ge mitochondrial and microsatellite dataset from the Antarctic fur seal Arctocephalus gazella, a species subjected to one of the most extreme examples of uncontrolled exploitation in history when it was reduced to the brink of extinction by the sealing in"&amp;"dustry during the late eighteenth and nineteenth centuries. Classical bottleneck tests, which exploit the fact that rare alleles are rapidly lost during demographic reduction, yielded ambiguous results. In contrast, a strong signal of recent demographic d"&amp;"ecline was detected using both Bayesian skyline plots and Approximate Bayesian Computation, the latter also allowing derivation of posterior parameter estimates that were remarkably consistent with historical observations. This was achieved using only con"&amp;"temporary samples, further emphasizing the potential of Bayesian approaches to address important problems in conservation and evolutionary biology.")</f>
        <v>Emerging Bayesian analytical approaches offer increasingly sophisticated means of reconstructing historical population dynamics from genetic data, but have been little applied to scenarios involving demographic bottlenecks. Consequently, we analysed a large mitochondrial and microsatellite dataset from the Antarctic fur seal Arctocephalus gazella, a species subjected to one of the most extreme examples of uncontrolled exploitation in history when it was reduced to the brink of extinction by the sealing industry during the late eighteenth and nineteenth centuries. Classical bottleneck tests, which exploit the fact that rare alleles are rapidly lost during demographic reduction, yielded ambiguous results. In contrast, a strong signal of recent demographic decline was detected using both Bayesian skyline plots and Approximate Bayesian Computation, the latter also allowing derivation of posterior parameter estimates that were remarkably consistent with historical observations. This was achieved using only contemporary samples, further emphasizing the potential of Bayesian approaches to address important problems in conservation and evolutionary biology.</v>
      </c>
      <c r="C233" s="24" t="str">
        <f>IFERROR(__xludf.DUMMYFUNCTION("""COMPUTED_VALUE"""),"10.1111/j.1365-294X.2011.05248.x")</f>
        <v>10.1111/j.1365-294X.2011.05248.x</v>
      </c>
      <c r="D233" s="24" t="str">
        <f>IFERROR(__xludf.DUMMYFUNCTION("""COMPUTED_VALUE"""),"shaw et al")</f>
        <v>shaw et al</v>
      </c>
      <c r="E233" s="24" t="str">
        <f>IFERROR(__xludf.DUMMYFUNCTION("""COMPUTED_VALUE"""),"WOS:000295230000006")</f>
        <v>WOS:000295230000006</v>
      </c>
      <c r="F233" s="24" t="str">
        <f>IFERROR(__xludf.DUMMYFUNCTION("""COMPUTED_VALUE"""),"[""ELIGIBLE""]")</f>
        <v>["ELIGIBLE"]</v>
      </c>
    </row>
    <row r="234">
      <c r="A234" s="24" t="str">
        <f>IFERROR(__xludf.DUMMYFUNCTION("""COMPUTED_VALUE"""),"Escaped farmed salmon, Salmo salar L., in the Glenarm River, Northern Ireland:: genetic status of the wild population 7 years on")</f>
        <v>Escaped farmed salmon, Salmo salar L., in the Glenarm River, Northern Ireland:: genetic status of the wild population 7 years on</v>
      </c>
      <c r="B234" s="24" t="str">
        <f>IFERROR(__xludf.DUMMYFUNCTION("""COMPUTED_VALUE"""),"A previous study described genetic changes in a wild Atlantic salmon, Salmo salar L., population resulting from the spawning of escaped farmed salmon in the Glenarm River, Northern Ireland, in 1990. This study reports an extension of the original investig"&amp;"ation with a further follow-up sample that was taken from the river in 1997 to assess the genetic status of the wild population two generations after the original hybridization between the wild population and the farmed strain. Overall genetic variation a"&amp;"cross eight polymorphic allozyme loci indicated that the wild population remains significantly different from the pre-escape population and from the immediate post-escape population, the presence of an allele not having been previously detected in this po"&amp;"pulation (GPI-1,2*140), suggesting that further incursion(s) of fanned salmon may have taken place.")</f>
        <v>A previous study described genetic changes in a wild Atlantic salmon, Salmo salar L., population resulting from the spawning of escaped farmed salmon in the Glenarm River, Northern Ireland, in 1990. This study reports an extension of the original investigation with a further follow-up sample that was taken from the river in 1997 to assess the genetic status of the wild population two generations after the original hybridization between the wild population and the farmed strain. Overall genetic variation across eight polymorphic allozyme loci indicated that the wild population remains significantly different from the pre-escape population and from the immediate post-escape population, the presence of an allele not having been previously detected in this population (GPI-1,2*140), suggesting that further incursion(s) of fanned salmon may have taken place.</v>
      </c>
      <c r="C234" s="24" t="str">
        <f>IFERROR(__xludf.DUMMYFUNCTION("""COMPUTED_VALUE"""),"10.1046/j.1365-2400.2000.00219.x")</f>
        <v>10.1046/j.1365-2400.2000.00219.x</v>
      </c>
      <c r="D234" s="24" t="str">
        <f>IFERROR(__xludf.DUMMYFUNCTION("""COMPUTED_VALUE"""),"shaw et al")</f>
        <v>shaw et al</v>
      </c>
      <c r="E234" s="24" t="str">
        <f>IFERROR(__xludf.DUMMYFUNCTION("""COMPUTED_VALUE"""),"WOS:000089718400006")</f>
        <v>WOS:000089718400006</v>
      </c>
      <c r="F234" s="24" t="str">
        <f>IFERROR(__xludf.DUMMYFUNCTION("""COMPUTED_VALUE"""),"[""ELIGIBLE""]")</f>
        <v>["ELIGIBLE"]</v>
      </c>
    </row>
    <row r="235">
      <c r="A235" s="24" t="str">
        <f>IFERROR(__xludf.DUMMYFUNCTION("""COMPUTED_VALUE"""),"How does population genetic diversity change over time? An experimental seed bank study of Atriplex tatarica (Chenopodiaceae)")</f>
        <v>How does population genetic diversity change over time? An experimental seed bank study of Atriplex tatarica (Chenopodiaceae)</v>
      </c>
      <c r="B235" s="24" t="str">
        <f>IFERROR(__xludf.DUMMYFUNCTION("""COMPUTED_VALUE"""),"Atriplex tatarica is an annual, early successional, facultative halophilic species of frequently disturbed human-made habitats in Central and Eastern Europe. We investigated to what extent the plants grown from seeds extracted from soil seed bank differed"&amp;" genetically to mature aboveground plants in experimental populations of A. tatarica over two successive years. At each of five plots 50 aboveground plants and 50 plants extracted from seeds stored in soil were assayed for allozyme analysis in 2003 and 20"&amp;"04. At the start of experiment, we introduced 1000 seeds of the study species into each of five experimental plots. While the species dominated in all of the experimental plots in the first year, the second year A. tatarica coverage decreased dramatically"&amp;". Overall allele frequencies of soil seeds and mature plants showed significant differences between life history stages in both years, but not within years in soil seeds as well as mature plants stages. While mature plants showed a significantly greater a"&amp;"mount of single and multilocus heterozygosity in both consecutive years, comparison between years did not yield any significant differences. In the same way, despite a relatively large seed bank the species population genetic parameters, i.e. allelic rich"&amp;"ness (A), observed heterozygosity (H-o), gene diversity (H-s), inbreeding coefficient (F-IS) and fixation index (F-ST), did not change over years between as well as within life history stages. The soil seeds and mature plants significantly differed in H-o"&amp;", H-s and F-IS, while the A and F-ST were not significantly different between life history stages. (C) 2008 Elsevier GmbH. All rights reserved.")</f>
        <v>Atriplex tatarica is an annual, early successional, facultative halophilic species of frequently disturbed human-made habitats in Central and Eastern Europe. We investigated to what extent the plants grown from seeds extracted from soil seed bank differed genetically to mature aboveground plants in experimental populations of A. tatarica over two successive years. At each of five plots 50 aboveground plants and 50 plants extracted from seeds stored in soil were assayed for allozyme analysis in 2003 and 2004. At the start of experiment, we introduced 1000 seeds of the study species into each of five experimental plots. While the species dominated in all of the experimental plots in the first year, the second year A. tatarica coverage decreased dramatically. Overall allele frequencies of soil seeds and mature plants showed significant differences between life history stages in both years, but not within years in soil seeds as well as mature plants stages. While mature plants showed a significantly greater amount of single and multilocus heterozygosity in both consecutive years, comparison between years did not yield any significant differences. In the same way, despite a relatively large seed bank the species population genetic parameters, i.e. allelic richness (A), observed heterozygosity (H-o), gene diversity (H-s), inbreeding coefficient (F-IS) and fixation index (F-ST), did not change over years between as well as within life history stages. The soil seeds and mature plants significantly differed in H-o, H-s and F-IS, while the A and F-ST were not significantly different between life history stages. (C) 2008 Elsevier GmbH. All rights reserved.</v>
      </c>
      <c r="C235" s="24" t="str">
        <f>IFERROR(__xludf.DUMMYFUNCTION("""COMPUTED_VALUE"""),"10.1016/j.flora.2008.05.005")</f>
        <v>10.1016/j.flora.2008.05.005</v>
      </c>
      <c r="D235" s="24" t="str">
        <f>IFERROR(__xludf.DUMMYFUNCTION("""COMPUTED_VALUE"""),"shaw et al")</f>
        <v>shaw et al</v>
      </c>
      <c r="E235" s="24" t="str">
        <f>IFERROR(__xludf.DUMMYFUNCTION("""COMPUTED_VALUE"""),"WOS:000267532400002")</f>
        <v>WOS:000267532400002</v>
      </c>
      <c r="F235" s="24" t="str">
        <f>IFERROR(__xludf.DUMMYFUNCTION("""COMPUTED_VALUE"""),"[""ELIGIBLE""]")</f>
        <v>["ELIGIBLE"]</v>
      </c>
    </row>
    <row r="236">
      <c r="A236" s="24" t="str">
        <f>IFERROR(__xludf.DUMMYFUNCTION("""COMPUTED_VALUE"""),"Genetic monitoring and effects of stocking practices on small Cyprinus carpio populations")</f>
        <v>Genetic monitoring and effects of stocking practices on small Cyprinus carpio populations</v>
      </c>
      <c r="B236" s="24" t="str">
        <f>IFERROR(__xludf.DUMMYFUNCTION("""COMPUTED_VALUE"""),"The ability to detect genetic differences both in space and time is crucial for conserving genetic variation. It can reveal genetic diversity and genetic composition changes of declining native populations that are supported through stocking with captive "&amp;"bred individuals. The present study was designed to analyse the temporal stability of a declining common carp (Cyprinus carpio) population from Lake Volvi (North Greece). Polymorphism was evaluated using seven microsatellite loci at two sampling time poin"&amp;"ts (separated by 12 years). The genetic variability of four additional populations (from two rivers and two lakes) in Northern Greece was also investigated for comparison. Heterozygosity values (0.692-0.868) and allelic richness (8.530-11.148) were high f"&amp;"or all studied populations and comparable to other European populations. However, the analysis of temporal common carp samples from Lake Volvi revealed a significant change in their genetic composition and admixture analysis demonstrated significant intro"&amp;"gression of stocked individuals into the native population. Both temporal and point estimate methods revealed low effective size (Ne = 61-171.3) for this population, possibly a result of an ancient genetic bottleneck that led to population decline and/or "&amp;"recent anthropogenic interventions. This low Ne has rendered the native population vulnerable to alteration of its genetic composition. Our study demonstrates that enhancement programs should be applied cautiously, especially for small populations. Moreov"&amp;"er, it underlines the need for temporal analyses, which may contribute to the evaluation of previous management policies and to future decision making.")</f>
        <v>The ability to detect genetic differences both in space and time is crucial for conserving genetic variation. It can reveal genetic diversity and genetic composition changes of declining native populations that are supported through stocking with captive bred individuals. The present study was designed to analyse the temporal stability of a declining common carp (Cyprinus carpio) population from Lake Volvi (North Greece). Polymorphism was evaluated using seven microsatellite loci at two sampling time points (separated by 12 years). The genetic variability of four additional populations (from two rivers and two lakes) in Northern Greece was also investigated for comparison. Heterozygosity values (0.692-0.868) and allelic richness (8.530-11.148) were high for all studied populations and comparable to other European populations. However, the analysis of temporal common carp samples from Lake Volvi revealed a significant change in their genetic composition and admixture analysis demonstrated significant introgression of stocked individuals into the native population. Both temporal and point estimate methods revealed low effective size (Ne = 61-171.3) for this population, possibly a result of an ancient genetic bottleneck that led to population decline and/or recent anthropogenic interventions. This low Ne has rendered the native population vulnerable to alteration of its genetic composition. Our study demonstrates that enhancement programs should be applied cautiously, especially for small populations. Moreover, it underlines the need for temporal analyses, which may contribute to the evaluation of previous management policies and to future decision making.</v>
      </c>
      <c r="C236" s="24" t="str">
        <f>IFERROR(__xludf.DUMMYFUNCTION("""COMPUTED_VALUE"""),"10.1007/s10592-011-0231-z")</f>
        <v>10.1007/s10592-011-0231-z</v>
      </c>
      <c r="D236" s="24" t="str">
        <f>IFERROR(__xludf.DUMMYFUNCTION("""COMPUTED_VALUE"""),"shaw et al")</f>
        <v>shaw et al</v>
      </c>
      <c r="E236" s="24" t="str">
        <f>IFERROR(__xludf.DUMMYFUNCTION("""COMPUTED_VALUE"""),"WOS:000294799600014")</f>
        <v>WOS:000294799600014</v>
      </c>
      <c r="F236" s="24" t="str">
        <f>IFERROR(__xludf.DUMMYFUNCTION("""COMPUTED_VALUE"""),"[""ELIGIBLE""]")</f>
        <v>["ELIGIBLE"]</v>
      </c>
    </row>
    <row r="237">
      <c r="A237" s="24" t="str">
        <f>IFERROR(__xludf.DUMMYFUNCTION("""COMPUTED_VALUE"""),"Fragmentation by weirs in a riverine system: A study of genetic variation in time and space among populations of European grayling (Thymallus thymallus) in a Danish river system")</f>
        <v>Fragmentation by weirs in a riverine system: A study of genetic variation in time and space among populations of European grayling (Thymallus thymallus) in a Danish river system</v>
      </c>
      <c r="B237" s="24" t="str">
        <f>IFERROR(__xludf.DUMMYFUNCTION("""COMPUTED_VALUE"""),"Human induced habitat alterations affect the genetic structure of many fish populations. Weirs in particular have caused fragmented populations previously connected by gene-flow. We studied the effects of weirs on the distribution of genetic variation wit"&amp;"hin European grayling (Thymallus thymallus) populations from the Skjern River, Denmark. We compared microsatellite data from DNA extracted from historic scale samples collected 60 years ago with data from contemporary samples. Pairwise multilocus F-ST est"&amp;"imates between all contemporary population samples were significant as well as exact tests for population differentiation. Assignment tests of individuals to a set of baseline samples showed correct assignment to the population of origin of between 54 and"&amp;" 79%. Assignment of individuals from recent samples to the historic population samples showed highly variable results (3-83%) of correct assignment suggesting different population histories. Pairwise multilocus F-ST estimates were significantly correlated"&amp;" with the number of intervening weirs but not with waterway distance. A simulation procedure was used to estimate differences in relative population sizes, which indicated that the main river population was approximately three times larger than those of t"&amp;"he tributaries. There were no signs of any loss of genetic variation for the river system as a whole during these 60 years. The results show that weirs can be an important factor for creating the current distribution patterns of genetic variation among gr"&amp;"ayling populations, most likely by only allowing passive downstream drift of fry and obstructing active upstream migration.")</f>
        <v>Human induced habitat alterations affect the genetic structure of many fish populations. Weirs in particular have caused fragmented populations previously connected by gene-flow. We studied the effects of weirs on the distribution of genetic variation within European grayling (Thymallus thymallus) populations from the Skjern River, Denmark. We compared microsatellite data from DNA extracted from historic scale samples collected 60 years ago with data from contemporary samples. Pairwise multilocus F-ST estimates between all contemporary population samples were significant as well as exact tests for population differentiation. Assignment tests of individuals to a set of baseline samples showed correct assignment to the population of origin of between 54 and 79%. Assignment of individuals from recent samples to the historic population samples showed highly variable results (3-83%) of correct assignment suggesting different population histories. Pairwise multilocus F-ST estimates were significantly correlated with the number of intervening weirs but not with waterway distance. A simulation procedure was used to estimate differences in relative population sizes, which indicated that the main river population was approximately three times larger than those of the tributaries. There were no signs of any loss of genetic variation for the river system as a whole during these 60 years. The results show that weirs can be an important factor for creating the current distribution patterns of genetic variation among grayling populations, most likely by only allowing passive downstream drift of fry and obstructing active upstream migration.</v>
      </c>
      <c r="C237" s="24" t="str">
        <f>IFERROR(__xludf.DUMMYFUNCTION("""COMPUTED_VALUE"""),"10.1023/B:COGE.0000006115.14106.de")</f>
        <v>10.1023/B:COGE.0000006115.14106.de</v>
      </c>
      <c r="D237" s="24" t="str">
        <f>IFERROR(__xludf.DUMMYFUNCTION("""COMPUTED_VALUE"""),"shaw et al")</f>
        <v>shaw et al</v>
      </c>
      <c r="E237" s="24" t="str">
        <f>IFERROR(__xludf.DUMMYFUNCTION("""COMPUTED_VALUE"""),"WOS:000186895000007")</f>
        <v>WOS:000186895000007</v>
      </c>
      <c r="F237" s="24" t="str">
        <f>IFERROR(__xludf.DUMMYFUNCTION("""COMPUTED_VALUE"""),"[""ELIGIBLE""]")</f>
        <v>["ELIGIBLE"]</v>
      </c>
    </row>
    <row r="238">
      <c r="A238" s="24" t="str">
        <f>IFERROR(__xludf.DUMMYFUNCTION("""COMPUTED_VALUE"""),"The Use of Genetics for the Management of a Recovering Population: Temporal Assessment of Migratory Peregrine Falcons in North America")</f>
        <v>The Use of Genetics for the Management of a Recovering Population: Temporal Assessment of Migratory Peregrine Falcons in North America</v>
      </c>
      <c r="B238" s="24" t="str">
        <f>IFERROR(__xludf.DUMMYFUNCTION("""COMPUTED_VALUE"""),"Background: Our ability to monitor populations or species that were once threatened or endangered and in the process of recovery is enhanced by using genetic methods to assess overall population stability and size over time. This can be accomplished most "&amp;"directly by obtaining genetic measures from temporally-spaced samples that reflect the overall stability of the population as given by changes in genetic diversity levels (allelic richness and heterozygosity), degree of population differentiation (F-ST an"&amp;"d D-EST), and effective population size (Ne). The primary goal of any recovery effort is to produce a long-term self-sustaining population, and these genetic measures provide a metric by which we can gauge our progress and help make important management d"&amp;"ecisions. Methodology/Principal Findings: The peregrine falcon in North America (Falco peregrinus tundrius and anatum) was delisted in 1994 and 1999, respectively, and its abundance will be monitored by the species Recovery Team every three years until 20"&amp;"15. Although the United States Fish and Wildlife Service makes a distinction between tundrius and anatum subspecies, our genetic results based on eleven microsatellite loci suggest limited differentiation that can be attributed to an isolation by distance"&amp;" relationship and warrant no delineation of these two subspecies in its northern latitudinal distribution from Alaska through Canada into Greenland. Using temporal samples collected at Padre Island, Texas during migration (seven temporal time periods betw"&amp;"een 1985-2007), no significant differences in genetic diversity or significant population differentiation in allele frequencies between time periods were observed and were indistinguishable from those obtained from tundrius/anatum breeding locations throu"&amp;"ghout their northern distribution. Estimates of harmonic mean Ne were variable and imprecise, but always greater than 500 when employing multiple temporal genetic methods. Conclusions/Significance: These results, including those from simulations to assess"&amp;" the power of each method to estimate Ne, suggest a stable or growing population, which is consistent with ongoing field-based monitoring surveys. Therefore, historic and continuing efforts to prevent the extinction of the peregrine falcon in North Americ"&amp;"a appear successful with no indication of recent decline, at least from the northern latitude range-wide perspective. The results also further highlight the importance of archiving samples and their use for continual assessment of population recovery and "&amp;"long-term viability.")</f>
        <v>Background: Our ability to monitor populations or species that were once threatened or endangered and in the process of recovery is enhanced by using genetic methods to assess overall population stability and size over time. This can be accomplished most directly by obtaining genetic measures from temporally-spaced samples that reflect the overall stability of the population as given by changes in genetic diversity levels (allelic richness and heterozygosity), degree of population differentiation (F-ST and D-EST), and effective population size (Ne). The primary goal of any recovery effort is to produce a long-term self-sustaining population, and these genetic measures provide a metric by which we can gauge our progress and help make important management decisions. Methodology/Principal Findings: The peregrine falcon in North America (Falco peregrinus tundrius and anatum) was delisted in 1994 and 1999, respectively, and its abundance will be monitored by the species Recovery Team every three years until 2015. Although the United States Fish and Wildlife Service makes a distinction between tundrius and anatum subspecies, our genetic results based on eleven microsatellite loci suggest limited differentiation that can be attributed to an isolation by distance relationship and warrant no delineation of these two subspecies in its northern latitudinal distribution from Alaska through Canada into Greenland. Using temporal samples collected at Padre Island, Texas during migration (seven temporal time periods between 1985-2007), no significant differences in genetic diversity or significant population differentiation in allele frequencies between time periods were observed and were indistinguishable from those obtained from tundrius/anatum breeding locations throughout their northern distribution. Estimates of harmonic mean Ne were variable and imprecise, but always greater than 500 when employing multiple temporal genetic methods. Conclusions/Significance: These results, including those from simulations to assess the power of each method to estimate Ne, suggest a stable or growing population, which is consistent with ongoing field-based monitoring surveys. Therefore, historic and continuing efforts to prevent the extinction of the peregrine falcon in North America appear successful with no indication of recent decline, at least from the northern latitude range-wide perspective. The results also further highlight the importance of archiving samples and their use for continual assessment of population recovery and long-term viability.</v>
      </c>
      <c r="C238" s="24" t="str">
        <f>IFERROR(__xludf.DUMMYFUNCTION("""COMPUTED_VALUE"""),"10.1371/journal.pone.0014042")</f>
        <v>10.1371/journal.pone.0014042</v>
      </c>
      <c r="D238" s="24" t="str">
        <f>IFERROR(__xludf.DUMMYFUNCTION("""COMPUTED_VALUE"""),"shaw et al")</f>
        <v>shaw et al</v>
      </c>
      <c r="E238" s="24" t="str">
        <f>IFERROR(__xludf.DUMMYFUNCTION("""COMPUTED_VALUE"""),"WOS:000284356900005")</f>
        <v>WOS:000284356900005</v>
      </c>
      <c r="F238" s="24" t="str">
        <f>IFERROR(__xludf.DUMMYFUNCTION("""COMPUTED_VALUE"""),"[""ELIGIBLE""]")</f>
        <v>["ELIGIBLE"]</v>
      </c>
    </row>
    <row r="239">
      <c r="A239" s="24" t="str">
        <f>IFERROR(__xludf.DUMMYFUNCTION("""COMPUTED_VALUE"""),"Genetic analysis of tuna populations, Thunnus thynnus thynnus and T-alalunga")</f>
        <v>Genetic analysis of tuna populations, Thunnus thynnus thynnus and T-alalunga</v>
      </c>
      <c r="B239" s="24" t="str">
        <f>IFERROR(__xludf.DUMMYFUNCTION("""COMPUTED_VALUE"""),"The genetic population structures of Atlantic northern bluefin tuna (Thunnus thynnus thynnus) and albacore (T. alalunga) were examined using allozyme analysis. A total of 822 Atlantic northern bluefin tuna from 18 different samples (16 Mediterranean, 1 Ea"&amp;"st Atlantic, 1 West Atlantic) and 188 albacore from 5 samples (4 Mediterranean, 1 East Atlantic) were surveyed for genetic variation in 37 loci. Polymorphism and heterozygosity reveal a moderate level of genetic variability, with only two highly polymorph"&amp;"ic loci in both Atlantic northern bluefin tuna (FH* and SOD-1*) and albacore (GPI-3* and XDH*). The level of population differentiation found for Atlantic northern bluefin tuna and albacore fits the pattern that has generally been observed in tunas, with "&amp;"genetic differences on a broad rather than a more local scale. For Atlantic northern bluefin tuna, no spatial or temporal genetic heterogeneity was observed within the Mediterranean Sea or between the East Atlantic and Mediterranean, indicating the existe"&amp;"nce of a single genetic grouping on the eastern side of the Atlantic Ocean. Very limited genetic differentiation was found between West Atlantic and East Atlantic/Mediterranean northern bluefin tuna, mainly due to an inversion of SOD-1* allele frequencies"&amp;". Regarding albacore, no genetic heterogeneity was observed within the Mediterranean Sea or between Mediterranean and Azores samples, suggesting the existence of a single gene pool in this area.")</f>
        <v>The genetic population structures of Atlantic northern bluefin tuna (Thunnus thynnus thynnus) and albacore (T. alalunga) were examined using allozyme analysis. A total of 822 Atlantic northern bluefin tuna from 18 different samples (16 Mediterranean, 1 East Atlantic, 1 West Atlantic) and 188 albacore from 5 samples (4 Mediterranean, 1 East Atlantic) were surveyed for genetic variation in 37 loci. Polymorphism and heterozygosity reveal a moderate level of genetic variability, with only two highly polymorphic loci in both Atlantic northern bluefin tuna (FH* and SOD-1*) and albacore (GPI-3* and XDH*). The level of population differentiation found for Atlantic northern bluefin tuna and albacore fits the pattern that has generally been observed in tunas, with genetic differences on a broad rather than a more local scale. For Atlantic northern bluefin tuna, no spatial or temporal genetic heterogeneity was observed within the Mediterranean Sea or between the East Atlantic and Mediterranean, indicating the existence of a single genetic grouping on the eastern side of the Atlantic Ocean. Very limited genetic differentiation was found between West Atlantic and East Atlantic/Mediterranean northern bluefin tuna, mainly due to an inversion of SOD-1* allele frequencies. Regarding albacore, no genetic heterogeneity was observed within the Mediterranean Sea or between Mediterranean and Azores samples, suggesting the existence of a single gene pool in this area.</v>
      </c>
      <c r="C239" s="24" t="str">
        <f>IFERROR(__xludf.DUMMYFUNCTION("""COMPUTED_VALUE"""),"10.1007/s00227-003-1080-1")</f>
        <v>10.1007/s00227-003-1080-1</v>
      </c>
      <c r="D239" s="24" t="str">
        <f>IFERROR(__xludf.DUMMYFUNCTION("""COMPUTED_VALUE"""),"shaw et al")</f>
        <v>shaw et al</v>
      </c>
      <c r="E239" s="24" t="str">
        <f>IFERROR(__xludf.DUMMYFUNCTION("""COMPUTED_VALUE"""),"WOS:000185672200021")</f>
        <v>WOS:000185672200021</v>
      </c>
      <c r="F239" s="24" t="str">
        <f>IFERROR(__xludf.DUMMYFUNCTION("""COMPUTED_VALUE"""),"[""ELIGIBLE""]")</f>
        <v>["ELIGIBLE"]</v>
      </c>
    </row>
    <row r="240">
      <c r="A240" s="24" t="str">
        <f>IFERROR(__xludf.DUMMYFUNCTION("""COMPUTED_VALUE"""),"Genetic restoration in the eastern collared lizard under prescribed woodland burning")</f>
        <v>Genetic restoration in the eastern collared lizard under prescribed woodland burning</v>
      </c>
      <c r="B240" s="24" t="str">
        <f>IFERROR(__xludf.DUMMYFUNCTION("""COMPUTED_VALUE"""),"Eastern collared lizards of the Ozarks live in gladesopen, rocky habitats embedded in a woodland matrix. Past fire suppression had made the woodlands a barrier to dispersal, leading to habitat destruction, fragmentation and local extinction. Reintroduced "&amp;"populations of lizards were subjected to 10years of habitat fragmentation under continued fire suppression followed by twelve years of landscape restoration with prescribed burns. Prior to prescribed burning, genetic diversity decreased within glades and "&amp;"differentiation increased among glades. With woodland burning, genetic diversity within glades first decreased during an expanding colonization phase, but then increased as a dynamically stable metapopulation was established. Population differentiation am"&amp;"ong glades also stabilized in the metapopulation under weak isolation-by-distance. This study is one of the first to examine the genetic changes in a species of conservation concern throughout all the stages of decline and recovery and shows the importanc"&amp;"e of landscape-level restoration for maintaining the genetic integrity of populations. This study also demonstrates how mark-recapture and genetic data together can yield detailed insight into metapopulation dynamics that would be impossible from just one"&amp;" type of data alone.")</f>
        <v>Eastern collared lizards of the Ozarks live in gladesopen, rocky habitats embedded in a woodland matrix. Past fire suppression had made the woodlands a barrier to dispersal, leading to habitat destruction, fragmentation and local extinction. Reintroduced populations of lizards were subjected to 10years of habitat fragmentation under continued fire suppression followed by twelve years of landscape restoration with prescribed burns. Prior to prescribed burning, genetic diversity decreased within glades and differentiation increased among glades. With woodland burning, genetic diversity within glades first decreased during an expanding colonization phase, but then increased as a dynamically stable metapopulation was established. Population differentiation among glades also stabilized in the metapopulation under weak isolation-by-distance. This study is one of the first to examine the genetic changes in a species of conservation concern throughout all the stages of decline and recovery and shows the importance of landscape-level restoration for maintaining the genetic integrity of populations. This study also demonstrates how mark-recapture and genetic data together can yield detailed insight into metapopulation dynamics that would be impossible from just one type of data alone.</v>
      </c>
      <c r="C240" s="24" t="str">
        <f>IFERROR(__xludf.DUMMYFUNCTION("""COMPUTED_VALUE"""),"10.1111/mec.12306")</f>
        <v>10.1111/mec.12306</v>
      </c>
      <c r="D240" s="24" t="str">
        <f>IFERROR(__xludf.DUMMYFUNCTION("""COMPUTED_VALUE"""),"shaw et al")</f>
        <v>shaw et al</v>
      </c>
      <c r="E240" s="24" t="str">
        <f>IFERROR(__xludf.DUMMYFUNCTION("""COMPUTED_VALUE"""),"WOS:000321552800004")</f>
        <v>WOS:000321552800004</v>
      </c>
      <c r="F240" s="24" t="str">
        <f>IFERROR(__xludf.DUMMYFUNCTION("""COMPUTED_VALUE"""),"[""ELIGIBLE""]")</f>
        <v>["ELIGIBLE"]</v>
      </c>
    </row>
    <row r="241">
      <c r="A241" s="24" t="str">
        <f>IFERROR(__xludf.DUMMYFUNCTION("""COMPUTED_VALUE"""),"Long-term stability and effective population size in North Sea and Baltic Sea cod (Gadus morhua)")</f>
        <v>Long-term stability and effective population size in North Sea and Baltic Sea cod (Gadus morhua)</v>
      </c>
      <c r="B241" s="24" t="str">
        <f>IFERROR(__xludf.DUMMYFUNCTION("""COMPUTED_VALUE"""),"DNA from archived otoliths was used to explore the temporal stability of the genetic composition of two cod populations, the Moray Firth (North Sea) sampled in 1965 and 2002, and the Bornholm Basin (Baltic Sea) sampled in 1928 and 1997. We found no signif"&amp;"icant changes in the allele frequencies for the Moray Firth population, while subtle but significant genetic changes over time were detected for the Bornholm Basin population. Estimates of the effective population size (N-e) generally exceeded 500 for bot"&amp;"h populations when employing a number of varieties of the temporal genetic method. However, confidence intervals were very wide and N-e's most likely range in the thousands. There was no apparent loss of genetic variability and no evidence of a genetic bo"&amp;"ttleneck for either of the populations. Calculations of the expected levels of genetic variability under different scenarios of N-e showed that the number of alleles commonly reported at microsatellite loci in Atlantic cod is best explained by N-e's excee"&amp;"ding thousand. Recent fishery-induced bottlenecks can, however, not be ruled out as an explanation for the apparent discrepancy between high levels of variability and recently reported estimates of N-e &lt;&lt; 1000. From life history traits and estimates of su"&amp;"rvival rates in the wild, we evaluate the compatibility of the species' biology and extremely low N-e/N ratios. Our data suggest that very small N-e's are not likely to be of general concern for cod populations and, accordingly, most populations do not fa"&amp;"ce any severe threat of losing evolutionary potential due to genetic drift.")</f>
        <v>DNA from archived otoliths was used to explore the temporal stability of the genetic composition of two cod populations, the Moray Firth (North Sea) sampled in 1965 and 2002, and the Bornholm Basin (Baltic Sea) sampled in 1928 and 1997. We found no significant changes in the allele frequencies for the Moray Firth population, while subtle but significant genetic changes over time were detected for the Bornholm Basin population. Estimates of the effective population size (N-e) generally exceeded 500 for both populations when employing a number of varieties of the temporal genetic method. However, confidence intervals were very wide and N-e's most likely range in the thousands. There was no apparent loss of genetic variability and no evidence of a genetic bottleneck for either of the populations. Calculations of the expected levels of genetic variability under different scenarios of N-e showed that the number of alleles commonly reported at microsatellite loci in Atlantic cod is best explained by N-e's exceeding thousand. Recent fishery-induced bottlenecks can, however, not be ruled out as an explanation for the apparent discrepancy between high levels of variability and recently reported estimates of N-e &lt;&lt; 1000. From life history traits and estimates of survival rates in the wild, we evaluate the compatibility of the species' biology and extremely low N-e/N ratios. Our data suggest that very small N-e's are not likely to be of general concern for cod populations and, accordingly, most populations do not face any severe threat of losing evolutionary potential due to genetic drift.</v>
      </c>
      <c r="C241" s="24" t="str">
        <f>IFERROR(__xludf.DUMMYFUNCTION("""COMPUTED_VALUE"""),"10.1111/j.1365-294X.2005.02777.x")</f>
        <v>10.1111/j.1365-294X.2005.02777.x</v>
      </c>
      <c r="D241" s="24" t="str">
        <f>IFERROR(__xludf.DUMMYFUNCTION("""COMPUTED_VALUE"""),"shaw et al")</f>
        <v>shaw et al</v>
      </c>
      <c r="E241" s="24" t="str">
        <f>IFERROR(__xludf.DUMMYFUNCTION("""COMPUTED_VALUE"""),"WOS:000235045500003")</f>
        <v>WOS:000235045500003</v>
      </c>
      <c r="F241" s="24" t="str">
        <f>IFERROR(__xludf.DUMMYFUNCTION("""COMPUTED_VALUE"""),"[""ELIGIBLE""]")</f>
        <v>["ELIGIBLE"]</v>
      </c>
    </row>
    <row r="242">
      <c r="A242" s="24" t="str">
        <f>IFERROR(__xludf.DUMMYFUNCTION("""COMPUTED_VALUE"""),"Molecular genetic analysis of a captive-breeding program: the vulnerable endemic Jamaican yellow boa")</f>
        <v>Molecular genetic analysis of a captive-breeding program: the vulnerable endemic Jamaican yellow boa</v>
      </c>
      <c r="B242" s="24" t="str">
        <f>IFERROR(__xludf.DUMMYFUNCTION("""COMPUTED_VALUE"""),"The endemic Jamaican boa (or yellow boa, Epicrates subflavus) is a vulnerable species of the Caribbean biodiversity hotspot whose natural populations greatly declined mainly due to predation by introduced species, human persecution, and habitat destructio"&amp;"n. A captive breeding program was initiated in 1976 and rationalized in 2002 by the establishment of a European Endangered Species Program. During the last 30 years, more than 600 offspring, of which 80 are still alive today, have been produced and distri"&amp;"buted among European host institutions and privates. Here, using nine nuclear microsatellite loci and a fragment of the mitochondrial cytochrome b gene, we (i) determine the natural population from which the founders originate, (ii) identify parental allo"&amp;"cation errors and ambiguities in the studbook, and (iii) assess the genetic diversity and estimate levels of inbreeding of the current captive population based on loss of alleles, variance in reproductive success, and relatedness among individuals. Combin"&amp;"ing measures of relatedness derived from multilocus genotypes with practical parameters such as age of animals and localization of host institutions, we propose mating groups that would maximize genetic diversity in the captive population of the Jamaican "&amp;"boa. Our analyses provide guidance for a more efficient breeding program that, in turn, could be used as the starting point of a repatriation program to increase the probability of the species long-term survival.")</f>
        <v>The endemic Jamaican boa (or yellow boa, Epicrates subflavus) is a vulnerable species of the Caribbean biodiversity hotspot whose natural populations greatly declined mainly due to predation by introduced species, human persecution, and habitat destruction. A captive breeding program was initiated in 1976 and rationalized in 2002 by the establishment of a European Endangered Species Program. During the last 30 years, more than 600 offspring, of which 80 are still alive today, have been produced and distributed among European host institutions and privates. Here, using nine nuclear microsatellite loci and a fragment of the mitochondrial cytochrome b gene, we (i) determine the natural population from which the founders originate, (ii) identify parental allocation errors and ambiguities in the studbook, and (iii) assess the genetic diversity and estimate levels of inbreeding of the current captive population based on loss of alleles, variance in reproductive success, and relatedness among individuals. Combining measures of relatedness derived from multilocus genotypes with practical parameters such as age of animals and localization of host institutions, we propose mating groups that would maximize genetic diversity in the captive population of the Jamaican boa. Our analyses provide guidance for a more efficient breeding program that, in turn, could be used as the starting point of a repatriation program to increase the probability of the species long-term survival.</v>
      </c>
      <c r="C242" s="24" t="str">
        <f>IFERROR(__xludf.DUMMYFUNCTION("""COMPUTED_VALUE"""),"10.1007/s10592-008-9519-z")</f>
        <v>10.1007/s10592-008-9519-z</v>
      </c>
      <c r="D242" s="24" t="str">
        <f>IFERROR(__xludf.DUMMYFUNCTION("""COMPUTED_VALUE"""),"shaw et al")</f>
        <v>shaw et al</v>
      </c>
      <c r="E242" s="24" t="str">
        <f>IFERROR(__xludf.DUMMYFUNCTION("""COMPUTED_VALUE"""),"WOS:000263865100006")</f>
        <v>WOS:000263865100006</v>
      </c>
      <c r="F242" s="24" t="str">
        <f>IFERROR(__xludf.DUMMYFUNCTION("""COMPUTED_VALUE"""),"[""ELIGIBLE""]")</f>
        <v>["ELIGIBLE"]</v>
      </c>
    </row>
    <row r="243">
      <c r="A243" s="24" t="str">
        <f>IFERROR(__xludf.DUMMYFUNCTION("""COMPUTED_VALUE"""),"Temporal changes in allele frequencies and low effective population size in greater prairie-chickens")</f>
        <v>Temporal changes in allele frequencies and low effective population size in greater prairie-chickens</v>
      </c>
      <c r="B243" s="24" t="str">
        <f>IFERROR(__xludf.DUMMYFUNCTION("""COMPUTED_VALUE"""),"The number of greater prairie-chickens in Wisconsin has decreased by 91% since 1932. The current population of approximately 1500 birds exists primarily in four isolated management areas. In previous studies of the Wisconsin populations we documented low "&amp;"levels of genetic variation at microsatellite loci and the mitochondrial DNA control region. Here we investigate changes in genetic structure between the four management areas in Wisconsin over the last 50 years. We estimated the harmonic mean effective p"&amp;"opulation size (N-e) over the last 50 years by comparing allele frequencies from the early 1950s with those from contemporary samples. Using a pseudo-likelihood approach that accounted for migration, estimates of N-e (15-32 prairie-chickens within each ma"&amp;"nagement area) were 10 times lower than census numbers from booming-ground counts. These low estimates of N-e are consistent with increased habitat fragmentation and an increase in genetic isolation between management areas over the last 50 years. The red"&amp;"uction of gene flow between areas has reduced N-e, increased genetic drift and, consequently, reduced genetic variation. These results have immediate consequences for the conservation of the prairie-chicken, and highlight the importance of how mating syst"&amp;"ems and limited dispersal may exacerbate the loss of genetic variation in fragmented populations.")</f>
        <v>The number of greater prairie-chickens in Wisconsin has decreased by 91% since 1932. The current population of approximately 1500 birds exists primarily in four isolated management areas. In previous studies of the Wisconsin populations we documented low levels of genetic variation at microsatellite loci and the mitochondrial DNA control region. Here we investigate changes in genetic structure between the four management areas in Wisconsin over the last 50 years. We estimated the harmonic mean effective population size (N-e) over the last 50 years by comparing allele frequencies from the early 1950s with those from contemporary samples. Using a pseudo-likelihood approach that accounted for migration, estimates of N-e (15-32 prairie-chickens within each management area) were 10 times lower than census numbers from booming-ground counts. These low estimates of N-e are consistent with increased habitat fragmentation and an increase in genetic isolation between management areas over the last 50 years. The reduction of gene flow between areas has reduced N-e, increased genetic drift and, consequently, reduced genetic variation. These results have immediate consequences for the conservation of the prairie-chicken, and highlight the importance of how mating systems and limited dispersal may exacerbate the loss of genetic variation in fragmented populations.</v>
      </c>
      <c r="C243" s="24" t="str">
        <f>IFERROR(__xludf.DUMMYFUNCTION("""COMPUTED_VALUE"""),"10.1111/j.1365-294X.2004.02264.x")</f>
        <v>10.1111/j.1365-294X.2004.02264.x</v>
      </c>
      <c r="D243" s="24" t="str">
        <f>IFERROR(__xludf.DUMMYFUNCTION("""COMPUTED_VALUE"""),"shaw et al")</f>
        <v>shaw et al</v>
      </c>
      <c r="E243" s="24" t="str">
        <f>IFERROR(__xludf.DUMMYFUNCTION("""COMPUTED_VALUE"""),"WOS:000223291200010")</f>
        <v>WOS:000223291200010</v>
      </c>
      <c r="F243" s="24" t="str">
        <f>IFERROR(__xludf.DUMMYFUNCTION("""COMPUTED_VALUE"""),"[""ELIGIBLE""]")</f>
        <v>["ELIGIBLE"]</v>
      </c>
    </row>
    <row r="244">
      <c r="A244" s="24" t="str">
        <f>IFERROR(__xludf.DUMMYFUNCTION("""COMPUTED_VALUE"""),"Isotopic and genetic evidence for culturally inherited site fidelity to feeding grounds in southern right whales (Eubalaena australis)")</f>
        <v>Isotopic and genetic evidence for culturally inherited site fidelity to feeding grounds in southern right whales (Eubalaena australis)</v>
      </c>
      <c r="B244" s="24" t="str">
        <f>IFERROR(__xludf.DUMMYFUNCTION("""COMPUTED_VALUE"""),"Ocean warming will undoubtedly affect the migratory patterns of many marine species, but specific changes can be predicted only where behavioural mechanisms guiding migration are understood. Southern right whales show maternally inherited site fidelity to"&amp;" near-shore winter nursery grounds, but exactly where they feed in summer (collectively and individually) remains mysterious. They consume huge quantities of copepods and krill, and their reproductive rates respond to fluctuations in krill abundance linke"&amp;"d to El Nino Southern Oscillation (ENSO). Here we show that genetic and isotopic signatures, analysed together, indicate maternally directed site fidelity to diverse summer feeding grounds for female right whales calving at Peninsula ValdEs, Argentina. Is"&amp;"otopic values from 131 skin samples span a broad range (-23.1 to -17.2 parts per thousand delta C-13, 6.0 to 13.8 parts per thousand delta N-15) and are more similar than expected among individuals sharing the same mitochondrial haplotype. This pattern in"&amp;"dicates that calves learn summer feeding locations from their mothers, and that the timescale of culturally inherited site fidelity to feeding grounds is at least several generations. Such conservatism would be expected to limit the exploration of new fee"&amp;"ding opportunities, and may explain why this population shows increased rates of reproductive failure in years following elevated sea-surface temperature anomalies off South Georgia, the richest known feeding ground for baleen whales in the South Atlantic"&amp;".")</f>
        <v>Ocean warming will undoubtedly affect the migratory patterns of many marine species, but specific changes can be predicted only where behavioural mechanisms guiding migration are understood. Southern right whales show maternally inherited site fidelity to near-shore winter nursery grounds, but exactly where they feed in summer (collectively and individually) remains mysterious. They consume huge quantities of copepods and krill, and their reproductive rates respond to fluctuations in krill abundance linked to El Nino Southern Oscillation (ENSO). Here we show that genetic and isotopic signatures, analysed together, indicate maternally directed site fidelity to diverse summer feeding grounds for female right whales calving at Peninsula ValdEs, Argentina. Isotopic values from 131 skin samples span a broad range (-23.1 to -17.2 parts per thousand delta C-13, 6.0 to 13.8 parts per thousand delta N-15) and are more similar than expected among individuals sharing the same mitochondrial haplotype. This pattern indicates that calves learn summer feeding locations from their mothers, and that the timescale of culturally inherited site fidelity to feeding grounds is at least several generations. Such conservatism would be expected to limit the exploration of new feeding opportunities, and may explain why this population shows increased rates of reproductive failure in years following elevated sea-surface temperature anomalies off South Georgia, the richest known feeding ground for baleen whales in the South Atlantic.</v>
      </c>
      <c r="C244" s="24" t="str">
        <f>IFERROR(__xludf.DUMMYFUNCTION("""COMPUTED_VALUE"""),"10.1111/j.1365-294X.2008.04069.x")</f>
        <v>10.1111/j.1365-294X.2008.04069.x</v>
      </c>
      <c r="D244" s="24" t="str">
        <f>IFERROR(__xludf.DUMMYFUNCTION("""COMPUTED_VALUE"""),"shaw et al")</f>
        <v>shaw et al</v>
      </c>
      <c r="E244" s="24" t="str">
        <f>IFERROR(__xludf.DUMMYFUNCTION("""COMPUTED_VALUE"""),"WOS:000263521800004")</f>
        <v>WOS:000263521800004</v>
      </c>
      <c r="F244" s="24" t="str">
        <f>IFERROR(__xludf.DUMMYFUNCTION("""COMPUTED_VALUE"""),"[""ELIGIBLE""]")</f>
        <v>["ELIGIBLE"]</v>
      </c>
    </row>
    <row r="245">
      <c r="A245" s="24" t="str">
        <f>IFERROR(__xludf.DUMMYFUNCTION("""COMPUTED_VALUE"""),"Hierarchical genetic structure in fragmented populations of the Little Pocket Mouse (Perognathus longimembris) in Southern California")</f>
        <v>Hierarchical genetic structure in fragmented populations of the Little Pocket Mouse (Perognathus longimembris) in Southern California</v>
      </c>
      <c r="B245" s="24" t="str">
        <f>IFERROR(__xludf.DUMMYFUNCTION("""COMPUTED_VALUE"""),"The geographic genetic structure, based on sequence variation of an 810 base pair fragment of the mitochondrial cytochrome b gene, is described for populations of five subspecies of the Little Pocket Mouse, Perognathus longimembris, from Southern Californ"&amp;"ia. One of these, P. l. pacificus (Pacific Pocket Mouse), is listed as Endangered by the U. S. Federal Government. Sixty-two unique haplotypes were recovered from 99 individuals sampled. Phylogenetic analyses of these variants do not identify regionally r"&amp;"eciprocally monophyletic lineages concordant with the current subspecies designations, but most haplotypes group by subspecies in networks generated by either statistical parsimony or molecular variance parsimony. Moreover, a substantial proportion of the"&amp;" total pool of haplotype variation is attributed to these subspecies, or to local populations within geographic segments of each, indicating their relative evolutionary independence. The pooled extant populations of the endangered Pacific Pocket Mouse exh"&amp;"ibit the same levels of nucleotide and haplotype diversity as other, presumptively less-impacted populations of adjacent subspecies, although the sample from Dana Point, Orange County, has markedly low haplotype diversity in comparison to all others. Thes"&amp;"e populations also show a genetic signature of population expansion rather than one of decline. Both pieces of evidence are at odds with current empirical population estimates, which reinforces the fact that present-day patterns of genetic diversity are t"&amp;"he product of coalescent history and will not necessarily reflect recent anthropogenic, or other, perturbations. Comparison of haplotype variation within and among extant populations of the Pacific Pocket Mouse with those obtained from museum samples coll"&amp;"ected more than 70 years ago suggests that the pattern of population differentiation and diversity was in place before the post-World War II exponential urbanization of Southern California.")</f>
        <v>The geographic genetic structure, based on sequence variation of an 810 base pair fragment of the mitochondrial cytochrome b gene, is described for populations of five subspecies of the Little Pocket Mouse, Perognathus longimembris, from Southern California. One of these, P. l. pacificus (Pacific Pocket Mouse), is listed as Endangered by the U. S. Federal Government. Sixty-two unique haplotypes were recovered from 99 individuals sampled. Phylogenetic analyses of these variants do not identify regionally reciprocally monophyletic lineages concordant with the current subspecies designations, but most haplotypes group by subspecies in networks generated by either statistical parsimony or molecular variance parsimony. Moreover, a substantial proportion of the total pool of haplotype variation is attributed to these subspecies, or to local populations within geographic segments of each, indicating their relative evolutionary independence. The pooled extant populations of the endangered Pacific Pocket Mouse exhibit the same levels of nucleotide and haplotype diversity as other, presumptively less-impacted populations of adjacent subspecies, although the sample from Dana Point, Orange County, has markedly low haplotype diversity in comparison to all others. These populations also show a genetic signature of population expansion rather than one of decline. Both pieces of evidence are at odds with current empirical population estimates, which reinforces the fact that present-day patterns of genetic diversity are the product of coalescent history and will not necessarily reflect recent anthropogenic, or other, perturbations. Comparison of haplotype variation within and among extant populations of the Pacific Pocket Mouse with those obtained from museum samples collected more than 70 years ago suggests that the pattern of population differentiation and diversity was in place before the post-World War II exponential urbanization of Southern California.</v>
      </c>
      <c r="C245" s="24" t="str">
        <f>IFERROR(__xludf.DUMMYFUNCTION("""COMPUTED_VALUE"""),"10.1023/A:1024768831808")</f>
        <v>10.1023/A:1024768831808</v>
      </c>
      <c r="D245" s="24" t="str">
        <f>IFERROR(__xludf.DUMMYFUNCTION("""COMPUTED_VALUE"""),"shaw et al")</f>
        <v>shaw et al</v>
      </c>
      <c r="E245" s="24" t="str">
        <f>IFERROR(__xludf.DUMMYFUNCTION("""COMPUTED_VALUE"""),"WOS:000184171500008")</f>
        <v>WOS:000184171500008</v>
      </c>
      <c r="F245" s="24" t="str">
        <f>IFERROR(__xludf.DUMMYFUNCTION("""COMPUTED_VALUE"""),"[""ELIGIBLE""]")</f>
        <v>["ELIGIBLE"]</v>
      </c>
    </row>
    <row r="246">
      <c r="A246" s="24" t="str">
        <f>IFERROR(__xludf.DUMMYFUNCTION("""COMPUTED_VALUE"""),"Population structure and historical demography of the thorny skate (Amblyraja radiata, Rajidae) in the North Atlantic")</f>
        <v>Population structure and historical demography of the thorny skate (Amblyraja radiata, Rajidae) in the North Atlantic</v>
      </c>
      <c r="B246" s="24" t="str">
        <f>IFERROR(__xludf.DUMMYFUNCTION("""COMPUTED_VALUE"""),"Population genetic structure of the thorny skate (Amblyraja radiata) was surveyed in &gt; 300 individuals sampled from Newfoundland, Iceland, Norway, the Kattegat and the central North Sea. A 290-bp fragment of the mt cytochrome-b gene was first screened by "&amp;"SSCP. Sequences of SSCP haplotypes revealed 34 haplotypes, 14 of which were unique to Iceland, 3 to Newfoundland, 1 to Norway and 3 to the Kattegat. The global F-ST was weak but significant. Removal of the two Kattegat locations, which were the most diffe"&amp;"rentiated, resulted in no significant genetic differentiation. Haplotype diversity was high and evenly distributed across the entire Atlantic (h = 0.8) with the exception of the North Sea (h = 0.48). Statistical parsimony revealed a star-like genealogy wi"&amp;"th a central widespread haplotype. A subsequent nested clade analysis led to the inference of contiguous expansion with evidence for long distance dispersal between Newfoundland and Iceland. Historical demographic analysis showed that thorny skates have u"&amp;"ndergone exponential population expansion that started between 1.1 million and 690,000 years ago; and that the Last Glacial Maximum apparently had little effect. These results strongly differ from those of a parallel study of the thornback ray (Raja clava"&amp;"ta) in which clear structure and former refugial areas could be identified. Although both species have similar life history traits and overlapping ranges, the continental shelf edge apparently does not present a barrier to migration in A. radiata, as it d"&amp;"oes for R. clavata.")</f>
        <v>Population genetic structure of the thorny skate (Amblyraja radiata) was surveyed in &gt; 300 individuals sampled from Newfoundland, Iceland, Norway, the Kattegat and the central North Sea. A 290-bp fragment of the mt cytochrome-b gene was first screened by SSCP. Sequences of SSCP haplotypes revealed 34 haplotypes, 14 of which were unique to Iceland, 3 to Newfoundland, 1 to Norway and 3 to the Kattegat. The global F-ST was weak but significant. Removal of the two Kattegat locations, which were the most differentiated, resulted in no significant genetic differentiation. Haplotype diversity was high and evenly distributed across the entire Atlantic (h = 0.8) with the exception of the North Sea (h = 0.48). Statistical parsimony revealed a star-like genealogy with a central widespread haplotype. A subsequent nested clade analysis led to the inference of contiguous expansion with evidence for long distance dispersal between Newfoundland and Iceland. Historical demographic analysis showed that thorny skates have undergone exponential population expansion that started between 1.1 million and 690,000 years ago; and that the Last Glacial Maximum apparently had little effect. These results strongly differ from those of a parallel study of the thornback ray (Raja clavata) in which clear structure and former refugial areas could be identified. Although both species have similar life history traits and overlapping ranges, the continental shelf edge apparently does not present a barrier to migration in A. radiata, as it does for R. clavata.</v>
      </c>
      <c r="C246" s="24" t="str">
        <f>IFERROR(__xludf.DUMMYFUNCTION("""COMPUTED_VALUE"""),"10.1007/s00227-006-0556-1")</f>
        <v>10.1007/s00227-006-0556-1</v>
      </c>
      <c r="D246" s="24" t="str">
        <f>IFERROR(__xludf.DUMMYFUNCTION("""COMPUTED_VALUE"""),"shaw et al")</f>
        <v>shaw et al</v>
      </c>
      <c r="E246" s="24" t="str">
        <f>IFERROR(__xludf.DUMMYFUNCTION("""COMPUTED_VALUE"""),"WOS:000246099000007")</f>
        <v>WOS:000246099000007</v>
      </c>
      <c r="F246" s="24" t="str">
        <f>IFERROR(__xludf.DUMMYFUNCTION("""COMPUTED_VALUE"""),"[""ELIGIBLE""]")</f>
        <v>["ELIGIBLE"]</v>
      </c>
    </row>
    <row r="247">
      <c r="A247" s="24" t="str">
        <f>IFERROR(__xludf.DUMMYFUNCTION("""COMPUTED_VALUE"""),"The extinction of genetic resources of Asian wild rice, Oryza rufipogon Griff.: A case study in Thailand")</f>
        <v>The extinction of genetic resources of Asian wild rice, Oryza rufipogon Griff.: A case study in Thailand</v>
      </c>
      <c r="B247" s="24" t="str">
        <f>IFERROR(__xludf.DUMMYFUNCTION("""COMPUTED_VALUE"""),"Natural populations of wild rice, Oryza rufipogon Griff., are now threatened with the disturbance of their natural habitats by various human activities. To obtain basic information on genetic erosion or loss of genetic diversity in wild rice, we investiga"&amp;"ted how environmental changes of habitat affected the genetic structure of its natural population at a study site in the central plain of Thailand. During 10 years from 1985 to 1994, the wild-rice population at this site was seriously destroyed and fragme"&amp;"nted. Using two sets of seed sample collected in 1985 and 1994 from the same population, allozyme variability at 17 loci of 11 enzymes were examined. Isozyme genotypes of mother plants of seed samples were estimated by the segregation in each progeny, and"&amp;" we calculated genetic parameters for the population. Gene diversity severely decreased in the 1994 sample compared with the 1985 sample. It is supposed that declining and fragmentation of the wild rice population, which happened during the 10 years, caus"&amp;"ed loss of genetic variability and forced the habitually outbreeding plants to inbreed, accelerating a reduction in gene variability. Pgi1-1 allele which was common in Indica rice cultivars of this region was found in the wild rice plants growing at the s"&amp;"ide of rice fields. Probably, introgression has occurred between wild and cultivated rice plants, and consequently the intrinsic nature of wild rice was gradually blurred by cultivar genes. We must realize that the genetic erosion of wild rice is rapidly "&amp;"proceeding and that an action for their conservation in natural environment, so called in situ conservation, is urgently needed.")</f>
        <v>Natural populations of wild rice, Oryza rufipogon Griff., are now threatened with the disturbance of their natural habitats by various human activities. To obtain basic information on genetic erosion or loss of genetic diversity in wild rice, we investigated how environmental changes of habitat affected the genetic structure of its natural population at a study site in the central plain of Thailand. During 10 years from 1985 to 1994, the wild-rice population at this site was seriously destroyed and fragmented. Using two sets of seed sample collected in 1985 and 1994 from the same population, allozyme variability at 17 loci of 11 enzymes were examined. Isozyme genotypes of mother plants of seed samples were estimated by the segregation in each progeny, and we calculated genetic parameters for the population. Gene diversity severely decreased in the 1994 sample compared with the 1985 sample. It is supposed that declining and fragmentation of the wild rice population, which happened during the 10 years, caused loss of genetic variability and forced the habitually outbreeding plants to inbreed, accelerating a reduction in gene variability. Pgi1-1 allele which was common in Indica rice cultivars of this region was found in the wild rice plants growing at the side of rice fields. Probably, introgression has occurred between wild and cultivated rice plants, and consequently the intrinsic nature of wild rice was gradually blurred by cultivar genes. We must realize that the genetic erosion of wild rice is rapidly proceeding and that an action for their conservation in natural environment, so called in situ conservation, is urgently needed.</v>
      </c>
      <c r="C247" s="24" t="str">
        <f>IFERROR(__xludf.DUMMYFUNCTION("""COMPUTED_VALUE"""),"10.1023/A:1008622405001")</f>
        <v>10.1023/A:1008622405001</v>
      </c>
      <c r="D247" s="24" t="str">
        <f>IFERROR(__xludf.DUMMYFUNCTION("""COMPUTED_VALUE"""),"shaw et al")</f>
        <v>shaw et al</v>
      </c>
      <c r="E247" s="24" t="str">
        <f>IFERROR(__xludf.DUMMYFUNCTION("""COMPUTED_VALUE"""),"WOS:000081293700012")</f>
        <v>WOS:000081293700012</v>
      </c>
      <c r="F247" s="24" t="str">
        <f>IFERROR(__xludf.DUMMYFUNCTION("""COMPUTED_VALUE"""),"[""ELIGIBLE""]")</f>
        <v>["ELIGIBLE"]</v>
      </c>
    </row>
    <row r="248">
      <c r="A248" s="24" t="str">
        <f>IFERROR(__xludf.DUMMYFUNCTION("""COMPUTED_VALUE"""),"Effect of farmers' seed selection on genetic variation of a landrace population of pepper (Capsicum annuum L.), grown in North-West Italy")</f>
        <v>Effect of farmers' seed selection on genetic variation of a landrace population of pepper (Capsicum annuum L.), grown in North-West Italy</v>
      </c>
      <c r="B248" s="24" t="str">
        <f>IFERROR(__xludf.DUMMYFUNCTION("""COMPUTED_VALUE"""),"Recognition by the European Community of elite landraces encourages farmers to grow these and earn more than is possible by growing modern varieties. However, farmers often exercise strong selection by collecting seed from a limited number of plants which"&amp;" best embody a few characters of prime interest. This, in the long run, may be responsible for considerable genetic erosion. In Southern Piedmont, North-West Italy, a local landrace of pepper ( Capsicum annuum L.) known as 'Cuneo' is grown; it deserves pa"&amp;"rticular attention because of its hardiness, late production and fruit quality. We used random amplified polymorphic DNA ( RAPD) and amplified fragment length polymorphism (AFLP) markers to assess the effect, on genetic composition of a population, of see"&amp;"d sampling carried out using the selection criteria adopted by the farmer. After two reproductive cycles using selection, it was already possible to detect loss in genetic variation and a change in allele frequencies, while no significant effect was found"&amp;" after two cycles of random sampling. Over this period, farmer selection pressure led to disappearance of eight low-frequency alleles, while only three alleles were lost in randomly sampled populations. Our results stress the need to adopt appropriate tec"&amp;"hniques for seed sampling in order to avoid genetic erosion of local landrace 'gene pools'.")</f>
        <v>Recognition by the European Community of elite landraces encourages farmers to grow these and earn more than is possible by growing modern varieties. However, farmers often exercise strong selection by collecting seed from a limited number of plants which best embody a few characters of prime interest. This, in the long run, may be responsible for considerable genetic erosion. In Southern Piedmont, North-West Italy, a local landrace of pepper ( Capsicum annuum L.) known as 'Cuneo' is grown; it deserves particular attention because of its hardiness, late production and fruit quality. We used random amplified polymorphic DNA ( RAPD) and amplified fragment length polymorphism (AFLP) markers to assess the effect, on genetic composition of a population, of seed sampling carried out using the selection criteria adopted by the farmer. After two reproductive cycles using selection, it was already possible to detect loss in genetic variation and a change in allele frequencies, while no significant effect was found after two cycles of random sampling. Over this period, farmer selection pressure led to disappearance of eight low-frequency alleles, while only three alleles were lost in randomly sampled populations. Our results stress the need to adopt appropriate techniques for seed sampling in order to avoid genetic erosion of local landrace 'gene pools'.</v>
      </c>
      <c r="C248" s="24" t="str">
        <f>IFERROR(__xludf.DUMMYFUNCTION("""COMPUTED_VALUE"""),"10.1023/B:GRES.0000024648.48164.c3")</f>
        <v>10.1023/B:GRES.0000024648.48164.c3</v>
      </c>
      <c r="D248" s="24" t="str">
        <f>IFERROR(__xludf.DUMMYFUNCTION("""COMPUTED_VALUE"""),"shaw et al")</f>
        <v>shaw et al</v>
      </c>
      <c r="E248" s="24" t="str">
        <f>IFERROR(__xludf.DUMMYFUNCTION("""COMPUTED_VALUE"""),"WOS:000220927800003")</f>
        <v>WOS:000220927800003</v>
      </c>
      <c r="F248" s="24" t="str">
        <f>IFERROR(__xludf.DUMMYFUNCTION("""COMPUTED_VALUE"""),"[""ELIGIBLE""]")</f>
        <v>["ELIGIBLE"]</v>
      </c>
    </row>
    <row r="249">
      <c r="A249" s="24" t="str">
        <f>IFERROR(__xludf.DUMMYFUNCTION("""COMPUTED_VALUE"""),"Present and past microsatellite variation and assessment of genetic structure in Eurasian badger (Meles meles) in Denmark")</f>
        <v>Present and past microsatellite variation and assessment of genetic structure in Eurasian badger (Meles meles) in Denmark</v>
      </c>
      <c r="B249" s="24" t="str">
        <f>IFERROR(__xludf.DUMMYFUNCTION("""COMPUTED_VALUE"""),"During the past 50 years the number of badgers (Meles meles) in Denmark has declined by c. 50%. To assess the genetic consequences of the demographic decline, six DNA-microsatellite loci were used to analyse 139 badger tissue-samples, which were collected"&amp;" in 1995-98 from three zones (1, 2 and 3) in Jutland (Denmark). Results from contemporary samples were compared to data obtained from DNA extracted from teeth belonging to 39 badgers collected from zones 1 and 2 in 1957-66. The microsatellites showed a lo"&amp;"w to moderate polymorphism, and the within area genetic diversity (H-E) was relatively low (0.308 &lt;= H-E &lt;= 0.441) as compared to other carnivores and mustelids. Genetic differentiation among the three recent sampling zones was significant (F-ST = 0.072, "&amp;"P &lt; 0.0001). The F-ST values between the two recent (F-ST = 0.092, P &lt; 0.0001) and the two historical samples (zones 1 and 2; F-ST = 0.073, P &lt; 0.0001) were significant and similar. The H-E and F-ST of the recent and historical zones were not significantl"&amp;"y different (P &gt; 0.05). Despite the drastic recent decline, Danish badgers did not show apparent signs of genetic bottlenecks in both recent and historical samples. The use of molecular techniques which allowed us to work with small amounts of degraded DN"&amp;"A extracted from old teeth, allowed us to exclude the hypothesis that genetic differentiation between zones 1 and 2 was owing to a barrier, which has appeared in the last 50 years. Furthermore, the low genetic variability and therefore the relatively high"&amp;" genetic differentiation shown by Danish badgers were also shown not to be the result of the recent drastic population decline.")</f>
        <v>During the past 50 years the number of badgers (Meles meles) in Denmark has declined by c. 50%. To assess the genetic consequences of the demographic decline, six DNA-microsatellite loci were used to analyse 139 badger tissue-samples, which were collected in 1995-98 from three zones (1, 2 and 3) in Jutland (Denmark). Results from contemporary samples were compared to data obtained from DNA extracted from teeth belonging to 39 badgers collected from zones 1 and 2 in 1957-66. The microsatellites showed a low to moderate polymorphism, and the within area genetic diversity (H-E) was relatively low (0.308 &lt;= H-E &lt;= 0.441) as compared to other carnivores and mustelids. Genetic differentiation among the three recent sampling zones was significant (F-ST = 0.072, P &lt; 0.0001). The F-ST values between the two recent (F-ST = 0.092, P &lt; 0.0001) and the two historical samples (zones 1 and 2; F-ST = 0.073, P &lt; 0.0001) were significant and similar. The H-E and F-ST of the recent and historical zones were not significantly different (P &gt; 0.05). Despite the drastic recent decline, Danish badgers did not show apparent signs of genetic bottlenecks in both recent and historical samples. The use of molecular techniques which allowed us to work with small amounts of degraded DNA extracted from old teeth, allowed us to exclude the hypothesis that genetic differentiation between zones 1 and 2 was owing to a barrier, which has appeared in the last 50 years. Furthermore, the low genetic variability and therefore the relatively high genetic differentiation shown by Danish badgers were also shown not to be the result of the recent drastic population decline.</v>
      </c>
      <c r="C249" s="24" t="str">
        <f>IFERROR(__xludf.DUMMYFUNCTION("""COMPUTED_VALUE"""),"10.1017/S0952836905006485")</f>
        <v>10.1017/S0952836905006485</v>
      </c>
      <c r="D249" s="24" t="str">
        <f>IFERROR(__xludf.DUMMYFUNCTION("""COMPUTED_VALUE"""),"shaw et al")</f>
        <v>shaw et al</v>
      </c>
      <c r="E249" s="24" t="str">
        <f>IFERROR(__xludf.DUMMYFUNCTION("""COMPUTED_VALUE"""),"WOS:000228683700008")</f>
        <v>WOS:000228683700008</v>
      </c>
      <c r="F249" s="24" t="str">
        <f>IFERROR(__xludf.DUMMYFUNCTION("""COMPUTED_VALUE"""),"[""ELIGIBLE""]")</f>
        <v>["ELIGIBLE"]</v>
      </c>
    </row>
    <row r="250">
      <c r="A250" s="24" t="str">
        <f>IFERROR(__xludf.DUMMYFUNCTION("""COMPUTED_VALUE"""),"Conservation of population structure and genetic diversity under captive breeding of remnant coaster brook trout (Salvelinus fontinalis) populations")</f>
        <v>Conservation of population structure and genetic diversity under captive breeding of remnant coaster brook trout (Salvelinus fontinalis) populations</v>
      </c>
      <c r="B250" s="24" t="str">
        <f>IFERROR(__xludf.DUMMYFUNCTION("""COMPUTED_VALUE"""),"Rebuilding wild populations often involves captive broodstocks derived from small, remnant populations. We measured a hatchery program's ability to conserve genetic diversity when founding captive broodstocks from such populations. Migratory coaster brook"&amp;" trout were extirpated from most of their historic range in US waters of Lake Superior and were proposed for listing under the Endangered Species Act. Two captive broodstocks, one with 19 founders and another with 99 founders, were established to rebuild "&amp;"US populations. We used microsatellite markers to examine genetic variation in source populations and early hatchery generations. Broodstocks retained the strong differentiation found between source populations; however, one founder, with a low probabilit"&amp;"y of belonging to either source population, sired 5.7% of F(1) progeny. We found small changes in within-population genetic variation across successive wild and hatchery generations of broodstocks. Evaluation of stage-specific survivorship indicated that "&amp;"equalizing family sizes of embryos produced modest gains in the effective number of breeders, and that survival in the hatchery was nearly random across families. Our study demonstrates the value of genetic monitoring during initial stages of hatchery pro"&amp;"grams for small and declining populations.")</f>
        <v>Rebuilding wild populations often involves captive broodstocks derived from small, remnant populations. We measured a hatchery program's ability to conserve genetic diversity when founding captive broodstocks from such populations. Migratory coaster brook trout were extirpated from most of their historic range in US waters of Lake Superior and were proposed for listing under the Endangered Species Act. Two captive broodstocks, one with 19 founders and another with 99 founders, were established to rebuild US populations. We used microsatellite markers to examine genetic variation in source populations and early hatchery generations. Broodstocks retained the strong differentiation found between source populations; however, one founder, with a low probability of belonging to either source population, sired 5.7% of F(1) progeny. We found small changes in within-population genetic variation across successive wild and hatchery generations of broodstocks. Evaluation of stage-specific survivorship indicated that equalizing family sizes of embryos produced modest gains in the effective number of breeders, and that survival in the hatchery was nearly random across families. Our study demonstrates the value of genetic monitoring during initial stages of hatchery programs for small and declining populations.</v>
      </c>
      <c r="C250" s="24" t="str">
        <f>IFERROR(__xludf.DUMMYFUNCTION("""COMPUTED_VALUE"""),"10.1007/s10592-009-9841-0")</f>
        <v>10.1007/s10592-009-9841-0</v>
      </c>
      <c r="D250" s="24" t="str">
        <f>IFERROR(__xludf.DUMMYFUNCTION("""COMPUTED_VALUE"""),"shaw et al")</f>
        <v>shaw et al</v>
      </c>
      <c r="E250" s="24" t="str">
        <f>IFERROR(__xludf.DUMMYFUNCTION("""COMPUTED_VALUE"""),"WOS:000277955700036")</f>
        <v>WOS:000277955700036</v>
      </c>
      <c r="F250" s="24" t="str">
        <f>IFERROR(__xludf.DUMMYFUNCTION("""COMPUTED_VALUE"""),"[""ELIGIBLE""]")</f>
        <v>["ELIGIBLE"]</v>
      </c>
    </row>
    <row r="251">
      <c r="A251" s="24" t="str">
        <f>IFERROR(__xludf.DUMMYFUNCTION("""COMPUTED_VALUE"""),"Stable populations in unstable habitats: temporal genetic structure of the introduced ascidian Styela plicata in North Carolina")</f>
        <v>Stable populations in unstable habitats: temporal genetic structure of the introduced ascidian Styela plicata in North Carolina</v>
      </c>
      <c r="B251" s="24" t="str">
        <f>IFERROR(__xludf.DUMMYFUNCTION("""COMPUTED_VALUE"""),"The analysis of temporal genetic variability is an essential yet largely neglected tool to unveil and predict the dynamics of introduced species. We here describe the temporal genetic structure and diversity over time of an introduced population of the as"&amp;"cidian Styela plicata (Lesueur, 1823) in Wilmington (North Carolina, USA, 34 08/24N, 77 5144W). This population suffers important salinity and temperature changes, and in June every year we observed massive die -offs, leaving free substratum that was reco"&amp;"lonized within a month. We sampled 12-14 individuals of S. plicata every 2 months from 2007 to 2009 (N = 196) and analyzed a mitochondrial marker (the gene cytochrome oxidase subunit I, COI) and seven nuclear microsatellites. Population genetic analyses s"&amp;"howed similar results for both types of markers and revealed that most of the genetic variation was found within time periods. However, analyses conducted with microsatellite loci also showed weak but significant differences among time periods. Specifical"&amp;"ly, in the samplings after die-off episodes (August November 2007 and 2008) the genetic diversity increased, the inbreeding coefficient showed prominent drops, and there was a net gain of alleles in the microsatellite loci. Taken together, our results sug"&amp;"gest that recruits arriving from neighboring populations quickly occupied the newly available space, bringing new alleles with them. However, other shifts in genetic diversity and allele loss and gain episodes were observed in December January and Februar"&amp;"y March 2008, respectively, and were apparently independent of die-off events. Overall, our results indicate that the investigated population is stable over time and relies on a periodic arrival of larvae from other populations, maintaining high genetic d"&amp;"iversity and a complex interplay of allele gains and losses.")</f>
        <v>The analysis of temporal genetic variability is an essential yet largely neglected tool to unveil and predict the dynamics of introduced species. We here describe the temporal genetic structure and diversity over time of an introduced population of the ascidian Styela plicata (Lesueur, 1823) in Wilmington (North Carolina, USA, 34 08/24N, 77 5144W). This population suffers important salinity and temperature changes, and in June every year we observed massive die -offs, leaving free substratum that was recolonized within a month. We sampled 12-14 individuals of S. plicata every 2 months from 2007 to 2009 (N = 196) and analyzed a mitochondrial marker (the gene cytochrome oxidase subunit I, COI) and seven nuclear microsatellites. Population genetic analyses showed similar results for both types of markers and revealed that most of the genetic variation was found within time periods. However, analyses conducted with microsatellite loci also showed weak but significant differences among time periods. Specifically, in the samplings after die-off episodes (August November 2007 and 2008) the genetic diversity increased, the inbreeding coefficient showed prominent drops, and there was a net gain of alleles in the microsatellite loci. Taken together, our results suggest that recruits arriving from neighboring populations quickly occupied the newly available space, bringing new alleles with them. However, other shifts in genetic diversity and allele loss and gain episodes were observed in December January and February March 2008, respectively, and were apparently independent of die-off events. Overall, our results indicate that the investigated population is stable over time and relies on a periodic arrival of larvae from other populations, maintaining high genetic diversity and a complex interplay of allele gains and losses.</v>
      </c>
      <c r="C251" s="24" t="str">
        <f>IFERROR(__xludf.DUMMYFUNCTION("""COMPUTED_VALUE"""),"10.1007/s00227-016-2829-7")</f>
        <v>10.1007/s00227-016-2829-7</v>
      </c>
      <c r="D251" s="24" t="str">
        <f>IFERROR(__xludf.DUMMYFUNCTION("""COMPUTED_VALUE"""),"shaw et al")</f>
        <v>shaw et al</v>
      </c>
      <c r="E251" s="24" t="str">
        <f>IFERROR(__xludf.DUMMYFUNCTION("""COMPUTED_VALUE"""),"WOS:000372302600015")</f>
        <v>WOS:000372302600015</v>
      </c>
      <c r="F251" s="24" t="str">
        <f>IFERROR(__xludf.DUMMYFUNCTION("""COMPUTED_VALUE"""),"[""ELIGIBLE""]")</f>
        <v>["ELIGIBLE"]</v>
      </c>
    </row>
    <row r="252">
      <c r="A252" s="24" t="str">
        <f>IFERROR(__xludf.DUMMYFUNCTION("""COMPUTED_VALUE"""),"Noninvasive genetic analyses for estimating population size and genetic diversity of the remaining Far Eastern leopard (Panthera pardus orientalis) population")</f>
        <v>Noninvasive genetic analyses for estimating population size and genetic diversity of the remaining Far Eastern leopard (Panthera pardus orientalis) population</v>
      </c>
      <c r="B252" s="24" t="str">
        <f>IFERROR(__xludf.DUMMYFUNCTION("""COMPUTED_VALUE"""),"Understanding and monitoring the population status of endangered species is vital for developing appropriate management interventions. We used noninvasive genetic analyses to obtain ecological and genetic data on the last remaining Far Eastern leopard pop"&amp;"ulation in the world. During seven winters from 2000-2001 to 2007-2008, we collected feces, hair, and saliva from most of the leopard habitat. Of the 239 leopard samples collected during the study period, 155 were successfully genotyped at 13 microsatelli"&amp;"te loci and 37 individuals (18 males and 19 females) were identified. Population size estimates based on the Capwire model were 28 (95 % CI 19-38) in 2002-03 and 26 (95 % CI 13-33) in 2007-2008. The leopard population had a low level of genetic diversity "&amp;"(expected and observed heterozygosity = 0.43; average number of alleles per locus = 2.62), and effective population size was estimated to be low (N (e) = 7-16) by two genetic-based methods. We observed little improvement in the genetic diversity during th"&amp;"e study period and did find an indication of allele loss compared with individuals from the mid-1990s, suggesting that the remaining population will continue to suffer loss of genetic diversity. Given the small population size and the low genetic diversit"&amp;"y, with little expectation of replenishment of the genetic variation by natural immigration, successful expansion of available habitat and development of a second population based on captive individuals may be crucial for persistence of this leopard subsp"&amp;"ecies in the wild.")</f>
        <v>Understanding and monitoring the population status of endangered species is vital for developing appropriate management interventions. We used noninvasive genetic analyses to obtain ecological and genetic data on the last remaining Far Eastern leopard population in the world. During seven winters from 2000-2001 to 2007-2008, we collected feces, hair, and saliva from most of the leopard habitat. Of the 239 leopard samples collected during the study period, 155 were successfully genotyped at 13 microsatellite loci and 37 individuals (18 males and 19 females) were identified. Population size estimates based on the Capwire model were 28 (95 % CI 19-38) in 2002-03 and 26 (95 % CI 13-33) in 2007-2008. The leopard population had a low level of genetic diversity (expected and observed heterozygosity = 0.43; average number of alleles per locus = 2.62), and effective population size was estimated to be low (N (e) = 7-16) by two genetic-based methods. We observed little improvement in the genetic diversity during the study period and did find an indication of allele loss compared with individuals from the mid-1990s, suggesting that the remaining population will continue to suffer loss of genetic diversity. Given the small population size and the low genetic diversity, with little expectation of replenishment of the genetic variation by natural immigration, successful expansion of available habitat and development of a second population based on captive individuals may be crucial for persistence of this leopard subspecies in the wild.</v>
      </c>
      <c r="C252" s="24" t="str">
        <f>IFERROR(__xludf.DUMMYFUNCTION("""COMPUTED_VALUE"""),"10.1007/s10592-013-0558-8")</f>
        <v>10.1007/s10592-013-0558-8</v>
      </c>
      <c r="D252" s="24" t="str">
        <f>IFERROR(__xludf.DUMMYFUNCTION("""COMPUTED_VALUE"""),"shaw et al")</f>
        <v>shaw et al</v>
      </c>
      <c r="E252" s="24" t="str">
        <f>IFERROR(__xludf.DUMMYFUNCTION("""COMPUTED_VALUE"""),"WOS:000335671500003")</f>
        <v>WOS:000335671500003</v>
      </c>
      <c r="F252" s="24" t="str">
        <f>IFERROR(__xludf.DUMMYFUNCTION("""COMPUTED_VALUE"""),"[""ELIGIBLE""]")</f>
        <v>["ELIGIBLE"]</v>
      </c>
    </row>
    <row r="253">
      <c r="A253" s="24" t="str">
        <f>IFERROR(__xludf.DUMMYFUNCTION("""COMPUTED_VALUE"""),"Impact of the huge 2011 Tohoku-oki tsunami on the phenotypes and genotypes of Japanese coastal threespine stickleback populations")</f>
        <v>Impact of the huge 2011 Tohoku-oki tsunami on the phenotypes and genotypes of Japanese coastal threespine stickleback populations</v>
      </c>
      <c r="B253" s="24" t="str">
        <f>IFERROR(__xludf.DUMMYFUNCTION("""COMPUTED_VALUE"""),"On March 11, 2011, a large earthquake occurred, causing a tsunami which struck the Pacific coast of northeast Japan. We investigated the ecological and genetic effects of the large tsunami on the threespine stickleback (genus Gasterosteus) populations in "&amp;"Otsuchi Town, which was one of the most severely damaged areas after the tsunami. Our environmental surveys showed that spring water may have contributed to the habitat recovery. Morphological analysis of the stickleback before and after the tsunami showe"&amp;"d morphological shifts in the gill raker number, which is a foraging trait. Genetic analyses revealed that the allelic richness of one population was maintained after the tsunami, whereas that of another decreased in 2012 and then started to recover in 20"&amp;"13. Additionally, we found that the large tsunami and ground subsidence created new spring water-fed pools with sticklebacks, suggesting that the tsunami brought sticklebacks into these pools. Genetic analysis of this population showed that this populatio"&amp;"n might be derived from hybridization between freshwater Gasterosteus aculeatus and anadromous G. nipponicus. Overall, our data indicate that tsunamis can influence morphologies and genetic structures of freshwater fishes. Furthermore, spring water may pl"&amp;"ay important roles in the maintenance and creation of fish habitats, faced with environmental disturbance.")</f>
        <v>On March 11, 2011, a large earthquake occurred, causing a tsunami which struck the Pacific coast of northeast Japan. We investigated the ecological and genetic effects of the large tsunami on the threespine stickleback (genus Gasterosteus) populations in Otsuchi Town, which was one of the most severely damaged areas after the tsunami. Our environmental surveys showed that spring water may have contributed to the habitat recovery. Morphological analysis of the stickleback before and after the tsunami showed morphological shifts in the gill raker number, which is a foraging trait. Genetic analyses revealed that the allelic richness of one population was maintained after the tsunami, whereas that of another decreased in 2012 and then started to recover in 2013. Additionally, we found that the large tsunami and ground subsidence created new spring water-fed pools with sticklebacks, suggesting that the tsunami brought sticklebacks into these pools. Genetic analysis of this population showed that this population might be derived from hybridization between freshwater Gasterosteus aculeatus and anadromous G. nipponicus. Overall, our data indicate that tsunamis can influence morphologies and genetic structures of freshwater fishes. Furthermore, spring water may play important roles in the maintenance and creation of fish habitats, faced with environmental disturbance.</v>
      </c>
      <c r="C253" s="24" t="str">
        <f>IFERROR(__xludf.DUMMYFUNCTION("""COMPUTED_VALUE"""),"10.1038/s41598-018-20075-z")</f>
        <v>10.1038/s41598-018-20075-z</v>
      </c>
      <c r="D253" s="24" t="str">
        <f>IFERROR(__xludf.DUMMYFUNCTION("""COMPUTED_VALUE"""),"shaw et al")</f>
        <v>shaw et al</v>
      </c>
      <c r="E253" s="24" t="str">
        <f>IFERROR(__xludf.DUMMYFUNCTION("""COMPUTED_VALUE"""),"WOS:000423428300012")</f>
        <v>WOS:000423428300012</v>
      </c>
      <c r="F253" s="24" t="str">
        <f>IFERROR(__xludf.DUMMYFUNCTION("""COMPUTED_VALUE"""),"[""ELIGIBLE""]")</f>
        <v>["ELIGIBLE"]</v>
      </c>
    </row>
    <row r="254">
      <c r="A254" s="24" t="str">
        <f>IFERROR(__xludf.DUMMYFUNCTION("""COMPUTED_VALUE"""),"Lower selfing rates in metallicolous populations than in non-metallicolous populations of the pseudometallophyte Noccaea caerulescens (Brassicaceae) in Southern France")</f>
        <v>Lower selfing rates in metallicolous populations than in non-metallicolous populations of the pseudometallophyte Noccaea caerulescens (Brassicaceae) in Southern France</v>
      </c>
      <c r="B254" s="24" t="str">
        <f>IFERROR(__xludf.DUMMYFUNCTION("""COMPUTED_VALUE"""),"Background and Aims The pseudometallophyte Noccaea caerulescens is an excellent model to study evolutionary processes, as it grows both on normal and on heavy-metal-rich, toxic soils. The evolution and demography of populations are critically impacted by "&amp;"mating system and, yet, information about the N. caerulescens mating system is limited. Methods Mean selfing rates were assessed using microsatellite loci and a robust estimation method (RMES) in five metallicolous and five non-metallicolous populations o"&amp;"f N. caerulescens in Southern France, and this measure was replicated for two successive reproductive seasons. As a part of the study, the patterns of gene flow among populations were analysed. The mating system was then characterized at a fine spatial sc"&amp;"ale in three populations using the MLTR method on progeny arrays. Key Results The results confirm that N. caerulescens has a mixed mating system, with selfing rates ranging from 0 center dot 2 to 0 center dot 5. Selfing rates did not vary much among popul"&amp;"ations within ecotypes, but were lower in the metallicolous than in the non-metallicolous ecotype, in both seasons. Effective population size was also lower in non-metallicolous populations. Biparental inbreeding was null to moderate. Differentiation amon"&amp;"g populations was generally high, but neither ecotype nor isolation by distance explained it. Conclusions The consequences of higher selfing rates on adaptation are expected to be weak to moderate in non-metallicolous populations and they are expected to "&amp;"suffer less from inbreeding depression, compared to metallicolous populations.")</f>
        <v>Background and Aims The pseudometallophyte Noccaea caerulescens is an excellent model to study evolutionary processes, as it grows both on normal and on heavy-metal-rich, toxic soils. The evolution and demography of populations are critically impacted by mating system and, yet, information about the N. caerulescens mating system is limited. Methods Mean selfing rates were assessed using microsatellite loci and a robust estimation method (RMES) in five metallicolous and five non-metallicolous populations of N. caerulescens in Southern France, and this measure was replicated for two successive reproductive seasons. As a part of the study, the patterns of gene flow among populations were analysed. The mating system was then characterized at a fine spatial scale in three populations using the MLTR method on progeny arrays. Key Results The results confirm that N. caerulescens has a mixed mating system, with selfing rates ranging from 0 center dot 2 to 0 center dot 5. Selfing rates did not vary much among populations within ecotypes, but were lower in the metallicolous than in the non-metallicolous ecotype, in both seasons. Effective population size was also lower in non-metallicolous populations. Biparental inbreeding was null to moderate. Differentiation among populations was generally high, but neither ecotype nor isolation by distance explained it. Conclusions The consequences of higher selfing rates on adaptation are expected to be weak to moderate in non-metallicolous populations and they are expected to suffer less from inbreeding depression, compared to metallicolous populations.</v>
      </c>
      <c r="C254" s="24" t="str">
        <f>IFERROR(__xludf.DUMMYFUNCTION("""COMPUTED_VALUE"""),"10.1093/aob/mcv191")</f>
        <v>10.1093/aob/mcv191</v>
      </c>
      <c r="D254" s="24" t="str">
        <f>IFERROR(__xludf.DUMMYFUNCTION("""COMPUTED_VALUE"""),"shaw et al")</f>
        <v>shaw et al</v>
      </c>
      <c r="E254" s="24" t="str">
        <f>IFERROR(__xludf.DUMMYFUNCTION("""COMPUTED_VALUE"""),"WOS:000371690500012")</f>
        <v>WOS:000371690500012</v>
      </c>
      <c r="F254" s="24" t="str">
        <f>IFERROR(__xludf.DUMMYFUNCTION("""COMPUTED_VALUE"""),"[""ELIGIBLE""]")</f>
        <v>["ELIGIBLE"]</v>
      </c>
    </row>
    <row r="255">
      <c r="A255" s="24" t="str">
        <f>IFERROR(__xludf.DUMMYFUNCTION("""COMPUTED_VALUE"""),"Still here after all these years: the persistence of the Uncompahgre fritillary butterfly")</f>
        <v>Still here after all these years: the persistence of the Uncompahgre fritillary butterfly</v>
      </c>
      <c r="B255" s="24" t="str">
        <f>IFERROR(__xludf.DUMMYFUNCTION("""COMPUTED_VALUE"""),"The US federally endangered Uncompahgre fritillary butterfly (Boloria acrocnema) lives in isolated alpine habitats of the San Juan Mountains of Colorado, USA. Its apparent extirpation from the type locality and its low genetic diversity raised concern in "&amp;"the late 1980s, thus monitoring for this species has continued and genetic samples were collected in 2008 and 2009 from all but one known site, each on a separate peak. Data for five new microsatellite markers were collected from 316 total specimens, incl"&amp;"uding 26 from wings preserved from 1987 and 1988 seasons. Only three main colonies had high enough sample sizes for adequate analyses. We estimated levels of genetic variability and structure, and effective population size. Despite low demographic numbers"&amp;" at these sites, the species has maintained relatively high heterozygosity ranging from 0.41 to 0.46 at three sites. Allelic richness corrected by sample size ranged from 5.3 to 5.9. Genetic structure assessed with non-spatially explicit methods indicated"&amp;" that despite separation on high mountain peaks, colonies were fairly well mixed, which is surprising for these weak fliers with very short growing and adult flight seasons. Estimates of effective population sizes were low, reflecting the life history and"&amp;" limited habitat range for the species. Comparisons at the site with historic and modern specimens revealed a consistent pattern in genetic indices. Our data suggest that the three focal butterfly colonies exist as a metapopulation that persists due to lo"&amp;"w-level migration between sites and temporal leakage via flexibility in development time in this biennial species.")</f>
        <v>The US federally endangered Uncompahgre fritillary butterfly (Boloria acrocnema) lives in isolated alpine habitats of the San Juan Mountains of Colorado, USA. Its apparent extirpation from the type locality and its low genetic diversity raised concern in the late 1980s, thus monitoring for this species has continued and genetic samples were collected in 2008 and 2009 from all but one known site, each on a separate peak. Data for five new microsatellite markers were collected from 316 total specimens, including 26 from wings preserved from 1987 and 1988 seasons. Only three main colonies had high enough sample sizes for adequate analyses. We estimated levels of genetic variability and structure, and effective population size. Despite low demographic numbers at these sites, the species has maintained relatively high heterozygosity ranging from 0.41 to 0.46 at three sites. Allelic richness corrected by sample size ranged from 5.3 to 5.9. Genetic structure assessed with non-spatially explicit methods indicated that despite separation on high mountain peaks, colonies were fairly well mixed, which is surprising for these weak fliers with very short growing and adult flight seasons. Estimates of effective population sizes were low, reflecting the life history and limited habitat range for the species. Comparisons at the site with historic and modern specimens revealed a consistent pattern in genetic indices. Our data suggest that the three focal butterfly colonies exist as a metapopulation that persists due to low-level migration between sites and temporal leakage via flexibility in development time in this biennial species.</v>
      </c>
      <c r="C255" s="24" t="str">
        <f>IFERROR(__xludf.DUMMYFUNCTION("""COMPUTED_VALUE"""),"10.1007/s10841-016-9867-9")</f>
        <v>10.1007/s10841-016-9867-9</v>
      </c>
      <c r="D255" s="24" t="str">
        <f>IFERROR(__xludf.DUMMYFUNCTION("""COMPUTED_VALUE"""),"shaw et al")</f>
        <v>shaw et al</v>
      </c>
      <c r="E255" s="24" t="str">
        <f>IFERROR(__xludf.DUMMYFUNCTION("""COMPUTED_VALUE"""),"WOS:000376022300013")</f>
        <v>WOS:000376022300013</v>
      </c>
      <c r="F255" s="24" t="str">
        <f>IFERROR(__xludf.DUMMYFUNCTION("""COMPUTED_VALUE"""),"[""ELIGIBLE""]")</f>
        <v>["ELIGIBLE"]</v>
      </c>
    </row>
    <row r="256">
      <c r="A256" s="24" t="str">
        <f>IFERROR(__xludf.DUMMYFUNCTION("""COMPUTED_VALUE"""),"Genetic structure of crown-of-thorns starfish (Acanthaster planci) on the Great Barrier Reef, Australia: comparison of two sets of outbreak populations occurring ten years apart")</f>
        <v>Genetic structure of crown-of-thorns starfish (Acanthaster planci) on the Great Barrier Reef, Australia: comparison of two sets of outbreak populations occurring ten years apart</v>
      </c>
      <c r="B256" s="24" t="str">
        <f>IFERROR(__xludf.DUMMYFUNCTION("""COMPUTED_VALUE"""),"Six populations of the crown-of-thorns starfish, Acanthaster planci, showing large increases in population size in 1994 to 1995, were examined by allozyme electrophoresis of 100 to 300 individuals collected from each population in November 1995 to Februar"&amp;"y 1996. Analysis of nine loci. used to determine the structure of outbreak populations in the early-mid-1980s, demonstrated no significant differentiation among the 1996 outbreak populations in any age class (2 to 6 yr old). No significant variation was d"&amp;"etected between age classes in any of the six populations. These data are consistent with the recent outbreak populations having been derived from one genetic source, and suggest no change in the source of recruits to these reefs between 1989/1990 to 1994"&amp;"/1995. In a multi-dimensional scaling analysis, the 1996 samples clustered with the eight 1986 outbreak populations in a small part of the genetic space spanned by the 1986 non-outbreak populations, suggesting that the outbreak populations were derived fr"&amp;"om the same genetic source in both 1986 and 1996. Statistically significant, but small, differences in gene frequencies detected between the 1986 and 1996 outbreak populations are thought to result from genetic drift, but are unlikely to provide a means o"&amp;"f distinguishing sets of outbreak populations because of the large sample sizes required to detect the small shifts in gene frequency.")</f>
        <v>Six populations of the crown-of-thorns starfish, Acanthaster planci, showing large increases in population size in 1994 to 1995, were examined by allozyme electrophoresis of 100 to 300 individuals collected from each population in November 1995 to February 1996. Analysis of nine loci. used to determine the structure of outbreak populations in the early-mid-1980s, demonstrated no significant differentiation among the 1996 outbreak populations in any age class (2 to 6 yr old). No significant variation was detected between age classes in any of the six populations. These data are consistent with the recent outbreak populations having been derived from one genetic source, and suggest no change in the source of recruits to these reefs between 1989/1990 to 1994/1995. In a multi-dimensional scaling analysis, the 1996 samples clustered with the eight 1986 outbreak populations in a small part of the genetic space spanned by the 1986 non-outbreak populations, suggesting that the outbreak populations were derived from the same genetic source in both 1986 and 1996. Statistically significant, but small, differences in gene frequencies detected between the 1986 and 1996 outbreak populations are thought to result from genetic drift, but are unlikely to provide a means of distinguishing sets of outbreak populations because of the large sample sizes required to detect the small shifts in gene frequency.</v>
      </c>
      <c r="C256" s="24" t="str">
        <f>IFERROR(__xludf.DUMMYFUNCTION("""COMPUTED_VALUE"""),"10.1007/s002270050155")</f>
        <v>10.1007/s002270050155</v>
      </c>
      <c r="D256" s="24" t="str">
        <f>IFERROR(__xludf.DUMMYFUNCTION("""COMPUTED_VALUE"""),"shaw et al")</f>
        <v>shaw et al</v>
      </c>
      <c r="E256" s="24" t="str">
        <f>IFERROR(__xludf.DUMMYFUNCTION("""COMPUTED_VALUE"""),"WOS:A1997XQ30000017")</f>
        <v>WOS:A1997XQ30000017</v>
      </c>
      <c r="F256" s="24" t="str">
        <f>IFERROR(__xludf.DUMMYFUNCTION("""COMPUTED_VALUE"""),"[""ELIGIBLE""]")</f>
        <v>["ELIGIBLE"]</v>
      </c>
    </row>
    <row r="257">
      <c r="A257" s="24" t="str">
        <f>IFERROR(__xludf.DUMMYFUNCTION("""COMPUTED_VALUE"""),"Genetic Structure of Striped Bass in the Southeastern United States and Effects from Stock Enhancement")</f>
        <v>Genetic Structure of Striped Bass in the Southeastern United States and Effects from Stock Enhancement</v>
      </c>
      <c r="B257" s="24" t="str">
        <f>IFERROR(__xludf.DUMMYFUNCTION("""COMPUTED_VALUE"""),"Understanding the genetic relationships of Striped Bass Morone saxatilis populations within and between watersheds is necessary to identify appropriate management units. Determining temporal changes in genetic relationships as well as the genetic diversit"&amp;"y of the populations is important in understanding how stock enhancement influences population units. A suite of 12 microsatellites was used to evaluate patterns of Striped Bass gene flow both spatially and temporally across watersheds in the southeastern"&amp;" United States. Populations from the study watersheds were genetically diverse with the exception of the Savannah River, South Carolina-Georgia, which is recovering from a major population decline. Striped Bass in the Roanoke and Cape Fear rivers, North C"&amp;"arolina, represented a single population, most likely due to historical transfer stocking across the state from Roanoke River stock. Watersheds in South Carolina contained genetically distinct Striped Bass populations, although the difference between Stri"&amp;"ped Bass populations in the Ashepoo-Combahee-Edisto (ACE) and Santee-Cooper watersheds has decreased over the past 15 years, likely due to the stocking of Santee-Cooper system fish into the ACE Basin. Conversely, supportive breeding of fish from the Sante"&amp;"e-Cooper system has helped to maintain genetic diversity of the population. Striped Bass populations in the southeastern United States are good examples of the positive and negative effects of stock enhancement that must be considered and monitored when i"&amp;"mplementing or assessing a stock enhancement program.")</f>
        <v>Understanding the genetic relationships of Striped Bass Morone saxatilis populations within and between watersheds is necessary to identify appropriate management units. Determining temporal changes in genetic relationships as well as the genetic diversity of the populations is important in understanding how stock enhancement influences population units. A suite of 12 microsatellites was used to evaluate patterns of Striped Bass gene flow both spatially and temporally across watersheds in the southeastern United States. Populations from the study watersheds were genetically diverse with the exception of the Savannah River, South Carolina-Georgia, which is recovering from a major population decline. Striped Bass in the Roanoke and Cape Fear rivers, North Carolina, represented a single population, most likely due to historical transfer stocking across the state from Roanoke River stock. Watersheds in South Carolina contained genetically distinct Striped Bass populations, although the difference between Striped Bass populations in the Ashepoo-Combahee-Edisto (ACE) and Santee-Cooper watersheds has decreased over the past 15 years, likely due to the stocking of Santee-Cooper system fish into the ACE Basin. Conversely, supportive breeding of fish from the Santee-Cooper system has helped to maintain genetic diversity of the population. Striped Bass populations in the southeastern United States are good examples of the positive and negative effects of stock enhancement that must be considered and monitored when implementing or assessing a stock enhancement program.</v>
      </c>
      <c r="C257" s="24" t="str">
        <f>IFERROR(__xludf.DUMMYFUNCTION("""COMPUTED_VALUE"""),"10.1080/02755947.2014.902409")</f>
        <v>10.1080/02755947.2014.902409</v>
      </c>
      <c r="D257" s="24" t="str">
        <f>IFERROR(__xludf.DUMMYFUNCTION("""COMPUTED_VALUE"""),"shaw et al")</f>
        <v>shaw et al</v>
      </c>
      <c r="E257" s="24" t="str">
        <f>IFERROR(__xludf.DUMMYFUNCTION("""COMPUTED_VALUE"""),"WOS:000340113000012")</f>
        <v>WOS:000340113000012</v>
      </c>
      <c r="F257" s="24" t="str">
        <f>IFERROR(__xludf.DUMMYFUNCTION("""COMPUTED_VALUE"""),"[""ELIGIBLE""]")</f>
        <v>["ELIGIBLE"]</v>
      </c>
    </row>
    <row r="258">
      <c r="A258" s="24" t="str">
        <f>IFERROR(__xludf.DUMMYFUNCTION("""COMPUTED_VALUE"""),"Local adaptation despite high gene flow in the waterfall-climbing Hawaiian goby, Sicyopterus stimpsoni")</f>
        <v>Local adaptation despite high gene flow in the waterfall-climbing Hawaiian goby, Sicyopterus stimpsoni</v>
      </c>
      <c r="B258" s="24" t="str">
        <f>IFERROR(__xludf.DUMMYFUNCTION("""COMPUTED_VALUE"""),"Environmental heterogeneity can promote the emergence of locally adapted phenotypes among subpopulations of a species, whereas gene flow can result in phenotypic and genotypic homogenization. For organisms like amphidromous fishes that change habitats dur"&amp;"ing their life history, the balance between selection and migration can shift through ontogeny, making the likelihood of local adaptation difficult to predict. In Hawaiian waterfall-climbing gobies, it has been hypothesized that larval mixing during ocean"&amp;"ic dispersal counters local adaptation to contrasting topographic features of streams, like slope gradient, that can select for predator avoidance or climbing ability in juvenile recruits. To test this hypothesis, we used morphological traits and neutral "&amp;"genetic markers to compare phenotypic and genotypic distributions in recruiting juveniles and adult subpopulations of the waterfall-climbing amphidromous goby, Sicyopterus stimpsoni, from the islands of Hawai'i and Kaua'i. We found that body shape is sign"&amp;"ificantly different between adult subpopulations from streams with contrasting slopes and that trait divergence in recruiting juveniles tracked stream topography more so than morphological measures of adult subpopulation differentiation. Although no evide"&amp;"nce of population genetic differentiation was observed among adult subpopulations, we observed low but significant levels of spatially and temporally variable genetic differentiation among juvenile cohorts, which correlated with morphological divergence. "&amp;"Such a pattern of genetic differentiation is consistent with chaotic genetic patchiness arising from variable sources of recruits to different streams. Thus, at least in S.stimpsoni, the combination of variation in settlement cohorts in space and time cou"&amp;"pled with strong postsettlement selection on juveniles as they migrate upstream to adult habitats provides the opportunity for morphological adaptation to local stream environments despite high gene flow.")</f>
        <v>Environmental heterogeneity can promote the emergence of locally adapted phenotypes among subpopulations of a species, whereas gene flow can result in phenotypic and genotypic homogenization. For organisms like amphidromous fishes that change habitats during their life history, the balance between selection and migration can shift through ontogeny, making the likelihood of local adaptation difficult to predict. In Hawaiian waterfall-climbing gobies, it has been hypothesized that larval mixing during oceanic dispersal counters local adaptation to contrasting topographic features of streams, like slope gradient, that can select for predator avoidance or climbing ability in juvenile recruits. To test this hypothesis, we used morphological traits and neutral genetic markers to compare phenotypic and genotypic distributions in recruiting juveniles and adult subpopulations of the waterfall-climbing amphidromous goby, Sicyopterus stimpsoni, from the islands of Hawai'i and Kaua'i. We found that body shape is significantly different between adult subpopulations from streams with contrasting slopes and that trait divergence in recruiting juveniles tracked stream topography more so than morphological measures of adult subpopulation differentiation. Although no evidence of population genetic differentiation was observed among adult subpopulations, we observed low but significant levels of spatially and temporally variable genetic differentiation among juvenile cohorts, which correlated with morphological divergence. Such a pattern of genetic differentiation is consistent with chaotic genetic patchiness arising from variable sources of recruits to different streams. Thus, at least in S.stimpsoni, the combination of variation in settlement cohorts in space and time coupled with strong postsettlement selection on juveniles as they migrate upstream to adult habitats provides the opportunity for morphological adaptation to local stream environments despite high gene flow.</v>
      </c>
      <c r="C258" s="24" t="str">
        <f>IFERROR(__xludf.DUMMYFUNCTION("""COMPUTED_VALUE"""),"10.1111/mec.13016")</f>
        <v>10.1111/mec.13016</v>
      </c>
      <c r="D258" s="24" t="str">
        <f>IFERROR(__xludf.DUMMYFUNCTION("""COMPUTED_VALUE"""),"shaw et al")</f>
        <v>shaw et al</v>
      </c>
      <c r="E258" s="24" t="str">
        <f>IFERROR(__xludf.DUMMYFUNCTION("""COMPUTED_VALUE"""),"WOS:000348516900003")</f>
        <v>WOS:000348516900003</v>
      </c>
      <c r="F258" s="24" t="str">
        <f>IFERROR(__xludf.DUMMYFUNCTION("""COMPUTED_VALUE"""),"[""ELIGIBLE""]")</f>
        <v>["ELIGIBLE"]</v>
      </c>
    </row>
    <row r="259">
      <c r="A259" s="24" t="str">
        <f>IFERROR(__xludf.DUMMYFUNCTION("""COMPUTED_VALUE"""),"Loss of Genetic Integrity in Hatchery Steelhead Produced by Juvenile-Based Broodstock and Wild Integration: Conflicts in Production and Conservation Goals")</f>
        <v>Loss of Genetic Integrity in Hatchery Steelhead Produced by Juvenile-Based Broodstock and Wild Integration: Conflicts in Production and Conservation Goals</v>
      </c>
      <c r="B259" s="24" t="str">
        <f>IFERROR(__xludf.DUMMYFUNCTION("""COMPUTED_VALUE"""),"We examined whether a supplementation program for steelhead Oncorhynchus mykiss in southwestern Washington could produce hatchery fish that contained genetic characteristics of the endemic population from which it was derived and simultaneously meet a pro"&amp;"duction goal. Hatchery fish were produced for three consecutive years by using broodstock comprised of endemic juveniles that were caught in the wild and raised to maturity, and then the program transitioned to an integrated broodstock comprised of wild a"&amp;"nd hatchery adults that returned to spawn. Importantly, some auxiliary conservation-based husbandry protocols were attempted (i.e., pairwise mating between males and females) but not always completed due to insufficient broodstock and conflict between pro"&amp;"duction and conservation goals. The hatchery met production goals in 6 of 9 years, but wild-type genetic integrity of hatchery fish was degraded every year. Specifically, we analyzed 10 microsatellites and observed a 60% reduction in the effective number "&amp;"of breeders in the hatchery (harmonic mean of hatchery, N-b = 45, compared with the wild, N-b = 111). Hatchery fish consequently displayed reduced genetic diversity and large temporal genetic divergence compared with wild counterparts. To ensure the benef"&amp;"it of conservation-based husbandry, spawning protocols should be based on scientific theory and be practical within the physical and biological constraints of the system. Finally, if conservation issues are considered to be the most important issue for ha"&amp;"tchery propagation, then production goals may need to be forfeited.")</f>
        <v>We examined whether a supplementation program for steelhead Oncorhynchus mykiss in southwestern Washington could produce hatchery fish that contained genetic characteristics of the endemic population from which it was derived and simultaneously meet a production goal. Hatchery fish were produced for three consecutive years by using broodstock comprised of endemic juveniles that were caught in the wild and raised to maturity, and then the program transitioned to an integrated broodstock comprised of wild and hatchery adults that returned to spawn. Importantly, some auxiliary conservation-based husbandry protocols were attempted (i.e., pairwise mating between males and females) but not always completed due to insufficient broodstock and conflict between production and conservation goals. The hatchery met production goals in 6 of 9 years, but wild-type genetic integrity of hatchery fish was degraded every year. Specifically, we analyzed 10 microsatellites and observed a 60% reduction in the effective number of breeders in the hatchery (harmonic mean of hatchery, N-b = 45, compared with the wild, N-b = 111). Hatchery fish consequently displayed reduced genetic diversity and large temporal genetic divergence compared with wild counterparts. To ensure the benefit of conservation-based husbandry, spawning protocols should be based on scientific theory and be practical within the physical and biological constraints of the system. Finally, if conservation issues are considered to be the most important issue for hatchery propagation, then production goals may need to be forfeited.</v>
      </c>
      <c r="C259" s="24" t="str">
        <f>IFERROR(__xludf.DUMMYFUNCTION("""COMPUTED_VALUE"""),"10.1080/02755947.2014.901257")</f>
        <v>10.1080/02755947.2014.901257</v>
      </c>
      <c r="D259" s="24" t="str">
        <f>IFERROR(__xludf.DUMMYFUNCTION("""COMPUTED_VALUE"""),"shaw et al")</f>
        <v>shaw et al</v>
      </c>
      <c r="E259" s="24" t="str">
        <f>IFERROR(__xludf.DUMMYFUNCTION("""COMPUTED_VALUE"""),"WOS:000340113000009")</f>
        <v>WOS:000340113000009</v>
      </c>
      <c r="F259" s="24" t="str">
        <f>IFERROR(__xludf.DUMMYFUNCTION("""COMPUTED_VALUE"""),"[""ELIGIBLE""]")</f>
        <v>["ELIGIBLE"]</v>
      </c>
    </row>
    <row r="260">
      <c r="A260" s="24" t="str">
        <f>IFERROR(__xludf.DUMMYFUNCTION("""COMPUTED_VALUE"""),"Landscape structure and the genetic effects of a population collapse")</f>
        <v>Landscape structure and the genetic effects of a population collapse</v>
      </c>
      <c r="B260" s="24" t="str">
        <f>IFERROR(__xludf.DUMMYFUNCTION("""COMPUTED_VALUE"""),"Both landscape structure and population size fluctuations influence population genetics. While independent effects of these factors on genetic patterns and processes are well studied, a key challenge is to understand their interaction, as populations are "&amp;"simultaneously exposed to habitat fragmentation and climatic changes that increase variability in population size. In a population network of an alpine butterfly, abundance declined 60-100% in 2003 because of low over-winter survival. Across the network, "&amp;"mean microsatellite genetic diversity did not change. However, patch connectivity and local severity of the collapse interacted to determine allelic richness change within populations, indicating that patch connectivity can mediate genetic response to a d"&amp;"emographic collapse. The collapse strongly affected spatial genetic structure, leading to a breakdown of isolation-by-distance and loss of landscape genetic pattern. Our study reveals important interactions between landscape structure and temporal demogra"&amp;"phic variability on the genetic diversity and genetic differentiation of populations. Projected future changes to both landscape and climate may lead to loss of genetic variability from the studied populations, and selection acting on adaptive variation w"&amp;"ill likely occur within the context of an increasing influence of genetic drift.")</f>
        <v>Both landscape structure and population size fluctuations influence population genetics. While independent effects of these factors on genetic patterns and processes are well studied, a key challenge is to understand their interaction, as populations are simultaneously exposed to habitat fragmentation and climatic changes that increase variability in population size. In a population network of an alpine butterfly, abundance declined 60-100% in 2003 because of low over-winter survival. Across the network, mean microsatellite genetic diversity did not change. However, patch connectivity and local severity of the collapse interacted to determine allelic richness change within populations, indicating that patch connectivity can mediate genetic response to a demographic collapse. The collapse strongly affected spatial genetic structure, leading to a breakdown of isolation-by-distance and loss of landscape genetic pattern. Our study reveals important interactions between landscape structure and temporal demographic variability on the genetic diversity and genetic differentiation of populations. Projected future changes to both landscape and climate may lead to loss of genetic variability from the studied populations, and selection acting on adaptive variation will likely occur within the context of an increasing influence of genetic drift.</v>
      </c>
      <c r="C260" s="24" t="str">
        <f>IFERROR(__xludf.DUMMYFUNCTION("""COMPUTED_VALUE"""),"10.1098/rspb.2014.1798")</f>
        <v>10.1098/rspb.2014.1798</v>
      </c>
      <c r="D260" s="24" t="str">
        <f>IFERROR(__xludf.DUMMYFUNCTION("""COMPUTED_VALUE"""),"shaw et al")</f>
        <v>shaw et al</v>
      </c>
      <c r="E260" s="24" t="str">
        <f>IFERROR(__xludf.DUMMYFUNCTION("""COMPUTED_VALUE"""),"WOS:000343674500020")</f>
        <v>WOS:000343674500020</v>
      </c>
      <c r="F260" s="24" t="str">
        <f>IFERROR(__xludf.DUMMYFUNCTION("""COMPUTED_VALUE"""),"[""ELIGIBLE""]")</f>
        <v>["ELIGIBLE"]</v>
      </c>
    </row>
    <row r="261">
      <c r="A261" s="24" t="str">
        <f>IFERROR(__xludf.DUMMYFUNCTION("""COMPUTED_VALUE"""),"Genetic monitoring of the Mexican four-eyed octopus Octopus maya population: New insights and perspectives for the fishery management")</f>
        <v>Genetic monitoring of the Mexican four-eyed octopus Octopus maya population: New insights and perspectives for the fishery management</v>
      </c>
      <c r="B261" s="24" t="str">
        <f>IFERROR(__xludf.DUMMYFUNCTION("""COMPUTED_VALUE"""),"The Octopus maya fishery is one of the most important among the octopod fisheries in America. Recent studies about the wild population of this species, have contributed to understand that population variations and dynamics are highly influenced by tempera"&amp;"ture. The distribution area of this species could be divided in two well-differentiated thermal zones: an eastern zone influenced by the upwelling pulses, and a western zone with no upwelling influence. There is evidence suggesting that variations in popu"&amp;"lation parameters could be linked to these thermal zones. However the fishery is still managed as one single unit, and there is no control of the capture limit. In this study we analyzed the multilocus microsatellite genotypes of wild O. maya across its d"&amp;"istribution area to find out if the population is structured, and if the structure matches the mentioned thermal zones. Additionally, the heterozygosity was compared between samples from 2010 and 2015 to monitor changes related to the high fishing pressur"&amp;"e. Results show that O. maya population is structured in two clusters that match with the different thermal zones in the distribution area. Moreover, significant genic differentiation was detected between these thermal zones. On the other hand, despite th"&amp;"e high fishing pressure over this species, there is no significant difference in heterozygosity between 2010 and 2015 samples, and no inbreeding was detected, showing that genetic diversity is still high. We recommend the continuous monitoring of heterozy"&amp;"gosity in this species, and a separate fishery management for Campeche (western) and Yucatan (eastern) subpopulations.")</f>
        <v>The Octopus maya fishery is one of the most important among the octopod fisheries in America. Recent studies about the wild population of this species, have contributed to understand that population variations and dynamics are highly influenced by temperature. The distribution area of this species could be divided in two well-differentiated thermal zones: an eastern zone influenced by the upwelling pulses, and a western zone with no upwelling influence. There is evidence suggesting that variations in population parameters could be linked to these thermal zones. However the fishery is still managed as one single unit, and there is no control of the capture limit. In this study we analyzed the multilocus microsatellite genotypes of wild O. maya across its distribution area to find out if the population is structured, and if the structure matches the mentioned thermal zones. Additionally, the heterozygosity was compared between samples from 2010 and 2015 to monitor changes related to the high fishing pressure. Results show that O. maya population is structured in two clusters that match with the different thermal zones in the distribution area. Moreover, significant genic differentiation was detected between these thermal zones. On the other hand, despite the high fishing pressure over this species, there is no significant difference in heterozygosity between 2010 and 2015 samples, and no inbreeding was detected, showing that genetic diversity is still high. We recommend the continuous monitoring of heterozygosity in this species, and a separate fishery management for Campeche (western) and Yucatan (eastern) subpopulations.</v>
      </c>
      <c r="C261" s="24" t="str">
        <f>IFERROR(__xludf.DUMMYFUNCTION("""COMPUTED_VALUE"""),"10.1016/j.fishres.2018.05.002")</f>
        <v>10.1016/j.fishres.2018.05.002</v>
      </c>
      <c r="D261" s="24" t="str">
        <f>IFERROR(__xludf.DUMMYFUNCTION("""COMPUTED_VALUE"""),"shaw et al")</f>
        <v>shaw et al</v>
      </c>
      <c r="E261" s="24" t="str">
        <f>IFERROR(__xludf.DUMMYFUNCTION("""COMPUTED_VALUE"""),"WOS:000438005100011")</f>
        <v>WOS:000438005100011</v>
      </c>
      <c r="F261" s="24" t="str">
        <f>IFERROR(__xludf.DUMMYFUNCTION("""COMPUTED_VALUE"""),"[""ELIGIBLE""]")</f>
        <v>["ELIGIBLE"]</v>
      </c>
    </row>
    <row r="262">
      <c r="A262" s="24" t="str">
        <f>IFERROR(__xludf.DUMMYFUNCTION("""COMPUTED_VALUE"""),"Genetic Monitoring of Threatened Chinook Salmon Populations: Estimating Introgression of Nonnative Hatchery Stocks and Temporal Genetic Changes")</f>
        <v>Genetic Monitoring of Threatened Chinook Salmon Populations: Estimating Introgression of Nonnative Hatchery Stocks and Temporal Genetic Changes</v>
      </c>
      <c r="B262" s="24" t="str">
        <f>IFERROR(__xludf.DUMMYFUNCTION("""COMPUTED_VALUE"""),"Conservation efforts aimed at Pacific salmon (Oncorhynchus spp.) populations have frequently utilized artificial propagation in an attempt to increase fish abundance. However, this approach carries the risk of unwanted changes in the genetic characteristi"&amp;"cs of the target population and perhaps others that might incidentally be affected. We used genetic monitoring techniques to estimate the amount of introgression that has occurred from nonnative hatchery stocks into native populations and to determine the"&amp;" extent of genetic changes that have occurred in association with supplementation efforts over the past 20-50years in Snake River Chinook Salmon O. tshawytscha populations from northeastern Oregon. A total of 4,178 fish from 13 populations were genotyped "&amp;"for 12 microsatellite DNA loci. Expected heterozygosity values for each sample ranged from 0.707 to 0.868. Estimates of the effective number of breeders per year in the naturally spawning populations ranged from 20.6 to 459.1, whereas in the hatchery popu"&amp;"lations they ranged from 33.8 to 1,118.8. We found that introgression from the Rapid River Hatchery stock was particularly noticeable in the early 1990s but that it appears to have had a substantial effect on only two of the native populations (Lookinggla"&amp;"ss Creek and the upper Grande Ronde River) despite the ample opportunities for introgression to occur. All seven of the native populations sampled have maintained their levels of within-population genetic diversity throughout the sampling period. Overall,"&amp;" this region's supplementation efforts appear to have had a minimal effect on the genetic diversity of its Chinook Salmon populations.")</f>
        <v>Conservation efforts aimed at Pacific salmon (Oncorhynchus spp.) populations have frequently utilized artificial propagation in an attempt to increase fish abundance. However, this approach carries the risk of unwanted changes in the genetic characteristics of the target population and perhaps others that might incidentally be affected. We used genetic monitoring techniques to estimate the amount of introgression that has occurred from nonnative hatchery stocks into native populations and to determine the extent of genetic changes that have occurred in association with supplementation efforts over the past 20-50years in Snake River Chinook Salmon O. tshawytscha populations from northeastern Oregon. A total of 4,178 fish from 13 populations were genotyped for 12 microsatellite DNA loci. Expected heterozygosity values for each sample ranged from 0.707 to 0.868. Estimates of the effective number of breeders per year in the naturally spawning populations ranged from 20.6 to 459.1, whereas in the hatchery populations they ranged from 33.8 to 1,118.8. We found that introgression from the Rapid River Hatchery stock was particularly noticeable in the early 1990s but that it appears to have had a substantial effect on only two of the native populations (Lookingglass Creek and the upper Grande Ronde River) despite the ample opportunities for introgression to occur. All seven of the native populations sampled have maintained their levels of within-population genetic diversity throughout the sampling period. Overall, this region's supplementation efforts appear to have had a minimal effect on the genetic diversity of its Chinook Salmon populations.</v>
      </c>
      <c r="C262" s="24" t="str">
        <f>IFERROR(__xludf.DUMMYFUNCTION("""COMPUTED_VALUE"""),"10.1080/02755947.2013.790861")</f>
        <v>10.1080/02755947.2013.790861</v>
      </c>
      <c r="D262" s="24" t="str">
        <f>IFERROR(__xludf.DUMMYFUNCTION("""COMPUTED_VALUE"""),"shaw et al")</f>
        <v>shaw et al</v>
      </c>
      <c r="E262" s="24" t="str">
        <f>IFERROR(__xludf.DUMMYFUNCTION("""COMPUTED_VALUE"""),"WOS:000323145400003")</f>
        <v>WOS:000323145400003</v>
      </c>
      <c r="F262" s="24" t="str">
        <f>IFERROR(__xludf.DUMMYFUNCTION("""COMPUTED_VALUE"""),"[""ELIGIBLE""]")</f>
        <v>["ELIGIBLE"]</v>
      </c>
    </row>
    <row r="263">
      <c r="A263" s="24" t="str">
        <f>IFERROR(__xludf.DUMMYFUNCTION("""COMPUTED_VALUE"""),"Temporal stability of parasite distribution and genetic variability values of Contracaecum osculatum sp D and C. osculatum sp E (Nematoda: Anisakidae) from fish of the Ross Sea (Antarctica)")</f>
        <v>Temporal stability of parasite distribution and genetic variability values of Contracaecum osculatum sp D and C. osculatum sp E (Nematoda: Anisakidae) from fish of the Ross Sea (Antarctica)</v>
      </c>
      <c r="B263" s="24" t="str">
        <f>IFERROR(__xludf.DUMMYFUNCTION("""COMPUTED_VALUE"""),"The Ross Sea, Eastern Antarctica, is considered a pristine ecosystem and a biodiversity hotspot scarcely impacted by humans. The sibling species Contracaecum osculatum sp. D and C. osculatum sp. E are anisakid parasites embedded in the natural Antarctic m"&amp;"arine ecosystem. Aims of this study were to: identify the larvae of C. osculatum (s. l.) recovered in fish hosts during the XXVII Italian Expedition to Antarctica (2011-2012); perform a comparative analysis of the contemporary parasitic load and genetic v"&amp;"ariability estimates of C. osculatum sp. D and C. osculatum sp. E with respect to samples collected during the expedition of 1993-1994; to provide ecological data on these parasites. 200 fish specimens (Chionodraco hamatus, Trematomus bernacchii, Trematom"&amp;"us hansoni, Trematomus newnesi) were analysed for Contracaecum sp. larvae, identified at species level by allozyme diagnostic markers and sequences analysis of the mtDNA cox2 gene. Statistically significant differences were found between the occurrence of"&amp;" C. osculatum sp. D and C. osculatum sp. E in different fish species. C. osculatum sp. E was more prevalent in T. bernacchii; while, a higher percentage of C. osculatum sp. D occurred in Ch. hamatus and T. hansoni. The two species also showed differences "&amp;"in the host infection site: C. osculatum sp. D showed higher percentage of infection in the fish liver. High genetic variability values at both nuclear and mitochondrial level were found in the two species in both sampling periods. The parasitic infection"&amp;" levels by C. osculatum sp. D and sp. E and their estimates of genetic variability showed no statistically significant variation over a temporal scale (2012 versus 1994). This suggests that the low habitat disturbance of the Antarctic region permits the m"&amp;"aintenance of stable ecosystem trophic webs, which contributes to the maintenance of a large populations of anisakid nematodes with high genetic variability. (C) 2015 The Authors. Published by Elsevier Ltd on behalf of Australian Society for Parasitology.")</f>
        <v>The Ross Sea, Eastern Antarctica, is considered a pristine ecosystem and a biodiversity hotspot scarcely impacted by humans. The sibling species Contracaecum osculatum sp. D and C. osculatum sp. E are anisakid parasites embedded in the natural Antarctic marine ecosystem. Aims of this study were to: identify the larvae of C. osculatum (s. l.) recovered in fish hosts during the XXVII Italian Expedition to Antarctica (2011-2012); perform a comparative analysis of the contemporary parasitic load and genetic variability estimates of C. osculatum sp. D and C. osculatum sp. E with respect to samples collected during the expedition of 1993-1994; to provide ecological data on these parasites. 200 fish specimens (Chionodraco hamatus, Trematomus bernacchii, Trematomus hansoni, Trematomus newnesi) were analysed for Contracaecum sp. larvae, identified at species level by allozyme diagnostic markers and sequences analysis of the mtDNA cox2 gene. Statistically significant differences were found between the occurrence of C. osculatum sp. D and C. osculatum sp. E in different fish species. C. osculatum sp. E was more prevalent in T. bernacchii; while, a higher percentage of C. osculatum sp. D occurred in Ch. hamatus and T. hansoni. The two species also showed differences in the host infection site: C. osculatum sp. D showed higher percentage of infection in the fish liver. High genetic variability values at both nuclear and mitochondrial level were found in the two species in both sampling periods. The parasitic infection levels by C. osculatum sp. D and sp. E and their estimates of genetic variability showed no statistically significant variation over a temporal scale (2012 versus 1994). This suggests that the low habitat disturbance of the Antarctic region permits the maintenance of stable ecosystem trophic webs, which contributes to the maintenance of a large populations of anisakid nematodes with high genetic variability. (C) 2015 The Authors. Published by Elsevier Ltd on behalf of Australian Society for Parasitology.</v>
      </c>
      <c r="C263" s="24" t="str">
        <f>IFERROR(__xludf.DUMMYFUNCTION("""COMPUTED_VALUE"""),"10.1016/j.ijppaw.2015.10.004")</f>
        <v>10.1016/j.ijppaw.2015.10.004</v>
      </c>
      <c r="D263" s="24" t="str">
        <f>IFERROR(__xludf.DUMMYFUNCTION("""COMPUTED_VALUE"""),"shaw et al")</f>
        <v>shaw et al</v>
      </c>
      <c r="E263" s="24" t="str">
        <f>IFERROR(__xludf.DUMMYFUNCTION("""COMPUTED_VALUE"""),"WOS:000371441100013")</f>
        <v>WOS:000371441100013</v>
      </c>
      <c r="F263" s="24" t="str">
        <f>IFERROR(__xludf.DUMMYFUNCTION("""COMPUTED_VALUE"""),"[""ELIGIBLE""]")</f>
        <v>["ELIGIBLE"]</v>
      </c>
    </row>
    <row r="264">
      <c r="A264" s="24" t="str">
        <f>IFERROR(__xludf.DUMMYFUNCTION("""COMPUTED_VALUE"""),"Genetic diversity over multiple generations of supplementation: an example from Chinook salmon using microsatellite and demographic data")</f>
        <v>Genetic diversity over multiple generations of supplementation: an example from Chinook salmon using microsatellite and demographic data</v>
      </c>
      <c r="B264" s="24" t="str">
        <f>IFERROR(__xludf.DUMMYFUNCTION("""COMPUTED_VALUE"""),"We examined demographic data and microsatellite loci in a supplemented population of Chinook salmon (Oncorhynchus tshawytscha) seeking evidence of changes in genetic diversity or for reduction of the effective size (N-e ) arising from supplementation (i.e"&amp;"., the Ryman-Laikre effect). A supplementation program in the North Fork Stillaguamish River (Washington State, USA) was intended to increase abundance (N) and maintain genetic diversity in the depressed population. Since supplementation expanded in 1986,"&amp;" about 9% of the population has been randomly collected for broodstock. The resulting progeny are released into the wild and comprised 10-60% of all returning adults. Genotypic data were obtained at 14 microsatellite loci from adult samples collected in f"&amp;"our years between 1985 and 2001; these data indicated that the allelic richness and expected heterozygosity did not significantly change during this period and that genetic diversity in the captive and wild progeny was similar. The inbreeding and variance"&amp;" N-e estimated from adult escapement between 1974 and 2004 were different for the same generation, but the ratios of effective size to census size were very similar and decreased following supplementation. The variance N-e by the temporal method increased"&amp;" over time, but it is difficult to draw conclusions because of necessary assumptions made during the calculations. Based on these results we conclude that: (1) genetic diversity has been maintained over multiple generations of supplementation; (2) supplem"&amp;"entation has not contributed to a loss of genetic diversity; and (3) monitoring genetic effects of supplementation is not straightforward, but it can be useful to look at both demographic and genetic data simultaneously.")</f>
        <v>We examined demographic data and microsatellite loci in a supplemented population of Chinook salmon (Oncorhynchus tshawytscha) seeking evidence of changes in genetic diversity or for reduction of the effective size (N-e ) arising from supplementation (i.e., the Ryman-Laikre effect). A supplementation program in the North Fork Stillaguamish River (Washington State, USA) was intended to increase abundance (N) and maintain genetic diversity in the depressed population. Since supplementation expanded in 1986, about 9% of the population has been randomly collected for broodstock. The resulting progeny are released into the wild and comprised 10-60% of all returning adults. Genotypic data were obtained at 14 microsatellite loci from adult samples collected in four years between 1985 and 2001; these data indicated that the allelic richness and expected heterozygosity did not significantly change during this period and that genetic diversity in the captive and wild progeny was similar. The inbreeding and variance N-e estimated from adult escapement between 1974 and 2004 were different for the same generation, but the ratios of effective size to census size were very similar and decreased following supplementation. The variance N-e by the temporal method increased over time, but it is difficult to draw conclusions because of necessary assumptions made during the calculations. Based on these results we conclude that: (1) genetic diversity has been maintained over multiple generations of supplementation; (2) supplementation has not contributed to a loss of genetic diversity; and (3) monitoring genetic effects of supplementation is not straightforward, but it can be useful to look at both demographic and genetic data simultaneously.</v>
      </c>
      <c r="C264" s="24" t="str">
        <f>IFERROR(__xludf.DUMMYFUNCTION("""COMPUTED_VALUE"""),"10.1007/s10592-007-9298-y")</f>
        <v>10.1007/s10592-007-9298-y</v>
      </c>
      <c r="D264" s="24" t="str">
        <f>IFERROR(__xludf.DUMMYFUNCTION("""COMPUTED_VALUE"""),"shaw et al")</f>
        <v>shaw et al</v>
      </c>
      <c r="E264" s="24" t="str">
        <f>IFERROR(__xludf.DUMMYFUNCTION("""COMPUTED_VALUE"""),"WOS:000252223100002")</f>
        <v>WOS:000252223100002</v>
      </c>
      <c r="F264" s="24" t="str">
        <f>IFERROR(__xludf.DUMMYFUNCTION("""COMPUTED_VALUE"""),"[""ELIGIBLE""]")</f>
        <v>["ELIGIBLE"]</v>
      </c>
    </row>
    <row r="265">
      <c r="A265" s="24" t="str">
        <f>IFERROR(__xludf.DUMMYFUNCTION("""COMPUTED_VALUE"""),"Coupling Demographic and Genetic Variability from Archived Collections of European Anchovy (Engraulis encrasicolus)")</f>
        <v>Coupling Demographic and Genetic Variability from Archived Collections of European Anchovy (Engraulis encrasicolus)</v>
      </c>
      <c r="B265" s="24" t="str">
        <f>IFERROR(__xludf.DUMMYFUNCTION("""COMPUTED_VALUE"""),"It is well known that temporal fluctuations in small populations deeply influence evolutionary potential. Less well known is whether fluctuations can influence the evolutionary potentials of species with large census sizes. Here, we estimated genetic popu"&amp;"lation parameters from as survey of polymorphic microsatellite DNA loci in archived otoliths from Adriatic European anchovy (Engraulis encrasicolus), a fish with large census sizes that supports numerous local fisheries. Stocks have fluctuated greatly ove"&amp;"r the past few decades, and the Adriatic fishery collapsed in 1987. Our results show a significant reduction of mean genetic parameters as a consequence of the population collapse. In addition, estimates of effective population size (N-e) are much smaller"&amp;" than those expected in a fishes with large population census sizes (N-c). Estimates of N-e indicate low effective population sizes, even before the population collapse. The ratio N-e/N-e ranged between 10(-6) and 10(-8), indicating a large discrepancy be"&amp;"tween the anchovy gene pool and population census size. Therefore, anchovy populations may be more vulnerable to fishery effort and environmental change than previously thought.")</f>
        <v>It is well known that temporal fluctuations in small populations deeply influence evolutionary potential. Less well known is whether fluctuations can influence the evolutionary potentials of species with large census sizes. Here, we estimated genetic population parameters from as survey of polymorphic microsatellite DNA loci in archived otoliths from Adriatic European anchovy (Engraulis encrasicolus), a fish with large census sizes that supports numerous local fisheries. Stocks have fluctuated greatly over the past few decades, and the Adriatic fishery collapsed in 1987. Our results show a significant reduction of mean genetic parameters as a consequence of the population collapse. In addition, estimates of effective population size (N-e) are much smaller than those expected in a fishes with large population census sizes (N-c). Estimates of N-e indicate low effective population sizes, even before the population collapse. The ratio N-e/N-e ranged between 10(-6) and 10(-8), indicating a large discrepancy between the anchovy gene pool and population census size. Therefore, anchovy populations may be more vulnerable to fishery effort and environmental change than previously thought.</v>
      </c>
      <c r="C265" s="24" t="str">
        <f>IFERROR(__xludf.DUMMYFUNCTION("""COMPUTED_VALUE"""),"10.1371/journal.pone.0151507")</f>
        <v>10.1371/journal.pone.0151507</v>
      </c>
      <c r="D265" s="24" t="str">
        <f>IFERROR(__xludf.DUMMYFUNCTION("""COMPUTED_VALUE"""),"shaw et al")</f>
        <v>shaw et al</v>
      </c>
      <c r="E265" s="24" t="str">
        <f>IFERROR(__xludf.DUMMYFUNCTION("""COMPUTED_VALUE"""),"WOS:000372574900089")</f>
        <v>WOS:000372574900089</v>
      </c>
      <c r="F265" s="24" t="str">
        <f>IFERROR(__xludf.DUMMYFUNCTION("""COMPUTED_VALUE"""),"[""ELIGIBLE""]")</f>
        <v>["ELIGIBLE"]</v>
      </c>
    </row>
    <row r="266">
      <c r="A266" s="24" t="str">
        <f>IFERROR(__xludf.DUMMYFUNCTION("""COMPUTED_VALUE"""),"Genetic assessment of spatiotemporal evolutionary relationships and stocking effects in grayling (Thymallus thymallus, Salmonidae)")</f>
        <v>Genetic assessment of spatiotemporal evolutionary relationships and stocking effects in grayling (Thymallus thymallus, Salmonidae)</v>
      </c>
      <c r="B266" s="24" t="str">
        <f>IFERROR(__xludf.DUMMYFUNCTION("""COMPUTED_VALUE"""),"Domestically reared introduced (or escaped) individuals can have detrimental genetic effects on the indigenous populations into which they are released, Consequently, numerous studies have attempted to estimate whether, non-native specimens have contribut"&amp;"ed to the gene pool of wild populations. So far, the key limiting factor of such studies has been their lack of appropriate baseline genetic material. Here, microsatellite DNA analyses of historical scale samples and contemporary wild and introduced popul"&amp;"ations were used to assess spatiotemporal population structure and stocking effects among endangered Lake Saimaa (eastern Finland) grayling (Thymallus thymallus,Salmonidae). Significant decreases in genetic differentiation were detected between wild and i"&amp;"ntroduced populations since the commencement of stocking in 1986. Accordingly, up to 15% of the contemporary wild grayling were confidently identified to be of pure hatchery origin, and recent hybridization between the hatchery and indigenous individuals "&amp;"appeared likely. Despite these clear genetic imprints of stocking, the contemporary populations exhibited evolutionary relationships congruent with the sampling locations, and up to 73% of contemporary individuals were identified to be of pure indigenous "&amp;"origin. The use of historical baseline material should prove efficient for monitoring gene flow between domesticated and wild populations in other species also, e.g. salmonids, game animals and plants.")</f>
        <v>Domestically reared introduced (or escaped) individuals can have detrimental genetic effects on the indigenous populations into which they are released, Consequently, numerous studies have attempted to estimate whether, non-native specimens have contributed to the gene pool of wild populations. So far, the key limiting factor of such studies has been their lack of appropriate baseline genetic material. Here, microsatellite DNA analyses of historical scale samples and contemporary wild and introduced populations were used to assess spatiotemporal population structure and stocking effects among endangered Lake Saimaa (eastern Finland) grayling (Thymallus thymallus,Salmonidae). Significant decreases in genetic differentiation were detected between wild and introduced populations since the commencement of stocking in 1986. Accordingly, up to 15% of the contemporary wild grayling were confidently identified to be of pure hatchery origin, and recent hybridization between the hatchery and indigenous individuals appeared likely. Despite these clear genetic imprints of stocking, the contemporary populations exhibited evolutionary relationships congruent with the sampling locations, and up to 73% of contemporary individuals were identified to be of pure indigenous origin. The use of historical baseline material should prove efficient for monitoring gene flow between domesticated and wild populations in other species also, e.g. salmonids, game animals and plants.</v>
      </c>
      <c r="C266" s="24" t="str">
        <f>IFERROR(__xludf.DUMMYFUNCTION("""COMPUTED_VALUE"""),"10.1046/j.1461-0248.2002.00302.x")</f>
        <v>10.1046/j.1461-0248.2002.00302.x</v>
      </c>
      <c r="D266" s="24" t="str">
        <f>IFERROR(__xludf.DUMMYFUNCTION("""COMPUTED_VALUE"""),"shaw et al")</f>
        <v>shaw et al</v>
      </c>
      <c r="E266" s="24" t="str">
        <f>IFERROR(__xludf.DUMMYFUNCTION("""COMPUTED_VALUE"""),"WOS:000175119000007")</f>
        <v>WOS:000175119000007</v>
      </c>
      <c r="F266" s="24" t="str">
        <f>IFERROR(__xludf.DUMMYFUNCTION("""COMPUTED_VALUE"""),"[""ELIGIBLE""]")</f>
        <v>["ELIGIBLE"]</v>
      </c>
    </row>
    <row r="267">
      <c r="A267" s="24" t="str">
        <f>IFERROR(__xludf.DUMMYFUNCTION("""COMPUTED_VALUE"""),"Herbarium specimens reveal a historical shift in phylogeographic structure of common ragweed during native range disturbance")</f>
        <v>Herbarium specimens reveal a historical shift in phylogeographic structure of common ragweed during native range disturbance</v>
      </c>
      <c r="B267" s="24" t="str">
        <f>IFERROR(__xludf.DUMMYFUNCTION("""COMPUTED_VALUE"""),"Invasive plants provide ample opportunity to study evolutionary shifts that occur after introduction to novel environments. However, although genetic characters pre-dating introduction can be important determinants of later success, large-scale investigat"&amp;"ions of historical genetic structure have not been feasible. Common ragweed (Ambrosia artemisiifolia L.) is an invasive weed native to North America that is known for its allergenic pollen. Palynological records from sediment cores indicate that this spec"&amp;"ies was uncommon before European colonization of North America, and ragweed populations expanded rapidly as settlers deforested the landscape on a massive scale, later becoming an aggressive invasive with populations established globally. Towards a direct"&amp;" comparison of genetic structure now and during intense anthropogenic disturbance of the late 19th century, we sampled 45 natural populations of common ragweed across its native range as well as historical herbarium specimens collected up to 140years ago."&amp;" Bayesian clustering analyses of 453 modern and 473 historical samples genotyped at three chloroplast spacer regions and six nuclear microsatellite loci reveal that historical ragweed's spatial genetic structure mirrors both the palaeo-record of Ambrosia "&amp;"pollen deposition and the historical pattern of agricultural density across the landscape. Furthermore, for unknown reasons, this spatial genetic pattern has changed substantially in the intervening years. Following on previous work relating morphology an"&amp;"d genetic expression between plants collected from eastern North America and Western Europe, we speculate that the cluster associated with humans' rapid transformation of the landscape is a likely source of these aggressive invasive populations.")</f>
        <v>Invasive plants provide ample opportunity to study evolutionary shifts that occur after introduction to novel environments. However, although genetic characters pre-dating introduction can be important determinants of later success, large-scale investigations of historical genetic structure have not been feasible. Common ragweed (Ambrosia artemisiifolia L.) is an invasive weed native to North America that is known for its allergenic pollen. Palynological records from sediment cores indicate that this species was uncommon before European colonization of North America, and ragweed populations expanded rapidly as settlers deforested the landscape on a massive scale, later becoming an aggressive invasive with populations established globally. Towards a direct comparison of genetic structure now and during intense anthropogenic disturbance of the late 19th century, we sampled 45 natural populations of common ragweed across its native range as well as historical herbarium specimens collected up to 140years ago. Bayesian clustering analyses of 453 modern and 473 historical samples genotyped at three chloroplast spacer regions and six nuclear microsatellite loci reveal that historical ragweed's spatial genetic structure mirrors both the palaeo-record of Ambrosia pollen deposition and the historical pattern of agricultural density across the landscape. Furthermore, for unknown reasons, this spatial genetic pattern has changed substantially in the intervening years. Following on previous work relating morphology and genetic expression between plants collected from eastern North America and Western Europe, we speculate that the cluster associated with humans' rapid transformation of the landscape is a likely source of these aggressive invasive populations.</v>
      </c>
      <c r="C267" s="24" t="str">
        <f>IFERROR(__xludf.DUMMYFUNCTION("""COMPUTED_VALUE"""),"10.1111/mec.12675")</f>
        <v>10.1111/mec.12675</v>
      </c>
      <c r="D267" s="24" t="str">
        <f>IFERROR(__xludf.DUMMYFUNCTION("""COMPUTED_VALUE"""),"shaw et al")</f>
        <v>shaw et al</v>
      </c>
      <c r="E267" s="24" t="str">
        <f>IFERROR(__xludf.DUMMYFUNCTION("""COMPUTED_VALUE"""),"WOS:000333333500008")</f>
        <v>WOS:000333333500008</v>
      </c>
      <c r="F267" s="24" t="str">
        <f>IFERROR(__xludf.DUMMYFUNCTION("""COMPUTED_VALUE"""),"[""ELIGIBLE""]")</f>
        <v>["ELIGIBLE"]</v>
      </c>
    </row>
    <row r="268">
      <c r="A268" s="24" t="str">
        <f>IFERROR(__xludf.DUMMYFUNCTION("""COMPUTED_VALUE"""),"Genetic evaluation of reintroduced amago salmon Oncorhynchus masou ishikawae")</f>
        <v>Genetic evaluation of reintroduced amago salmon Oncorhynchus masou ishikawae</v>
      </c>
      <c r="B268" s="24" t="str">
        <f>IFERROR(__xludf.DUMMYFUNCTION("""COMPUTED_VALUE"""),"Population revival of amago salmon Oncorhynchus masou ishikawae was attempted by reintroducing wild individuals to an isolated tributary, in which this species had once become extinct, from a neighboring tributary in the same drainage basin, and its effec"&amp;"ts were evaluated by genetic analyses with nine microsatellite markers. The number of transplants steadily increased, approximately reaching a plateau of population size two years after reintroduction. Although the revived population kept almost the same "&amp;"level of heterozygosity and relatedness as its founding population, the richness of alleles, especially rare alleles, has declined slightly. These results show that, in stream-dwelling fish such as amago salmon, exchange of individuals among neighboring p"&amp;"opulations in the same drainage basin is important for the long-term preservation of genetic characteristics including genetic diversity, although population revival within a short period is possible by transplanting a small number of parental fish.")</f>
        <v>Population revival of amago salmon Oncorhynchus masou ishikawae was attempted by reintroducing wild individuals to an isolated tributary, in which this species had once become extinct, from a neighboring tributary in the same drainage basin, and its effects were evaluated by genetic analyses with nine microsatellite markers. The number of transplants steadily increased, approximately reaching a plateau of population size two years after reintroduction. Although the revived population kept almost the same level of heterozygosity and relatedness as its founding population, the richness of alleles, especially rare alleles, has declined slightly. These results show that, in stream-dwelling fish such as amago salmon, exchange of individuals among neighboring populations in the same drainage basin is important for the long-term preservation of genetic characteristics including genetic diversity, although population revival within a short period is possible by transplanting a small number of parental fish.</v>
      </c>
      <c r="C268" s="24" t="str">
        <f>IFERROR(__xludf.DUMMYFUNCTION("""COMPUTED_VALUE"""),"10.2331/suisan.80.233")</f>
        <v>10.2331/suisan.80.233</v>
      </c>
      <c r="D268" s="24" t="str">
        <f>IFERROR(__xludf.DUMMYFUNCTION("""COMPUTED_VALUE"""),"shaw et al")</f>
        <v>shaw et al</v>
      </c>
      <c r="E268" s="24" t="str">
        <f>IFERROR(__xludf.DUMMYFUNCTION("""COMPUTED_VALUE"""),"WOS:000336019100007")</f>
        <v>WOS:000336019100007</v>
      </c>
      <c r="F268" s="24" t="str">
        <f>IFERROR(__xludf.DUMMYFUNCTION("""COMPUTED_VALUE"""),"[""ELIGIBLE""]")</f>
        <v>["ELIGIBLE"]</v>
      </c>
    </row>
    <row r="269">
      <c r="A269" s="24" t="str">
        <f>IFERROR(__xludf.DUMMYFUNCTION("""COMPUTED_VALUE"""),"Mating system and individual reproductive success of sympatric anadromous and resident brook charr, Salvelinus fontinalis, under natural conditions")</f>
        <v>Mating system and individual reproductive success of sympatric anadromous and resident brook charr, Salvelinus fontinalis, under natural conditions</v>
      </c>
      <c r="B269" s="24" t="str">
        <f>IFERROR(__xludf.DUMMYFUNCTION("""COMPUTED_VALUE"""),"Salmonids are known for the occurrence in sympatry of two life-history forms, one that undergoes migration to sea before returning to freshwater to reproduce (anadromous) and one that inhabits freshwater without a migration phase (resident). Whereas one b"&amp;"reeding population is often suggested by population genetic studies, mating patterns have rarely been directly assessed, especially when both sexes are found within each life-history form. By using highly polymorphic microsatellite loci and parentage anal"&amp;"ysis in a natural population of sympatric anadromous and resident brook charr (Salvelinus fontinalis), we found that gene flow occurred between the two forms and was mediated by resident males mating with both resident and anadromous females. Determinants"&amp;" of reproductive success, estimated by the number of surviving juveniles (ages 1 and 2 years), differed between the sexes. No strong evidence of the influence of size on individual reproductive success was found for males, whereas larger females (and henc"&amp;"e most likely to be anadromous) were more successful. The higher individual reproductive success of anadromous fish compared to residents was mainly explained by this higher reproductive success of anadromous females. We suggest that resident males adopt "&amp;"a sneaking reproductive tactic as a way of increasing their reproductive success by mating with females of all sizes in all habitats. The persistence of the resident tactic among females may be linked to their advantage in accessing spatially constrained "&amp;"spawning areas in small tributary streams unavailable to larger females.")</f>
        <v>Salmonids are known for the occurrence in sympatry of two life-history forms, one that undergoes migration to sea before returning to freshwater to reproduce (anadromous) and one that inhabits freshwater without a migration phase (resident). Whereas one breeding population is often suggested by population genetic studies, mating patterns have rarely been directly assessed, especially when both sexes are found within each life-history form. By using highly polymorphic microsatellite loci and parentage analysis in a natural population of sympatric anadromous and resident brook charr (Salvelinus fontinalis), we found that gene flow occurred between the two forms and was mediated by resident males mating with both resident and anadromous females. Determinants of reproductive success, estimated by the number of surviving juveniles (ages 1 and 2 years), differed between the sexes. No strong evidence of the influence of size on individual reproductive success was found for males, whereas larger females (and hence most likely to be anadromous) were more successful. The higher individual reproductive success of anadromous fish compared to residents was mainly explained by this higher reproductive success of anadromous females. We suggest that resident males adopt a sneaking reproductive tactic as a way of increasing their reproductive success by mating with females of all sizes in all habitats. The persistence of the resident tactic among females may be linked to their advantage in accessing spatially constrained spawning areas in small tributary streams unavailable to larger females.</v>
      </c>
      <c r="C269" s="24" t="str">
        <f>IFERROR(__xludf.DUMMYFUNCTION("""COMPUTED_VALUE"""),"10.1007/s00265-007-0437-8")</f>
        <v>10.1007/s00265-007-0437-8</v>
      </c>
      <c r="D269" s="24" t="str">
        <f>IFERROR(__xludf.DUMMYFUNCTION("""COMPUTED_VALUE"""),"shaw et al")</f>
        <v>shaw et al</v>
      </c>
      <c r="E269" s="24" t="str">
        <f>IFERROR(__xludf.DUMMYFUNCTION("""COMPUTED_VALUE"""),"WOS:000250131900005")</f>
        <v>WOS:000250131900005</v>
      </c>
      <c r="F269" s="24" t="str">
        <f>IFERROR(__xludf.DUMMYFUNCTION("""COMPUTED_VALUE"""),"[""ELIGIBLE""]")</f>
        <v>["ELIGIBLE"]</v>
      </c>
    </row>
    <row r="270">
      <c r="A270" s="24" t="str">
        <f>IFERROR(__xludf.DUMMYFUNCTION("""COMPUTED_VALUE"""),"What can gene flow and recruitment dynamics tell us about connectivity between European hake stocks in the Eastern North Atlantic?")</f>
        <v>What can gene flow and recruitment dynamics tell us about connectivity between European hake stocks in the Eastern North Atlantic?</v>
      </c>
      <c r="B270" s="24" t="str">
        <f>IFERROR(__xludf.DUMMYFUNCTION("""COMPUTED_VALUE"""),"Systematic genetic analyses of fish populations allow the testing of temporal stability in their genetic structures and better understanding their pattern of connectivity. In this study the pattern of gene flow between the two Atlantic stocks of the Europ"&amp;"ean hake has been examined for the period 2000-2002. Present analyses indicate that a large genetic homogeneity existed among all Atlantic populations in that period, and that a systematic grouping occurred between Porcupine Bank samples and Cantabric one"&amp;"s. This scenario is congruent with an inter-annual gene flow from central grounds of the northern stock (Porcupine and Great Sole) to Iberian grounds inhabited by the southern stock. Additionally, estimated migration figures were in agreement with the goo"&amp;"d recruitments observed in the southern stock after 2003 despite the spawning biomass was at its historical minimum. Altogether these results highlight the central role of Porcupine bank and Great Sole in making sustainable both stocks and advocate the in"&amp;"tegrative management of this hake fishery by means of a multidisciplinary assessment. (C) 2010 Elsevier Ltd. All rights reserved.")</f>
        <v>Systematic genetic analyses of fish populations allow the testing of temporal stability in their genetic structures and better understanding their pattern of connectivity. In this study the pattern of gene flow between the two Atlantic stocks of the European hake has been examined for the period 2000-2002. Present analyses indicate that a large genetic homogeneity existed among all Atlantic populations in that period, and that a systematic grouping occurred between Porcupine Bank samples and Cantabric ones. This scenario is congruent with an inter-annual gene flow from central grounds of the northern stock (Porcupine and Great Sole) to Iberian grounds inhabited by the southern stock. Additionally, estimated migration figures were in agreement with the good recruitments observed in the southern stock after 2003 despite the spawning biomass was at its historical minimum. Altogether these results highlight the central role of Porcupine bank and Great Sole in making sustainable both stocks and advocate the integrative management of this hake fishery by means of a multidisciplinary assessment. (C) 2010 Elsevier Ltd. All rights reserved.</v>
      </c>
      <c r="C270" s="24" t="str">
        <f>IFERROR(__xludf.DUMMYFUNCTION("""COMPUTED_VALUE"""),"10.1016/j.csr.2010.09.010")</f>
        <v>10.1016/j.csr.2010.09.010</v>
      </c>
      <c r="D270" s="24" t="str">
        <f>IFERROR(__xludf.DUMMYFUNCTION("""COMPUTED_VALUE"""),"shaw et al")</f>
        <v>shaw et al</v>
      </c>
      <c r="E270" s="24" t="str">
        <f>IFERROR(__xludf.DUMMYFUNCTION("""COMPUTED_VALUE"""),"WOS:000288818200002")</f>
        <v>WOS:000288818200002</v>
      </c>
      <c r="F270" s="24" t="str">
        <f>IFERROR(__xludf.DUMMYFUNCTION("""COMPUTED_VALUE"""),"[""ELIGIBLE""]")</f>
        <v>["ELIGIBLE"]</v>
      </c>
    </row>
    <row r="271">
      <c r="A271" s="24" t="str">
        <f>IFERROR(__xludf.DUMMYFUNCTION("""COMPUTED_VALUE"""),"The genetic structure of populations of the sea urchin Strongylocentrotus intermedius from the northwestern Sea of Japan in connection with a shift in spawning time")</f>
        <v>The genetic structure of populations of the sea urchin Strongylocentrotus intermedius from the northwestern Sea of Japan in connection with a shift in spawning time</v>
      </c>
      <c r="B271" s="24" t="str">
        <f>IFERROR(__xludf.DUMMYFUNCTION("""COMPUTED_VALUE"""),"Usin seven allozyme loci as gene markers, we studied the genetic structure of ten natural populations of the sea urchin Strongylocentrotus intermedius in the northwestern Sea of Japan that differ in the proportion of individuals with different spawning se"&amp;"asonality (early spawning at the end of May-June and late spawning in September-early October). This study revealed the spatial genetic heterogeneity of the sea-urchin populations (F (st) = 0.051); its degree was independent of the geographic distance bet"&amp;"ween populations. Out of the seven loci that were surveyed, four loci (peptidase Pep-1, Pep-2, mannose phosphate isomerase Mpi, and inorganic pyrophosphatase Ipp) accounted for the differences between pairs of samples; different loci contributed to the va"&amp;"riation in each sample pair. The genetic similarity between pairs of populations ranged from 0.905 to 0.988. The genetic heterogeneity of the sea-urchin populations seems to be a result of both genetic drift and natural selection. At the same time, no sig"&amp;"nificant genetic differences were found between specimens of S. intermedius with different spawning times (the genetic similarity was 0.988-0.991). The shift in spawning season from autumn to early summer in the populations of S. intermedius inhabiting th"&amp;"e areas of Peter the Great Bay adjacent to Vladivostok city can be explained by a phenotypic response of this species to environmental changes caused by chronic anthropogenic pollution of the bay.")</f>
        <v>Usin seven allozyme loci as gene markers, we studied the genetic structure of ten natural populations of the sea urchin Strongylocentrotus intermedius in the northwestern Sea of Japan that differ in the proportion of individuals with different spawning seasonality (early spawning at the end of May-June and late spawning in September-early October). This study revealed the spatial genetic heterogeneity of the sea-urchin populations (F (st) = 0.051); its degree was independent of the geographic distance between populations. Out of the seven loci that were surveyed, four loci (peptidase Pep-1, Pep-2, mannose phosphate isomerase Mpi, and inorganic pyrophosphatase Ipp) accounted for the differences between pairs of samples; different loci contributed to the variation in each sample pair. The genetic similarity between pairs of populations ranged from 0.905 to 0.988. The genetic heterogeneity of the sea-urchin populations seems to be a result of both genetic drift and natural selection. At the same time, no significant genetic differences were found between specimens of S. intermedius with different spawning times (the genetic similarity was 0.988-0.991). The shift in spawning season from autumn to early summer in the populations of S. intermedius inhabiting the areas of Peter the Great Bay adjacent to Vladivostok city can be explained by a phenotypic response of this species to environmental changes caused by chronic anthropogenic pollution of the bay.</v>
      </c>
      <c r="C271" s="24" t="str">
        <f>IFERROR(__xludf.DUMMYFUNCTION("""COMPUTED_VALUE"""),"10.1134/S1063074012040104")</f>
        <v>10.1134/S1063074012040104</v>
      </c>
      <c r="D271" s="24" t="str">
        <f>IFERROR(__xludf.DUMMYFUNCTION("""COMPUTED_VALUE"""),"shaw et al")</f>
        <v>shaw et al</v>
      </c>
      <c r="E271" s="24" t="str">
        <f>IFERROR(__xludf.DUMMYFUNCTION("""COMPUTED_VALUE"""),"WOS:000308001000005")</f>
        <v>WOS:000308001000005</v>
      </c>
      <c r="F271" s="24" t="str">
        <f>IFERROR(__xludf.DUMMYFUNCTION("""COMPUTED_VALUE"""),"[""ELIGIBLE""]")</f>
        <v>["ELIGIBLE"]</v>
      </c>
    </row>
    <row r="272">
      <c r="A272" s="24" t="str">
        <f>IFERROR(__xludf.DUMMYFUNCTION("""COMPUTED_VALUE"""),"Temporal Population Genetic Structure of Yellow Perch Spawning Groups in the Lower Great Lakes")</f>
        <v>Temporal Population Genetic Structure of Yellow Perch Spawning Groups in the Lower Great Lakes</v>
      </c>
      <c r="B272" s="24" t="str">
        <f>IFERROR(__xludf.DUMMYFUNCTION("""COMPUTED_VALUE"""),"This study tested the hypothesis that the genetic composition of Yellow Perch Perca flavescens spawning groups at specific sites remained consistent among years or age-cohorts; this likely would influence spatial population structure and be important for "&amp;"delineating management units. Previous studies identified that spawning groups genetically differed among locations across fine geographic scales, but it was unknown whether these patterns persisted from year to year. We analyzed 15 nuclear DNA microsatel"&amp;"lite loci from Yellow Perch spawning at six Lake Erie locations in 2009 in reference to two out-groups spawning in Lakes St. Clair and Ontario. Results were compared with a prior study of samples from the same locations that had been collected in various "&amp;"years, ranging from 2001 to 2005. We evaluated consistency for two of the spawning groups across multiple birth-year-cohorts. Results indicated that the levels of genetic diversity were similar across all spawning groups and years. All eight spawning grou"&amp;"ps genetically differed from one other, with their allelic compositions varying between the two sampling periods. Some variation occurred among individual sampling years and birth-cohorts, with the 2003 cohort being the most distinctive. Sampling groups c"&amp;"ontained relatively high proportions of full siblings (mean = 18.5%, ranging to 75% for the 2001 birth-cohort spawning at the eastern Lake Erie site), yet inbreeding appeared relatively low. Differences at sampling sites over time did not appear to reflec"&amp;"t genetic drift but may instead suggest that spawning groups reproduce in slightly different locations from year to year or perhaps within a given season; this merits examination. Spatial and temporal patterns may reflect kin-group structuring and differe"&amp;"ntial reproductive success, in which strong year-classes dominate spawning groups and impact genetic structure.")</f>
        <v>This study tested the hypothesis that the genetic composition of Yellow Perch Perca flavescens spawning groups at specific sites remained consistent among years or age-cohorts; this likely would influence spatial population structure and be important for delineating management units. Previous studies identified that spawning groups genetically differed among locations across fine geographic scales, but it was unknown whether these patterns persisted from year to year. We analyzed 15 nuclear DNA microsatellite loci from Yellow Perch spawning at six Lake Erie locations in 2009 in reference to two out-groups spawning in Lakes St. Clair and Ontario. Results were compared with a prior study of samples from the same locations that had been collected in various years, ranging from 2001 to 2005. We evaluated consistency for two of the spawning groups across multiple birth-year-cohorts. Results indicated that the levels of genetic diversity were similar across all spawning groups and years. All eight spawning groups genetically differed from one other, with their allelic compositions varying between the two sampling periods. Some variation occurred among individual sampling years and birth-cohorts, with the 2003 cohort being the most distinctive. Sampling groups contained relatively high proportions of full siblings (mean = 18.5%, ranging to 75% for the 2001 birth-cohort spawning at the eastern Lake Erie site), yet inbreeding appeared relatively low. Differences at sampling sites over time did not appear to reflect genetic drift but may instead suggest that spawning groups reproduce in slightly different locations from year to year or perhaps within a given season; this merits examination. Spatial and temporal patterns may reflect kin-group structuring and differential reproductive success, in which strong year-classes dominate spawning groups and impact genetic structure.</v>
      </c>
      <c r="C272" s="24" t="str">
        <f>IFERROR(__xludf.DUMMYFUNCTION("""COMPUTED_VALUE"""),"10.1080/00028487.2014.982260")</f>
        <v>10.1080/00028487.2014.982260</v>
      </c>
      <c r="D272" s="24" t="str">
        <f>IFERROR(__xludf.DUMMYFUNCTION("""COMPUTED_VALUE"""),"shaw et al")</f>
        <v>shaw et al</v>
      </c>
      <c r="E272" s="24" t="str">
        <f>IFERROR(__xludf.DUMMYFUNCTION("""COMPUTED_VALUE"""),"WOS:000350025600019")</f>
        <v>WOS:000350025600019</v>
      </c>
      <c r="F272" s="24" t="str">
        <f>IFERROR(__xludf.DUMMYFUNCTION("""COMPUTED_VALUE"""),"[""ELIGIBLE""]")</f>
        <v>["ELIGIBLE"]</v>
      </c>
    </row>
    <row r="273">
      <c r="A273" s="24" t="str">
        <f>IFERROR(__xludf.DUMMYFUNCTION("""COMPUTED_VALUE"""),"Sepiolid paralarval diversity in a regional upwelling area of the NE Atlantic")</f>
        <v>Sepiolid paralarval diversity in a regional upwelling area of the NE Atlantic</v>
      </c>
      <c r="B273" s="24" t="str">
        <f>IFERROR(__xludf.DUMMYFUNCTION("""COMPUTED_VALUE"""),"Sepiolid paralarvae are poorly studied, at least in part, because of the difficulty of accurate identification using morphological analysis. To unravel the biodiversity of sepiolid paralarvae collected in the Ria de Vigo during the upwelling season (2012-"&amp;"2014), and to overcome the difficulties of traditional identification, sepiolid paralarvae were identified by amplifying the barcoding gene cytochrome c oxidase subunit I (COI). In addition, morphometric analysis (Generalised Lineal Models, GLM and Discri"&amp;"minant Analysis, DA) was used to identify morphometric patterns useful for paralarval species identification. Genetic barcoding successfully identified 34 Sepiola pfefferi, 31 Rondeletiola minor, 30 Sepiola tridens, 4 Sepiola atlantica, 2 Sepietta neglect"&amp;"a and 1 Sepiola ligulata. COI analysis also allowed us to infer that the paralarvae of the three most abundant species belonged to the same populations independently of the year sampled. GLM suggested that total length (statistically different among the t"&amp;"hree species) and tentacle length (statistically larger in S. pfefferi from the other two species) were good variables to distinguish among species. DA succeeded in separating S. pfefferi from S. tridens, but R. minor overlapped along the first axes with "&amp;"both species, decreasing the accurate classification rate to 67%.")</f>
        <v>Sepiolid paralarvae are poorly studied, at least in part, because of the difficulty of accurate identification using morphological analysis. To unravel the biodiversity of sepiolid paralarvae collected in the Ria de Vigo during the upwelling season (2012-2014), and to overcome the difficulties of traditional identification, sepiolid paralarvae were identified by amplifying the barcoding gene cytochrome c oxidase subunit I (COI). In addition, morphometric analysis (Generalised Lineal Models, GLM and Discriminant Analysis, DA) was used to identify morphometric patterns useful for paralarval species identification. Genetic barcoding successfully identified 34 Sepiola pfefferi, 31 Rondeletiola minor, 30 Sepiola tridens, 4 Sepiola atlantica, 2 Sepietta neglecta and 1 Sepiola ligulata. COI analysis also allowed us to infer that the paralarvae of the three most abundant species belonged to the same populations independently of the year sampled. GLM suggested that total length (statistically different among the three species) and tentacle length (statistically larger in S. pfefferi from the other two species) were good variables to distinguish among species. DA succeeded in separating S. pfefferi from S. tridens, but R. minor overlapped along the first axes with both species, decreasing the accurate classification rate to 67%.</v>
      </c>
      <c r="C273" s="24" t="str">
        <f>IFERROR(__xludf.DUMMYFUNCTION("""COMPUTED_VALUE"""),"10.1007/s10750-017-3186-3")</f>
        <v>10.1007/s10750-017-3186-3</v>
      </c>
      <c r="D273" s="24" t="str">
        <f>IFERROR(__xludf.DUMMYFUNCTION("""COMPUTED_VALUE"""),"shaw et al")</f>
        <v>shaw et al</v>
      </c>
      <c r="E273" s="24" t="str">
        <f>IFERROR(__xludf.DUMMYFUNCTION("""COMPUTED_VALUE"""),"WOS:000423827000005")</f>
        <v>WOS:000423827000005</v>
      </c>
      <c r="F273" s="24" t="str">
        <f>IFERROR(__xludf.DUMMYFUNCTION("""COMPUTED_VALUE"""),"[""ELIGIBLE""]")</f>
        <v>["ELIGIBLE"]</v>
      </c>
    </row>
    <row r="274">
      <c r="A274" s="24" t="str">
        <f>IFERROR(__xludf.DUMMYFUNCTION("""COMPUTED_VALUE"""),"Genetic structure in species with shallow evolutionary lineages: a case study of the rare flatfish Verasper variegatus")</f>
        <v>Genetic structure in species with shallow evolutionary lineages: a case study of the rare flatfish Verasper variegatus</v>
      </c>
      <c r="B274" s="24" t="str">
        <f>IFERROR(__xludf.DUMMYFUNCTION("""COMPUTED_VALUE"""),"We examined the genetic population divergence of the spotted halibut Verasper variegatus. A previous report suggested two conservation units for this species along the Japanese Pacific coast. Extending the coverage of the genomes (29 microsatellites and t"&amp;"hree mitochondrial DNA segments) revealed hitherto-undetected genetic population boundaries. We screened population samples from the major habitats along the Japanese coast and the Yellow Sea coast (East Asian Continent). Significant genetic differentiati"&amp;"on was found in every comparison between the habitats. In most cases, the nuclear and mitochondrial population divergences were incongruent, most likely caused by differences between the two genomes in the effects of genetic drift after recent population "&amp;"isolation and bottleneck events. We discuss the ecological and evolutionary mechanisms of the genetic structure as well as the units of conservation. The present study illustrates the merits of wider coverage of genomes in genetic population analysis espe"&amp;"cially for species with a shallow population history.")</f>
        <v>We examined the genetic population divergence of the spotted halibut Verasper variegatus. A previous report suggested two conservation units for this species along the Japanese Pacific coast. Extending the coverage of the genomes (29 microsatellites and three mitochondrial DNA segments) revealed hitherto-undetected genetic population boundaries. We screened population samples from the major habitats along the Japanese coast and the Yellow Sea coast (East Asian Continent). Significant genetic differentiation was found in every comparison between the habitats. In most cases, the nuclear and mitochondrial population divergences were incongruent, most likely caused by differences between the two genomes in the effects of genetic drift after recent population isolation and bottleneck events. We discuss the ecological and evolutionary mechanisms of the genetic structure as well as the units of conservation. The present study illustrates the merits of wider coverage of genomes in genetic population analysis especially for species with a shallow population history.</v>
      </c>
      <c r="C274" s="24" t="str">
        <f>IFERROR(__xludf.DUMMYFUNCTION("""COMPUTED_VALUE"""),"10.1007/s10592-010-0128-2")</f>
        <v>10.1007/s10592-010-0128-2</v>
      </c>
      <c r="D274" s="24" t="str">
        <f>IFERROR(__xludf.DUMMYFUNCTION("""COMPUTED_VALUE"""),"shaw et al")</f>
        <v>shaw et al</v>
      </c>
      <c r="E274" s="24" t="str">
        <f>IFERROR(__xludf.DUMMYFUNCTION("""COMPUTED_VALUE"""),"WOS:000285971900013")</f>
        <v>WOS:000285971900013</v>
      </c>
      <c r="F274" s="24" t="str">
        <f>IFERROR(__xludf.DUMMYFUNCTION("""COMPUTED_VALUE"""),"[""ELIGIBLE""]")</f>
        <v>["ELIGIBLE"]</v>
      </c>
    </row>
    <row r="275">
      <c r="A275" s="24" t="str">
        <f>IFERROR(__xludf.DUMMYFUNCTION("""COMPUTED_VALUE"""),"Loss of Genetic Diversity among Ocelots in the United States during the 20th Century Linked to Human Induced Population Reductions")</f>
        <v>Loss of Genetic Diversity among Ocelots in the United States during the 20th Century Linked to Human Induced Population Reductions</v>
      </c>
      <c r="B275" s="24" t="str">
        <f>IFERROR(__xludf.DUMMYFUNCTION("""COMPUTED_VALUE"""),"Ocelots (Leopardus pardalis) in the United States currently exhibit low levels of genetic diversity. One hypothesis for this observation is that habitat fragmentation, resulting from human induced changes in the landscape during the 20th century, created "&amp;"island populations with highly reduced gene flow and increased genetic drift and inbreeding. In an effort to investigate this, we used a portion of the mitochondrial control region and 11 autosomal microsatellite loci to examine historical levels of genet"&amp;"ic diversity and infer temporal changes in ocelot populations between 1853 and 2005. Levels of genetic diversity were higher in historical ocelot populations than in extant populations from Texas. The earliest documented loss of mitochondrial haplotype di"&amp;"versity occurred at Laguna Atascosa National Wildlife Refuge. The second extant population inhabiting private lands in Willacy County retained higher levels of genetic diversity through the 1990s, but subsequently lost diversity over the next decade. A si"&amp;"milar pattern was observed for autosomal microsatellite loci. This supports the argument that low levels of genetic diversity in Texas are related to human induced population reductions and fragmentation, both of which threaten the remaining ocelots in th"&amp;"e United States. At this time, the best means of mitigating the continued erosion of genetic variation are translocation of individuals either from larger populations in Mexico to Texas, or between the Texas populations.")</f>
        <v>Ocelots (Leopardus pardalis) in the United States currently exhibit low levels of genetic diversity. One hypothesis for this observation is that habitat fragmentation, resulting from human induced changes in the landscape during the 20th century, created island populations with highly reduced gene flow and increased genetic drift and inbreeding. In an effort to investigate this, we used a portion of the mitochondrial control region and 11 autosomal microsatellite loci to examine historical levels of genetic diversity and infer temporal changes in ocelot populations between 1853 and 2005. Levels of genetic diversity were higher in historical ocelot populations than in extant populations from Texas. The earliest documented loss of mitochondrial haplotype diversity occurred at Laguna Atascosa National Wildlife Refuge. The second extant population inhabiting private lands in Willacy County retained higher levels of genetic diversity through the 1990s, but subsequently lost diversity over the next decade. A similar pattern was observed for autosomal microsatellite loci. This supports the argument that low levels of genetic diversity in Texas are related to human induced population reductions and fragmentation, both of which threaten the remaining ocelots in the United States. At this time, the best means of mitigating the continued erosion of genetic variation are translocation of individuals either from larger populations in Mexico to Texas, or between the Texas populations.</v>
      </c>
      <c r="C275" s="24" t="str">
        <f>IFERROR(__xludf.DUMMYFUNCTION("""COMPUTED_VALUE"""),"10.1371/journal.pone.0089384")</f>
        <v>10.1371/journal.pone.0089384</v>
      </c>
      <c r="D275" s="24" t="str">
        <f>IFERROR(__xludf.DUMMYFUNCTION("""COMPUTED_VALUE"""),"shaw et al")</f>
        <v>shaw et al</v>
      </c>
      <c r="E275" s="24" t="str">
        <f>IFERROR(__xludf.DUMMYFUNCTION("""COMPUTED_VALUE"""),"WOS:000332389000043")</f>
        <v>WOS:000332389000043</v>
      </c>
      <c r="F275" s="24" t="str">
        <f>IFERROR(__xludf.DUMMYFUNCTION("""COMPUTED_VALUE"""),"[""ELIGIBLE""]")</f>
        <v>["ELIGIBLE"]</v>
      </c>
    </row>
    <row r="276">
      <c r="A276" s="24" t="str">
        <f>IFERROR(__xludf.DUMMYFUNCTION("""COMPUTED_VALUE"""),"Stochasticity in space, persistence in time: genetic heterogeneity in harbour populations of the introduced ascidian Styela plicata")</f>
        <v>Stochasticity in space, persistence in time: genetic heterogeneity in harbour populations of the introduced ascidian Styela plicata</v>
      </c>
      <c r="B276" s="24" t="str">
        <f>IFERROR(__xludf.DUMMYFUNCTION("""COMPUTED_VALUE"""),"Spatio-temporal changes in genetic structure among populations provide crucial information on the dynamics of secondary spread for introduced marine species. However, temporal components have rarely been taken into consideration when studying the populati"&amp;"on genetics of non-indigenous species. This study analysed the genetic structure of Styela plicata, a solitary ascidian introduced in harbours and marinas of tropical and temperate waters, across spatial and temporal scales. A fragment of the mitochondria"&amp;"l gene Cytochrome Oxidase subunit I (COI) was sequenced from 395 individuals collected at 9 harbours along the NW Mediterranean coast and adjacent Atlantic waters (&gt; 1,200 km range) at two time points 5 years apart (2009 and 2014). The levels of gene dive"&amp;"rsity were relatively low for all 9 locations in both years. Analyses of genetic differentiation and distribution of molecular variance revealed strong genetic structure, with significant differences among many populations, but no significant differences "&amp;"among years. A weak and marginally significant correlation between geographic distance and gene differentiation was found. Our results revealed spatial structure and temporal genetic homogeneity in S. plicata, suggesting a limited role of recurrent, vesse"&amp;"l-mediated transport of organisms among small to medium-size harbours. Our study area is representative of many highly urbanized coasts with dense harbours. In these environments, the episodic chance arrival of colonisers appears to determine the genetic "&amp;"structure of harbour populations and the genetic composition of these early colonising individuals persists in the respective harbours, at least over moderate time frames (five years) that encompass ca. 20 generations of S. plicata.")</f>
        <v>Spatio-temporal changes in genetic structure among populations provide crucial information on the dynamics of secondary spread for introduced marine species. However, temporal components have rarely been taken into consideration when studying the population genetics of non-indigenous species. This study analysed the genetic structure of Styela plicata, a solitary ascidian introduced in harbours and marinas of tropical and temperate waters, across spatial and temporal scales. A fragment of the mitochondrial gene Cytochrome Oxidase subunit I (COI) was sequenced from 395 individuals collected at 9 harbours along the NW Mediterranean coast and adjacent Atlantic waters (&gt; 1,200 km range) at two time points 5 years apart (2009 and 2014). The levels of gene diversity were relatively low for all 9 locations in both years. Analyses of genetic differentiation and distribution of molecular variance revealed strong genetic structure, with significant differences among many populations, but no significant differences among years. A weak and marginally significant correlation between geographic distance and gene differentiation was found. Our results revealed spatial structure and temporal genetic homogeneity in S. plicata, suggesting a limited role of recurrent, vessel-mediated transport of organisms among small to medium-size harbours. Our study area is representative of many highly urbanized coasts with dense harbours. In these environments, the episodic chance arrival of colonisers appears to determine the genetic structure of harbour populations and the genetic composition of these early colonising individuals persists in the respective harbours, at least over moderate time frames (five years) that encompass ca. 20 generations of S. plicata.</v>
      </c>
      <c r="C276" s="24" t="str">
        <f>IFERROR(__xludf.DUMMYFUNCTION("""COMPUTED_VALUE"""),"10.7717/peerj.2158")</f>
        <v>10.7717/peerj.2158</v>
      </c>
      <c r="D276" s="24" t="str">
        <f>IFERROR(__xludf.DUMMYFUNCTION("""COMPUTED_VALUE"""),"shaw et al")</f>
        <v>shaw et al</v>
      </c>
      <c r="E276" s="24" t="str">
        <f>IFERROR(__xludf.DUMMYFUNCTION("""COMPUTED_VALUE"""),"WOS:000378796700006")</f>
        <v>WOS:000378796700006</v>
      </c>
      <c r="F276" s="24" t="str">
        <f>IFERROR(__xludf.DUMMYFUNCTION("""COMPUTED_VALUE"""),"[""ELIGIBLE""]")</f>
        <v>["ELIGIBLE"]</v>
      </c>
    </row>
    <row r="277">
      <c r="A277" s="24" t="str">
        <f>IFERROR(__xludf.DUMMYFUNCTION("""COMPUTED_VALUE"""),"Small-scale genetic structure and variation in steelhead of the Grande Ronde River, Oregon, USA")</f>
        <v>Small-scale genetic structure and variation in steelhead of the Grande Ronde River, Oregon, USA</v>
      </c>
      <c r="B277" s="24" t="str">
        <f>IFERROR(__xludf.DUMMYFUNCTION("""COMPUTED_VALUE"""),"Patterns of genetic variation in summer-run steelhead Oncorhynchus mykiss from the Grande Ronde River, Oregon, were evaluated with 20 microsatellite loci to determine the level of fine-scale genetic structure and influences from hatchery-reared stocks. In"&amp;"cluded were temporal collections of three wild populations (Lookingglass Creek, Catherine Creek, and the upper Grande Ronde River) and one hatchery population (Wallowa Hatchery). Average gene diversity was moderate to high in all collections (range= 0.794"&amp;"-0.815). Genetic variance among sample locations was greater than that of temporal collections within sites, as pairwise exact tests within populations were not significant except for Lookingglass Creek (P = 0.00005). Structure among the four populations "&amp;"was evident from pairwise tests' which yielded 23 significant results from 28 comparisons (adjusted critical value = 0.0018), but Catherine Creek collections were not significantly different from Wallowa Hatchery collections. None of the eight collections"&amp;" had a significant probability of differing from mutation drift equilibrium (e.g., recent bottleneck) under the two-phased mutation model (P = 0.060-0.985) when analyzed with BOTTLENECK software. Additionally, the ratios of allele number to allele range ("&amp;"M values) for the eight collections (0.773-0.819) were not within the range that suggests a recent decrease in effective population size (M &lt; 0.68 implies a probable bottleneck). Results from this study suggest the existence of gene flow between steelhead"&amp;" from Catherine Creek and Wallowa Hatchery, but no evidence for low diversity or recent bottleneck events was detected in any of the four populations. This study provides several pieces of evidence to suggest that steelhead in the Grande Ronde River shoul"&amp;"d be a conservation priority as a source of genetic diversity for the Snake River basin.")</f>
        <v>Patterns of genetic variation in summer-run steelhead Oncorhynchus mykiss from the Grande Ronde River, Oregon, were evaluated with 20 microsatellite loci to determine the level of fine-scale genetic structure and influences from hatchery-reared stocks. Included were temporal collections of three wild populations (Lookingglass Creek, Catherine Creek, and the upper Grande Ronde River) and one hatchery population (Wallowa Hatchery). Average gene diversity was moderate to high in all collections (range= 0.794-0.815). Genetic variance among sample locations was greater than that of temporal collections within sites, as pairwise exact tests within populations were not significant except for Lookingglass Creek (P = 0.00005). Structure among the four populations was evident from pairwise tests' which yielded 23 significant results from 28 comparisons (adjusted critical value = 0.0018), but Catherine Creek collections were not significantly different from Wallowa Hatchery collections. None of the eight collections had a significant probability of differing from mutation drift equilibrium (e.g., recent bottleneck) under the two-phased mutation model (P = 0.060-0.985) when analyzed with BOTTLENECK software. Additionally, the ratios of allele number to allele range (M values) for the eight collections (0.773-0.819) were not within the range that suggests a recent decrease in effective population size (M &lt; 0.68 implies a probable bottleneck). Results from this study suggest the existence of gene flow between steelhead from Catherine Creek and Wallowa Hatchery, but no evidence for low diversity or recent bottleneck events was detected in any of the four populations. This study provides several pieces of evidence to suggest that steelhead in the Grande Ronde River should be a conservation priority as a source of genetic diversity for the Snake River basin.</v>
      </c>
      <c r="C277" s="24" t="str">
        <f>IFERROR(__xludf.DUMMYFUNCTION("""COMPUTED_VALUE"""),"10.1577/T05-070.1")</f>
        <v>10.1577/T05-070.1</v>
      </c>
      <c r="D277" s="24" t="str">
        <f>IFERROR(__xludf.DUMMYFUNCTION("""COMPUTED_VALUE"""),"shaw et al")</f>
        <v>shaw et al</v>
      </c>
      <c r="E277" s="24" t="str">
        <f>IFERROR(__xludf.DUMMYFUNCTION("""COMPUTED_VALUE"""),"WOS:000240325200012")</f>
        <v>WOS:000240325200012</v>
      </c>
      <c r="F277" s="24" t="str">
        <f>IFERROR(__xludf.DUMMYFUNCTION("""COMPUTED_VALUE"""),"[""ELIGIBLE""]")</f>
        <v>["ELIGIBLE"]</v>
      </c>
    </row>
    <row r="278">
      <c r="A278" s="24" t="str">
        <f>IFERROR(__xludf.DUMMYFUNCTION("""COMPUTED_VALUE"""),"Genetic diversity, population genetic structure and demographic history of Przewalski's gazelle (Procapra przewalskii): implications for conservation")</f>
        <v>Genetic diversity, population genetic structure and demographic history of Przewalski's gazelle (Procapra przewalskii): implications for conservation</v>
      </c>
      <c r="B278" s="24" t="str">
        <f>IFERROR(__xludf.DUMMYFUNCTION("""COMPUTED_VALUE"""),"The Przewalski's gazelle (Procapra przewalskii) is one of the most endangered antelope species in the world. It is endemic to China and is a flagship species in the eastern part of the Qinghai-Tibet plateau. To establish effective conservation measures on"&amp;" this species, genetic information such as genetic structure is needed. However, there has not been a comprehensive genetic assessment on this gazelle using nuclear DNA markers yet. Here, we employed 13 microsatellite loci to investigate genetic diversity"&amp;", population genetic structure and demographic history of Przewalski's gazelle using noninvasive samples of 169 wild gazelles collected from nine populations. A total of 76 alleles were detected from the entire samples, mean allele number was 5.85, and ov"&amp;"erall H-O and H-E were 0.525 and 0.552, respectively. Structure and GENELAND analyses found six genetic groups in the nine populations. Between the inferred genetic groups, significant genetic differentiation and low migration rates were detected. Demogra"&amp;"phic analyses indicated that Przewalski's gazelle experienced genetic bottleneck and severe population decline, with the ancestral effective population size reducing to less than one percent. Based on the results of this study, we provide several conserva"&amp;"tion recommendations for Przewalski's gazelle, such as six management units, periodic monitoring and special conservation consideration on the Qiejitan population.")</f>
        <v>The Przewalski's gazelle (Procapra przewalskii) is one of the most endangered antelope species in the world. It is endemic to China and is a flagship species in the eastern part of the Qinghai-Tibet plateau. To establish effective conservation measures on this species, genetic information such as genetic structure is needed. However, there has not been a comprehensive genetic assessment on this gazelle using nuclear DNA markers yet. Here, we employed 13 microsatellite loci to investigate genetic diversity, population genetic structure and demographic history of Przewalski's gazelle using noninvasive samples of 169 wild gazelles collected from nine populations. A total of 76 alleles were detected from the entire samples, mean allele number was 5.85, and overall H-O and H-E were 0.525 and 0.552, respectively. Structure and GENELAND analyses found six genetic groups in the nine populations. Between the inferred genetic groups, significant genetic differentiation and low migration rates were detected. Demographic analyses indicated that Przewalski's gazelle experienced genetic bottleneck and severe population decline, with the ancestral effective population size reducing to less than one percent. Based on the results of this study, we provide several conservation recommendations for Przewalski's gazelle, such as six management units, periodic monitoring and special conservation consideration on the Qiejitan population.</v>
      </c>
      <c r="C278" s="24" t="str">
        <f>IFERROR(__xludf.DUMMYFUNCTION("""COMPUTED_VALUE"""),"10.1007/s10592-011-0244-7")</f>
        <v>10.1007/s10592-011-0244-7</v>
      </c>
      <c r="D278" s="24" t="str">
        <f>IFERROR(__xludf.DUMMYFUNCTION("""COMPUTED_VALUE"""),"shaw et al")</f>
        <v>shaw et al</v>
      </c>
      <c r="E278" s="24" t="str">
        <f>IFERROR(__xludf.DUMMYFUNCTION("""COMPUTED_VALUE"""),"WOS:000300092900006")</f>
        <v>WOS:000300092900006</v>
      </c>
      <c r="F278" s="24" t="str">
        <f>IFERROR(__xludf.DUMMYFUNCTION("""COMPUTED_VALUE"""),"[""ELIGIBLE""]")</f>
        <v>["ELIGIBLE"]</v>
      </c>
    </row>
    <row r="279">
      <c r="A279" s="24" t="str">
        <f>IFERROR(__xludf.DUMMYFUNCTION("""COMPUTED_VALUE"""),"An assessment of spatio-temporal genetic variation in the South African abalone (Haliotis midae), using SNPs: implications for conservation management")</f>
        <v>An assessment of spatio-temporal genetic variation in the South African abalone (Haliotis midae), using SNPs: implications for conservation management</v>
      </c>
      <c r="B279" s="24" t="str">
        <f>IFERROR(__xludf.DUMMYFUNCTION("""COMPUTED_VALUE"""),"The South African abalone (Haliotis midae) is a gastropod mollusc of economic importance. In recent years natural populations have come under considerable pressure due to overharvesting and ecological shifts. The spatial genetic structure of H. midae has "&amp;"been determined; however there has not been a temporal assessment of abalone population dynamics around the South African coast. Using a population genomics approach this study aimed to assess fluctuations in genetic diversity among wild and cultured Sout"&amp;"h African abalone populations through time and space. Various estimates of genetic diversity and population differentiation were calculated using EST-derived SNP markers. All populations had comparable levels of genetic diversity and the long-term effecti"&amp;"ve population size appears to be sufficiently large for the wild populations, despite evidence of recent bottlenecks. Population differentiation was for the most part geographically correlated, with spatial genetic structure maintained across temporal sam"&amp;"ples. Significant genetic differentiation was, however, detected among temporal samples taken from the same locality. There was evidence for comparatively small short-term effective population sizes that could explain large changes in allele frequencies d"&amp;"ue to stochastic effects. Temporal heterogeneity could also be explained by changes in selection pressures over time. H. midae populations could, therefore, be more dynamic than previously estimated and this could have implications for effective conservat"&amp;"ion and fisheries management.")</f>
        <v>The South African abalone (Haliotis midae) is a gastropod mollusc of economic importance. In recent years natural populations have come under considerable pressure due to overharvesting and ecological shifts. The spatial genetic structure of H. midae has been determined; however there has not been a temporal assessment of abalone population dynamics around the South African coast. Using a population genomics approach this study aimed to assess fluctuations in genetic diversity among wild and cultured South African abalone populations through time and space. Various estimates of genetic diversity and population differentiation were calculated using EST-derived SNP markers. All populations had comparable levels of genetic diversity and the long-term effective population size appears to be sufficiently large for the wild populations, despite evidence of recent bottlenecks. Population differentiation was for the most part geographically correlated, with spatial genetic structure maintained across temporal samples. Significant genetic differentiation was, however, detected among temporal samples taken from the same locality. There was evidence for comparatively small short-term effective population sizes that could explain large changes in allele frequencies due to stochastic effects. Temporal heterogeneity could also be explained by changes in selection pressures over time. H. midae populations could, therefore, be more dynamic than previously estimated and this could have implications for effective conservation and fisheries management.</v>
      </c>
      <c r="C279" s="24" t="str">
        <f>IFERROR(__xludf.DUMMYFUNCTION("""COMPUTED_VALUE"""),"10.1007/s10592-016-0879-5")</f>
        <v>10.1007/s10592-016-0879-5</v>
      </c>
      <c r="D279" s="24" t="str">
        <f>IFERROR(__xludf.DUMMYFUNCTION("""COMPUTED_VALUE"""),"shaw et al")</f>
        <v>shaw et al</v>
      </c>
      <c r="E279" s="24" t="str">
        <f>IFERROR(__xludf.DUMMYFUNCTION("""COMPUTED_VALUE"""),"WOS:000394253300002")</f>
        <v>WOS:000394253300002</v>
      </c>
      <c r="F279" s="24" t="str">
        <f>IFERROR(__xludf.DUMMYFUNCTION("""COMPUTED_VALUE"""),"[""ELIGIBLE""]")</f>
        <v>["ELIGIBLE"]</v>
      </c>
    </row>
    <row r="280">
      <c r="A280" s="24" t="str">
        <f>IFERROR(__xludf.DUMMYFUNCTION("""COMPUTED_VALUE"""),"Comparative genetic structure within single-origin pairs of rice (Oryza sativa L.) landraces from in situ and ex situ conservation programs in Yunnan of China using microsatellite markers")</f>
        <v>Comparative genetic structure within single-origin pairs of rice (Oryza sativa L.) landraces from in situ and ex situ conservation programs in Yunnan of China using microsatellite markers</v>
      </c>
      <c r="B280" s="24" t="str">
        <f>IFERROR(__xludf.DUMMYFUNCTION("""COMPUTED_VALUE"""),"The genetic structure and diversity of eight pairs of rice landraces from in situ (collected in 2007) and ex situ (collected in 1980) conservation programs were studied using 20 pairs of microsatellite markers with high polymorphism. Each pair of rice lan"&amp;"draces shares a name and origin and has similar seed and plant traits. The number of alleles detected in the populations from in situ conservation ranged from 43 to 88 with the mean number of alleles per locus ranging from 2.15 to 4.40, while the number o"&amp;"f alleles detected in the populations from ex situ conservation ranged from 33 to 65, and the mean of alleles per locus ranged from 1.65 to 3.25. Compared to the ex situ populations, the number of alleles, the number of specific alleles and the genetic di"&amp;"versity index showed a significant increase in the in situ populations. Further, the numbers of specific alleles from in situ populations were 2.1-5.0 times greater than in ex situ populations except for rice landrace 'Qitougu'. An AMOVA showed that the w"&amp;"ithin-landrace genetic structure differed significantly between in situ and ex situ conservation treatments with differences exceeding 20%. The analysis of genetic similarity reached similar conclusions to those of the AMOVA. Compared with ex situ conserv"&amp;"ation programs, the rice landraces under in situ conservation programs had more alleles and higher genetic diversity in Yunnan of China.")</f>
        <v>The genetic structure and diversity of eight pairs of rice landraces from in situ (collected in 2007) and ex situ (collected in 1980) conservation programs were studied using 20 pairs of microsatellite markers with high polymorphism. Each pair of rice landraces shares a name and origin and has similar seed and plant traits. The number of alleles detected in the populations from in situ conservation ranged from 43 to 88 with the mean number of alleles per locus ranging from 2.15 to 4.40, while the number of alleles detected in the populations from ex situ conservation ranged from 33 to 65, and the mean of alleles per locus ranged from 1.65 to 3.25. Compared to the ex situ populations, the number of alleles, the number of specific alleles and the genetic diversity index showed a significant increase in the in situ populations. Further, the numbers of specific alleles from in situ populations were 2.1-5.0 times greater than in ex situ populations except for rice landrace 'Qitougu'. An AMOVA showed that the within-landrace genetic structure differed significantly between in situ and ex situ conservation treatments with differences exceeding 20%. The analysis of genetic similarity reached similar conclusions to those of the AMOVA. Compared with ex situ conservation programs, the rice landraces under in situ conservation programs had more alleles and higher genetic diversity in Yunnan of China.</v>
      </c>
      <c r="C280" s="24" t="str">
        <f>IFERROR(__xludf.DUMMYFUNCTION("""COMPUTED_VALUE"""),"10.1007/s10722-011-9786-2")</f>
        <v>10.1007/s10722-011-9786-2</v>
      </c>
      <c r="D280" s="24" t="str">
        <f>IFERROR(__xludf.DUMMYFUNCTION("""COMPUTED_VALUE"""),"shaw et al")</f>
        <v>shaw et al</v>
      </c>
      <c r="E280" s="24" t="str">
        <f>IFERROR(__xludf.DUMMYFUNCTION("""COMPUTED_VALUE"""),"WOS:000311311700003")</f>
        <v>WOS:000311311700003</v>
      </c>
      <c r="F280" s="24" t="str">
        <f>IFERROR(__xludf.DUMMYFUNCTION("""COMPUTED_VALUE"""),"[""ELIGIBLE""]")</f>
        <v>["ELIGIBLE"]</v>
      </c>
    </row>
    <row r="281">
      <c r="A281" s="24" t="str">
        <f>IFERROR(__xludf.DUMMYFUNCTION("""COMPUTED_VALUE"""),"Historical changes in grassland area determined the demography of semi-natural grassland butterflies in Japan")</f>
        <v>Historical changes in grassland area determined the demography of semi-natural grassland butterflies in Japan</v>
      </c>
      <c r="B281" s="24" t="str">
        <f>IFERROR(__xludf.DUMMYFUNCTION("""COMPUTED_VALUE"""),"Semi-natural grassland areas expanded worldwide several thousand years ago following an increase in anthropogenic activities. However, semi-natural grassland habitat areas have been declining in recent decades due to changes in landuse, which have caused "&amp;"a loss of grassland biodiversity. Reconstructing historical and recent demographic changes in seminatural grassland species will help clarify the factors affecting their population decline. Here we quantified past and recent demographic histories of Melit"&amp;"aea ambigua (Lepidoptera; Nymphalidae), an endangered grassland butterfly species in Japan. We examined changes in demography over the past 10,000 years based on 1378 bp of mitochondrial COI gene. We then examined changes in its genetic diversity and stru"&amp;"cture during the last 30 years using nine microsatellite DNA markers. The effective population size of M. ambigua increased about 3000-6000 years ago. In contrast, the genetic diversity and effective population sizes of many populations significantly decl"&amp;"ined from the 1980s to 2010s, which is consistent with a recent decline in the species population size. Our data suggest that the M. ambigua demography can be traced to changes in area covered by semi-natural grasslands throughout the Holocene.")</f>
        <v>Semi-natural grassland areas expanded worldwide several thousand years ago following an increase in anthropogenic activities. However, semi-natural grassland habitat areas have been declining in recent decades due to changes in landuse, which have caused a loss of grassland biodiversity. Reconstructing historical and recent demographic changes in seminatural grassland species will help clarify the factors affecting their population decline. Here we quantified past and recent demographic histories of Melitaea ambigua (Lepidoptera; Nymphalidae), an endangered grassland butterfly species in Japan. We examined changes in demography over the past 10,000 years based on 1378 bp of mitochondrial COI gene. We then examined changes in its genetic diversity and structure during the last 30 years using nine microsatellite DNA markers. The effective population size of M. ambigua increased about 3000-6000 years ago. In contrast, the genetic diversity and effective population sizes of many populations significantly declined from the 1980s to 2010s, which is consistent with a recent decline in the species population size. Our data suggest that the M. ambigua demography can be traced to changes in area covered by semi-natural grasslands throughout the Holocene.</v>
      </c>
      <c r="C281" s="24" t="str">
        <f>IFERROR(__xludf.DUMMYFUNCTION("""COMPUTED_VALUE"""),"10.1038/s41437-018-0057-2")</f>
        <v>10.1038/s41437-018-0057-2</v>
      </c>
      <c r="D281" s="24" t="str">
        <f>IFERROR(__xludf.DUMMYFUNCTION("""COMPUTED_VALUE"""),"shaw et al")</f>
        <v>shaw et al</v>
      </c>
      <c r="E281" s="24" t="str">
        <f>IFERROR(__xludf.DUMMYFUNCTION("""COMPUTED_VALUE"""),"WOS:000438314600005")</f>
        <v>WOS:000438314600005</v>
      </c>
      <c r="F281" s="24" t="str">
        <f>IFERROR(__xludf.DUMMYFUNCTION("""COMPUTED_VALUE"""),"[""ELIGIBLE""]")</f>
        <v>["ELIGIBLE"]</v>
      </c>
    </row>
    <row r="282">
      <c r="A282" s="24" t="str">
        <f>IFERROR(__xludf.DUMMYFUNCTION("""COMPUTED_VALUE"""),"Genetic models reveal historical patterns of sea lamprey population fluctuations within Lake Champlain")</f>
        <v>Genetic models reveal historical patterns of sea lamprey population fluctuations within Lake Champlain</v>
      </c>
      <c r="B282" s="24" t="str">
        <f>IFERROR(__xludf.DUMMYFUNCTION("""COMPUTED_VALUE"""),"The origin of sea lamprey (Petromyzon marinus) in Lake Champlain has been heavily debated over the past decade. Given the lack of historical documentation, two competing hypotheses have emerged in the literature. First, it has been argued that the relativ"&amp;"ely recent population size increase and concomitant rise in wounding rates on prey populations are indicative of an invasive population that entered the lake through the Champlain Canal. Second, recent genetic evidence suggests a post-glacial colonization"&amp;" at the end of the Pleistocene, approximately 11,000 years ago. One limitation to resolving the origin of sea lamprey in Lake Champlain is a lack of historical and current measures of population size. In this study, the issue of population size was explic"&amp;"itly addressed using nuclear (nDNA) and mitochondrial DNA (mtDNA) markers to estimate historical demography with genetic models. Haplotype network analysis, mismatch analysis, and summary statistics based on mtDNA noncoding sequences for NCI (479 bp) and "&amp;"NCII (173 bp) all indicate a recent population expansion. Coalescent models based on mtDNA and nDNA identified two potential demographic events: a population decline followed by a very recent population expansion. The decline in effective population size "&amp;"may correlate with land-use and fishing pressure changes post-European settlement, while the recent expansion may be associated with the implementation of the salmonid stocking program in the 1970s. These results are most consistent with the hypothesis th"&amp;"at sea lamprey are native to Lake Champlain; however, the credibility intervals around parameter estimates demonstrate that there is uncertainty regarding the magnitude and timing of past demographic events.")</f>
        <v>The origin of sea lamprey (Petromyzon marinus) in Lake Champlain has been heavily debated over the past decade. Given the lack of historical documentation, two competing hypotheses have emerged in the literature. First, it has been argued that the relatively recent population size increase and concomitant rise in wounding rates on prey populations are indicative of an invasive population that entered the lake through the Champlain Canal. Second, recent genetic evidence suggests a post-glacial colonization at the end of the Pleistocene, approximately 11,000 years ago. One limitation to resolving the origin of sea lamprey in Lake Champlain is a lack of historical and current measures of population size. In this study, the issue of population size was explicitly addressed using nuclear (nDNA) and mitochondrial DNA (mtDNA) markers to estimate historical demography with genetic models. Haplotype network analysis, mismatch analysis, and summary statistics based on mtDNA noncoding sequences for NCI (479 bp) and NCII (173 bp) all indicate a recent population expansion. Coalescent models based on mtDNA and nDNA identified two potential demographic events: a population decline followed by a very recent population expansion. The decline in effective population size may correlate with land-use and fishing pressure changes post-European settlement, while the recent expansion may be associated with the implementation of the salmonid stocking program in the 1970s. These results are most consistent with the hypothesis that sea lamprey are native to Lake Champlain; however, the credibility intervals around parameter estimates demonstrate that there is uncertainty regarding the magnitude and timing of past demographic events.</v>
      </c>
      <c r="C282" s="24" t="str">
        <f>IFERROR(__xludf.DUMMYFUNCTION("""COMPUTED_VALUE"""),"10.7717/peerj.1369")</f>
        <v>10.7717/peerj.1369</v>
      </c>
      <c r="D282" s="24" t="str">
        <f>IFERROR(__xludf.DUMMYFUNCTION("""COMPUTED_VALUE"""),"shaw et al")</f>
        <v>shaw et al</v>
      </c>
      <c r="E282" s="24" t="str">
        <f>IFERROR(__xludf.DUMMYFUNCTION("""COMPUTED_VALUE"""),"WOS:000365801900006")</f>
        <v>WOS:000365801900006</v>
      </c>
      <c r="F282" s="24" t="str">
        <f>IFERROR(__xludf.DUMMYFUNCTION("""COMPUTED_VALUE"""),"[""ELIGIBLE""]")</f>
        <v>["ELIGIBLE"]</v>
      </c>
    </row>
    <row r="283">
      <c r="A283" s="24" t="str">
        <f>IFERROR(__xludf.DUMMYFUNCTION("""COMPUTED_VALUE"""),"Microsatellite markers reveal shallow genetic differentiation between cohorts of the common sea urchin Paracentrotus lividus (Lamarck) in northwest Mediterranean")</f>
        <v>Microsatellite markers reveal shallow genetic differentiation between cohorts of the common sea urchin Paracentrotus lividus (Lamarck) in northwest Mediterranean</v>
      </c>
      <c r="B283" s="24" t="str">
        <f>IFERROR(__xludf.DUMMYFUNCTION("""COMPUTED_VALUE"""),"Temporal variability was studied in the common sea urchin Paracentrotus lividus through the analysis of the genetic composition of three yearly cohorts sampled over two consecutive springs in a locality in northwestern Mediterranean. Individuals were aged"&amp;" using growth ring patterns observed in tests and samples were genotyped for five microsatellite loci. No reduction of genetic diversity was observed relative to a sample of the adult population from the same location or within cohorts across years. F-ST "&amp;"and amova results indicated that the differentiation between cohorts is rather shallow and not significant, as most variability is found within cohorts and within individuals. This mild differentiation translated into estimates of effective population siz"&amp;"e of 90-100 individuals. When the observed excess of homozygotes was taken into account, the estimate of the average number of breeders increased to c. 300 individuals. Given our restricted sampling area and the known small-scale heterogeneity in recruitm"&amp;"ent in this species, our results suggest that at stretches of a few kilometres of shoreline, large numbers of progenitors are likely to contribute to the larval pool at each reproduction event. Intercohort variation in our samples is six times smaller tha"&amp;"n spatial variation between adults of four localities in the western Mediterranean. Our results indicate that, notwithstanding the stochastic events that take place during the long planktonic phase and during the settlement and recruitment processes, repr"&amp;"oductive success in this species is high enough to produce cohorts genetically diverse and with little differentiation between them. Further research is needed before the link between genetic structure and underlying physical and biological processes can "&amp;"be well established.")</f>
        <v>Temporal variability was studied in the common sea urchin Paracentrotus lividus through the analysis of the genetic composition of three yearly cohorts sampled over two consecutive springs in a locality in northwestern Mediterranean. Individuals were aged using growth ring patterns observed in tests and samples were genotyped for five microsatellite loci. No reduction of genetic diversity was observed relative to a sample of the adult population from the same location or within cohorts across years. F-ST and amova results indicated that the differentiation between cohorts is rather shallow and not significant, as most variability is found within cohorts and within individuals. This mild differentiation translated into estimates of effective population size of 90-100 individuals. When the observed excess of homozygotes was taken into account, the estimate of the average number of breeders increased to c. 300 individuals. Given our restricted sampling area and the known small-scale heterogeneity in recruitment in this species, our results suggest that at stretches of a few kilometres of shoreline, large numbers of progenitors are likely to contribute to the larval pool at each reproduction event. Intercohort variation in our samples is six times smaller than spatial variation between adults of four localities in the western Mediterranean. Our results indicate that, notwithstanding the stochastic events that take place during the long planktonic phase and during the settlement and recruitment processes, reproductive success in this species is high enough to produce cohorts genetically diverse and with little differentiation between them. Further research is needed before the link between genetic structure and underlying physical and biological processes can be well established.</v>
      </c>
      <c r="C283" s="24" t="str">
        <f>IFERROR(__xludf.DUMMYFUNCTION("""COMPUTED_VALUE"""),"10.1111/j.1365-294X.2009.04239.x")</f>
        <v>10.1111/j.1365-294X.2009.04239.x</v>
      </c>
      <c r="D283" s="24" t="str">
        <f>IFERROR(__xludf.DUMMYFUNCTION("""COMPUTED_VALUE"""),"shaw et al")</f>
        <v>shaw et al</v>
      </c>
      <c r="E283" s="24" t="str">
        <f>IFERROR(__xludf.DUMMYFUNCTION("""COMPUTED_VALUE"""),"WOS:000267540100012")</f>
        <v>WOS:000267540100012</v>
      </c>
      <c r="F283" s="24" t="str">
        <f>IFERROR(__xludf.DUMMYFUNCTION("""COMPUTED_VALUE"""),"[""ELIGIBLE""]")</f>
        <v>["ELIGIBLE"]</v>
      </c>
    </row>
    <row r="284">
      <c r="A284" s="24" t="str">
        <f>IFERROR(__xludf.DUMMYFUNCTION("""COMPUTED_VALUE"""),"Demographic history and population structure of the Antarctic silverfish Pleuragramma antarcticum")</f>
        <v>Demographic history and population structure of the Antarctic silverfish Pleuragramma antarcticum</v>
      </c>
      <c r="B284" s="24" t="str">
        <f>IFERROR(__xludf.DUMMYFUNCTION("""COMPUTED_VALUE"""),"The Antarctic silverfish Pleuragramma antarcticum (Nototheniidae) is the most abundant pelagic fish inhabiting Antarctic waters. In this study we investigated, through partial sequencing of the D-loop mitochondrial region, samples collected at four differ"&amp;"ent locations in the Southern Ocean, three in the Atlantic and one in the Pacific sector. Sampling was replicated in two different years at two locations. Sequence analysis showed a remarkably high polymorphism, with 110 haplotypes over the 256 investigat"&amp;"ed specimens, and about 80% of haplotypes occurring only once. Neutrality tests indicated that all samples were not at mutation-drift equilibrium, and suggested a past population expansion. This result was supported by the presence of a star-like topology"&amp;" in the D-loop gene tree, and by results of mismatch distribution. The start of the expansion was dated, using a specifically calibrated clock, between 111 and 126 thousand years ago. This value corresponds to the start of the cooling period that led to t"&amp;"he last glaciation peak, and is in close agreement with a recently suggested range expansion for pelagic Antarctic ecosystems. Analysis of molecular variation indicated a small, though highly significant, value of differentiation between samples. This res"&amp;"ult, together with the lack of association between clades and geographical locations, indicates a weak population structure for the species.")</f>
        <v>The Antarctic silverfish Pleuragramma antarcticum (Nototheniidae) is the most abundant pelagic fish inhabiting Antarctic waters. In this study we investigated, through partial sequencing of the D-loop mitochondrial region, samples collected at four different locations in the Southern Ocean, three in the Atlantic and one in the Pacific sector. Sampling was replicated in two different years at two locations. Sequence analysis showed a remarkably high polymorphism, with 110 haplotypes over the 256 investigated specimens, and about 80% of haplotypes occurring only once. Neutrality tests indicated that all samples were not at mutation-drift equilibrium, and suggested a past population expansion. This result was supported by the presence of a star-like topology in the D-loop gene tree, and by results of mismatch distribution. The start of the expansion was dated, using a specifically calibrated clock, between 111 and 126 thousand years ago. This value corresponds to the start of the cooling period that led to the last glaciation peak, and is in close agreement with a recently suggested range expansion for pelagic Antarctic ecosystems. Analysis of molecular variation indicated a small, though highly significant, value of differentiation between samples. This result, together with the lack of association between clades and geographical locations, indicates a weak population structure for the species.</v>
      </c>
      <c r="C284" s="24" t="str">
        <f>IFERROR(__xludf.DUMMYFUNCTION("""COMPUTED_VALUE"""),"10.1111/j.1365-294X.2006.03105.x")</f>
        <v>10.1111/j.1365-294X.2006.03105.x</v>
      </c>
      <c r="D284" s="24" t="str">
        <f>IFERROR(__xludf.DUMMYFUNCTION("""COMPUTED_VALUE"""),"shaw et al")</f>
        <v>shaw et al</v>
      </c>
      <c r="E284" s="24" t="str">
        <f>IFERROR(__xludf.DUMMYFUNCTION("""COMPUTED_VALUE"""),"WOS:000242042800015")</f>
        <v>WOS:000242042800015</v>
      </c>
      <c r="F284" s="24" t="str">
        <f>IFERROR(__xludf.DUMMYFUNCTION("""COMPUTED_VALUE"""),"[""ELIGIBLE""]")</f>
        <v>["ELIGIBLE"]</v>
      </c>
    </row>
    <row r="285">
      <c r="A285" s="24" t="str">
        <f>IFERROR(__xludf.DUMMYFUNCTION("""COMPUTED_VALUE"""),"Tracking and tracing central Queensland's Macroderma - determining the size of the Mount Etna ghost bat population and potential threats")</f>
        <v>Tracking and tracing central Queensland's Macroderma - determining the size of the Mount Etna ghost bat population and potential threats</v>
      </c>
      <c r="B285" s="24" t="str">
        <f>IFERROR(__xludf.DUMMYFUNCTION("""COMPUTED_VALUE"""),"The ghost bat, Macroderma gigas, colony at Mount Etna was at the centre of Australia's longest-running conservation campaign. To protect the colony the Queensland Government removed recreational facilities and gated caves. The size and genetic diversity o"&amp;"f the Mount Etna M. gigas population were estimated using cave searches, direct captures and molecular analysis to determine whether these actions have benefitted the species. In addition, telemetry was undertaken and red fox, Vulpes vulpes, scats analyse"&amp;"d to identify possible threats. Results suggest that the population has declined by 79% since the late 1990s, has low microsatellite diversity, low effective population size (Ne) and is undergoing a population bottleneck. VHF- and GPS-collared animals wer"&amp;"e found to forage over agricultural land up to 11.8km from their daytime roost, suggesting that poor land management and barbed-wire fences could be potential threats. No ghost bat remains were found in fox scats. We recommend that compliance be increased"&amp;" around Johansen's Cave to reduce disturbance during the maternity season and landholders be encouraged to undertake management that is sympathetic to ghost bats.")</f>
        <v>The ghost bat, Macroderma gigas, colony at Mount Etna was at the centre of Australia's longest-running conservation campaign. To protect the colony the Queensland Government removed recreational facilities and gated caves. The size and genetic diversity of the Mount Etna M. gigas population were estimated using cave searches, direct captures and molecular analysis to determine whether these actions have benefitted the species. In addition, telemetry was undertaken and red fox, Vulpes vulpes, scats analysed to identify possible threats. Results suggest that the population has declined by 79% since the late 1990s, has low microsatellite diversity, low effective population size (Ne) and is undergoing a population bottleneck. VHF- and GPS-collared animals were found to forage over agricultural land up to 11.8km from their daytime roost, suggesting that poor land management and barbed-wire fences could be potential threats. No ghost bat remains were found in fox scats. We recommend that compliance be increased around Johansen's Cave to reduce disturbance during the maternity season and landholders be encouraged to undertake management that is sympathetic to ghost bats.</v>
      </c>
      <c r="C285" s="24" t="str">
        <f>IFERROR(__xludf.DUMMYFUNCTION("""COMPUTED_VALUE"""),"10.1071/AM16010")</f>
        <v>10.1071/AM16010</v>
      </c>
      <c r="D285" s="24" t="str">
        <f>IFERROR(__xludf.DUMMYFUNCTION("""COMPUTED_VALUE"""),"shaw et al")</f>
        <v>shaw et al</v>
      </c>
      <c r="E285" s="24" t="str">
        <f>IFERROR(__xludf.DUMMYFUNCTION("""COMPUTED_VALUE"""),"WOS:000439693400015")</f>
        <v>WOS:000439693400015</v>
      </c>
      <c r="F285" s="24" t="str">
        <f>IFERROR(__xludf.DUMMYFUNCTION("""COMPUTED_VALUE"""),"[""ELIGIBLE""]")</f>
        <v>["ELIGIBLE"]</v>
      </c>
    </row>
    <row r="286">
      <c r="A286" s="24" t="str">
        <f>IFERROR(__xludf.DUMMYFUNCTION("""COMPUTED_VALUE"""),"Variation in reproductive success and effective number of breeders in a hatchery population of steelhead trout (Oncorhynchus mykiss):: examination by microsatellite-based parentage analysis")</f>
        <v>Variation in reproductive success and effective number of breeders in a hatchery population of steelhead trout (Oncorhynchus mykiss):: examination by microsatellite-based parentage analysis</v>
      </c>
      <c r="B286" s="24" t="str">
        <f>IFERROR(__xludf.DUMMYFUNCTION("""COMPUTED_VALUE"""),"Conservation programs that release captive-bred individuals into the wild to mix with naturally produced individuals are an increasingly common method of supporting or enhancing weak or reduced populations that otherwise may not be self-sustaining. Captiv"&amp;"e and supportive breeding can be important conservation tools for species with small or declining populations; however, in the case of hatcheries producing salmonid fishes, detailed evaluation of spawning programs is rare. We examined variation in reprodu"&amp;"ctive success, measured by adult offspring production, from three parental generations of hatchery-bred steelhead trout (Oncorhynchus mykiss) using an exclusion-based method of genetic parentage assignment. Reproductive success varied greatly among indivi"&amp;"duals (especially males) and was correlated with fecundity and maternal spawning date. Estimates of egg to smolt survival for the population as a whole among years ranged from 64% to 95%, marine survival ranged from 0.32% to 2.30%, and the number of adult"&amp;"s produced per female ranged from 0 to 18 and the number of adults produced per male ranged from 0 to 32. The effective number of breeders ranged from 11 % to 31 % of the census population size for that brood year. These ratios fell within estimates from "&amp;"estimates of Ne/N in chinook (O. tshawytscha) and rainbow trout (O. mykiss) hatchery populations.")</f>
        <v>Conservation programs that release captive-bred individuals into the wild to mix with naturally produced individuals are an increasingly common method of supporting or enhancing weak or reduced populations that otherwise may not be self-sustaining. Captive and supportive breeding can be important conservation tools for species with small or declining populations; however, in the case of hatcheries producing salmonid fishes, detailed evaluation of spawning programs is rare. We examined variation in reproductive success, measured by adult offspring production, from three parental generations of hatchery-bred steelhead trout (Oncorhynchus mykiss) using an exclusion-based method of genetic parentage assignment. Reproductive success varied greatly among individuals (especially males) and was correlated with fecundity and maternal spawning date. Estimates of egg to smolt survival for the population as a whole among years ranged from 64% to 95%, marine survival ranged from 0.32% to 2.30%, and the number of adults produced per female ranged from 0 to 18 and the number of adults produced per male ranged from 0 to 32. The effective number of breeders ranged from 11 % to 31 % of the census population size for that brood year. These ratios fell within estimates from estimates of Ne/N in chinook (O. tshawytscha) and rainbow trout (O. mykiss) hatchery populations.</v>
      </c>
      <c r="C286" s="24" t="str">
        <f>IFERROR(__xludf.DUMMYFUNCTION("""COMPUTED_VALUE"""),"10.1007/s10592-007-9340-0")</f>
        <v>10.1007/s10592-007-9340-0</v>
      </c>
      <c r="D286" s="24" t="str">
        <f>IFERROR(__xludf.DUMMYFUNCTION("""COMPUTED_VALUE"""),"shaw et al")</f>
        <v>shaw et al</v>
      </c>
      <c r="E286" s="24" t="str">
        <f>IFERROR(__xludf.DUMMYFUNCTION("""COMPUTED_VALUE"""),"WOS:000254242400005")</f>
        <v>WOS:000254242400005</v>
      </c>
      <c r="F286" s="24" t="str">
        <f>IFERROR(__xludf.DUMMYFUNCTION("""COMPUTED_VALUE"""),"[""ELIGIBLE""]")</f>
        <v>["ELIGIBLE"]</v>
      </c>
    </row>
    <row r="287">
      <c r="A287" s="24" t="str">
        <f>IFERROR(__xludf.DUMMYFUNCTION("""COMPUTED_VALUE"""),"Socio-genetic structure and mating system of a wild boar population")</f>
        <v>Socio-genetic structure and mating system of a wild boar population</v>
      </c>
      <c r="B287" s="24" t="str">
        <f>IFERROR(__xludf.DUMMYFUNCTION("""COMPUTED_VALUE"""),"Wild boars Sus scrofa have a social organization based on female groups that can include several generations of adults and offspring, and are thus likely matrilineal. However, little is known about the degree of relatedness between animals living in such "&amp;"groups or occupying the same core area of spatial activity. Also, polygynous male mating combined with matrilineal female groups can have strong influences on the genetic structure of populations. We used microsatellite genotyping combined with behavioral"&amp;" data to investigate the fine-scale population genetic structure and the mating system of wild boars in a multi-year study at Chateauvillain-Arc-en-Barrois (France). According to spatial genetic autocorrelation, females in spatial proximity were significa"&amp;"ntly inter-related. However, we found that numerous males contributed to the next generation, even within the same social group. Based on our genetic data and behavioral observations, wild boars in this population appear to have a low level of polygyny as"&amp;"sociated with matrilineal female groups, and infrequent multiple paternity. Mortality due to hunting may facilitate the breakup of what historically has been a more predominantly polygynous mating system, and likely accelerates the turnover of adults with"&amp;"in the matrilineal groups.")</f>
        <v>Wild boars Sus scrofa have a social organization based on female groups that can include several generations of adults and offspring, and are thus likely matrilineal. However, little is known about the degree of relatedness between animals living in such groups or occupying the same core area of spatial activity. Also, polygynous male mating combined with matrilineal female groups can have strong influences on the genetic structure of populations. We used microsatellite genotyping combined with behavioral data to investigate the fine-scale population genetic structure and the mating system of wild boars in a multi-year study at Chateauvillain-Arc-en-Barrois (France). According to spatial genetic autocorrelation, females in spatial proximity were significantly inter-related. However, we found that numerous males contributed to the next generation, even within the same social group. Based on our genetic data and behavioral observations, wild boars in this population appear to have a low level of polygyny associated with matrilineal female groups, and infrequent multiple paternity. Mortality due to hunting may facilitate the breakup of what historically has been a more predominantly polygynous mating system, and likely accelerates the turnover of adults within the matrilineal groups.</v>
      </c>
      <c r="C287" s="24" t="str">
        <f>IFERROR(__xludf.DUMMYFUNCTION("""COMPUTED_VALUE"""),"10.1111/j.1469-7998.2009.00553.x")</f>
        <v>10.1111/j.1469-7998.2009.00553.x</v>
      </c>
      <c r="D287" s="24" t="str">
        <f>IFERROR(__xludf.DUMMYFUNCTION("""COMPUTED_VALUE"""),"shaw et al")</f>
        <v>shaw et al</v>
      </c>
      <c r="E287" s="24" t="str">
        <f>IFERROR(__xludf.DUMMYFUNCTION("""COMPUTED_VALUE"""),"WOS:000266268600005")</f>
        <v>WOS:000266268600005</v>
      </c>
      <c r="F287" s="24" t="str">
        <f>IFERROR(__xludf.DUMMYFUNCTION("""COMPUTED_VALUE"""),"[""ELIGIBLE""]")</f>
        <v>["ELIGIBLE"]</v>
      </c>
    </row>
    <row r="288">
      <c r="A288" s="24" t="str">
        <f>IFERROR(__xludf.DUMMYFUNCTION("""COMPUTED_VALUE"""),"Temporal shifts of DNA-microsatellite allele profiles in roe deer (Capreolus capreolus L.) within three decades")</f>
        <v>Temporal shifts of DNA-microsatellite allele profiles in roe deer (Capreolus capreolus L.) within three decades</v>
      </c>
      <c r="B288" s="24" t="str">
        <f>IFERROR(__xludf.DUMMYFUNCTION("""COMPUTED_VALUE"""),"DNA-microsatellite polymorphism (four loci) was studied in 56 male roe deer (Capreolus capreolus) from a 900-ha hunting territory in the Vosges du Nord Mountains (France), culled over 34 years (1956-1990). Changed allele frequencies at two loci within thi"&amp;"s period, and increased allelic diversity, were traced to a phase of reduced population density and subsequent immigration. Decadic population samples collected within 900-ha were distinguished by higher genetic variability measures than were certain geog"&amp;"raphical samples across Central Europe (4-900 km). On average, the decadic cohorts were distinguished by a gene diversity index of G (ST) = 0.0286, and a genetic distance of D = 0.0938, which reflect 54% (G(ST)) and 69% (D) of the respective geographic (3"&amp;"50 km) differentiation indices of roe deer in Central Europe. The importance of demography and population ecology effects for microevolution in a large mammal is demonstrated, as is the risk of artefact by composing population samples of deer over several"&amp;" years. Population genetic screening should cover various demes of roe deer from the same general region, and be based on many unlinked polymorphic loci, to minimize the distorting effects of genetic dynamics at the small spatial scale.")</f>
        <v>DNA-microsatellite polymorphism (four loci) was studied in 56 male roe deer (Capreolus capreolus) from a 900-ha hunting territory in the Vosges du Nord Mountains (France), culled over 34 years (1956-1990). Changed allele frequencies at two loci within this period, and increased allelic diversity, were traced to a phase of reduced population density and subsequent immigration. Decadic population samples collected within 900-ha were distinguished by higher genetic variability measures than were certain geographical samples across Central Europe (4-900 km). On average, the decadic cohorts were distinguished by a gene diversity index of G (ST) = 0.0286, and a genetic distance of D = 0.0938, which reflect 54% (G(ST)) and 69% (D) of the respective geographic (350 km) differentiation indices of roe deer in Central Europe. The importance of demography and population ecology effects for microevolution in a large mammal is demonstrated, as is the risk of artefact by composing population samples of deer over several years. Population genetic screening should cover various demes of roe deer from the same general region, and be based on many unlinked polymorphic loci, to minimize the distorting effects of genetic dynamics at the small spatial scale.</v>
      </c>
      <c r="C288" s="24" t="str">
        <f>IFERROR(__xludf.DUMMYFUNCTION("""COMPUTED_VALUE"""),"10.1046/j.1439-0469.2002.00198.x")</f>
        <v>10.1046/j.1439-0469.2002.00198.x</v>
      </c>
      <c r="D288" s="24" t="str">
        <f>IFERROR(__xludf.DUMMYFUNCTION("""COMPUTED_VALUE"""),"shaw et al")</f>
        <v>shaw et al</v>
      </c>
      <c r="E288" s="24" t="str">
        <f>IFERROR(__xludf.DUMMYFUNCTION("""COMPUTED_VALUE"""),"WOS:000179746300006")</f>
        <v>WOS:000179746300006</v>
      </c>
      <c r="F288" s="24" t="str">
        <f>IFERROR(__xludf.DUMMYFUNCTION("""COMPUTED_VALUE"""),"[""ELIGIBLE""]")</f>
        <v>["ELIGIBLE"]</v>
      </c>
    </row>
    <row r="289">
      <c r="A289" s="24" t="str">
        <f>IFERROR(__xludf.DUMMYFUNCTION("""COMPUTED_VALUE"""),"Dispersal strategies, secondary range expansion and invasion genetics of the nonindigenous round goby, Neogobius melanostomus, in Great Lakes tributaries")</f>
        <v>Dispersal strategies, secondary range expansion and invasion genetics of the nonindigenous round goby, Neogobius melanostomus, in Great Lakes tributaries</v>
      </c>
      <c r="B289" s="24" t="str">
        <f>IFERROR(__xludf.DUMMYFUNCTION("""COMPUTED_VALUE"""),"Dispersal strategies are important mechanisms underlying the spatial distribution and colonizing ability of all mobile species. In the current study, we use highly polymorphic microsatellite markers to evaluate local dispersal and colonization dynamics of"&amp;" the round goby (Neogobius melanostomus), an aquatic invader expanding its range from lake to river environments in its introduced North American range. Genetic structure, genotype assignment and genetic diversity were compared among 1262 round gobies fro"&amp;"m 20 river and four lake sites in three Great Lakes tributaries. Our results indicate that a combination of short-distance diffusion and long-distance dispersal, collectively referred to as 'stratified dispersal', is facilitating river colonization. Colon"&amp;"ization proceeded upstream yearly (approximately 500 m/year; 2005-2009) in one of two temporal replicates while genetic structure was temporally stable. Contiguous dispersal from the lake was observed in all three rivers with a substantial portion of rive"&amp;"r fish (7.3%) identified as migrants. Genotype assignment indicated a separate introduction occurred upstream of the invasion front in one river. Genetic diversity was similar and relatively high among lake and recently colonized river populations, indica"&amp;"ting that founder effects are mitigated through a dual-dispersal strategy. The remarkable success of round goby as an aquatic invader stresses the need for better diffusion models of secondary range expansion for presumably sessile invasive species.")</f>
        <v>Dispersal strategies are important mechanisms underlying the spatial distribution and colonizing ability of all mobile species. In the current study, we use highly polymorphic microsatellite markers to evaluate local dispersal and colonization dynamics of the round goby (Neogobius melanostomus), an aquatic invader expanding its range from lake to river environments in its introduced North American range. Genetic structure, genotype assignment and genetic diversity were compared among 1262 round gobies from 20 river and four lake sites in three Great Lakes tributaries. Our results indicate that a combination of short-distance diffusion and long-distance dispersal, collectively referred to as 'stratified dispersal', is facilitating river colonization. Colonization proceeded upstream yearly (approximately 500 m/year; 2005-2009) in one of two temporal replicates while genetic structure was temporally stable. Contiguous dispersal from the lake was observed in all three rivers with a substantial portion of river fish (7.3%) identified as migrants. Genotype assignment indicated a separate introduction occurred upstream of the invasion front in one river. Genetic diversity was similar and relatively high among lake and recently colonized river populations, indicating that founder effects are mitigated through a dual-dispersal strategy. The remarkable success of round goby as an aquatic invader stresses the need for better diffusion models of secondary range expansion for presumably sessile invasive species.</v>
      </c>
      <c r="C289" s="24" t="str">
        <f>IFERROR(__xludf.DUMMYFUNCTION("""COMPUTED_VALUE"""),"10.1111/j.1365-294X.2011.05030.x")</f>
        <v>10.1111/j.1365-294X.2011.05030.x</v>
      </c>
      <c r="D289" s="24" t="str">
        <f>IFERROR(__xludf.DUMMYFUNCTION("""COMPUTED_VALUE"""),"shaw et al")</f>
        <v>shaw et al</v>
      </c>
      <c r="E289" s="24" t="str">
        <f>IFERROR(__xludf.DUMMYFUNCTION("""COMPUTED_VALUE"""),"WOS:000289522400007")</f>
        <v>WOS:000289522400007</v>
      </c>
      <c r="F289" s="24" t="str">
        <f>IFERROR(__xludf.DUMMYFUNCTION("""COMPUTED_VALUE"""),"[""ELIGIBLE""]")</f>
        <v>["ELIGIBLE"]</v>
      </c>
    </row>
    <row r="290">
      <c r="A290" s="24" t="str">
        <f>IFERROR(__xludf.DUMMYFUNCTION("""COMPUTED_VALUE"""),"Survival of the endangered butterfly Lycaena helle in a fragmented environment: Genetic analyses over 15 years")</f>
        <v>Survival of the endangered butterfly Lycaena helle in a fragmented environment: Genetic analyses over 15 years</v>
      </c>
      <c r="B290" s="24" t="str">
        <f>IFERROR(__xludf.DUMMYFUNCTION("""COMPUTED_VALUE"""),"Temporal changes in allele frequencies are often assumed in studies addressing the history of populations affected by different anthropogenic and natural impacts at different time scales. Yet, few studies directly compare the genetic composition of popula"&amp;"tions over time spans of more than 10 years. Therefore, to test the genetic effects of 15 years of population isolation in the butterfly Lycaena helle, we analysed 472 individuals from 27 samples, of which nine were collected in 1991 and 18 in 2006. Sampl"&amp;"ing was performed in five mountain regions (Pyrenees, Massif Central, Jura, Vosges and Ardennes). Genetic analyses were performed using five polymorphic microsatellites. Old and new samples of identical or neighbouring populations revealed similar genetic"&amp;" differentiations among these five mountain regions. A comparatively strong genetic differentiation among populations combined with a high amount of private alleles for each mountain area was detected, but mountain-specific alleles were in most cases iden"&amp;"tical in 1991 and 2006. Nevertheless, the obtained data also indicate moderate changes between 1991 and 2006 in the species' genetic structure - genetic differentiation among local populations increased marginally and allele frequencies showed correspondi"&amp;"ng modifications. A significant decline in genetic diversity was not detectable, and nine private alleles exclusive to a single mountain region were only detected in samples from the year 1991, whereas eleven were only observed in the individuals collecte"&amp;"d in 2006. These observations might indicate the results of genetic drift within isolated populations.Zusammenfassung Anderungen von Allelfrequenzen wurden haufig als Effekte athropogener und naturlicher Einflusse auf Populationen diskutiert. Jedoch wurde"&amp;" bislang in nur wenigen Studien ein direkter Vergleich der genetischen Struktur von Populationen uber mehrere Jahre vorgenommen. Daher wurden die genetischen Effekte andauernder Isolation uber einen Zeitraum von 15 Jahren an 472 Individuen der Schmetterli"&amp;"ngsart Lycaena helle an 27 Populationen untersucht, wovon neun 1991 und 18 2006 beprobt wurden. Die Probenahme wurde in funf voneinander getrennten Bergregionen (Pyrenaen, Massif Central, Jura, Vogesen und Ardennen) durchgefuhrt. Genetische Analysen wurde"&amp;"n auf der Grundlage funf polymorpher Mikrosatelliten vorgenommen. Alte und neue Proben identischer oder benachbarter Populationen zeigen ubereinstimmende genetische Strukturen zwischen diesen funf Bergregionen. Eine vergleichbar starke genetische Differen"&amp;"zierung zwischen diesen Populationen sowie ein hoher Anteil privater Allele wurden fur die entsprechenden Bergregionen nachgewiesen. Die Daten zeigen eine langsame Veranderung der genetischen Struktur uber den Zeitraum von 1991 bis 2006: die genetische Di"&amp;"fferenzierung zwischen lokalen Populationen stieg leicht an, und die Allelfrequenzen veranderten sich. Ein signifikanter Ruckgang genetischer Diversitat konnte nicht festgestellt werden. Neun private Allele konnten ausschlie ss lich im Jahr 1991 und elf a"&amp;"usschlie ss lich im Jahr 2006 nachgewiesen werden. Diese Beobachtungen konnten das Ergebnis genetischer Drift innerhalb dieser isolierten Populationen sein.")</f>
        <v>Temporal changes in allele frequencies are often assumed in studies addressing the history of populations affected by different anthropogenic and natural impacts at different time scales. Yet, few studies directly compare the genetic composition of populations over time spans of more than 10 years. Therefore, to test the genetic effects of 15 years of population isolation in the butterfly Lycaena helle, we analysed 472 individuals from 27 samples, of which nine were collected in 1991 and 18 in 2006. Sampling was performed in five mountain regions (Pyrenees, Massif Central, Jura, Vosges and Ardennes). Genetic analyses were performed using five polymorphic microsatellites. Old and new samples of identical or neighbouring populations revealed similar genetic differentiations among these five mountain regions. A comparatively strong genetic differentiation among populations combined with a high amount of private alleles for each mountain area was detected, but mountain-specific alleles were in most cases identical in 1991 and 2006. Nevertheless, the obtained data also indicate moderate changes between 1991 and 2006 in the species' genetic structure - genetic differentiation among local populations increased marginally and allele frequencies showed corresponding modifications. A significant decline in genetic diversity was not detectable, and nine private alleles exclusive to a single mountain region were only detected in samples from the year 1991, whereas eleven were only observed in the individuals collected in 2006. These observations might indicate the results of genetic drift within isolated populations.Zusammenfassung Anderungen von Allelfrequenzen wurden haufig als Effekte athropogener und naturlicher Einflusse auf Populationen diskutiert. Jedoch wurde bislang in nur wenigen Studien ein direkter Vergleich der genetischen Struktur von Populationen uber mehrere Jahre vorgenommen. Daher wurden die genetischen Effekte andauernder Isolation uber einen Zeitraum von 15 Jahren an 472 Individuen der Schmetterlingsart Lycaena helle an 27 Populationen untersucht, wovon neun 1991 und 18 2006 beprobt wurden. Die Probenahme wurde in funf voneinander getrennten Bergregionen (Pyrenaen, Massif Central, Jura, Vogesen und Ardennen) durchgefuhrt. Genetische Analysen wurden auf der Grundlage funf polymorpher Mikrosatelliten vorgenommen. Alte und neue Proben identischer oder benachbarter Populationen zeigen ubereinstimmende genetische Strukturen zwischen diesen funf Bergregionen. Eine vergleichbar starke genetische Differenzierung zwischen diesen Populationen sowie ein hoher Anteil privater Allele wurden fur die entsprechenden Bergregionen nachgewiesen. Die Daten zeigen eine langsame Veranderung der genetischen Struktur uber den Zeitraum von 1991 bis 2006: die genetische Differenzierung zwischen lokalen Populationen stieg leicht an, und die Allelfrequenzen veranderten sich. Ein signifikanter Ruckgang genetischer Diversitat konnte nicht festgestellt werden. Neun private Allele konnten ausschlie ss lich im Jahr 1991 und elf ausschlie ss lich im Jahr 2006 nachgewiesen werden. Diese Beobachtungen konnten das Ergebnis genetischer Drift innerhalb dieser isolierten Populationen sein.</v>
      </c>
      <c r="C290" s="24" t="str">
        <f>IFERROR(__xludf.DUMMYFUNCTION("""COMPUTED_VALUE"""),"10.1111/j.1439-0469.2010.00575.x")</f>
        <v>10.1111/j.1439-0469.2010.00575.x</v>
      </c>
      <c r="D290" s="24" t="str">
        <f>IFERROR(__xludf.DUMMYFUNCTION("""COMPUTED_VALUE"""),"shaw et al")</f>
        <v>shaw et al</v>
      </c>
      <c r="E290" s="24" t="str">
        <f>IFERROR(__xludf.DUMMYFUNCTION("""COMPUTED_VALUE"""),"WOS:000286002900004")</f>
        <v>WOS:000286002900004</v>
      </c>
      <c r="F290" s="24" t="str">
        <f>IFERROR(__xludf.DUMMYFUNCTION("""COMPUTED_VALUE"""),"[""ELIGIBLE""]")</f>
        <v>["ELIGIBLE"]</v>
      </c>
    </row>
    <row r="291">
      <c r="A291" s="24" t="str">
        <f>IFERROR(__xludf.DUMMYFUNCTION("""COMPUTED_VALUE"""),"Genomic signatures of population bottleneck and recovery in Northwest Atlantic pinnipeds")</f>
        <v>Genomic signatures of population bottleneck and recovery in Northwest Atlantic pinnipeds</v>
      </c>
      <c r="B291" s="24" t="str">
        <f>IFERROR(__xludf.DUMMYFUNCTION("""COMPUTED_VALUE"""),"Population increases over the past several decades provide natural settings in which to study the evolutionary processes that occur during bottleneck, growth, and spatial expansion. We used parallel natural experiments of historical decline and subsequent"&amp;" recovery in two sympatric pinniped species in the Northwest Atlantic, the gray seal (Halichoerus grypus atlantica) and harbor seal (Phoca vitulina vitulina), to study the impact of recent demographic change in genomic diversity. Using restriction site-as"&amp;"sociated DNA sequencing, we assessed genomic diversity at over 8,700 polymorphic gray seal loci and 3,700 polymorphic harbor seal loci in samples from multiple cohorts collected throughout recovery over the past half-century. Despite significant differenc"&amp;"es in the degree of genetic diversity assessed in the two species, we found signatures of historical bottlenecks in the contemporary genomes of both gray and harbor seals. We evaluated temporal trends in diversity across cohorts, as well as compared sampl"&amp;"es from sites at both the center and edge of a recent gray seal range expansion, but found no significant change in genomewide diversity following recovery. We did, however, find that the variance and degree of allele frequency change measured over the pa"&amp;"st several decades were significantly different from neutral expectations of drift under population growth. These two cases of well-described demographic history provide opportunities for critical evaluation of current approaches to simulating and underst"&amp;"anding the genetic effects of historical demographic change in natural populations.")</f>
        <v>Population increases over the past several decades provide natural settings in which to study the evolutionary processes that occur during bottleneck, growth, and spatial expansion. We used parallel natural experiments of historical decline and subsequent recovery in two sympatric pinniped species in the Northwest Atlantic, the gray seal (Halichoerus grypus atlantica) and harbor seal (Phoca vitulina vitulina), to study the impact of recent demographic change in genomic diversity. Using restriction site-associated DNA sequencing, we assessed genomic diversity at over 8,700 polymorphic gray seal loci and 3,700 polymorphic harbor seal loci in samples from multiple cohorts collected throughout recovery over the past half-century. Despite significant differences in the degree of genetic diversity assessed in the two species, we found signatures of historical bottlenecks in the contemporary genomes of both gray and harbor seals. We evaluated temporal trends in diversity across cohorts, as well as compared samples from sites at both the center and edge of a recent gray seal range expansion, but found no significant change in genomewide diversity following recovery. We did, however, find that the variance and degree of allele frequency change measured over the past several decades were significantly different from neutral expectations of drift under population growth. These two cases of well-described demographic history provide opportunities for critical evaluation of current approaches to simulating and understanding the genetic effects of historical demographic change in natural populations.</v>
      </c>
      <c r="C291" s="24" t="str">
        <f>IFERROR(__xludf.DUMMYFUNCTION("""COMPUTED_VALUE"""),"10.1002/ece3.4143")</f>
        <v>10.1002/ece3.4143</v>
      </c>
      <c r="D291" s="24" t="str">
        <f>IFERROR(__xludf.DUMMYFUNCTION("""COMPUTED_VALUE"""),"shaw et al")</f>
        <v>shaw et al</v>
      </c>
      <c r="E291" s="24" t="str">
        <f>IFERROR(__xludf.DUMMYFUNCTION("""COMPUTED_VALUE"""),"WOS:000439769400019")</f>
        <v>WOS:000439769400019</v>
      </c>
      <c r="F291" s="24" t="str">
        <f>IFERROR(__xludf.DUMMYFUNCTION("""COMPUTED_VALUE"""),"[""ELIGIBLE""]")</f>
        <v>["ELIGIBLE"]</v>
      </c>
    </row>
    <row r="292">
      <c r="A292" s="24" t="str">
        <f>IFERROR(__xludf.DUMMYFUNCTION("""COMPUTED_VALUE"""),"Spatial and temporal patterns of neutral and adaptive genetic variation in the endangered African wild dog (Lycaon pictus)")</f>
        <v>Spatial and temporal patterns of neutral and adaptive genetic variation in the endangered African wild dog (Lycaon pictus)</v>
      </c>
      <c r="B292" s="24" t="str">
        <f>IFERROR(__xludf.DUMMYFUNCTION("""COMPUTED_VALUE"""),"Deciphering patterns of genetic variation within a species is essential for understanding population structure, local adaptation and differences in diversity between populations. Whilst neutrally evolving genetic markers can be used to elucidate demograph"&amp;"ic processes and genetic structure, they are not subject to selection and therefore are not informative about patterns of adaptive variation. As such, assessments of pertinent adaptive loci, such as the immunity genes of the major histocompatibility compl"&amp;"ex (MHC), are increasingly being incorporated into genetic studies. In this study, we combined neutral (microsatellite, mtDNA) and adaptive (MHC class II DLA-DRB1 locus) markers to elucidate the factors influencing patterns of genetic variation in the Afr"&amp;"ican wild dog (Lycaon pictus); an endangered canid that has suffered extensive declines in distribution and abundance. Our genetic analyses found all extant wild dog populations to be relatively small (Ne &lt; 30). Furthermore, through coalescent modelling, "&amp;"we detected a genetic signature of a recent and substantial demographic decline, which correlates with human expansion, but contrasts with findings in some other African mammals. We found strong structuring of wild dog populations, indicating the negative"&amp;" influence of extensive habitat fragmentation and loss of gene flow between habitat patches. Across populations, we found that the spatial and temporal structure of microsatellite diversity and MHC diversity were correlated and strongly influenced by demo"&amp;"graphic stability and population size, indicating the effects of genetic drift in these small populations. Despite this correlation, we detected signatures of selection at the MHC, implying that selection has not been completely overwhelmed by genetic dri"&amp;"ft.")</f>
        <v>Deciphering patterns of genetic variation within a species is essential for understanding population structure, local adaptation and differences in diversity between populations. Whilst neutrally evolving genetic markers can be used to elucidate demographic processes and genetic structure, they are not subject to selection and therefore are not informative about patterns of adaptive variation. As such, assessments of pertinent adaptive loci, such as the immunity genes of the major histocompatibility complex (MHC), are increasingly being incorporated into genetic studies. In this study, we combined neutral (microsatellite, mtDNA) and adaptive (MHC class II DLA-DRB1 locus) markers to elucidate the factors influencing patterns of genetic variation in the African wild dog (Lycaon pictus); an endangered canid that has suffered extensive declines in distribution and abundance. Our genetic analyses found all extant wild dog populations to be relatively small (Ne &lt; 30). Furthermore, through coalescent modelling, we detected a genetic signature of a recent and substantial demographic decline, which correlates with human expansion, but contrasts with findings in some other African mammals. We found strong structuring of wild dog populations, indicating the negative influence of extensive habitat fragmentation and loss of gene flow between habitat patches. Across populations, we found that the spatial and temporal structure of microsatellite diversity and MHC diversity were correlated and strongly influenced by demographic stability and population size, indicating the effects of genetic drift in these small populations. Despite this correlation, we detected signatures of selection at the MHC, implying that selection has not been completely overwhelmed by genetic drift.</v>
      </c>
      <c r="C292" s="24" t="str">
        <f>IFERROR(__xludf.DUMMYFUNCTION("""COMPUTED_VALUE"""),"10.1111/j.1365-294X.2012.05477.x")</f>
        <v>10.1111/j.1365-294X.2012.05477.x</v>
      </c>
      <c r="D292" s="24" t="str">
        <f>IFERROR(__xludf.DUMMYFUNCTION("""COMPUTED_VALUE"""),"shaw et al")</f>
        <v>shaw et al</v>
      </c>
      <c r="E292" s="24" t="str">
        <f>IFERROR(__xludf.DUMMYFUNCTION("""COMPUTED_VALUE"""),"WOS:000301116000007")</f>
        <v>WOS:000301116000007</v>
      </c>
      <c r="F292" s="24" t="str">
        <f>IFERROR(__xludf.DUMMYFUNCTION("""COMPUTED_VALUE"""),"[""ELIGIBLE""]")</f>
        <v>["ELIGIBLE"]</v>
      </c>
    </row>
    <row r="293">
      <c r="A293" s="24" t="str">
        <f>IFERROR(__xludf.DUMMYFUNCTION("""COMPUTED_VALUE"""),"Landscape genetics of an early successional specialist in a disturbance-prone environment")</f>
        <v>Landscape genetics of an early successional specialist in a disturbance-prone environment</v>
      </c>
      <c r="B293" s="24" t="str">
        <f>IFERROR(__xludf.DUMMYFUNCTION("""COMPUTED_VALUE"""),"Species that specialize in disturbed habitats may have considerably different dispersal strategies than those adapted to more stable environments. However, little is known of the dispersal patterns and population structure of such species. This informatio"&amp;"n is important for conservation because many postfire specialists are at risk from anthropogenic changes to natural disturbance regimes. We used microsatellite markers to assess the effect of landscape variation and recent disturbance history on dispersal"&amp;" by a small mammal species that occupies the early seral stage of vegetation regeneration in burnt environments. We predicted that a postfire specialist would be able to disperse over multiple habitat types (generalist) and not exhibit sex-biased dispersa"&amp;"l, as such strategies should enable effective colonization of spatially and temporally variable habitat. We found significant differentiation between sites that fitted an isolation-by-distance pattern and spatial autocorrelation of multilocus genotypes to"&amp;" a distance of 23km. There was no consistent genetic evidence for sex-biased dispersal. We tested the influence of different habitat- and fire-specific landscape resistance scenarios on genetic distance between individuals and found a significant effect o"&amp;"f fire. Our genetic data supported recently burned vegetation having greater conductance for gene flow than unburnt habitat, but variation in habitat quality between vegetation types and occupied patches had no effect on gene flow. Postfire specialists mu"&amp;"st evolve an effective dispersal ability to move over distances that would ensure access to early successional stage vegetation. Natural disturbance and natural heterogeneity may therefore not influence population genetic structure as negatively as expect"&amp;"ed.")</f>
        <v>Species that specialize in disturbed habitats may have considerably different dispersal strategies than those adapted to more stable environments. However, little is known of the dispersal patterns and population structure of such species. This information is important for conservation because many postfire specialists are at risk from anthropogenic changes to natural disturbance regimes. We used microsatellite markers to assess the effect of landscape variation and recent disturbance history on dispersal by a small mammal species that occupies the early seral stage of vegetation regeneration in burnt environments. We predicted that a postfire specialist would be able to disperse over multiple habitat types (generalist) and not exhibit sex-biased dispersal, as such strategies should enable effective colonization of spatially and temporally variable habitat. We found significant differentiation between sites that fitted an isolation-by-distance pattern and spatial autocorrelation of multilocus genotypes to a distance of 23km. There was no consistent genetic evidence for sex-biased dispersal. We tested the influence of different habitat- and fire-specific landscape resistance scenarios on genetic distance between individuals and found a significant effect of fire. Our genetic data supported recently burned vegetation having greater conductance for gene flow than unburnt habitat, but variation in habitat quality between vegetation types and occupied patches had no effect on gene flow. Postfire specialists must evolve an effective dispersal ability to move over distances that would ensure access to early successional stage vegetation. Natural disturbance and natural heterogeneity may therefore not influence population genetic structure as negatively as expected.</v>
      </c>
      <c r="C293" s="24" t="str">
        <f>IFERROR(__xludf.DUMMYFUNCTION("""COMPUTED_VALUE"""),"10.1111/mec.12172")</f>
        <v>10.1111/mec.12172</v>
      </c>
      <c r="D293" s="24" t="str">
        <f>IFERROR(__xludf.DUMMYFUNCTION("""COMPUTED_VALUE"""),"shaw et al")</f>
        <v>shaw et al</v>
      </c>
      <c r="E293" s="24" t="str">
        <f>IFERROR(__xludf.DUMMYFUNCTION("""COMPUTED_VALUE"""),"WOS:000315414700007")</f>
        <v>WOS:000315414700007</v>
      </c>
      <c r="F293" s="24" t="str">
        <f>IFERROR(__xludf.DUMMYFUNCTION("""COMPUTED_VALUE"""),"[""ELIGIBLE""]")</f>
        <v>["ELIGIBLE"]</v>
      </c>
    </row>
    <row r="294">
      <c r="A294" s="24" t="str">
        <f>IFERROR(__xludf.DUMMYFUNCTION("""COMPUTED_VALUE"""),"Stocking activities for the Arctic charr in Lake Geneva: Genetic effects in space and time")</f>
        <v>Stocking activities for the Arctic charr in Lake Geneva: Genetic effects in space and time</v>
      </c>
      <c r="B294" s="24" t="str">
        <f>IFERROR(__xludf.DUMMYFUNCTION("""COMPUTED_VALUE"""),"Artificial stocking practices are widely used by resource managers worldwide, in order to sustain fish populations exploited by both recreational and commercial activities, but their benefits are controversial. Former practices involved exotic strains, al"&amp;"though current programs rather consider artificial breeding of local fishes (supportive breeding). Understanding the complex genetic effects of these management strategies is an important challenge with economic and conservation implications, especially i"&amp;"n the context of population declines. In this study, we focus on the declining Arctic charr (Salvelinus alpinus) population from Lake Geneva (Switzerland and France), which has initially been restocked with allochtonous fishes in the early eighties, follo"&amp;"wed by supportive breeding. In this context, we conducted a genetic survey to document the evolution of the genetic diversity and structure throughout the last 50years, before and after the initiation of hatchery supplementation, using contemporary and hi"&amp;"storical samples. We show that the introduction of exotic fishes was associated with a genetic bottleneck in the 1980-1990s, a break of Hardy-Weinberg Equilibrium (HWE), a reduction in genetic diversity, an increase in genetic structure among spawning sit"&amp;"es, and a change in their genetic composition. Together with better environmental conditions, three decades of subsequent supportive breeding using local fishes allowed to re-establish HWE and the initial levels of genetic variation. However, current spaw"&amp;"ning sites have not fully recovered their original genetic composition and were extensively homogenized across the lake. Our study demonstrates the drastic genetic consequences of different restocking tactics in a comprehensive spatiotemporal framework an"&amp;"d suggests that genetic alteration by nonlocal stocking may be partly reversible through supportive breeding. We recommend that conservation-based programs consider local diversity and implement adequate protocols to limit the genetic homogenization of th"&amp;"is Arctic charr population.")</f>
        <v>Artificial stocking practices are widely used by resource managers worldwide, in order to sustain fish populations exploited by both recreational and commercial activities, but their benefits are controversial. Former practices involved exotic strains, although current programs rather consider artificial breeding of local fishes (supportive breeding). Understanding the complex genetic effects of these management strategies is an important challenge with economic and conservation implications, especially in the context of population declines. In this study, we focus on the declining Arctic charr (Salvelinus alpinus) population from Lake Geneva (Switzerland and France), which has initially been restocked with allochtonous fishes in the early eighties, followed by supportive breeding. In this context, we conducted a genetic survey to document the evolution of the genetic diversity and structure throughout the last 50years, before and after the initiation of hatchery supplementation, using contemporary and historical samples. We show that the introduction of exotic fishes was associated with a genetic bottleneck in the 1980-1990s, a break of Hardy-Weinberg Equilibrium (HWE), a reduction in genetic diversity, an increase in genetic structure among spawning sites, and a change in their genetic composition. Together with better environmental conditions, three decades of subsequent supportive breeding using local fishes allowed to re-establish HWE and the initial levels of genetic variation. However, current spawning sites have not fully recovered their original genetic composition and were extensively homogenized across the lake. Our study demonstrates the drastic genetic consequences of different restocking tactics in a comprehensive spatiotemporal framework and suggests that genetic alteration by nonlocal stocking may be partly reversible through supportive breeding. We recommend that conservation-based programs consider local diversity and implement adequate protocols to limit the genetic homogenization of this Arctic charr population.</v>
      </c>
      <c r="C294" s="24" t="str">
        <f>IFERROR(__xludf.DUMMYFUNCTION("""COMPUTED_VALUE"""),"10.1002/ece3.3073")</f>
        <v>10.1002/ece3.3073</v>
      </c>
      <c r="D294" s="24" t="str">
        <f>IFERROR(__xludf.DUMMYFUNCTION("""COMPUTED_VALUE"""),"shaw et al")</f>
        <v>shaw et al</v>
      </c>
      <c r="E294" s="24" t="str">
        <f>IFERROR(__xludf.DUMMYFUNCTION("""COMPUTED_VALUE"""),"WOS:000406323100018")</f>
        <v>WOS:000406323100018</v>
      </c>
      <c r="F294" s="24" t="str">
        <f>IFERROR(__xludf.DUMMYFUNCTION("""COMPUTED_VALUE"""),"[""ELIGIBLE""]")</f>
        <v>["ELIGIBLE"]</v>
      </c>
    </row>
    <row r="295">
      <c r="A295" s="24" t="str">
        <f>IFERROR(__xludf.DUMMYFUNCTION("""COMPUTED_VALUE"""),"Population dynamics of a natural red deer population over 200 years detected via substantial changes of genetic variation")</f>
        <v>Population dynamics of a natural red deer population over 200 years detected via substantial changes of genetic variation</v>
      </c>
      <c r="B295" s="24" t="str">
        <f>IFERROR(__xludf.DUMMYFUNCTION("""COMPUTED_VALUE"""),"Most large mammals have constantly been exposed to anthropogenic influence over decades or even centuries. Because of their long generation times and lack of sampling material, inferences of past population genetic dynamics, including anthropogenic impact"&amp;"s, have only relied on the analysis of the structure of extant populations. Here, we investigate for the first time the change in the genetic constitution of a natural red deer population over two centuries, using up to 200-year-old antlers (30 generation"&amp;"s) stored in trophy collections. To the best of our knowledge, this is the oldest DNA source ever used for microsatellite population genetic analyses. We demonstrate that government policy and hunting laws may have strong impacts on populations that can l"&amp;"ead to unexpectedly rapid changes in the genetic constitution of a large mammal population. A high ancestral individual polymorphism seen in an outbreeding population (1813-1861) was strongly reduced in descendants (1923-1940) during the mid-19th and earl"&amp;"y 20th century by genetic bottlenecks. Today (2011), individual polymorphism and variance among individuals is increasing in a constant-sized (managed) population. Differentiation was high among periods (F-ST &gt; ***); consequently, assignment tests assigne"&amp;"d individuals to their own period with &gt;85% probability. In contrast to the high variance observed at nuclear microsatellite loci, mtDNA (D-loop) was monomorphic through time, suggesting that male immigration dominates the genetic evolution in this popula"&amp;"tion.")</f>
        <v>Most large mammals have constantly been exposed to anthropogenic influence over decades or even centuries. Because of their long generation times and lack of sampling material, inferences of past population genetic dynamics, including anthropogenic impacts, have only relied on the analysis of the structure of extant populations. Here, we investigate for the first time the change in the genetic constitution of a natural red deer population over two centuries, using up to 200-year-old antlers (30 generations) stored in trophy collections. To the best of our knowledge, this is the oldest DNA source ever used for microsatellite population genetic analyses. We demonstrate that government policy and hunting laws may have strong impacts on populations that can lead to unexpectedly rapid changes in the genetic constitution of a large mammal population. A high ancestral individual polymorphism seen in an outbreeding population (1813-1861) was strongly reduced in descendants (1923-1940) during the mid-19th and early 20th century by genetic bottlenecks. Today (2011), individual polymorphism and variance among individuals is increasing in a constant-sized (managed) population. Differentiation was high among periods (F-ST &gt; ***); consequently, assignment tests assigned individuals to their own period with &gt;85% probability. In contrast to the high variance observed at nuclear microsatellite loci, mtDNA (D-loop) was monomorphic through time, suggesting that male immigration dominates the genetic evolution in this population.</v>
      </c>
      <c r="C295" s="24" t="str">
        <f>IFERROR(__xludf.DUMMYFUNCTION("""COMPUTED_VALUE"""),"10.1002/ece3.2063")</f>
        <v>10.1002/ece3.2063</v>
      </c>
      <c r="D295" s="24" t="str">
        <f>IFERROR(__xludf.DUMMYFUNCTION("""COMPUTED_VALUE"""),"shaw et al")</f>
        <v>shaw et al</v>
      </c>
      <c r="E295" s="24" t="str">
        <f>IFERROR(__xludf.DUMMYFUNCTION("""COMPUTED_VALUE"""),"WOS:000376646700008")</f>
        <v>WOS:000376646700008</v>
      </c>
      <c r="F295" s="24" t="str">
        <f>IFERROR(__xludf.DUMMYFUNCTION("""COMPUTED_VALUE"""),"[""ELIGIBLE""]")</f>
        <v>["ELIGIBLE"]</v>
      </c>
    </row>
    <row r="296">
      <c r="A296" s="24" t="str">
        <f>IFERROR(__xludf.DUMMYFUNCTION("""COMPUTED_VALUE"""),"Assessing temporal genetic variation in a cougar population: influence of harvest and neighboring populations")</f>
        <v>Assessing temporal genetic variation in a cougar population: influence of harvest and neighboring populations</v>
      </c>
      <c r="B296" s="24" t="str">
        <f>IFERROR(__xludf.DUMMYFUNCTION("""COMPUTED_VALUE"""),"The geography of the Black Hills region of South Dakota and Wyoming may limit connectivity for many species. For species with large energetic demands and large home ranges or species at low densities this can create viability concerns. Carnivores in this "&amp;"region, such as cougars (Puma concolor), have the additive effect of natural and human-induced mortality; this may act to decrease long-term viability. In this study we set out to explore genetic diversity among cougar populations in the Black Hills and s"&amp;"urrounding areas. Specifically, our objectives were to first compare genetic variation and effective number of breeders of cougars in the Black Hills during three harvest regimes: pre (2003-2006), moderate (2007-2010), and heavy (2011-2013), to determine "&amp;"if harvest impacted genetic variation. Second, we compared genetic structure of the Black Hills cougar population with cougar populations in neighboring eastern Wyoming and North Dakota. Using 20 microsatellite loci, we conducted genetic analysis on DNA s"&amp;"amples from cougars in the Black Hills (n = 675), North Dakota (n = 113), and eastern Wyoming (n = 62) collected from 2001-2013. Here we report that the Black Hills cougar population maintained genetic variation over the three time periods. Our substructu"&amp;"re analysis suggests that the maintenance of genetic variation was due to immigration from eastern Wyoming and possibly North Dakota.")</f>
        <v>The geography of the Black Hills region of South Dakota and Wyoming may limit connectivity for many species. For species with large energetic demands and large home ranges or species at low densities this can create viability concerns. Carnivores in this region, such as cougars (Puma concolor), have the additive effect of natural and human-induced mortality; this may act to decrease long-term viability. In this study we set out to explore genetic diversity among cougar populations in the Black Hills and surrounding areas. Specifically, our objectives were to first compare genetic variation and effective number of breeders of cougars in the Black Hills during three harvest regimes: pre (2003-2006), moderate (2007-2010), and heavy (2011-2013), to determine if harvest impacted genetic variation. Second, we compared genetic structure of the Black Hills cougar population with cougar populations in neighboring eastern Wyoming and North Dakota. Using 20 microsatellite loci, we conducted genetic analysis on DNA samples from cougars in the Black Hills (n = 675), North Dakota (n = 113), and eastern Wyoming (n = 62) collected from 2001-2013. Here we report that the Black Hills cougar population maintained genetic variation over the three time periods. Our substructure analysis suggests that the maintenance of genetic variation was due to immigration from eastern Wyoming and possibly North Dakota.</v>
      </c>
      <c r="C296" s="24" t="str">
        <f>IFERROR(__xludf.DUMMYFUNCTION("""COMPUTED_VALUE"""),"10.1007/s10592-015-0790-5")</f>
        <v>10.1007/s10592-015-0790-5</v>
      </c>
      <c r="D296" s="24" t="str">
        <f>IFERROR(__xludf.DUMMYFUNCTION("""COMPUTED_VALUE"""),"shaw et al")</f>
        <v>shaw et al</v>
      </c>
      <c r="E296" s="24" t="str">
        <f>IFERROR(__xludf.DUMMYFUNCTION("""COMPUTED_VALUE"""),"WOS:000372278400012")</f>
        <v>WOS:000372278400012</v>
      </c>
      <c r="F296" s="24" t="str">
        <f>IFERROR(__xludf.DUMMYFUNCTION("""COMPUTED_VALUE"""),"[""ELIGIBLE""]")</f>
        <v>["ELIGIBLE"]</v>
      </c>
    </row>
    <row r="297">
      <c r="A297" s="24" t="str">
        <f>IFERROR(__xludf.DUMMYFUNCTION("""COMPUTED_VALUE"""),"Inferring the ancestry of African wild dogs that returned to the Serengeti-Mara")</f>
        <v>Inferring the ancestry of African wild dogs that returned to the Serengeti-Mara</v>
      </c>
      <c r="B297" s="24" t="str">
        <f>IFERROR(__xludf.DUMMYFUNCTION("""COMPUTED_VALUE"""),"An endangered population of African wild dogs (Lycaon pictus) disappeared from the Serengeti-Mara area in 1991. The reasons for the extinction are not well understood, but disease was implicated in the disappearance. In 2001, wild dogs naturally re-establ"&amp;"ished themselves in the region. We conducted genetic profiling on samples collected prior and subsequent to this event, as well as samples from three geographically close populations, to determine the potential source of colonisers. Contrary to expectatio"&amp;"ns, we found no evidence of re-colonisation from these nearby wild dog populations. Rather, our analyses suggest that the re-established animals are primarily derived from the same genetic population as the pre-extinction animals, indicating that wild dog"&amp;"s are likely to have persisted in the Serengeti-Mara after 1991. We also detected some migrants that could be derived from genetically distinct populations outside the recovery area. Overall, we did not detect a decline in genetic diversity at either neut"&amp;"ral microsatellites or major histocompatibility complex loci, indicating that the supposed disappearance of wild dogs in the Serengeti-Mara did not substantially impact genetic variation of the population.")</f>
        <v>An endangered population of African wild dogs (Lycaon pictus) disappeared from the Serengeti-Mara area in 1991. The reasons for the extinction are not well understood, but disease was implicated in the disappearance. In 2001, wild dogs naturally re-established themselves in the region. We conducted genetic profiling on samples collected prior and subsequent to this event, as well as samples from three geographically close populations, to determine the potential source of colonisers. Contrary to expectations, we found no evidence of re-colonisation from these nearby wild dog populations. Rather, our analyses suggest that the re-established animals are primarily derived from the same genetic population as the pre-extinction animals, indicating that wild dogs are likely to have persisted in the Serengeti-Mara after 1991. We also detected some migrants that could be derived from genetically distinct populations outside the recovery area. Overall, we did not detect a decline in genetic diversity at either neutral microsatellites or major histocompatibility complex loci, indicating that the supposed disappearance of wild dogs in the Serengeti-Mara did not substantially impact genetic variation of the population.</v>
      </c>
      <c r="C297" s="24" t="str">
        <f>IFERROR(__xludf.DUMMYFUNCTION("""COMPUTED_VALUE"""),"10.1007/s10592-011-0304-z")</f>
        <v>10.1007/s10592-011-0304-z</v>
      </c>
      <c r="D297" s="24" t="str">
        <f>IFERROR(__xludf.DUMMYFUNCTION("""COMPUTED_VALUE"""),"shaw et al")</f>
        <v>shaw et al</v>
      </c>
      <c r="E297" s="24" t="str">
        <f>IFERROR(__xludf.DUMMYFUNCTION("""COMPUTED_VALUE"""),"WOS:000303476600020")</f>
        <v>WOS:000303476600020</v>
      </c>
      <c r="F297" s="24" t="str">
        <f>IFERROR(__xludf.DUMMYFUNCTION("""COMPUTED_VALUE"""),"[""ELIGIBLE""]")</f>
        <v>["ELIGIBLE"]</v>
      </c>
    </row>
    <row r="298">
      <c r="A298" s="24" t="str">
        <f>IFERROR(__xludf.DUMMYFUNCTION("""COMPUTED_VALUE"""),"Reduced representation sequencing detects only subtle regional structure in a heavily exploited and rapidly recolonizing marine mammal species")</f>
        <v>Reduced representation sequencing detects only subtle regional structure in a heavily exploited and rapidly recolonizing marine mammal species</v>
      </c>
      <c r="B298" s="24" t="str">
        <f>IFERROR(__xludf.DUMMYFUNCTION("""COMPUTED_VALUE"""),"Next-generation reduced representation sequencing (RRS) approaches show great potential for resolving the structure of wild populations. However, the population structure of species that have shown rapid demographic recovery following severe population bo"&amp;"ttlenecks may still prove difficult to resolve due to high gene flow between subpopulations. Here, we tested the effectiveness of the RRS method Genotyping-By-Sequencing (GBS) for describing the population structure of the New Zealand fur seal (NZFS, Arct"&amp;"ocephalus forsteri), a species that was heavily exploited by the 19th century commercial sealing industry and has since rapidly recolonized most of its former range from a few isolated colonies. Using 26,026 neutral single nucleotide polymorphisms (SNPs),"&amp;" we assessed genetic variation within and between NZFS colonies. We identified low levels of population differentiation across the species range (&lt;1% of variation explained by regional differences) suggesting a state of near panmixia. Nonetheless, we obse"&amp;"rved subtle population substructure between West Coast and Southern East Coast colonies and a weak, but significant (p=0.01), isolation-by-distance pattern among the eight colonies studied. Furthermore, our demographic reconstructions supported severe bot"&amp;"tlenecks with potential 10-fold and 250-fold declines in response to Polynesian and European hunting, respectively. Finally, we were able to assign individuals treated as unknowns to their regions of origin with high confidence (96%) using our SNP data. O"&amp;"ur results indicate that while it may be difficult to detect population structure in species that have experienced rapid recovery, next-generation markers and methods are powerful tools for resolving fine-scale structure and informing conservation and man"&amp;"agement efforts.")</f>
        <v>Next-generation reduced representation sequencing (RRS) approaches show great potential for resolving the structure of wild populations. However, the population structure of species that have shown rapid demographic recovery following severe population bottlenecks may still prove difficult to resolve due to high gene flow between subpopulations. Here, we tested the effectiveness of the RRS method Genotyping-By-Sequencing (GBS) for describing the population structure of the New Zealand fur seal (NZFS, Arctocephalus forsteri), a species that was heavily exploited by the 19th century commercial sealing industry and has since rapidly recolonized most of its former range from a few isolated colonies. Using 26,026 neutral single nucleotide polymorphisms (SNPs), we assessed genetic variation within and between NZFS colonies. We identified low levels of population differentiation across the species range (&lt;1% of variation explained by regional differences) suggesting a state of near panmixia. Nonetheless, we observed subtle population substructure between West Coast and Southern East Coast colonies and a weak, but significant (p=0.01), isolation-by-distance pattern among the eight colonies studied. Furthermore, our demographic reconstructions supported severe bottlenecks with potential 10-fold and 250-fold declines in response to Polynesian and European hunting, respectively. Finally, we were able to assign individuals treated as unknowns to their regions of origin with high confidence (96%) using our SNP data. Our results indicate that while it may be difficult to detect population structure in species that have experienced rapid recovery, next-generation markers and methods are powerful tools for resolving fine-scale structure and informing conservation and management efforts.</v>
      </c>
      <c r="C298" s="24" t="str">
        <f>IFERROR(__xludf.DUMMYFUNCTION("""COMPUTED_VALUE"""),"10.1002/ece3.4411")</f>
        <v>10.1002/ece3.4411</v>
      </c>
      <c r="D298" s="24" t="str">
        <f>IFERROR(__xludf.DUMMYFUNCTION("""COMPUTED_VALUE"""),"shaw et al")</f>
        <v>shaw et al</v>
      </c>
      <c r="E298" s="24" t="str">
        <f>IFERROR(__xludf.DUMMYFUNCTION("""COMPUTED_VALUE"""),"WOS:000445606000009")</f>
        <v>WOS:000445606000009</v>
      </c>
      <c r="F298" s="24" t="str">
        <f>IFERROR(__xludf.DUMMYFUNCTION("""COMPUTED_VALUE"""),"[""ELIGIBLE""]")</f>
        <v>["ELIGIBLE"]</v>
      </c>
    </row>
    <row r="299">
      <c r="A299" s="24" t="str">
        <f>IFERROR(__xludf.DUMMYFUNCTION("""COMPUTED_VALUE"""),"Homogenization of fall-run Chinook salmon gene pools in the Central Valley of California, USA")</f>
        <v>Homogenization of fall-run Chinook salmon gene pools in the Central Valley of California, USA</v>
      </c>
      <c r="B299" s="24" t="str">
        <f>IFERROR(__xludf.DUMMYFUNCTION("""COMPUTED_VALUE"""),"We assessed the Population genetic structure and temporal stability of genetic diversity from 1999 to 2001 in collections of fall-run Chinook salmon Oncorhynchus tshawytscha in California's Central Valley. Tests for genotypic differentiation at seven micr"&amp;"osatellite loci revealed few significant pairwise comparisons between samples front five hatchery populations and eight naturally spawning populations throughout the Central Valley that were separated by 50-350 km. All collections were genetically homogen"&amp;"eous and failed to cluster with their nearest geographic neighbors. Likewise, evaluation of temporal change in genetic diversity revealed few changes over the 3 years of the study. Our results suggest that fall-run Chinook salmon throughout the Central Va"&amp;"lley comprise a genetically homogeneous population that has lower among-population genetic diversity than fall-run Chinook salmon Populations examined elsewhere over similar geographic scales. The lack of genetic distinction and the lack of temporal diffe"&amp;"rences in allele frequencies between hatchery and naturally spawning fish indicate that considerable gene flow occurs between fall-run Chinook salmon throughout the Central Valley. Due to the prevalence of off-site release of hatchery-reared juveniles and"&amp;" the history of interbasin hatchery transfers and stocking within the Central Valley, homogenization of Central Valley fall-run populations is most likely the result of hatchery practices for the past 140 years.")</f>
        <v>We assessed the Population genetic structure and temporal stability of genetic diversity from 1999 to 2001 in collections of fall-run Chinook salmon Oncorhynchus tshawytscha in California's Central Valley. Tests for genotypic differentiation at seven microsatellite loci revealed few significant pairwise comparisons between samples front five hatchery populations and eight naturally spawning populations throughout the Central Valley that were separated by 50-350 km. All collections were genetically homogeneous and failed to cluster with their nearest geographic neighbors. Likewise, evaluation of temporal change in genetic diversity revealed few changes over the 3 years of the study. Our results suggest that fall-run Chinook salmon throughout the Central Valley comprise a genetically homogeneous population that has lower among-population genetic diversity than fall-run Chinook salmon Populations examined elsewhere over similar geographic scales. The lack of genetic distinction and the lack of temporal differences in allele frequencies between hatchery and naturally spawning fish indicate that considerable gene flow occurs between fall-run Chinook salmon throughout the Central Valley. Due to the prevalence of off-site release of hatchery-reared juveniles and the history of interbasin hatchery transfers and stocking within the Central Valley, homogenization of Central Valley fall-run populations is most likely the result of hatchery practices for the past 140 years.</v>
      </c>
      <c r="C299" s="24" t="str">
        <f>IFERROR(__xludf.DUMMYFUNCTION("""COMPUTED_VALUE"""),"10.1577/M04-136.1")</f>
        <v>10.1577/M04-136.1</v>
      </c>
      <c r="D299" s="24" t="str">
        <f>IFERROR(__xludf.DUMMYFUNCTION("""COMPUTED_VALUE"""),"shaw et al")</f>
        <v>shaw et al</v>
      </c>
      <c r="E299" s="24" t="str">
        <f>IFERROR(__xludf.DUMMYFUNCTION("""COMPUTED_VALUE"""),"WOS:000231336800024")</f>
        <v>WOS:000231336800024</v>
      </c>
      <c r="F299" s="24" t="str">
        <f>IFERROR(__xludf.DUMMYFUNCTION("""COMPUTED_VALUE"""),"[""ELIGIBLE""]")</f>
        <v>["ELIGIBLE"]</v>
      </c>
    </row>
    <row r="300">
      <c r="A300" s="24" t="str">
        <f>IFERROR(__xludf.DUMMYFUNCTION("""COMPUTED_VALUE"""),"Genetic diversity loss in a biodiversity hotspot: ancient DNA quantifies genetic decline and former connectivity in a critically endangered marsupial")</f>
        <v>Genetic diversity loss in a biodiversity hotspot: ancient DNA quantifies genetic decline and former connectivity in a critically endangered marsupial</v>
      </c>
      <c r="B300" s="24" t="str">
        <f>IFERROR(__xludf.DUMMYFUNCTION("""COMPUTED_VALUE"""),"The extent of genetic diversity loss and former connectivity between fragmented populations are often unknown factors when studying endangered species. While genetic techniques are commonly applied in extant populations to assess temporal and spatial demo"&amp;"graphic changes, it is no substitute for directly measuring past diversity using ancient DNA (aDNA). We analysed both mitochondrial DNA (mtDNA) and nuclear microsatellite loci from 64 historical fossil and skin samples of the critically endangered Western"&amp;" Australian woylie (Bettongia penicillata ogilbyi), and compared them with 231 (n=152 for mtDNA) modern samples. In modern woylie populations 15 mitochondrial control region (CR) haplotypes were identified. Interestingly, mtDNA CR data from only 29 histor"&amp;"ical samples demonstrated 15 previously unknown haplotypes and detected an extinct divergent clade. Through modelling, we estimated the loss of CR mtDNA diversity to be between 46% and 91% and estimated this to have occurred in the past 2000-4000years in "&amp;"association with a dramatic population decline. In addition, we obtained near-complete 11-loci microsatellite profiles from 21 historical samples. In agreement with the mtDNA data, a number of new' microsatellite alleles was only detected in the historica"&amp;"l populations despite extensive modern sampling, indicating a nuclear genetic diversity loss &gt;20%. Calculations of genetic diversity (heterozygosity and allelic rarefaction) showed that these were significantly higher in the past and that there was a high"&amp;" degree of gene flow across the woylie's historical range. These findings have an immediate impact on how the extant populations are managed and we recommend the implementation of an assisted migration programme to prevent further loss of genetic diversit"&amp;"y. Our study demonstrates the value of integrating aDNA data into current-day conservation strategies.")</f>
        <v>The extent of genetic diversity loss and former connectivity between fragmented populations are often unknown factors when studying endangered species. While genetic techniques are commonly applied in extant populations to assess temporal and spatial demographic changes, it is no substitute for directly measuring past diversity using ancient DNA (aDNA). We analysed both mitochondrial DNA (mtDNA) and nuclear microsatellite loci from 64 historical fossil and skin samples of the critically endangered Western Australian woylie (Bettongia penicillata ogilbyi), and compared them with 231 (n=152 for mtDNA) modern samples. In modern woylie populations 15 mitochondrial control region (CR) haplotypes were identified. Interestingly, mtDNA CR data from only 29 historical samples demonstrated 15 previously unknown haplotypes and detected an extinct divergent clade. Through modelling, we estimated the loss of CR mtDNA diversity to be between 46% and 91% and estimated this to have occurred in the past 2000-4000years in association with a dramatic population decline. In addition, we obtained near-complete 11-loci microsatellite profiles from 21 historical samples. In agreement with the mtDNA data, a number of new' microsatellite alleles was only detected in the historical populations despite extensive modern sampling, indicating a nuclear genetic diversity loss &gt;20%. Calculations of genetic diversity (heterozygosity and allelic rarefaction) showed that these were significantly higher in the past and that there was a high degree of gene flow across the woylie's historical range. These findings have an immediate impact on how the extant populations are managed and we recommend the implementation of an assisted migration programme to prevent further loss of genetic diversity. Our study demonstrates the value of integrating aDNA data into current-day conservation strategies.</v>
      </c>
      <c r="C300" s="24" t="str">
        <f>IFERROR(__xludf.DUMMYFUNCTION("""COMPUTED_VALUE"""),"10.1111/mec.13430")</f>
        <v>10.1111/mec.13430</v>
      </c>
      <c r="D300" s="24" t="str">
        <f>IFERROR(__xludf.DUMMYFUNCTION("""COMPUTED_VALUE"""),"shaw et al")</f>
        <v>shaw et al</v>
      </c>
      <c r="E300" s="24" t="str">
        <f>IFERROR(__xludf.DUMMYFUNCTION("""COMPUTED_VALUE"""),"WOS:000365756900007")</f>
        <v>WOS:000365756900007</v>
      </c>
      <c r="F300" s="24" t="str">
        <f>IFERROR(__xludf.DUMMYFUNCTION("""COMPUTED_VALUE"""),"[""ELIGIBLE""]")</f>
        <v>["ELIGIBLE"]</v>
      </c>
    </row>
    <row r="301">
      <c r="A301" s="24" t="str">
        <f>IFERROR(__xludf.DUMMYFUNCTION("""COMPUTED_VALUE"""),"Effective size of a wild salmonid population is greatly reduced by hatchery supplementation")</f>
        <v>Effective size of a wild salmonid population is greatly reduced by hatchery supplementation</v>
      </c>
      <c r="B301" s="24" t="str">
        <f>IFERROR(__xludf.DUMMYFUNCTION("""COMPUTED_VALUE"""),"Many declining and commercially important populations are supplemented with captive-born individuals that are intentionally released into the wild. These supplementation programs often create large numbers of offspring from relatively few breeding adults,"&amp;" which can have substantial population-level effects. We examined the genetic effects of supplementation on a wild population of steelhead (Oncorhynchus mykiss) from the Hood River, Oregon, by matching 12 run-years of hatchery steelhead back to their broo"&amp;"dstock parents. We show that the effective number of breeders producing the hatchery fish (broodstock parents; N-b) was quite small (harmonic mean N-b = 25 fish per brood-year vs 373 for wild fish), and was exacerbated by a high variance in broodstock rep"&amp;"roductive success among individuals within years. The low N-b caused hatchery fish to have decreased allelic richness, increased average relatedness, more loci in linkage disequilibrium and substantial levels of genetic drift in comparison with their wild"&amp;"-born counterparts. We also documented a substantial Ryman-Laikre effect whereby the additional hatchery fish doubled the total number of adult fish on the spawning grounds each year, but cut the effective population size of the total population (wild and"&amp;" hatchery fish combined) by nearly two-thirds. We further demonstrate that the Ryman-Laikre effect is most severe in this population when (1) &gt; 10% of fish allowed onto spawning grounds are from hatcheries and (2) the hatchery fish have high reproductive "&amp;"success in the wild. These results emphasize the trade-offs that arise when supplementation programs attempt to balance disparate goals (increasing production while maintaining genetic diversity and fitness). Heredity (2012) 109, 254-260; doi:10.1038/hdy."&amp;"2012.39; published online 18 July 2012")</f>
        <v>Many declining and commercially important populations are supplemented with captive-born individuals that are intentionally released into the wild. These supplementation programs often create large numbers of offspring from relatively few breeding adults, which can have substantial population-level effects. We examined the genetic effects of supplementation on a wild population of steelhead (Oncorhynchus mykiss) from the Hood River, Oregon, by matching 12 run-years of hatchery steelhead back to their broodstock parents. We show that the effective number of breeders producing the hatchery fish (broodstock parents; N-b) was quite small (harmonic mean N-b = 25 fish per brood-year vs 373 for wild fish), and was exacerbated by a high variance in broodstock reproductive success among individuals within years. The low N-b caused hatchery fish to have decreased allelic richness, increased average relatedness, more loci in linkage disequilibrium and substantial levels of genetic drift in comparison with their wild-born counterparts. We also documented a substantial Ryman-Laikre effect whereby the additional hatchery fish doubled the total number of adult fish on the spawning grounds each year, but cut the effective population size of the total population (wild and hatchery fish combined) by nearly two-thirds. We further demonstrate that the Ryman-Laikre effect is most severe in this population when (1) &gt; 10% of fish allowed onto spawning grounds are from hatcheries and (2) the hatchery fish have high reproductive success in the wild. These results emphasize the trade-offs that arise when supplementation programs attempt to balance disparate goals (increasing production while maintaining genetic diversity and fitness). Heredity (2012) 109, 254-260; doi:10.1038/hdy.2012.39; published online 18 July 2012</v>
      </c>
      <c r="C301" s="24" t="str">
        <f>IFERROR(__xludf.DUMMYFUNCTION("""COMPUTED_VALUE"""),"10.1038/hdy.2012.39")</f>
        <v>10.1038/hdy.2012.39</v>
      </c>
      <c r="D301" s="24" t="str">
        <f>IFERROR(__xludf.DUMMYFUNCTION("""COMPUTED_VALUE"""),"shaw et al")</f>
        <v>shaw et al</v>
      </c>
      <c r="E301" s="24" t="str">
        <f>IFERROR(__xludf.DUMMYFUNCTION("""COMPUTED_VALUE"""),"WOS:000309109700008")</f>
        <v>WOS:000309109700008</v>
      </c>
      <c r="F301" s="24" t="str">
        <f>IFERROR(__xludf.DUMMYFUNCTION("""COMPUTED_VALUE"""),"[""ELIGIBLE""]")</f>
        <v>["ELIGIBLE"]</v>
      </c>
    </row>
    <row r="302">
      <c r="A302" s="24" t="str">
        <f>IFERROR(__xludf.DUMMYFUNCTION("""COMPUTED_VALUE"""),"Genetic landscape with sharp discontinuities shaped by complex demographic history in moose (Alces alces)")</f>
        <v>Genetic landscape with sharp discontinuities shaped by complex demographic history in moose (Alces alces)</v>
      </c>
      <c r="B302" s="24" t="str">
        <f>IFERROR(__xludf.DUMMYFUNCTION("""COMPUTED_VALUE"""),"The moose (Alces alces) is the most intensely managed game species in Fennoscandia; approximately one-third of the population, ca. 160,000 animals, is harvested annually. Despite the species' biological and socioeconomic importance, there are knowledge ga"&amp;"ps with respect to its intraspecific diversity and genetic structure. Recent studies of moose in neighboring countries report 2 genetic groups in Finland, 3 in Norway with one of them suggested to be of ancient origin, and no indications of bottlenecks. T"&amp;"o delineate the spatial genetic landscape of the Swedish moose, we used allozyme variability from over 20,000 georeferenced moose collected all over Sweden in combination with 12 microsatellites (n = 1,200) and mitochondrial DNA (mtDNA) sequences (n = 44)"&amp;". We combined individual-based and traditional statistical approaches with coalescence-based simulations. The results indicate a complex history with bottlenecks and recent expansions that is consistent with historical records. Swedish moose are separated"&amp;" into 2 major genetic groups, a northern and a southern one, where the southern group is further divided into 3 subgroups. The 2 main subpopulations are moderately differentiated (F-ST = 0.1; R-ST = 0.07) and separated by sharp genetic discontinuities occ"&amp;"urring over a relatively narrow transition zone in central Sweden that coincides with a similar, previously reported transition zone in Norway. This differentiation is not reflected in mtDNA variation, where no significant divergence was observed. Togethe"&amp;"r with the F-ST andR(ST) similarities, this suggests that the 2 major subpopulations in Sweden reflect divergence shaped after the postglacial recolonization of Scandinavia. Neighborhood size assessments indicate that gene flow is relatively restricted wi"&amp;"th an estimated average dispersal distance of 3.5-11.1 km, and spatial autocorrelograms suggest that genetic similarity decreases almost linearly over space resulting in continuous genetic clines within major subgroups. Management areas largely coincide w"&amp;"ith genetic clusters, simplifying the integration of genetic information into management.")</f>
        <v>The moose (Alces alces) is the most intensely managed game species in Fennoscandia; approximately one-third of the population, ca. 160,000 animals, is harvested annually. Despite the species' biological and socioeconomic importance, there are knowledge gaps with respect to its intraspecific diversity and genetic structure. Recent studies of moose in neighboring countries report 2 genetic groups in Finland, 3 in Norway with one of them suggested to be of ancient origin, and no indications of bottlenecks. To delineate the spatial genetic landscape of the Swedish moose, we used allozyme variability from over 20,000 georeferenced moose collected all over Sweden in combination with 12 microsatellites (n = 1,200) and mitochondrial DNA (mtDNA) sequences (n = 44). We combined individual-based and traditional statistical approaches with coalescence-based simulations. The results indicate a complex history with bottlenecks and recent expansions that is consistent with historical records. Swedish moose are separated into 2 major genetic groups, a northern and a southern one, where the southern group is further divided into 3 subgroups. The 2 main subpopulations are moderately differentiated (F-ST = 0.1; R-ST = 0.07) and separated by sharp genetic discontinuities occurring over a relatively narrow transition zone in central Sweden that coincides with a similar, previously reported transition zone in Norway. This differentiation is not reflected in mtDNA variation, where no significant divergence was observed. Together with the F-ST andR(ST) similarities, this suggests that the 2 major subpopulations in Sweden reflect divergence shaped after the postglacial recolonization of Scandinavia. Neighborhood size assessments indicate that gene flow is relatively restricted with an estimated average dispersal distance of 3.5-11.1 km, and spatial autocorrelograms suggest that genetic similarity decreases almost linearly over space resulting in continuous genetic clines within major subgroups. Management areas largely coincide with genetic clusters, simplifying the integration of genetic information into management.</v>
      </c>
      <c r="C302" s="24" t="str">
        <f>IFERROR(__xludf.DUMMYFUNCTION("""COMPUTED_VALUE"""),"10.1093/jmammal/gyv146")</f>
        <v>10.1093/jmammal/gyv146</v>
      </c>
      <c r="D302" s="24" t="str">
        <f>IFERROR(__xludf.DUMMYFUNCTION("""COMPUTED_VALUE"""),"shaw et al")</f>
        <v>shaw et al</v>
      </c>
      <c r="E302" s="24" t="str">
        <f>IFERROR(__xludf.DUMMYFUNCTION("""COMPUTED_VALUE"""),"WOS:000369232600001")</f>
        <v>WOS:000369232600001</v>
      </c>
      <c r="F302" s="24" t="str">
        <f>IFERROR(__xludf.DUMMYFUNCTION("""COMPUTED_VALUE"""),"[""ELIGIBLE""]")</f>
        <v>["ELIGIBLE"]</v>
      </c>
    </row>
    <row r="303">
      <c r="A303" s="24" t="str">
        <f>IFERROR(__xludf.DUMMYFUNCTION("""COMPUTED_VALUE"""),"Diachronic analysis of genetic diversity in rice landraces under on-farm conservation in Yunnan, China")</f>
        <v>Diachronic analysis of genetic diversity in rice landraces under on-farm conservation in Yunnan, China</v>
      </c>
      <c r="B303" s="24" t="str">
        <f>IFERROR(__xludf.DUMMYFUNCTION("""COMPUTED_VALUE"""),"Rice (Oryza sativa L.) is one of the earliest domesticated crop species. Its genetic diversity has been declining as a result of natural and artificial selection. In this study, we performed the first analysis of the levels and patterns of nucleotide vari"&amp;"ation in rice genomes under on-farm conservation in Yunnan during a 27-year period of domestication. We performed large-scale sequencing of 600 rice accessions with high diversity, which were collected in 1980 and 2007, using ten unlinked nuclear loci. Di"&amp;"achronic analysis showed no significant changes in the level of genetic diversity occurring over the past 27 years' domestication, which indicated genetic diversity was successfully maintained under on-farm conservation. Population structure revealed that"&amp;" the rice landraces could be grouped into two subpopulations, namely the indica and japonica groups. Interestingly, the alternate distribution of indica and japonica rice landraces could be found in each ecological zone. The results of AMOVA showed that o"&amp;"n-farm conservation provides opportunities for continued differentiation and variation of landraces. Therefore, dynamic conservation measures such as on-farm conservation (which is a backup, complementary strategy to ex situ conservation) should be encour"&amp;"aged and enhanced, especially in crop genetic diversity centers. The results of this study offered accurate insights into short-term evolutionary processes and provided a scientific basis for on-farm management practices.")</f>
        <v>Rice (Oryza sativa L.) is one of the earliest domesticated crop species. Its genetic diversity has been declining as a result of natural and artificial selection. In this study, we performed the first analysis of the levels and patterns of nucleotide variation in rice genomes under on-farm conservation in Yunnan during a 27-year period of domestication. We performed large-scale sequencing of 600 rice accessions with high diversity, which were collected in 1980 and 2007, using ten unlinked nuclear loci. Diachronic analysis showed no significant changes in the level of genetic diversity occurring over the past 27 years' domestication, which indicated genetic diversity was successfully maintained under on-farm conservation. Population structure revealed that the rice landraces could be grouped into two subpopulations, namely the indica and japonica groups. Interestingly, the alternate distribution of indica and japonica rice landraces could be found in each ecological zone. The results of AMOVA showed that on-farm conservation provides opportunities for continued differentiation and variation of landraces. Therefore, dynamic conservation measures such as on-farm conservation (which is a backup, complementary strategy to ex situ conservation) should be encouraged and enhanced, especially in crop genetic diversity centers. The results of this study offered accurate insights into short-term evolutionary processes and provided a scientific basis for on-farm management practices.</v>
      </c>
      <c r="C303" s="24" t="str">
        <f>IFERROR(__xludf.DUMMYFUNCTION("""COMPUTED_VALUE"""),"10.1007/s00122-015-2617-7")</f>
        <v>10.1007/s00122-015-2617-7</v>
      </c>
      <c r="D303" s="24" t="str">
        <f>IFERROR(__xludf.DUMMYFUNCTION("""COMPUTED_VALUE"""),"shaw et al")</f>
        <v>shaw et al</v>
      </c>
      <c r="E303" s="24" t="str">
        <f>IFERROR(__xludf.DUMMYFUNCTION("""COMPUTED_VALUE"""),"WOS:000368116200014")</f>
        <v>WOS:000368116200014</v>
      </c>
      <c r="F303" s="24" t="str">
        <f>IFERROR(__xludf.DUMMYFUNCTION("""COMPUTED_VALUE"""),"[""ELIGIBLE""]")</f>
        <v>["ELIGIBLE"]</v>
      </c>
    </row>
    <row r="304">
      <c r="A304" s="24" t="str">
        <f>IFERROR(__xludf.DUMMYFUNCTION("""COMPUTED_VALUE"""),"Assessment of temporal genetic variability of two epibenthic amphipod species in an eastern Australian estuarine environment and their suitability as biological monitors")</f>
        <v>Assessment of temporal genetic variability of two epibenthic amphipod species in an eastern Australian estuarine environment and their suitability as biological monitors</v>
      </c>
      <c r="B304" s="24" t="str">
        <f>IFERROR(__xludf.DUMMYFUNCTION("""COMPUTED_VALUE"""),"Population studies often assume temporally stable and consistent patterns of genetic variability. Violations of this assumption can lead to misrepresentation of the amount and patterns of genetic variability in natural populations, which can be problemati"&amp;"c in basic research and environmental monitoring studies that are designed to detect environmental perturbation. We collected two endemic species of amphipods, Melita plumulosa and Melita matilda, in a major eastern Australian waterway between November 20"&amp;"09 and October 2011, and assessed genetic variation at the mitochondrial cytochrome c oxidase subunit I locus. Overall, M. plumulosa was found to be more genetically variable than M. matilda. No distinct temporal trends in levels and patterns of genetic v"&amp;"ariation were identified in either species. These findings, combined with the published results demonstrating that M. plumulosa has greater sensitivity to a range of sediment-bound metals and organic contaminants, suggests it to be an informative species "&amp;"for environmental monitoring purposes.")</f>
        <v>Population studies often assume temporally stable and consistent patterns of genetic variability. Violations of this assumption can lead to misrepresentation of the amount and patterns of genetic variability in natural populations, which can be problematic in basic research and environmental monitoring studies that are designed to detect environmental perturbation. We collected two endemic species of amphipods, Melita plumulosa and Melita matilda, in a major eastern Australian waterway between November 2009 and October 2011, and assessed genetic variation at the mitochondrial cytochrome c oxidase subunit I locus. Overall, M. plumulosa was found to be more genetically variable than M. matilda. No distinct temporal trends in levels and patterns of genetic variation were identified in either species. These findings, combined with the published results demonstrating that M. plumulosa has greater sensitivity to a range of sediment-bound metals and organic contaminants, suggests it to be an informative species for environmental monitoring purposes.</v>
      </c>
      <c r="C304" s="24" t="str">
        <f>IFERROR(__xludf.DUMMYFUNCTION("""COMPUTED_VALUE"""),"10.1071/ZO13104")</f>
        <v>10.1071/ZO13104</v>
      </c>
      <c r="D304" s="24" t="str">
        <f>IFERROR(__xludf.DUMMYFUNCTION("""COMPUTED_VALUE"""),"shaw et al")</f>
        <v>shaw et al</v>
      </c>
      <c r="E304" s="24" t="str">
        <f>IFERROR(__xludf.DUMMYFUNCTION("""COMPUTED_VALUE"""),"WOS:000340845400003")</f>
        <v>WOS:000340845400003</v>
      </c>
      <c r="F304" s="24" t="str">
        <f>IFERROR(__xludf.DUMMYFUNCTION("""COMPUTED_VALUE"""),"[""ELIGIBLE""]")</f>
        <v>["ELIGIBLE"]</v>
      </c>
    </row>
    <row r="305">
      <c r="A305" s="24" t="str">
        <f>IFERROR(__xludf.DUMMYFUNCTION("""COMPUTED_VALUE"""),"Genetics at the verge of extinction: insights from the Iberian lynx")</f>
        <v>Genetics at the verge of extinction: insights from the Iberian lynx</v>
      </c>
      <c r="B305" s="24" t="str">
        <f>IFERROR(__xludf.DUMMYFUNCTION("""COMPUTED_VALUE"""),"Population viability might become compromised by the loss of genetic diversity and the accumulation of inbreeding resulting from population decline and fragmentation. The Iberian lynx (Lynx pardinus) provides a paradigmatic example of a species at the ver"&amp;"ge of extinction, and because of the well-documented and different demographic histories of the two remaining populations (Donana and Andujar), it provides the opportunity to evaluate the performance of analytical methods commonly applied to recently decl"&amp;"ined populations. We used mitochondrial sequences and 36 microsatellite markers to evaluate the current genetic status of the species and to assess the genetic signatures of its past history. Mitochondrial diversity was extremely low with only two haploty"&amp;"pes, alternatively fixed in each population. Both remnant populations have low levels of genetic diversity at microsatellite markers, particularly the population from Donana, and genetic differentiation between the two populations is high. Bayesian coales"&amp;"cent-based methods suggest an earlier decline starting hundreds of years ago, while heterozygosity excess and M-ratio tests did not provide conclusive and consistent evidence for recent bottlenecks. Also, a model of gene flow received overwhelming support"&amp;" over a model of pure drift. Results that are in conflict with the known recent demography of the species call for caution in the use of these methods, especially when no information on previous demographic history is available. Overall, our results sugge"&amp;"st that current genetic patterns in the Iberian lynx are mainly the result of its recent decline and fragmentation and alerts on possible genetic risks for its persistence. Conservation strategies should explicitly consider this threat and incorporate an "&amp;"integrated genetic management of wild, captive and re-introduced populations, including genetic restoration through translocations.")</f>
        <v>Population viability might become compromised by the loss of genetic diversity and the accumulation of inbreeding resulting from population decline and fragmentation. The Iberian lynx (Lynx pardinus) provides a paradigmatic example of a species at the verge of extinction, and because of the well-documented and different demographic histories of the two remaining populations (Donana and Andujar), it provides the opportunity to evaluate the performance of analytical methods commonly applied to recently declined populations. We used mitochondrial sequences and 36 microsatellite markers to evaluate the current genetic status of the species and to assess the genetic signatures of its past history. Mitochondrial diversity was extremely low with only two haplotypes, alternatively fixed in each population. Both remnant populations have low levels of genetic diversity at microsatellite markers, particularly the population from Donana, and genetic differentiation between the two populations is high. Bayesian coalescent-based methods suggest an earlier decline starting hundreds of years ago, while heterozygosity excess and M-ratio tests did not provide conclusive and consistent evidence for recent bottlenecks. Also, a model of gene flow received overwhelming support over a model of pure drift. Results that are in conflict with the known recent demography of the species call for caution in the use of these methods, especially when no information on previous demographic history is available. Overall, our results suggest that current genetic patterns in the Iberian lynx are mainly the result of its recent decline and fragmentation and alerts on possible genetic risks for its persistence. Conservation strategies should explicitly consider this threat and incorporate an integrated genetic management of wild, captive and re-introduced populations, including genetic restoration through translocations.</v>
      </c>
      <c r="C305" s="24" t="str">
        <f>IFERROR(__xludf.DUMMYFUNCTION("""COMPUTED_VALUE"""),"10.1111/mec.12498")</f>
        <v>10.1111/mec.12498</v>
      </c>
      <c r="D305" s="24" t="str">
        <f>IFERROR(__xludf.DUMMYFUNCTION("""COMPUTED_VALUE"""),"shaw et al")</f>
        <v>shaw et al</v>
      </c>
      <c r="E305" s="24" t="str">
        <f>IFERROR(__xludf.DUMMYFUNCTION("""COMPUTED_VALUE"""),"WOS:000329786700002")</f>
        <v>WOS:000329786700002</v>
      </c>
      <c r="F305" s="24" t="str">
        <f>IFERROR(__xludf.DUMMYFUNCTION("""COMPUTED_VALUE"""),"[""ELIGIBLE""]")</f>
        <v>["ELIGIBLE"]</v>
      </c>
    </row>
    <row r="306">
      <c r="A306" s="24" t="str">
        <f>IFERROR(__xludf.DUMMYFUNCTION("""COMPUTED_VALUE"""),"Genetic Network and Breeding Patterns of a Sicklefin Lemon Shark (Negaprion acutidens) Population in the Society Islands, French Polynesia")</f>
        <v>Genetic Network and Breeding Patterns of a Sicklefin Lemon Shark (Negaprion acutidens) Population in the Society Islands, French Polynesia</v>
      </c>
      <c r="B306" s="24" t="str">
        <f>IFERROR(__xludf.DUMMYFUNCTION("""COMPUTED_VALUE"""),"Human pressures have put many top predator populations at risk of extinction. Recent years have seen alarming declines in sharks worldwide, while their resilience remains poorly understood. Studying the ecology of small populations of marine predators is "&amp;"a priority to better understand their ability to withstand anthropogenic and environmental stressors. In the present study, we monitored a naturally small island population of 40 adult sicklefin lemon sharks in Moorea, French Polynesia over 5 years. We re"&amp;"constructed the genetic relationships among individuals and determined the population's mating system. The genetic network illustrates that all individuals, except one, are interconnected at least through one first order genetic relationship. While this s"&amp;"pecies developed a clear inbreeding avoidance strategy involving dispersal and migration, the small population size, low number of breeders, and the fragmented environment characterizing these tropical islands, limits its complete effectiveness.")</f>
        <v>Human pressures have put many top predator populations at risk of extinction. Recent years have seen alarming declines in sharks worldwide, while their resilience remains poorly understood. Studying the ecology of small populations of marine predators is a priority to better understand their ability to withstand anthropogenic and environmental stressors. In the present study, we monitored a naturally small island population of 40 adult sicklefin lemon sharks in Moorea, French Polynesia over 5 years. We reconstructed the genetic relationships among individuals and determined the population's mating system. The genetic network illustrates that all individuals, except one, are interconnected at least through one first order genetic relationship. While this species developed a clear inbreeding avoidance strategy involving dispersal and migration, the small population size, low number of breeders, and the fragmented environment characterizing these tropical islands, limits its complete effectiveness.</v>
      </c>
      <c r="C306" s="24" t="str">
        <f>IFERROR(__xludf.DUMMYFUNCTION("""COMPUTED_VALUE"""),"10.1371/journal.pone.0073899")</f>
        <v>10.1371/journal.pone.0073899</v>
      </c>
      <c r="D306" s="24" t="str">
        <f>IFERROR(__xludf.DUMMYFUNCTION("""COMPUTED_VALUE"""),"shaw et al")</f>
        <v>shaw et al</v>
      </c>
      <c r="E306" s="24" t="str">
        <f>IFERROR(__xludf.DUMMYFUNCTION("""COMPUTED_VALUE"""),"WOS:000323115800128")</f>
        <v>WOS:000323115800128</v>
      </c>
      <c r="F306" s="24" t="str">
        <f>IFERROR(__xludf.DUMMYFUNCTION("""COMPUTED_VALUE"""),"[""ELIGIBLE""]")</f>
        <v>["ELIGIBLE"]</v>
      </c>
    </row>
    <row r="307">
      <c r="A307" s="24" t="str">
        <f>IFERROR(__xludf.DUMMYFUNCTION("""COMPUTED_VALUE"""),"An Analysis of Factors Affecting Genotyping Success from Museum Specimens Reveals an Increase of Genetic and Morphological Variation during a Historical Range Expansion of a European Spider")</f>
        <v>An Analysis of Factors Affecting Genotyping Success from Museum Specimens Reveals an Increase of Genetic and Morphological Variation during a Historical Range Expansion of a European Spider</v>
      </c>
      <c r="B307" s="24" t="str">
        <f>IFERROR(__xludf.DUMMYFUNCTION("""COMPUTED_VALUE"""),"Natural history collections house an enormous amount of plant and animal specimens, which constitute a promising source for molecular analyses. Storage conditions differ among taxa and can have a dramatic effect on the success of DNA work. Here, we analyz"&amp;"e the feasibility of DNA extraction from ethanol preserved spiders (Araneae). We tested genotyping success using several hundred specimens of the wasp spider, Argiope bruennichi, deposited in two large German natural history collections. We tested the inf"&amp;"luence of different factors on the utility of specimens for genotyping. Our results show that not the specimen's age, but the museum collection is a major predictor of genotyping success. These results indicate that long term storage conditions should be "&amp;"optimized in natural history museums to assure the utility of collections for DNA work. Using historical material, we also traced historical genetic and morphological variation in the course of a poleward range expansion of A. bruennichi by comparing cont"&amp;"emporary and historical specimens from a native and an invasive population in Germany. We show that the invasion of A. bruennichi is tightly correlated with an historical increase of genetic and phenotypic variation in the invasive population.")</f>
        <v>Natural history collections house an enormous amount of plant and animal specimens, which constitute a promising source for molecular analyses. Storage conditions differ among taxa and can have a dramatic effect on the success of DNA work. Here, we analyze the feasibility of DNA extraction from ethanol preserved spiders (Araneae). We tested genotyping success using several hundred specimens of the wasp spider, Argiope bruennichi, deposited in two large German natural history collections. We tested the influence of different factors on the utility of specimens for genotyping. Our results show that not the specimen's age, but the museum collection is a major predictor of genotyping success. These results indicate that long term storage conditions should be optimized in natural history museums to assure the utility of collections for DNA work. Using historical material, we also traced historical genetic and morphological variation in the course of a poleward range expansion of A. bruennichi by comparing contemporary and historical specimens from a native and an invasive population in Germany. We show that the invasion of A. bruennichi is tightly correlated with an historical increase of genetic and phenotypic variation in the invasive population.</v>
      </c>
      <c r="C307" s="24" t="str">
        <f>IFERROR(__xludf.DUMMYFUNCTION("""COMPUTED_VALUE"""),"10.1371/journal.pone.0136337")</f>
        <v>10.1371/journal.pone.0136337</v>
      </c>
      <c r="D307" s="24" t="str">
        <f>IFERROR(__xludf.DUMMYFUNCTION("""COMPUTED_VALUE"""),"shaw et al")</f>
        <v>shaw et al</v>
      </c>
      <c r="E307" s="24" t="str">
        <f>IFERROR(__xludf.DUMMYFUNCTION("""COMPUTED_VALUE"""),"WOS:000360069400109")</f>
        <v>WOS:000360069400109</v>
      </c>
      <c r="F307" s="24" t="str">
        <f>IFERROR(__xludf.DUMMYFUNCTION("""COMPUTED_VALUE"""),"[""ELIGIBLE""]")</f>
        <v>["ELIGIBLE"]</v>
      </c>
    </row>
    <row r="308">
      <c r="A308" s="24" t="str">
        <f>IFERROR(__xludf.DUMMYFUNCTION("""COMPUTED_VALUE"""),"The power of genetic monitoring for studying demography, ecology and genetics of a reintroduced brown bear population")</f>
        <v>The power of genetic monitoring for studying demography, ecology and genetics of a reintroduced brown bear population</v>
      </c>
      <c r="B308" s="24" t="str">
        <f>IFERROR(__xludf.DUMMYFUNCTION("""COMPUTED_VALUE"""),"Genetic monitoring has rarely been used for wildlife translocations despite the potential benefits this approach offers, compared to traditional field-based methods. We applied genetic monitoring to the reintroduced brown bear population in northern Italy"&amp;". From 2002 to 2008, 2781 hair and faecal samples collected noninvasively plus 12 samples obtained from captured or dead bears were used to follow the demographic and geographical expansion and changes in genetic composition. Individual genotypes were use"&amp;"d to reconstruct the wild pedigree and revealed that the population increased rapidly, from nine founders to &gt; 27 individuals in 2008 (lambda = 1.17-1.19). Spatial mapping of bear samples indicated that most bears were distributed in the region surroundin"&amp;"g the translocation site; however, individual bears were found up to 163 km away. Genetic diversity in the population was high, with expected heterozygosity of 0.74-0.79 and allelic richness of 4.55-5.41. However, multi-year genetic monitoring data showed"&amp;" that mortality rates were elevated, immigration did not occur, one dominant male sired all cubs born from 2002 to 2005, genetic diversity declined, relatedness increased, inbreeding occurred, and the effective population size was extremely small (Ne = 3."&amp;"03, ecological method). The comprehensive information collected through genetic monitoring is critical for implementing future conservation plans for the brown bear population in the Italian Alps. This study provides a model for other reintroduction progr"&amp;"ammes by demonstrating how genetic monitoring can be implemented to uncover aspects of the demography, ecology and genetics of small and reintroduced populations that will advance our understanding of the processes influencing their viability, evolution, "&amp;"and successful restoration.")</f>
        <v>Genetic monitoring has rarely been used for wildlife translocations despite the potential benefits this approach offers, compared to traditional field-based methods. We applied genetic monitoring to the reintroduced brown bear population in northern Italy. From 2002 to 2008, 2781 hair and faecal samples collected noninvasively plus 12 samples obtained from captured or dead bears were used to follow the demographic and geographical expansion and changes in genetic composition. Individual genotypes were used to reconstruct the wild pedigree and revealed that the population increased rapidly, from nine founders to &gt; 27 individuals in 2008 (lambda = 1.17-1.19). Spatial mapping of bear samples indicated that most bears were distributed in the region surrounding the translocation site; however, individual bears were found up to 163 km away. Genetic diversity in the population was high, with expected heterozygosity of 0.74-0.79 and allelic richness of 4.55-5.41. However, multi-year genetic monitoring data showed that mortality rates were elevated, immigration did not occur, one dominant male sired all cubs born from 2002 to 2005, genetic diversity declined, relatedness increased, inbreeding occurred, and the effective population size was extremely small (Ne = 3.03, ecological method). The comprehensive information collected through genetic monitoring is critical for implementing future conservation plans for the brown bear population in the Italian Alps. This study provides a model for other reintroduction programmes by demonstrating how genetic monitoring can be implemented to uncover aspects of the demography, ecology and genetics of small and reintroduced populations that will advance our understanding of the processes influencing their viability, evolution, and successful restoration.</v>
      </c>
      <c r="C308" s="24" t="str">
        <f>IFERROR(__xludf.DUMMYFUNCTION("""COMPUTED_VALUE"""),"10.1111/j.1365-294X.2010.04791.x")</f>
        <v>10.1111/j.1365-294X.2010.04791.x</v>
      </c>
      <c r="D308" s="24" t="str">
        <f>IFERROR(__xludf.DUMMYFUNCTION("""COMPUTED_VALUE"""),"shaw et al")</f>
        <v>shaw et al</v>
      </c>
      <c r="E308" s="24" t="str">
        <f>IFERROR(__xludf.DUMMYFUNCTION("""COMPUTED_VALUE"""),"WOS:000281797400012")</f>
        <v>WOS:000281797400012</v>
      </c>
      <c r="F308" s="24" t="str">
        <f>IFERROR(__xludf.DUMMYFUNCTION("""COMPUTED_VALUE"""),"[""ELIGIBLE""]")</f>
        <v>["ELIGIBLE"]</v>
      </c>
    </row>
    <row r="309">
      <c r="A309" s="24" t="str">
        <f>IFERROR(__xludf.DUMMYFUNCTION("""COMPUTED_VALUE"""),"Temporal stability in patterns of genetic diversity and structure of a marine foundation species (Zostera marina)")</f>
        <v>Temporal stability in patterns of genetic diversity and structure of a marine foundation species (Zostera marina)</v>
      </c>
      <c r="B309" s="24" t="str">
        <f>IFERROR(__xludf.DUMMYFUNCTION("""COMPUTED_VALUE"""),"Genetic diversity and population structure reflect complex interactions among a diverse set of processes that may vary temporally, limiting their potential to predict ecological and evolutionary outcomes. Yet, the stability of these patterns is rarely tes"&amp;"ted. We resampled eelgrass (Zostera marina) meadows from published studies to determine variability in genetic diversity and structure within and between meadows over 5-12 years. The meadows sampled (San Francisco, Tomales and Bodega Bays in California an"&amp;"d the Virginia coastal bays) represent a range of life histories (annual vs perennial), age (well-established vs restored) and environments (rural vs urbanized). In all of these systems, neither diversity nor differentiation (FST) changed over time. Diffe"&amp;"rences among tidal heights within Bodega Bay were also remarkably consistent, with the high intertidal being more diverse than the subtidal, and tidal height differentiation being modest but significant at both time points. Historical studies used only a "&amp;"few microsatellite loci; therefore, our temporal comparisons were based on 4-5 loci. However, analysis of the current data using a set of 12 loci show that 4-5 loci are sufficient to describe diversity and differentiation patterns in this system. This tem"&amp;"poral consistency was not because of the resampling of large clones, underscoring the feasibility and relevance of understanding drivers of the differences. Because seagrasses are declining at rapid rates, restoration and conservation are increasingly a c"&amp;"oastal management priority. Our results argue that surveys of eelgrass genetic structure and diversity at decadal scales can provide accurate depictions of populations, increasing the utility of published genetic data for restoration and designing network"&amp;"s of reserves.")</f>
        <v>Genetic diversity and population structure reflect complex interactions among a diverse set of processes that may vary temporally, limiting their potential to predict ecological and evolutionary outcomes. Yet, the stability of these patterns is rarely tested. We resampled eelgrass (Zostera marina) meadows from published studies to determine variability in genetic diversity and structure within and between meadows over 5-12 years. The meadows sampled (San Francisco, Tomales and Bodega Bays in California and the Virginia coastal bays) represent a range of life histories (annual vs perennial), age (well-established vs restored) and environments (rural vs urbanized). In all of these systems, neither diversity nor differentiation (FST) changed over time. Differences among tidal heights within Bodega Bay were also remarkably consistent, with the high intertidal being more diverse than the subtidal, and tidal height differentiation being modest but significant at both time points. Historical studies used only a few microsatellite loci; therefore, our temporal comparisons were based on 4-5 loci. However, analysis of the current data using a set of 12 loci show that 4-5 loci are sufficient to describe diversity and differentiation patterns in this system. This temporal consistency was not because of the resampling of large clones, underscoring the feasibility and relevance of understanding drivers of the differences. Because seagrasses are declining at rapid rates, restoration and conservation are increasingly a coastal management priority. Our results argue that surveys of eelgrass genetic structure and diversity at decadal scales can provide accurate depictions of populations, increasing the utility of published genetic data for restoration and designing networks of reserves.</v>
      </c>
      <c r="C309" s="24" t="str">
        <f>IFERROR(__xludf.DUMMYFUNCTION("""COMPUTED_VALUE"""),"10.1038/hdy.2016.114")</f>
        <v>10.1038/hdy.2016.114</v>
      </c>
      <c r="D309" s="24" t="str">
        <f>IFERROR(__xludf.DUMMYFUNCTION("""COMPUTED_VALUE"""),"shaw et al")</f>
        <v>shaw et al</v>
      </c>
      <c r="E309" s="24" t="str">
        <f>IFERROR(__xludf.DUMMYFUNCTION("""COMPUTED_VALUE"""),"WOS:000395902100011")</f>
        <v>WOS:000395902100011</v>
      </c>
      <c r="F309" s="24" t="str">
        <f>IFERROR(__xludf.DUMMYFUNCTION("""COMPUTED_VALUE"""),"[""ELIGIBLE""]")</f>
        <v>["ELIGIBLE"]</v>
      </c>
    </row>
    <row r="310">
      <c r="A310" s="24" t="str">
        <f>IFERROR(__xludf.DUMMYFUNCTION("""COMPUTED_VALUE"""),"Ten years of life in compost: temporal and spatial variation of North German Caenorhabditis elegans populations")</f>
        <v>Ten years of life in compost: temporal and spatial variation of North German Caenorhabditis elegans populations</v>
      </c>
      <c r="B310" s="24" t="str">
        <f>IFERROR(__xludf.DUMMYFUNCTION("""COMPUTED_VALUE"""),"The nematode Caenorhabditis elegans is a central laboratory model system in almost all biological disciplines, yet its natural life history and population biology are largely unexplored. Such information is essential for in-depth understanding of the nema"&amp;"tode's biology because its natural ecology provides the context, in which its traits and the underlying molecular mechanisms evolved. We characterized natural phenotypic and genetic variation among North German C.elegans isolates. We used the unique oppor"&amp;"tunity to compare samples collected 10years apart from the same compost heap and additionally included recent samples for this and a second site, collected across a 1.5-year period. Our analysis revealed significant population genetic differentiation betw"&amp;"een locations, across the 10-year time period, but for only one location a trend across the shorter time frame. Significant variation was similarly found for phenotypic traits of likely importance in nature, such as choice behavior and population growth i"&amp;"n the presence of pathogens or naturally associated bacteria. Phenotypic variation was significantly influenced by C.elegans genotype, time of isolation, and sampling site. The here studied C.elegans isolates may provide a valuable, genetically variable r"&amp;"esource for future dissection of naturally relevant gene functions.")</f>
        <v>The nematode Caenorhabditis elegans is a central laboratory model system in almost all biological disciplines, yet its natural life history and population biology are largely unexplored. Such information is essential for in-depth understanding of the nematode's biology because its natural ecology provides the context, in which its traits and the underlying molecular mechanisms evolved. We characterized natural phenotypic and genetic variation among North German C.elegans isolates. We used the unique opportunity to compare samples collected 10years apart from the same compost heap and additionally included recent samples for this and a second site, collected across a 1.5-year period. Our analysis revealed significant population genetic differentiation between locations, across the 10-year time period, but for only one location a trend across the shorter time frame. Significant variation was similarly found for phenotypic traits of likely importance in nature, such as choice behavior and population growth in the presence of pathogens or naturally associated bacteria. Phenotypic variation was significantly influenced by C.elegans genotype, time of isolation, and sampling site. The here studied C.elegans isolates may provide a valuable, genetically variable resource for future dissection of naturally relevant gene functions.</v>
      </c>
      <c r="C310" s="24" t="str">
        <f>IFERROR(__xludf.DUMMYFUNCTION("""COMPUTED_VALUE"""),"10.1002/ece3.1605")</f>
        <v>10.1002/ece3.1605</v>
      </c>
      <c r="D310" s="24" t="str">
        <f>IFERROR(__xludf.DUMMYFUNCTION("""COMPUTED_VALUE"""),"shaw et al")</f>
        <v>shaw et al</v>
      </c>
      <c r="E310" s="24" t="str">
        <f>IFERROR(__xludf.DUMMYFUNCTION("""COMPUTED_VALUE"""),"WOS:000360177400003")</f>
        <v>WOS:000360177400003</v>
      </c>
      <c r="F310" s="24" t="str">
        <f>IFERROR(__xludf.DUMMYFUNCTION("""COMPUTED_VALUE"""),"[""ELIGIBLE""]")</f>
        <v>["ELIGIBLE"]</v>
      </c>
    </row>
    <row r="311">
      <c r="A311" s="24" t="str">
        <f>IFERROR(__xludf.DUMMYFUNCTION("""COMPUTED_VALUE"""),"Evidence that disease-induced population decline changes genetic structure and alters dispersal patterns in the Tasmanian devil")</f>
        <v>Evidence that disease-induced population decline changes genetic structure and alters dispersal patterns in the Tasmanian devil</v>
      </c>
      <c r="B311" s="24" t="str">
        <f>IFERROR(__xludf.DUMMYFUNCTION("""COMPUTED_VALUE"""),"Infectious disease has been shown to be a major cause of population declines in wild animals. However, there remains little empirical evidence on the genetic consequences of disease-mediated population declines, or how such perturbations might affect demo"&amp;"graphic processes such as dispersal. Devil facial tumour disease (DFTD) has resulted in the rapid decline of the Tasmanian devil, Sarcophilus harrisii, and threatens to cause extinction. Using 10 microsatellite DNA markers, we compared genetic diversity a"&amp;"nd structure before and after DFTD outbreaks in three Tasmanian devil populations to assess the genetic consequences of disease-induced population decline. We also used both genetic and demographic data to investigate dispersal patterns in Tasmanian devil"&amp;"s along the east coast of Tasmania. We observed a significant increase in inbreeding (FIS pre/post-disease -0.030/0.012, P&lt;0.05; relatedness pre/post-disease 0.011/0.038, P=0.06) in devil populations after just 2-3 generations of disease arrival, but no d"&amp;"etectable change in genetic diversity. Furthermore, although there was no subdivision apparent among pre-disease populations (theta=0.005, 95% confidence interval (CI) -0.003 to 0.017), we found significant genetic differentiation among populations post-d"&amp;"isease (theta=0.020, 0.010-0.027), apparently driven by a combination of selection and altered dispersal patterns of females in disease-affected populations. We also show that dispersal is male-biased in devils and that dispersal distances follow a typica"&amp;"l leptokurtic distribution. Our results show that disease can result in genetic and demographic changes in host populations over few generations and short time scales. Ongoing management of Tasmanian devils must now attempt to maintain genetic variability"&amp;" in this species through actions designed to reverse the detrimental effects of inbreeding and subdivision in disease-affected populations. Heredity (2011) 106, 172-182; doi:10.1038/hdy.2010.17; published online 10 March 2010")</f>
        <v>Infectious disease has been shown to be a major cause of population declines in wild animals. However, there remains little empirical evidence on the genetic consequences of disease-mediated population declines, or how such perturbations might affect demographic processes such as dispersal. Devil facial tumour disease (DFTD) has resulted in the rapid decline of the Tasmanian devil, Sarcophilus harrisii, and threatens to cause extinction. Using 10 microsatellite DNA markers, we compared genetic diversity and structure before and after DFTD outbreaks in three Tasmanian devil populations to assess the genetic consequences of disease-induced population decline. We also used both genetic and demographic data to investigate dispersal patterns in Tasmanian devils along the east coast of Tasmania. We observed a significant increase in inbreeding (FIS pre/post-disease -0.030/0.012, P&lt;0.05; relatedness pre/post-disease 0.011/0.038, P=0.06) in devil populations after just 2-3 generations of disease arrival, but no detectable change in genetic diversity. Furthermore, although there was no subdivision apparent among pre-disease populations (theta=0.005, 95% confidence interval (CI) -0.003 to 0.017), we found significant genetic differentiation among populations post-disease (theta=0.020, 0.010-0.027), apparently driven by a combination of selection and altered dispersal patterns of females in disease-affected populations. We also show that dispersal is male-biased in devils and that dispersal distances follow a typical leptokurtic distribution. Our results show that disease can result in genetic and demographic changes in host populations over few generations and short time scales. Ongoing management of Tasmanian devils must now attempt to maintain genetic variability in this species through actions designed to reverse the detrimental effects of inbreeding and subdivision in disease-affected populations. Heredity (2011) 106, 172-182; doi:10.1038/hdy.2010.17; published online 10 March 2010</v>
      </c>
      <c r="C311" s="24" t="str">
        <f>IFERROR(__xludf.DUMMYFUNCTION("""COMPUTED_VALUE"""),"10.1038/hdy.2010.17")</f>
        <v>10.1038/hdy.2010.17</v>
      </c>
      <c r="D311" s="24" t="str">
        <f>IFERROR(__xludf.DUMMYFUNCTION("""COMPUTED_VALUE"""),"shaw et al")</f>
        <v>shaw et al</v>
      </c>
      <c r="E311" s="24" t="str">
        <f>IFERROR(__xludf.DUMMYFUNCTION("""COMPUTED_VALUE"""),"WOS:000285336100017")</f>
        <v>WOS:000285336100017</v>
      </c>
      <c r="F311" s="24" t="str">
        <f>IFERROR(__xludf.DUMMYFUNCTION("""COMPUTED_VALUE"""),"[""ELIGIBLE""]")</f>
        <v>["ELIGIBLE"]</v>
      </c>
    </row>
    <row r="312">
      <c r="A312" s="24" t="str">
        <f>IFERROR(__xludf.DUMMYFUNCTION("""COMPUTED_VALUE"""),"Spatial and temporal genetic structure at the fourth trophic level in a fragmented landscape")</f>
        <v>Spatial and temporal genetic structure at the fourth trophic level in a fragmented landscape</v>
      </c>
      <c r="B312" s="24" t="str">
        <f>IFERROR(__xludf.DUMMYFUNCTION("""COMPUTED_VALUE"""),"A fragmented habitat becomes increasingly fragmented for species at higher trophic levels, such as parasitoids. To persist, these species are expected to possess life-history traits, such as high dispersal, that facilitate their ability to use resources t"&amp;"hat become scarce in fragmented landscapes. If a specialized parasitoid disperses widely to take advantage of a sparse host, then the parasitoid population should have lower genetic structure than the host. We investigated the temporal and spatial genetic"&amp;" structure of a hyperparasitoid (fourth trophic level) in a fragmented landscape over 50 x 70 km, using microsatellite markers, and compared it with the known structures of its host parasitoid, and the butterfly host which lives as a classic metapopulatio"&amp;"n. We found that population genetic structure decreases with increasing trophic level. The hyperparasitoid has fewer genetic clusters (K = 4), than its host parasitoid (K = 15), which in turn is less structured than the host butterfly (K = 27). The geneti"&amp;"c structure of the hyperparasitoid also shows temporal variation, with genetic differentiation increasing due to reduction of the population size, which reduces the effective population size. Overall, our study confirms the idea that specialized species m"&amp;"ust be dispersive to use a fragmented host resource, but that this adaptation has limits.")</f>
        <v>A fragmented habitat becomes increasingly fragmented for species at higher trophic levels, such as parasitoids. To persist, these species are expected to possess life-history traits, such as high dispersal, that facilitate their ability to use resources that become scarce in fragmented landscapes. If a specialized parasitoid disperses widely to take advantage of a sparse host, then the parasitoid population should have lower genetic structure than the host. We investigated the temporal and spatial genetic structure of a hyperparasitoid (fourth trophic level) in a fragmented landscape over 50 x 70 km, using microsatellite markers, and compared it with the known structures of its host parasitoid, and the butterfly host which lives as a classic metapopulation. We found that population genetic structure decreases with increasing trophic level. The hyperparasitoid has fewer genetic clusters (K = 4), than its host parasitoid (K = 15), which in turn is less structured than the host butterfly (K = 27). The genetic structure of the hyperparasitoid also shows temporal variation, with genetic differentiation increasing due to reduction of the population size, which reduces the effective population size. Overall, our study confirms the idea that specialized species must be dispersive to use a fragmented host resource, but that this adaptation has limits.</v>
      </c>
      <c r="C312" s="24" t="str">
        <f>IFERROR(__xludf.DUMMYFUNCTION("""COMPUTED_VALUE"""),"10.1098/rspb.2016.0668")</f>
        <v>10.1098/rspb.2016.0668</v>
      </c>
      <c r="D312" s="24" t="str">
        <f>IFERROR(__xludf.DUMMYFUNCTION("""COMPUTED_VALUE"""),"shaw et al")</f>
        <v>shaw et al</v>
      </c>
      <c r="E312" s="24" t="str">
        <f>IFERROR(__xludf.DUMMYFUNCTION("""COMPUTED_VALUE"""),"WOS:000378318300021")</f>
        <v>WOS:000378318300021</v>
      </c>
      <c r="F312" s="24" t="str">
        <f>IFERROR(__xludf.DUMMYFUNCTION("""COMPUTED_VALUE"""),"[""ELIGIBLE""]")</f>
        <v>["ELIGIBLE"]</v>
      </c>
    </row>
    <row r="313">
      <c r="A313" s="24" t="str">
        <f>IFERROR(__xludf.DUMMYFUNCTION("""COMPUTED_VALUE"""),"Spatiotemporal relationship between adult census size and genetic population size across a wide population size gradient")</f>
        <v>Spatiotemporal relationship between adult census size and genetic population size across a wide population size gradient</v>
      </c>
      <c r="B313" s="24" t="str">
        <f>IFERROR(__xludf.DUMMYFUNCTION("""COMPUTED_VALUE"""),"Adult census population size (N) and effective number of breeders (Nb) are highly relevant for designing effective conservation strategies. Both parameters are often challenging to quantify, however, making it of interest to determine whether one paramete"&amp;"r can be generalized from the other. Yet, the spatiotemporal relationship between N and Nb has not been well characterized empirically in many taxa. We analysed this relationship for 5-7 consecutive years in twelve brook trout populations varying greatly "&amp;"in N (49-10032) and Nb (3-567) and identified major environmental variables affecting the two parameters. N or habitat size alone explained 47-57% of the variance in Nb, and Nb was strongly correlated with effective population size. The ratio Nb/N ranged "&amp;"from 0.01 to 0.45 and increased at small N or following an annual decrease in N, suggesting density-dependent constraints on Nb. We found no evidence for a consistent, directional difference between variability in Nb and/or Nb/N among small and large popu"&amp;"lations; however, small populations had more varying temporal variability in Nb/N ratios than large populations. Finally, Nb and Nb/N were 2.5-and 2.3-fold more variable among populations than temporally within populations. Our results demonstrate a clear"&amp;" linkage between demographic and evolutionary parameters, suggesting that Nb could be used to approximate N (or vice versa) in natural populations. Nevertheless, using one variable to infer the other to monitor trends within populations is less recommende"&amp;"d, perhaps even less so in small populations given their less predictable Nb vs. N dynamics.")</f>
        <v>Adult census population size (N) and effective number of breeders (Nb) are highly relevant for designing effective conservation strategies. Both parameters are often challenging to quantify, however, making it of interest to determine whether one parameter can be generalized from the other. Yet, the spatiotemporal relationship between N and Nb has not been well characterized empirically in many taxa. We analysed this relationship for 5-7 consecutive years in twelve brook trout populations varying greatly in N (49-10032) and Nb (3-567) and identified major environmental variables affecting the two parameters. N or habitat size alone explained 47-57% of the variance in Nb, and Nb was strongly correlated with effective population size. The ratio Nb/N ranged from 0.01 to 0.45 and increased at small N or following an annual decrease in N, suggesting density-dependent constraints on Nb. We found no evidence for a consistent, directional difference between variability in Nb and/or Nb/N among small and large populations; however, small populations had more varying temporal variability in Nb/N ratios than large populations. Finally, Nb and Nb/N were 2.5-and 2.3-fold more variable among populations than temporally within populations. Our results demonstrate a clear linkage between demographic and evolutionary parameters, suggesting that Nb could be used to approximate N (or vice versa) in natural populations. Nevertheless, using one variable to infer the other to monitor trends within populations is less recommended, perhaps even less so in small populations given their less predictable Nb vs. N dynamics.</v>
      </c>
      <c r="C313" s="24" t="str">
        <f>IFERROR(__xludf.DUMMYFUNCTION("""COMPUTED_VALUE"""),"10.1111/mec.13790")</f>
        <v>10.1111/mec.13790</v>
      </c>
      <c r="D313" s="24" t="str">
        <f>IFERROR(__xludf.DUMMYFUNCTION("""COMPUTED_VALUE"""),"shaw et al")</f>
        <v>shaw et al</v>
      </c>
      <c r="E313" s="24" t="str">
        <f>IFERROR(__xludf.DUMMYFUNCTION("""COMPUTED_VALUE"""),"WOS:000383344400006")</f>
        <v>WOS:000383344400006</v>
      </c>
      <c r="F313" s="24" t="str">
        <f>IFERROR(__xludf.DUMMYFUNCTION("""COMPUTED_VALUE"""),"[""ELIGIBLE""]")</f>
        <v>["ELIGIBLE"]</v>
      </c>
    </row>
    <row r="314">
      <c r="A314" s="24" t="str">
        <f>IFERROR(__xludf.DUMMYFUNCTION("""COMPUTED_VALUE"""),"Assessment of Genetic Diversity among U.S. Runner-Type Peanut Cultivars Using Simple Sequence Repeat Markers")</f>
        <v>Assessment of Genetic Diversity among U.S. Runner-Type Peanut Cultivars Using Simple Sequence Repeat Markers</v>
      </c>
      <c r="B314" s="24" t="str">
        <f>IFERROR(__xludf.DUMMYFUNCTION("""COMPUTED_VALUE"""),"The scientific community has long assumed that plant breeding activities decrease genetic diversity in crop species. To determine the influence of plant breeding on peanut, this study was designed to assess allelic diversity changes among peanut (Arachis "&amp;"hypogaea L.) cultivars of the runner market type using simple sequence repeat (SSR) markers. All runner-type cultivars released to date were included with the exception of ten cultivars released in the 2000s. Thirty-four SSR primer pairs amplified a total"&amp;" of 154 alleles. The results indicated that (i) at the gene level, allelic diversity has increased significantly through decades of breeding, (ii) at the population level, genetic diversity was at its lowest during the pre-1980s time period and gradually "&amp;"increased in each subsequent decade, and (iii) most of the observed SSR variation occurred within, rather than among time periods. A principal coordinate analysis (PCO) clearly demonstrated increases in the variation present in each subsequent breeding de"&amp;"cade, reaching its maximum in the 2000s. Therefore, it appears that runner-type peanut breeders have been successful at developing improved peanut cultivars while increasing levels of diversity in the last three decades of breeding. In addition, genetic r"&amp;"elationships among cultivars reported in this study might be of use for peanut breeders when selecting parents for establishment of breeding populations.")</f>
        <v>The scientific community has long assumed that plant breeding activities decrease genetic diversity in crop species. To determine the influence of plant breeding on peanut, this study was designed to assess allelic diversity changes among peanut (Arachis hypogaea L.) cultivars of the runner market type using simple sequence repeat (SSR) markers. All runner-type cultivars released to date were included with the exception of ten cultivars released in the 2000s. Thirty-four SSR primer pairs amplified a total of 154 alleles. The results indicated that (i) at the gene level, allelic diversity has increased significantly through decades of breeding, (ii) at the population level, genetic diversity was at its lowest during the pre-1980s time period and gradually increased in each subsequent decade, and (iii) most of the observed SSR variation occurred within, rather than among time periods. A principal coordinate analysis (PCO) clearly demonstrated increases in the variation present in each subsequent breeding decade, reaching its maximum in the 2000s. Therefore, it appears that runner-type peanut breeders have been successful at developing improved peanut cultivars while increasing levels of diversity in the last three decades of breeding. In addition, genetic relationships among cultivars reported in this study might be of use for peanut breeders when selecting parents for establishment of breeding populations.</v>
      </c>
      <c r="C314" s="24" t="str">
        <f>IFERROR(__xludf.DUMMYFUNCTION("""COMPUTED_VALUE"""),"10.2135/cropsci2010.04.0223")</f>
        <v>10.2135/cropsci2010.04.0223</v>
      </c>
      <c r="D314" s="24" t="str">
        <f>IFERROR(__xludf.DUMMYFUNCTION("""COMPUTED_VALUE"""),"shaw et al")</f>
        <v>shaw et al</v>
      </c>
      <c r="E314" s="24" t="str">
        <f>IFERROR(__xludf.DUMMYFUNCTION("""COMPUTED_VALUE"""),"WOS:000284134000022")</f>
        <v>WOS:000284134000022</v>
      </c>
      <c r="F314" s="24" t="str">
        <f>IFERROR(__xludf.DUMMYFUNCTION("""COMPUTED_VALUE"""),"[""ELIGIBLE""]")</f>
        <v>["ELIGIBLE"]</v>
      </c>
    </row>
    <row r="315">
      <c r="A315" s="24" t="str">
        <f>IFERROR(__xludf.DUMMYFUNCTION("""COMPUTED_VALUE"""),"A Population Genetic Analysis of Continuously Selected Chlamys farreri Populations")</f>
        <v>A Population Genetic Analysis of Continuously Selected Chlamys farreri Populations</v>
      </c>
      <c r="B315" s="24" t="str">
        <f>IFERROR(__xludf.DUMMYFUNCTION("""COMPUTED_VALUE"""),"This study applied an optimized one-step 2b-RAD library construction strategy and performed simplified genome sequencing of 539 individuals from three continuously selected Chlamys farreri populations. SNP screening was performed using RAD typing software"&amp;" and population genetic parameters for the continuously selected populations from three generations (G1, G2, G3) were determined. The results showed that the optimized one-step 2b-RAD library construction strategy greatly simplified the experimental proce"&amp;"ss, making it suitable for efficiently constructing a large number of libraries. A total of 18450 SNP markers were identified, which evenly distributed throughout the genome. Population genetic analysis of these three generations showed that the mean valu"&amp;"e of observed heterozygosity was 0.275 +/- 0.177, 0.272 +/- 0.181 and 0.275 +/- 0.166, respectively. Meanwhile, the mean value of expected heterozygosity was 0.275 +/- 0.141, 0.274 +/- 0.145 and 0.280 +/- 0.133, respectively. The Wright's fixation index ("&amp;"F) was 0.04291, 0.04976 and 0.06685, respectively. Markers deviated from Hardy-Weinberg equilibrium accounted for 10.34%, 12.64%, and 23.11%, and the Shannon diversity index was 0.0999 +/- 0.0404, 0.0921 +/- 0.0388 and 0.0733 +/- 0.0308. F (IS) (also know"&amp;"n as the inbreeding coefficient) of the three populations was 0.0256, 0.0323 and 0.0468, respectively. We suggested that the 2b-RAD method is well suited to population genetic studies of aquacultured organisms. Moreover, our results indicated that the con"&amp;"tinuous selection affected the population genetic structure of the cultured Penglai-Red scallop, but the change was not significant; therefore, population selection should continue.")</f>
        <v>This study applied an optimized one-step 2b-RAD library construction strategy and performed simplified genome sequencing of 539 individuals from three continuously selected Chlamys farreri populations. SNP screening was performed using RAD typing software and population genetic parameters for the continuously selected populations from three generations (G1, G2, G3) were determined. The results showed that the optimized one-step 2b-RAD library construction strategy greatly simplified the experimental process, making it suitable for efficiently constructing a large number of libraries. A total of 18450 SNP markers were identified, which evenly distributed throughout the genome. Population genetic analysis of these three generations showed that the mean value of observed heterozygosity was 0.275 +/- 0.177, 0.272 +/- 0.181 and 0.275 +/- 0.166, respectively. Meanwhile, the mean value of expected heterozygosity was 0.275 +/- 0.141, 0.274 +/- 0.145 and 0.280 +/- 0.133, respectively. The Wright's fixation index (F) was 0.04291, 0.04976 and 0.06685, respectively. Markers deviated from Hardy-Weinberg equilibrium accounted for 10.34%, 12.64%, and 23.11%, and the Shannon diversity index was 0.0999 +/- 0.0404, 0.0921 +/- 0.0388 and 0.0733 +/- 0.0308. F (IS) (also known as the inbreeding coefficient) of the three populations was 0.0256, 0.0323 and 0.0468, respectively. We suggested that the 2b-RAD method is well suited to population genetic studies of aquacultured organisms. Moreover, our results indicated that the continuous selection affected the population genetic structure of the cultured Penglai-Red scallop, but the change was not significant; therefore, population selection should continue.</v>
      </c>
      <c r="C315" s="24" t="str">
        <f>IFERROR(__xludf.DUMMYFUNCTION("""COMPUTED_VALUE"""),"10.1007/s11802-018-3539-1")</f>
        <v>10.1007/s11802-018-3539-1</v>
      </c>
      <c r="D315" s="24" t="str">
        <f>IFERROR(__xludf.DUMMYFUNCTION("""COMPUTED_VALUE"""),"shaw et al")</f>
        <v>shaw et al</v>
      </c>
      <c r="E315" s="24" t="str">
        <f>IFERROR(__xludf.DUMMYFUNCTION("""COMPUTED_VALUE"""),"WOS:000438294800021")</f>
        <v>WOS:000438294800021</v>
      </c>
      <c r="F315" s="24" t="str">
        <f>IFERROR(__xludf.DUMMYFUNCTION("""COMPUTED_VALUE"""),"[""ELIGIBLE""]")</f>
        <v>["ELIGIBLE"]</v>
      </c>
    </row>
    <row r="316">
      <c r="A316" s="24" t="str">
        <f>IFERROR(__xludf.DUMMYFUNCTION("""COMPUTED_VALUE"""),"Genomewide introgressive hybridization patterns in wild Atlantic salmon influenced by inadvertent gene flow from hatchery releases")</f>
        <v>Genomewide introgressive hybridization patterns in wild Atlantic salmon influenced by inadvertent gene flow from hatchery releases</v>
      </c>
      <c r="B316" s="24" t="str">
        <f>IFERROR(__xludf.DUMMYFUNCTION("""COMPUTED_VALUE"""),"Many salmonid fish populations are threatened by genetic homogenization, primarily due to introgressive hybridization with hatchery-reared conspecifics. By applying genomewide analysis using two molecular marker types (1986 SNPs and 17 microsatellites), w"&amp;"e assessed the genetic impacts of inadvertent gene flow via straying from hatchery releases on wild populations of Atlantic salmon in the Gulf of Finland, Baltic Sea, over 16years (1996-2012). Both microsatellites and SNPs revealed congruent population ge"&amp;"netic structuring, indicating that introgression changed the genetic make-up of wild populations by increasing genetic diversity and reducing genetic divergence. However, the degree of genetic introgression varied among studied populations, being higher i"&amp;"n the eastern part and lower in the western part of Estonia, which most likely reflects the history of past stocking activities. Using kernel smoothing and permutation testing, we detected considerable heterogeneity in introgression patterns across the ge"&amp;"nome, with a large number of regions exhibiting nonrandom introgression widely dispersed across the genome. We also observed substantial variation in nonrandom introgression patterns within populations, as the majority of genomic regions showing elevated "&amp;"or reduced introgression were not consistently detected among temporal samples. This suggests that recombination, selection and stochastic processes may contribute to complex nonrandom introgression patterns. Our results suggest that (i) some genomic regi"&amp;"ons in Atlantic salmon are more vulnerable to introgressive hybridization, while others show greater resistance to unidirectional gene flow; and (ii) the hybridization of previously separated populations leads to complex and dynamic nonrandom introgressio"&amp;"n patterns that most likely have functional consequences for indigenous populations.")</f>
        <v>Many salmonid fish populations are threatened by genetic homogenization, primarily due to introgressive hybridization with hatchery-reared conspecifics. By applying genomewide analysis using two molecular marker types (1986 SNPs and 17 microsatellites), we assessed the genetic impacts of inadvertent gene flow via straying from hatchery releases on wild populations of Atlantic salmon in the Gulf of Finland, Baltic Sea, over 16years (1996-2012). Both microsatellites and SNPs revealed congruent population genetic structuring, indicating that introgression changed the genetic make-up of wild populations by increasing genetic diversity and reducing genetic divergence. However, the degree of genetic introgression varied among studied populations, being higher in the eastern part and lower in the western part of Estonia, which most likely reflects the history of past stocking activities. Using kernel smoothing and permutation testing, we detected considerable heterogeneity in introgression patterns across the genome, with a large number of regions exhibiting nonrandom introgression widely dispersed across the genome. We also observed substantial variation in nonrandom introgression patterns within populations, as the majority of genomic regions showing elevated or reduced introgression were not consistently detected among temporal samples. This suggests that recombination, selection and stochastic processes may contribute to complex nonrandom introgression patterns. Our results suggest that (i) some genomic regions in Atlantic salmon are more vulnerable to introgressive hybridization, while others show greater resistance to unidirectional gene flow; and (ii) the hybridization of previously separated populations leads to complex and dynamic nonrandom introgression patterns that most likely have functional consequences for indigenous populations.</v>
      </c>
      <c r="C316" s="24" t="str">
        <f>IFERROR(__xludf.DUMMYFUNCTION("""COMPUTED_VALUE"""),"10.1111/mec.13570")</f>
        <v>10.1111/mec.13570</v>
      </c>
      <c r="D316" s="24" t="str">
        <f>IFERROR(__xludf.DUMMYFUNCTION("""COMPUTED_VALUE"""),"shaw et al")</f>
        <v>shaw et al</v>
      </c>
      <c r="E316" s="24" t="str">
        <f>IFERROR(__xludf.DUMMYFUNCTION("""COMPUTED_VALUE"""),"WOS:000372253800005")</f>
        <v>WOS:000372253800005</v>
      </c>
      <c r="F316" s="24" t="str">
        <f>IFERROR(__xludf.DUMMYFUNCTION("""COMPUTED_VALUE"""),"[""ELIGIBLE""]")</f>
        <v>["ELIGIBLE"]</v>
      </c>
    </row>
    <row r="317">
      <c r="A317" s="24" t="str">
        <f>IFERROR(__xludf.DUMMYFUNCTION("""COMPUTED_VALUE"""),"An assessment of genetic diversity in wild and captive populations of endangered Japanese bitterling Tanakia tanago (Cyprinidae) using amplified fragment length polymorphism (AFLP) markers")</f>
        <v>An assessment of genetic diversity in wild and captive populations of endangered Japanese bitterling Tanakia tanago (Cyprinidae) using amplified fragment length polymorphism (AFLP) markers</v>
      </c>
      <c r="B317" s="24" t="str">
        <f>IFERROR(__xludf.DUMMYFUNCTION("""COMPUTED_VALUE"""),"The Japanese bitterling Tanakia tanago (Cyprinidae) is on the verge of extinction in the wild, placing great importance on captive breeding programs for current conservation of the species. However, the loss of genetic diversity during captive breeding is"&amp;" an ongoing matter of concern. Since some captive populations have been almost monomorphic in mitochondrial DNA (mtDNA), this hampers assessments of their genetic diversity during captive breeding. To more accurately assess their genetic diversity, one wi"&amp;"ld and three captive populations were examined using amplified fragment length polymorphism (AFLP) markers. Estimates of average heterozygosity and nucleotide diversity ranged 0.0479-0.1920 and 0.0023-0.0088, respectively, enabling comparison of genetic d"&amp;"iversity among the wild and captive populations, and among year-classes of captive populations. Significant differences in numbers of amplified fragments and proportions of polymorphic fragments were observed among year-classes of all populations. The ind"&amp;"ices of genetic diversity calculated from AFLP seemed to be, however, less sensitive to weak bottlenecks. No continuous decrease in genetic diversity in nuclear DNA was detected in presently captive populations. This supports the possibility of re-introdu"&amp;"ction of the captive populations into the original habitats, although survival and reproductive ability in the wild must be taken into consideration.")</f>
        <v>The Japanese bitterling Tanakia tanago (Cyprinidae) is on the verge of extinction in the wild, placing great importance on captive breeding programs for current conservation of the species. However, the loss of genetic diversity during captive breeding is an ongoing matter of concern. Since some captive populations have been almost monomorphic in mitochondrial DNA (mtDNA), this hampers assessments of their genetic diversity during captive breeding. To more accurately assess their genetic diversity, one wild and three captive populations were examined using amplified fragment length polymorphism (AFLP) markers. Estimates of average heterozygosity and nucleotide diversity ranged 0.0479-0.1920 and 0.0023-0.0088, respectively, enabling comparison of genetic diversity among the wild and captive populations, and among year-classes of captive populations. Significant differences in numbers of amplified fragments and proportions of polymorphic fragments were observed among year-classes of all populations. The indices of genetic diversity calculated from AFLP seemed to be, however, less sensitive to weak bottlenecks. No continuous decrease in genetic diversity in nuclear DNA was detected in presently captive populations. This supports the possibility of re-introduction of the captive populations into the original habitats, although survival and reproductive ability in the wild must be taken into consideration.</v>
      </c>
      <c r="C317" s="24" t="str">
        <f>IFERROR(__xludf.DUMMYFUNCTION("""COMPUTED_VALUE"""),"10.1111/j.1444-2906.2008.01551.x")</f>
        <v>10.1111/j.1444-2906.2008.01551.x</v>
      </c>
      <c r="D317" s="24" t="str">
        <f>IFERROR(__xludf.DUMMYFUNCTION("""COMPUTED_VALUE"""),"shaw et al")</f>
        <v>shaw et al</v>
      </c>
      <c r="E317" s="24" t="str">
        <f>IFERROR(__xludf.DUMMYFUNCTION("""COMPUTED_VALUE"""),"WOS:000256409200005")</f>
        <v>WOS:000256409200005</v>
      </c>
      <c r="F317" s="24" t="str">
        <f>IFERROR(__xludf.DUMMYFUNCTION("""COMPUTED_VALUE"""),"[""ELIGIBLE""]")</f>
        <v>["ELIGIBLE"]</v>
      </c>
    </row>
    <row r="318">
      <c r="A318" s="24" t="str">
        <f>IFERROR(__xludf.DUMMYFUNCTION("""COMPUTED_VALUE"""),"Maintenance of genetic variation and panmixia in the commercially exploited western rock lobster (Panulirus cygnus)")</f>
        <v>Maintenance of genetic variation and panmixia in the commercially exploited western rock lobster (Panulirus cygnus)</v>
      </c>
      <c r="B318" s="24" t="str">
        <f>IFERROR(__xludf.DUMMYFUNCTION("""COMPUTED_VALUE"""),"Marine species with high fecundities and mortalities in the early life stages can have low effective population sizes, making them vulnerable to declines in genetic diversity when they are commercially harvested. Here, we compare levels of microsatellite "&amp;"and mitochondrial sequence variation in the western rock lobster (Panulirus cygnus) over a 14-year period to test whether genetic variation is being maintained. Panulirus cygnus is a strong candidate for loss of genetic variation because it is a highly fe"&amp;"cund species that is likely to experience high variance in reproductive success due to an extended larval planktonic stage. It also supports one of the largest and most economically important fisheries in Australia, with landings of between 8,000 and 14,5"&amp;"00 tons (similar to 70 % of the total legal-sized biomass) being harvested in some years. We found remarkably high levels of genetic variation in all samples and no evidence of a decline in genetic diversity over the time interval we studied. Furthermore,"&amp;" there was no evidence of a recent genetic bottleneck, and effective population size estimates based on single sample and temporal methods were infinitely large. Analysis of molecular variance indicated no significant population structure along 960 km of "&amp;"coastline or genetic differentiation among temporal samples. Our results support the view that P. cygnus is a single, panmictic population, and suggest genetic drift is not strong enough to reduce neutral genetic diversity in this species if current manag"&amp;"ement practices and breeding stock sizes are maintained.")</f>
        <v>Marine species with high fecundities and mortalities in the early life stages can have low effective population sizes, making them vulnerable to declines in genetic diversity when they are commercially harvested. Here, we compare levels of microsatellite and mitochondrial sequence variation in the western rock lobster (Panulirus cygnus) over a 14-year period to test whether genetic variation is being maintained. Panulirus cygnus is a strong candidate for loss of genetic variation because it is a highly fecund species that is likely to experience high variance in reproductive success due to an extended larval planktonic stage. It also supports one of the largest and most economically important fisheries in Australia, with landings of between 8,000 and 14,500 tons (similar to 70 % of the total legal-sized biomass) being harvested in some years. We found remarkably high levels of genetic variation in all samples and no evidence of a decline in genetic diversity over the time interval we studied. Furthermore, there was no evidence of a recent genetic bottleneck, and effective population size estimates based on single sample and temporal methods were infinitely large. Analysis of molecular variance indicated no significant population structure along 960 km of coastline or genetic differentiation among temporal samples. Our results support the view that P. cygnus is a single, panmictic population, and suggest genetic drift is not strong enough to reduce neutral genetic diversity in this species if current management practices and breeding stock sizes are maintained.</v>
      </c>
      <c r="C318" s="24" t="str">
        <f>IFERROR(__xludf.DUMMYFUNCTION("""COMPUTED_VALUE"""),"10.1007/s10592-012-0433-z")</f>
        <v>10.1007/s10592-012-0433-z</v>
      </c>
      <c r="D318" s="24" t="str">
        <f>IFERROR(__xludf.DUMMYFUNCTION("""COMPUTED_VALUE"""),"shaw et al")</f>
        <v>shaw et al</v>
      </c>
      <c r="E318" s="24" t="str">
        <f>IFERROR(__xludf.DUMMYFUNCTION("""COMPUTED_VALUE"""),"WOS:000314065200011")</f>
        <v>WOS:000314065200011</v>
      </c>
      <c r="F318" s="24" t="str">
        <f>IFERROR(__xludf.DUMMYFUNCTION("""COMPUTED_VALUE"""),"[""ELIGIBLE""]")</f>
        <v>["ELIGIBLE"]</v>
      </c>
    </row>
    <row r="319">
      <c r="A319" s="24" t="str">
        <f>IFERROR(__xludf.DUMMYFUNCTION("""COMPUTED_VALUE"""),"Spatial and temporal genetic differentiation and effective population size of brown trout (Salmo trutta, L.) in small Danish rivers")</f>
        <v>Spatial and temporal genetic differentiation and effective population size of brown trout (Salmo trutta, L.) in small Danish rivers</v>
      </c>
      <c r="B319" s="24" t="str">
        <f>IFERROR(__xludf.DUMMYFUNCTION("""COMPUTED_VALUE"""),"The spatial and temporal genetic structure of brown trout populations from three small tributaries of Lake Hald, Denmark, was studied using analysis of variation at eight microsatellite loci. From two of the populations temporal samples were available, se"&amp;"parated by up to 13 years (3.7 generations). Significant genetic differentiation was observed among all samples, however, hierarchical analysis of molecular variance (AMOVA) showed that differentiation among populations accounted for a non-significant amo"&amp;"unt of the genetic differentiation, whereas differentiation among temporal samples within populations was highly significant (0.0244, P &lt; 0.001). Estimates of effective population size (N-e) using a maximum-likelihood based implementation of the temporal "&amp;"method, yielded small values (N-e ranging from 33 to 79). When a model was applied that allows for migration among populations, N-e estimates were even lower (24-54), and migration rates were suggested to be high (0.13-0.36). All samples displayed a clear"&amp;" signal of a recent bottleneck, probably stemming from a period of unfavourable conditions due to organic pollution in the 1970-1980's. By comparison to other estimates of N-e in brown trout, Lake Hald trout represent a system of small populations linked "&amp;"by extensive gene flow, whereas other populations in larger rivers exhibit much higher N-e values and experience lower levels of immigration. We suggest that management considerations for systems like Lake Hald brown trout should focus both on a regional "&amp;"scale and at the level of individual populations, as the future persistence of populations depends both on maintaining individual populations and ensuring sufficient migration links among these populations.")</f>
        <v>The spatial and temporal genetic structure of brown trout populations from three small tributaries of Lake Hald, Denmark, was studied using analysis of variation at eight microsatellite loci. From two of the populations temporal samples were available, separated by up to 13 years (3.7 generations). Significant genetic differentiation was observed among all samples, however, hierarchical analysis of molecular variance (AMOVA) showed that differentiation among populations accounted for a non-significant amount of the genetic differentiation, whereas differentiation among temporal samples within populations was highly significant (0.0244, P &lt; 0.001). Estimates of effective population size (N-e) using a maximum-likelihood based implementation of the temporal method, yielded small values (N-e ranging from 33 to 79). When a model was applied that allows for migration among populations, N-e estimates were even lower (24-54), and migration rates were suggested to be high (0.13-0.36). All samples displayed a clear signal of a recent bottleneck, probably stemming from a period of unfavourable conditions due to organic pollution in the 1970-1980's. By comparison to other estimates of N-e in brown trout, Lake Hald trout represent a system of small populations linked by extensive gene flow, whereas other populations in larger rivers exhibit much higher N-e values and experience lower levels of immigration. We suggest that management considerations for systems like Lake Hald brown trout should focus both on a regional scale and at the level of individual populations, as the future persistence of populations depends both on maintaining individual populations and ensuring sufficient migration links among these populations.</v>
      </c>
      <c r="C319" s="24" t="str">
        <f>IFERROR(__xludf.DUMMYFUNCTION("""COMPUTED_VALUE"""),"10.1007/s10592-005-9014-8")</f>
        <v>10.1007/s10592-005-9014-8</v>
      </c>
      <c r="D319" s="24" t="str">
        <f>IFERROR(__xludf.DUMMYFUNCTION("""COMPUTED_VALUE"""),"shaw et al")</f>
        <v>shaw et al</v>
      </c>
      <c r="E319" s="24" t="str">
        <f>IFERROR(__xludf.DUMMYFUNCTION("""COMPUTED_VALUE"""),"WOS:000234445800012")</f>
        <v>WOS:000234445800012</v>
      </c>
      <c r="F319" s="24" t="str">
        <f>IFERROR(__xludf.DUMMYFUNCTION("""COMPUTED_VALUE"""),"[""ELIGIBLE""]")</f>
        <v>["ELIGIBLE"]</v>
      </c>
    </row>
    <row r="320">
      <c r="A320" s="24" t="str">
        <f>IFERROR(__xludf.DUMMYFUNCTION("""COMPUTED_VALUE"""),"Extremely Low Genetic Diversity Indicating the Endangered Status of Ranodon sibiricus (Amphibia: Caudata) and Implications for Phylogeography")</f>
        <v>Extremely Low Genetic Diversity Indicating the Endangered Status of Ranodon sibiricus (Amphibia: Caudata) and Implications for Phylogeography</v>
      </c>
      <c r="B320" s="24" t="str">
        <f>IFERROR(__xludf.DUMMYFUNCTION("""COMPUTED_VALUE"""),"Background: The Siberian salamander (Ranodon sibiricus), distributed in geographically isolated areas of Central Asia, is an ideal alpine species for studies of conservation and phylogeography. However, there are few data regarding the genetic diversity i"&amp;"n R. sibiricus populations. Methodology/Principal Findings: We used two genetic markers (mtDNA and microsatellites) to survey all six populations of R. sibiricus in China. Both of the markers revealed extreme genetic uniformity among these populations. Th"&amp;"ere were only three haplotypes in the mtDNA, and the overall nucleotide diversity in the mtDNA was 0.00064, ranging from 0.00000 to 0.00091 for the six populations. Although we recovered 70 sequences containing microsatellite repeats, there were only two "&amp;"loci that displayed polymorphism. We used the approximate Bayesian computation (ABC) method to study the demographic history of the populations. This analysis suggested that the extant populations diverged from the ancestral population approximately 120 y"&amp;"ears ago and that the historical population size was much larger than the present population size; i.e., R. sibiricus has experienced dramatic population declines. Conclusion/Significance: Our findings suggest that the genetic diversity in the R. sibiricu"&amp;"s populations is the lowest among all investigated amphibians. We conclude that the isolation of R. sibiricus populations occurred recently and was a result of recent human activity and/or climatic changes. The Pleistocene glaciation oscillations may have"&amp;" facilitated intraspecies genetic homogeneity rather than enhanced divergence. A low genomic evolutionary rate and elevated inbreeding frequency may have also contributed to the low genetic variation observed in this species. Our findings indicate the urg"&amp;"ency of implementing a protection plan for this endangered species.")</f>
        <v>Background: The Siberian salamander (Ranodon sibiricus), distributed in geographically isolated areas of Central Asia, is an ideal alpine species for studies of conservation and phylogeography. However, there are few data regarding the genetic diversity in R. sibiricus populations. Methodology/Principal Findings: We used two genetic markers (mtDNA and microsatellites) to survey all six populations of R. sibiricus in China. Both of the markers revealed extreme genetic uniformity among these populations. There were only three haplotypes in the mtDNA, and the overall nucleotide diversity in the mtDNA was 0.00064, ranging from 0.00000 to 0.00091 for the six populations. Although we recovered 70 sequences containing microsatellite repeats, there were only two loci that displayed polymorphism. We used the approximate Bayesian computation (ABC) method to study the demographic history of the populations. This analysis suggested that the extant populations diverged from the ancestral population approximately 120 years ago and that the historical population size was much larger than the present population size; i.e., R. sibiricus has experienced dramatic population declines. Conclusion/Significance: Our findings suggest that the genetic diversity in the R. sibiricus populations is the lowest among all investigated amphibians. We conclude that the isolation of R. sibiricus populations occurred recently and was a result of recent human activity and/or climatic changes. The Pleistocene glaciation oscillations may have facilitated intraspecies genetic homogeneity rather than enhanced divergence. A low genomic evolutionary rate and elevated inbreeding frequency may have also contributed to the low genetic variation observed in this species. Our findings indicate the urgency of implementing a protection plan for this endangered species.</v>
      </c>
      <c r="C320" s="24" t="str">
        <f>IFERROR(__xludf.DUMMYFUNCTION("""COMPUTED_VALUE"""),"10.1371/journal.pone.0033378")</f>
        <v>10.1371/journal.pone.0033378</v>
      </c>
      <c r="D320" s="24" t="str">
        <f>IFERROR(__xludf.DUMMYFUNCTION("""COMPUTED_VALUE"""),"shaw et al")</f>
        <v>shaw et al</v>
      </c>
      <c r="E320" s="24" t="str">
        <f>IFERROR(__xludf.DUMMYFUNCTION("""COMPUTED_VALUE"""),"WOS:000302381500136")</f>
        <v>WOS:000302381500136</v>
      </c>
      <c r="F320" s="24" t="str">
        <f>IFERROR(__xludf.DUMMYFUNCTION("""COMPUTED_VALUE"""),"[""ELIGIBLE""]")</f>
        <v>["ELIGIBLE"]</v>
      </c>
    </row>
    <row r="321">
      <c r="A321" s="24" t="str">
        <f>IFERROR(__xludf.DUMMYFUNCTION("""COMPUTED_VALUE"""),"High Interannual Variability in Connectivity and Genetic Pool of a Temperate Clingfish Matches Oceanographic Transport Predictions")</f>
        <v>High Interannual Variability in Connectivity and Genetic Pool of a Temperate Clingfish Matches Oceanographic Transport Predictions</v>
      </c>
      <c r="B321" s="24" t="str">
        <f>IFERROR(__xludf.DUMMYFUNCTION("""COMPUTED_VALUE"""),"Adults of most marine benthic and demersal fish are site-attached, with the dispersal of their larval stages ensuring connectivity among populations. In this study we aimed to infer spatial and temporal variation in population connectivity and dispersal o"&amp;"f a marine fish species, using genetic tools and comparing these with oceanographic transport. We focused on an intertidal rocky reef fish species, the shore clingfish Lepadogaster lepadogaster, along the southwest Iberian Peninsula, in 2011 and 2012. We "&amp;"predicted high levels of self-recruitment and distinct populations, due to short pelagic larval duration and because all its developmental stages have previously been found near adult habitats. Genetic analyses based on microsatellites countered our predi"&amp;"ction and a biophysical dispersal model showed that oceanographic transport was a good explanation for the patterns observed. Adult sub-populations separated by up to 300 km of coastline displayed no genetic differentiation, revealing a single connected p"&amp;"opulation with larvae potentially dispersing long distances over hundreds of km. Despite this, parentage analysis performed on recruits from one focal site within the Marine Park of Arrabida (Portugal), revealed self-recruitment levels of 2.5% and 7.7% in"&amp;" 2011 and 2012, respectively, suggesting that both long-and short-distance dispersal play an important role in the replenishment of these populations. Population differentiation and patterns of dispersal, which were highly variable between years, could be"&amp;" linked to the variability inherent in local oceanographic processes. Overall, our measures of connectivity based on genetic and oceanographic data highlight the relevance of long-distance dispersal in determining the degree of connectivity, even in speci"&amp;"es with short pelagic larval durations.")</f>
        <v>Adults of most marine benthic and demersal fish are site-attached, with the dispersal of their larval stages ensuring connectivity among populations. In this study we aimed to infer spatial and temporal variation in population connectivity and dispersal of a marine fish species, using genetic tools and comparing these with oceanographic transport. We focused on an intertidal rocky reef fish species, the shore clingfish Lepadogaster lepadogaster, along the southwest Iberian Peninsula, in 2011 and 2012. We predicted high levels of self-recruitment and distinct populations, due to short pelagic larval duration and because all its developmental stages have previously been found near adult habitats. Genetic analyses based on microsatellites countered our prediction and a biophysical dispersal model showed that oceanographic transport was a good explanation for the patterns observed. Adult sub-populations separated by up to 300 km of coastline displayed no genetic differentiation, revealing a single connected population with larvae potentially dispersing long distances over hundreds of km. Despite this, parentage analysis performed on recruits from one focal site within the Marine Park of Arrabida (Portugal), revealed self-recruitment levels of 2.5% and 7.7% in 2011 and 2012, respectively, suggesting that both long-and short-distance dispersal play an important role in the replenishment of these populations. Population differentiation and patterns of dispersal, which were highly variable between years, could be linked to the variability inherent in local oceanographic processes. Overall, our measures of connectivity based on genetic and oceanographic data highlight the relevance of long-distance dispersal in determining the degree of connectivity, even in species with short pelagic larval durations.</v>
      </c>
      <c r="C321" s="24" t="str">
        <f>IFERROR(__xludf.DUMMYFUNCTION("""COMPUTED_VALUE"""),"10.1371/journal.pone.0165881")</f>
        <v>10.1371/journal.pone.0165881</v>
      </c>
      <c r="D321" s="24" t="str">
        <f>IFERROR(__xludf.DUMMYFUNCTION("""COMPUTED_VALUE"""),"shaw et al")</f>
        <v>shaw et al</v>
      </c>
      <c r="E321" s="24" t="str">
        <f>IFERROR(__xludf.DUMMYFUNCTION("""COMPUTED_VALUE"""),"WOS:000389520600004")</f>
        <v>WOS:000389520600004</v>
      </c>
      <c r="F321" s="24" t="str">
        <f>IFERROR(__xludf.DUMMYFUNCTION("""COMPUTED_VALUE"""),"[""ELIGIBLE""]")</f>
        <v>["ELIGIBLE"]</v>
      </c>
    </row>
    <row r="322">
      <c r="A322" s="24" t="str">
        <f>IFERROR(__xludf.DUMMYFUNCTION("""COMPUTED_VALUE"""),"Genetic diversity of Norway spruce (Picea abies (L.) Karst.) seed orchard crops: Effects of number of parents, seed year, and pollen contamination")</f>
        <v>Genetic diversity of Norway spruce (Picea abies (L.) Karst.) seed orchard crops: Effects of number of parents, seed year, and pollen contamination</v>
      </c>
      <c r="B322" s="24" t="str">
        <f>IFERROR(__xludf.DUMMYFUNCTION("""COMPUTED_VALUE"""),"Seed from orchards, established from breeding programs, often dominate the planting stock in economically important tree species, such as Norway spruce. The genetic diversity in seed orchards' crops depends on effective population size which in turn is af"&amp;"fected by many factors such as: number of parents in the orchard, seed orchards' design, fecundity, and pollen contamination. Even though seed orchards' seed is extensively used over large regions, very few studies have addressed how well their crops refl"&amp;"ect the genetic diversity present in the regions where they are planted. Here we have investigated the genetic diversity (by means of 11 microsatellites) of two Norway spruce seed orchard populations with different number of parents (60 and 25) and compar"&amp;"ed this with seed crops collected in the semi natural forest and natural unmanaged populations. We found that the ratio between the effective population size (Ne) and actual number of parents (N) varied between 0.60 and 0.76 in the orchards' seedlots. A r"&amp;"eduction in genetic diversity (mainly allelic richness) was detected in a few seedlots, mainly where the number of parents was low. Our results also show that pollen contamination play an important role in maintaining the genetic diversity in orchards' se"&amp;"edlots, particularly when the number of parents is low. The population genetic structure among seed orhcards and natural populations is shallow suggesting that regeneration with seed from current seed orchards will have limited effect on the overall genet"&amp;"ic diversity.")</f>
        <v>Seed from orchards, established from breeding programs, often dominate the planting stock in economically important tree species, such as Norway spruce. The genetic diversity in seed orchards' crops depends on effective population size which in turn is affected by many factors such as: number of parents in the orchard, seed orchards' design, fecundity, and pollen contamination. Even though seed orchards' seed is extensively used over large regions, very few studies have addressed how well their crops reflect the genetic diversity present in the regions where they are planted. Here we have investigated the genetic diversity (by means of 11 microsatellites) of two Norway spruce seed orchard populations with different number of parents (60 and 25) and compared this with seed crops collected in the semi natural forest and natural unmanaged populations. We found that the ratio between the effective population size (Ne) and actual number of parents (N) varied between 0.60 and 0.76 in the orchards' seedlots. A reduction in genetic diversity (mainly allelic richness) was detected in a few seedlots, mainly where the number of parents was low. Our results also show that pollen contamination play an important role in maintaining the genetic diversity in orchards' seedlots, particularly when the number of parents is low. The population genetic structure among seed orhcards and natural populations is shallow suggesting that regeneration with seed from current seed orchards will have limited effect on the overall genetic diversity.</v>
      </c>
      <c r="C322" s="24" t="str">
        <f>IFERROR(__xludf.DUMMYFUNCTION("""COMPUTED_VALUE"""),"10.1016/j.foreco.2018.01.009")</f>
        <v>10.1016/j.foreco.2018.01.009</v>
      </c>
      <c r="D322" s="24" t="str">
        <f>IFERROR(__xludf.DUMMYFUNCTION("""COMPUTED_VALUE"""),"shaw et al")</f>
        <v>shaw et al</v>
      </c>
      <c r="E322" s="24" t="str">
        <f>IFERROR(__xludf.DUMMYFUNCTION("""COMPUTED_VALUE"""),"WOS:000426409100014")</f>
        <v>WOS:000426409100014</v>
      </c>
      <c r="F322" s="24" t="str">
        <f>IFERROR(__xludf.DUMMYFUNCTION("""COMPUTED_VALUE"""),"[""ELIGIBLE""]")</f>
        <v>["ELIGIBLE"]</v>
      </c>
    </row>
    <row r="323">
      <c r="A323" s="24" t="str">
        <f>IFERROR(__xludf.DUMMYFUNCTION("""COMPUTED_VALUE"""),"Estimates of Effective Number of Breeding Adults and Reproductive Success for White Sturgeon")</f>
        <v>Estimates of Effective Number of Breeding Adults and Reproductive Success for White Sturgeon</v>
      </c>
      <c r="B323" s="24" t="str">
        <f>IFERROR(__xludf.DUMMYFUNCTION("""COMPUTED_VALUE"""),"Accurate estimates of the number of adults contributing to offspring (N-s), effective breeding number (N-b), and individual adult contributions to recruitment are required for recovery planning for endangered White Sturgeon Acipenser transmontanus populat"&amp;"ions, many of which are suffering from prolonged periods of recruitment failure. We show that genetic techniques can be used to characterize important features of White Sturgeon reproductive ecology in large rivers where census data are extremely difficul"&amp;"t to obtain. We used 12 microsatellite loci and likelihood-based pedigree analysis to estimate N-s, N-b, number of kin groups (N-k), and individual reproductive success of White Sturgeon contributing to viable eggs and larvae collected in the upper Columb"&amp;"ia River in each of 2 years. Estimated mean +/- SD annual N-s was 121.5 +/- 34.7, N-b was 86.5 +/- 10.6, and N-k was 73.5 +/- 17.3. Large variations in estimates of N-s, N-b, and N-k were observed between three spawning areas, in which one spawning site r"&amp;"epresenting 61% of total adult spawning population. Variation in adult reproductive success was observed within and among sites. Estimated mean +/- SD individual spawning duration was 1.9 +/- 1.1 d, and number of mates per adult was 2.9 +/- 2.5, which als"&amp;"o varied spatially and temporally. Based on age of collected eggs and larvae, number of spawning days ranged from 5 to 19 d between years and among sites. Genetically derived estimates of N-s were lower but generally concordant with empirical estimates of"&amp;" available spawners (N-c), based on sex ratios and maturation staging of adults captured independently (N-s/N-c ratio = 0.683). Results increase our understanding of White Sturgeon reproductive ecology and recruitment and allow projections of cohort level"&amp;"s of genetic diversity. Similar data can be applied to recovery planning and aquaculture programs for this and other species of conservation concern.")</f>
        <v>Accurate estimates of the number of adults contributing to offspring (N-s), effective breeding number (N-b), and individual adult contributions to recruitment are required for recovery planning for endangered White Sturgeon Acipenser transmontanus populations, many of which are suffering from prolonged periods of recruitment failure. We show that genetic techniques can be used to characterize important features of White Sturgeon reproductive ecology in large rivers where census data are extremely difficult to obtain. We used 12 microsatellite loci and likelihood-based pedigree analysis to estimate N-s, N-b, number of kin groups (N-k), and individual reproductive success of White Sturgeon contributing to viable eggs and larvae collected in the upper Columbia River in each of 2 years. Estimated mean +/- SD annual N-s was 121.5 +/- 34.7, N-b was 86.5 +/- 10.6, and N-k was 73.5 +/- 17.3. Large variations in estimates of N-s, N-b, and N-k were observed between three spawning areas, in which one spawning site representing 61% of total adult spawning population. Variation in adult reproductive success was observed within and among sites. Estimated mean +/- SD individual spawning duration was 1.9 +/- 1.1 d, and number of mates per adult was 2.9 +/- 2.5, which also varied spatially and temporally. Based on age of collected eggs and larvae, number of spawning days ranged from 5 to 19 d between years and among sites. Genetically derived estimates of N-s were lower but generally concordant with empirical estimates of available spawners (N-c), based on sex ratios and maturation staging of adults captured independently (N-s/N-c ratio = 0.683). Results increase our understanding of White Sturgeon reproductive ecology and recruitment and allow projections of cohort levels of genetic diversity. Similar data can be applied to recovery planning and aquaculture programs for this and other species of conservation concern.</v>
      </c>
      <c r="C323" s="24" t="str">
        <f>IFERROR(__xludf.DUMMYFUNCTION("""COMPUTED_VALUE"""),"10.1080/00028487.2014.931301")</f>
        <v>10.1080/00028487.2014.931301</v>
      </c>
      <c r="D323" s="24" t="str">
        <f>IFERROR(__xludf.DUMMYFUNCTION("""COMPUTED_VALUE"""),"shaw et al")</f>
        <v>shaw et al</v>
      </c>
      <c r="E323" s="24" t="str">
        <f>IFERROR(__xludf.DUMMYFUNCTION("""COMPUTED_VALUE"""),"WOS:000340887300008")</f>
        <v>WOS:000340887300008</v>
      </c>
      <c r="F323" s="24" t="str">
        <f>IFERROR(__xludf.DUMMYFUNCTION("""COMPUTED_VALUE"""),"[""ELIGIBLE""]")</f>
        <v>["ELIGIBLE"]</v>
      </c>
    </row>
    <row r="324">
      <c r="A324" s="24" t="str">
        <f>IFERROR(__xludf.DUMMYFUNCTION("""COMPUTED_VALUE"""),"Inverse relationship between FST and microsatellite polymorphism in the marine fish, walleye pollock (Theragra chalcogramma): implications for resolving weak population structure")</f>
        <v>Inverse relationship between FST and microsatellite polymorphism in the marine fish, walleye pollock (Theragra chalcogramma): implications for resolving weak population structure</v>
      </c>
      <c r="B324" s="24" t="str">
        <f>IFERROR(__xludf.DUMMYFUNCTION("""COMPUTED_VALUE"""),"Microsatellites have proved to be useful for the detection of weak population structure in marine fishes and other species characterized by large populations and high gene flow. None the less, uncertainty remains about the net effects of the particular mu"&amp;"tational properties of these markers, and the wide range of locus polymorphism they exhibit, on estimates of differentiation. We examined the effect of varying microsatellite polymorphism on the magnitude of observed differentiation in a population survey"&amp;" of walleye pollock, Theragra chalcogramma. Genetic differentiation at 14 microsatellite loci among six putative populations from across the North Pacific Ocean and Bering Sea was weak but significant on large geographical scales and conformed to an isola"&amp;"tion-by-distance pattern. A negative relationship was found between locus variability and the magnitude of estimated population subdivision. Estimates of F-ST declined with locus polymorphism, resulting in diminished power to discriminate among samples, a"&amp;"nd we attribute this loss to the effects of size homoplasy. This empirical result suggests that mutation rates of some microsatellite loci are sufficiently high to limit resolution of weak genetic structure typical of many marine fishes.")</f>
        <v>Microsatellites have proved to be useful for the detection of weak population structure in marine fishes and other species characterized by large populations and high gene flow. None the less, uncertainty remains about the net effects of the particular mutational properties of these markers, and the wide range of locus polymorphism they exhibit, on estimates of differentiation. We examined the effect of varying microsatellite polymorphism on the magnitude of observed differentiation in a population survey of walleye pollock, Theragra chalcogramma. Genetic differentiation at 14 microsatellite loci among six putative populations from across the North Pacific Ocean and Bering Sea was weak but significant on large geographical scales and conformed to an isolation-by-distance pattern. A negative relationship was found between locus variability and the magnitude of estimated population subdivision. Estimates of F-ST declined with locus polymorphism, resulting in diminished power to discriminate among samples, and we attribute this loss to the effects of size homoplasy. This empirical result suggests that mutation rates of some microsatellite loci are sufficiently high to limit resolution of weak genetic structure typical of many marine fishes.</v>
      </c>
      <c r="C324" s="24" t="str">
        <f>IFERROR(__xludf.DUMMYFUNCTION("""COMPUTED_VALUE"""),"10.1111/j.1365-294X.2004.02214.x")</f>
        <v>10.1111/j.1365-294X.2004.02214.x</v>
      </c>
      <c r="D324" s="24" t="str">
        <f>IFERROR(__xludf.DUMMYFUNCTION("""COMPUTED_VALUE"""),"shaw et al")</f>
        <v>shaw et al</v>
      </c>
      <c r="E324" s="24" t="str">
        <f>IFERROR(__xludf.DUMMYFUNCTION("""COMPUTED_VALUE"""),"WOS:000221933000007")</f>
        <v>WOS:000221933000007</v>
      </c>
      <c r="F324" s="24" t="str">
        <f>IFERROR(__xludf.DUMMYFUNCTION("""COMPUTED_VALUE"""),"[""ELIGIBLE""]")</f>
        <v>["ELIGIBLE"]</v>
      </c>
    </row>
    <row r="325">
      <c r="A325" s="24" t="str">
        <f>IFERROR(__xludf.DUMMYFUNCTION("""COMPUTED_VALUE"""),"Population fragmentation leads to spatial and temporal genetic structure in the endangered Spanish imperial eagle")</f>
        <v>Population fragmentation leads to spatial and temporal genetic structure in the endangered Spanish imperial eagle</v>
      </c>
      <c r="B325" s="24" t="str">
        <f>IFERROR(__xludf.DUMMYFUNCTION("""COMPUTED_VALUE"""),"The fragmentation of a population may have important consequences for population genetic diversity and structure due to the effects of genetic drift and reduced gene flow. We studied the genetic consequences of the fragmentation of the Spanish imperial ea"&amp;"gle (Aquila adalberti) population into small patches through a temporal analysis. Thirty-four museum individuals representing the population predating the fragmentation were analysed for a 345-bp segment of the mitochondrial control region and a set of 10"&amp;" nuclear microsatellite loci. Data from a previous study on the current population (N = 79) were re-analysed for this subset of 10 microsatellite markers and results compared to those obtained from the historical sample. Three shared mitochondrial haploty"&amp;"pes were found in both populations, although fluctuations in haplotype frequencies and the occurrence of a fourth haplotype in the historical population resulted in lower current levels of haplotype and nucleotide diversity. However, microsatellite marker"&amp;"s revealed undiminished levels of nuclear diversity. No evidence for genetic structure was observed for the historical Spanish imperial eagle population, suggesting that the current pattern of structure is the direct consequence of population fragmentatio"&amp;"n. Temporal fluctuations in mitochondrial and microsatellite allelic frequencies were found between the historical and the current population as well as for each pairwise comparison between historical and current Centro and historical and current Parque N"&amp;"acional de Donana nuclei. Our results indicate an ancestral panmictic situation for the species that management policies should aim to restore. A historical analysis like the one taken here provides the baseline upon which the relative role of recent drif"&amp;"t in shaping current genetic patterns in endangered species can be evaluated and this knowledge is used to guide conservation actions.")</f>
        <v>The fragmentation of a population may have important consequences for population genetic diversity and structure due to the effects of genetic drift and reduced gene flow. We studied the genetic consequences of the fragmentation of the Spanish imperial eagle (Aquila adalberti) population into small patches through a temporal analysis. Thirty-four museum individuals representing the population predating the fragmentation were analysed for a 345-bp segment of the mitochondrial control region and a set of 10 nuclear microsatellite loci. Data from a previous study on the current population (N = 79) were re-analysed for this subset of 10 microsatellite markers and results compared to those obtained from the historical sample. Three shared mitochondrial haplotypes were found in both populations, although fluctuations in haplotype frequencies and the occurrence of a fourth haplotype in the historical population resulted in lower current levels of haplotype and nucleotide diversity. However, microsatellite markers revealed undiminished levels of nuclear diversity. No evidence for genetic structure was observed for the historical Spanish imperial eagle population, suggesting that the current pattern of structure is the direct consequence of population fragmentation. Temporal fluctuations in mitochondrial and microsatellite allelic frequencies were found between the historical and the current population as well as for each pairwise comparison between historical and current Centro and historical and current Parque Nacional de Donana nuclei. Our results indicate an ancestral panmictic situation for the species that management policies should aim to restore. A historical analysis like the one taken here provides the baseline upon which the relative role of recent drift in shaping current genetic patterns in endangered species can be evaluated and this knowledge is used to guide conservation actions.</v>
      </c>
      <c r="C325" s="24" t="str">
        <f>IFERROR(__xludf.DUMMYFUNCTION("""COMPUTED_VALUE"""),"10.1111/j.1365-294X.2007.03147.x")</f>
        <v>10.1111/j.1365-294X.2007.03147.x</v>
      </c>
      <c r="D325" s="24" t="str">
        <f>IFERROR(__xludf.DUMMYFUNCTION("""COMPUTED_VALUE"""),"shaw et al")</f>
        <v>shaw et al</v>
      </c>
      <c r="E325" s="24" t="str">
        <f>IFERROR(__xludf.DUMMYFUNCTION("""COMPUTED_VALUE"""),"WOS:000243755800002")</f>
        <v>WOS:000243755800002</v>
      </c>
      <c r="F325" s="24" t="str">
        <f>IFERROR(__xludf.DUMMYFUNCTION("""COMPUTED_VALUE"""),"[""ELIGIBLE""]")</f>
        <v>["ELIGIBLE"]</v>
      </c>
    </row>
    <row r="326">
      <c r="A326" s="24" t="str">
        <f>IFERROR(__xludf.DUMMYFUNCTION("""COMPUTED_VALUE"""),"Assessment of spatial-temporal variation in natural populations of Brassica incana in south Italy: implications for conservation")</f>
        <v>Assessment of spatial-temporal variation in natural populations of Brassica incana in south Italy: implications for conservation</v>
      </c>
      <c r="B326" s="24" t="str">
        <f>IFERROR(__xludf.DUMMYFUNCTION("""COMPUTED_VALUE"""),"Brassica incana is a secondary-gene pool wild relative of Brassica oleracea. Twenty-two B. incana populations are recorded in Italy, where the species has recently been pointed out as in priority need of conservation. While data on the spatial and tempora"&amp;"l variation of B. incana Italian populations are completely lacking, this information is useful in conservation planning for this species. Three populations from the Sorrento peninsula and from the islands of Ischia and Capri, collected in 1984 and 2012, "&amp;"were characterised for 12 morpho-phenological and 21 genetic traits to assess their spatial-temporal variation. The populations were quite different for morpho-phenological and genetic traits. Spatial differentiation was high and easily explained by the i"&amp;"solation. Temporal differentiation between the Sorrento and Ischia populations was high and explained by a reduction in the population census across time, while it was not significant between the two Capri accessions as such pointing to a major effect of "&amp;"genetic drift. Numerical dimension is extremely relevant in evaluating conservation priorities since it has a major impact on population dynamics over time. The Sorrento and Ischia populations are under threat and urgently need conservation actions, sugge"&amp;"sting an alarming scenario for the survival of other crop wild relative populations which are similar in census. Our data also show that, in an allogamous and self-incompatible species like B. incana, populations of 100-200 individuals maintain high allel"&amp;"ic diversity. According to obtained results, natural populations of species with similar reproductive system and census can be considered at low risk of genetic erosion.")</f>
        <v>Brassica incana is a secondary-gene pool wild relative of Brassica oleracea. Twenty-two B. incana populations are recorded in Italy, where the species has recently been pointed out as in priority need of conservation. While data on the spatial and temporal variation of B. incana Italian populations are completely lacking, this information is useful in conservation planning for this species. Three populations from the Sorrento peninsula and from the islands of Ischia and Capri, collected in 1984 and 2012, were characterised for 12 morpho-phenological and 21 genetic traits to assess their spatial-temporal variation. The populations were quite different for morpho-phenological and genetic traits. Spatial differentiation was high and easily explained by the isolation. Temporal differentiation between the Sorrento and Ischia populations was high and explained by a reduction in the population census across time, while it was not significant between the two Capri accessions as such pointing to a major effect of genetic drift. Numerical dimension is extremely relevant in evaluating conservation priorities since it has a major impact on population dynamics over time. The Sorrento and Ischia populations are under threat and urgently need conservation actions, suggesting an alarming scenario for the survival of other crop wild relative populations which are similar in census. Our data also show that, in an allogamous and self-incompatible species like B. incana, populations of 100-200 individuals maintain high allelic diversity. According to obtained results, natural populations of species with similar reproductive system and census can be considered at low risk of genetic erosion.</v>
      </c>
      <c r="C326" s="24" t="str">
        <f>IFERROR(__xludf.DUMMYFUNCTION("""COMPUTED_VALUE"""),"10.1007/s00606-018-1505-4")</f>
        <v>10.1007/s00606-018-1505-4</v>
      </c>
      <c r="D326" s="24" t="str">
        <f>IFERROR(__xludf.DUMMYFUNCTION("""COMPUTED_VALUE"""),"shaw et al")</f>
        <v>shaw et al</v>
      </c>
      <c r="E326" s="24" t="str">
        <f>IFERROR(__xludf.DUMMYFUNCTION("""COMPUTED_VALUE"""),"WOS:000432299700001")</f>
        <v>WOS:000432299700001</v>
      </c>
      <c r="F326" s="24" t="str">
        <f>IFERROR(__xludf.DUMMYFUNCTION("""COMPUTED_VALUE"""),"[""ELIGIBLE""]")</f>
        <v>["ELIGIBLE"]</v>
      </c>
    </row>
    <row r="327">
      <c r="A327" s="24" t="str">
        <f>IFERROR(__xludf.DUMMYFUNCTION("""COMPUTED_VALUE"""),"Changes in Genetic Diversity of US Flue-Cured Tobacco Germplasm over Seven Decades of Cultivar Development")</f>
        <v>Changes in Genetic Diversity of US Flue-Cured Tobacco Germplasm over Seven Decades of Cultivar Development</v>
      </c>
      <c r="B327" s="24" t="str">
        <f>IFERROR(__xludf.DUMMYFUNCTION("""COMPUTED_VALUE"""),"Plant breeding methodologies have been applied to flue-cured tobacco (Nicotiana tabacum L.) for approximately seven decades. As has been observed in several other crops, stringent quality requirements have resulted in use of conservative breeding strategi"&amp;"es in the development of new cultivars. The impact of breeding practices on genetic diversity within U.S. flue-cured tobacco germplasm has not been investigated. In this study, we genotyped 117 tobacco cultivars from eight sequential time periods with 71 "&amp;"microsatellite primer pairs. A total of 294 alleles were scored. Only a fraction (48%) of alleles present in the initial germplasm pool was represented in cultivars released during the 1990s and 2000s. Only 13 and 18 alleles were detected in the 1990s and"&amp;" 2000s, respectively, which were undetected in the initial gene pool. The overall trend was one of gradual reduction in allelic counts at microsatellite loci, indicating a reduction in diversity over time at the gene level. Average genetic similarity was "&amp;"highest among cultivars of the 1990s and 2000s, reflecting a reduction in genetic diversity at the population level. This observed narrowing of the U.S. flue-cured tobacco germplasm base in combination with low rates of genetic gain for yield in the last "&amp;"20 years may point to a need for diversification of parental materials used in future breeding crosses. Reported genetic relationships among the group of genotyped cultivars may be valuable for future strategic germplasm choices.")</f>
        <v>Plant breeding methodologies have been applied to flue-cured tobacco (Nicotiana tabacum L.) for approximately seven decades. As has been observed in several other crops, stringent quality requirements have resulted in use of conservative breeding strategies in the development of new cultivars. The impact of breeding practices on genetic diversity within U.S. flue-cured tobacco germplasm has not been investigated. In this study, we genotyped 117 tobacco cultivars from eight sequential time periods with 71 microsatellite primer pairs. A total of 294 alleles were scored. Only a fraction (48%) of alleles present in the initial germplasm pool was represented in cultivars released during the 1990s and 2000s. Only 13 and 18 alleles were detected in the 1990s and 2000s, respectively, which were undetected in the initial gene pool. The overall trend was one of gradual reduction in allelic counts at microsatellite loci, indicating a reduction in diversity over time at the gene level. Average genetic similarity was highest among cultivars of the 1990s and 2000s, reflecting a reduction in genetic diversity at the population level. This observed narrowing of the U.S. flue-cured tobacco germplasm base in combination with low rates of genetic gain for yield in the last 20 years may point to a need for diversification of parental materials used in future breeding crosses. Reported genetic relationships among the group of genotyped cultivars may be valuable for future strategic germplasm choices.</v>
      </c>
      <c r="C327" s="24" t="str">
        <f>IFERROR(__xludf.DUMMYFUNCTION("""COMPUTED_VALUE"""),"10.2135/cropsci2008.05.0253")</f>
        <v>10.2135/cropsci2008.05.0253</v>
      </c>
      <c r="D327" s="24" t="str">
        <f>IFERROR(__xludf.DUMMYFUNCTION("""COMPUTED_VALUE"""),"shaw et al")</f>
        <v>shaw et al</v>
      </c>
      <c r="E327" s="24" t="str">
        <f>IFERROR(__xludf.DUMMYFUNCTION("""COMPUTED_VALUE"""),"WOS:000264654000015")</f>
        <v>WOS:000264654000015</v>
      </c>
      <c r="F327" s="24" t="str">
        <f>IFERROR(__xludf.DUMMYFUNCTION("""COMPUTED_VALUE"""),"[""ELIGIBLE""]")</f>
        <v>["ELIGIBLE"]</v>
      </c>
    </row>
    <row r="328">
      <c r="A328" s="24" t="str">
        <f>IFERROR(__xludf.DUMMYFUNCTION("""COMPUTED_VALUE"""),"LACK OF EARLY INBREEDING DEPRESSION AND DISTRIBUTION OF SELFING RATES IN THE NEOTROPICAL EMERGENT TREE CEIBA PENTANDRA: ASSESSMENT FROM SEVERAL REPRODUCTIVE EVENTS")</f>
        <v>LACK OF EARLY INBREEDING DEPRESSION AND DISTRIBUTION OF SELFING RATES IN THE NEOTROPICAL EMERGENT TREE CEIBA PENTANDRA: ASSESSMENT FROM SEVERAL REPRODUCTIVE EVENTS</v>
      </c>
      <c r="B328" s="24" t="str">
        <f>IFERROR(__xludf.DUMMYFUNCTION("""COMPUTED_VALUE"""),"Premise of the study: Selfing and mixed mating systems are prevalent in many flowering plants. Purging of genetic load can occur in these species, reducing negative effects of selfing. Long-term studies of the temporal and spatial variation of selfing rat"&amp;"es and inbreeding depression at the individual level are necessary to understand the forces that maintain selfing as a mating strategy in these species. Methodology: We used microsatellites to estimate selfing rates in seeds and seedlings over 6 years in "&amp;"a population of Ceiba pentandra in southwestern Costa Rica. We studied the correlation of selfing with early seedling vigor variables to test for inbreeding depression. Key results: Selfing rates varied widely among maternal trees. However, we found high "&amp;"consistency of selfing rates for individuals among years. Selfing rate did not influence early fitness traits, suggesting a lack of inbreeding depression at this stage. Maternal effects were a predominant source of variation for early vigor variables. Con"&amp;"clusions: Variability in selfing rates among trees may be partly explained by genetic variation in a late-acting self-incompatibility system or low, early-acting genetic load in some individuals. This population did not show evidence of early inbreeding d"&amp;"epression in traits related to seed vigor probably from complete or partial purging as a result of repeated selfing of a fraction of the population or from strong maternal effects. Expression of genetic load at later developmental stages or in more stress"&amp;"ful natural conditions may explain differences in inbreeding levels between seeds and adults.")</f>
        <v>Premise of the study: Selfing and mixed mating systems are prevalent in many flowering plants. Purging of genetic load can occur in these species, reducing negative effects of selfing. Long-term studies of the temporal and spatial variation of selfing rates and inbreeding depression at the individual level are necessary to understand the forces that maintain selfing as a mating strategy in these species. Methodology: We used microsatellites to estimate selfing rates in seeds and seedlings over 6 years in a population of Ceiba pentandra in southwestern Costa Rica. We studied the correlation of selfing with early seedling vigor variables to test for inbreeding depression. Key results: Selfing rates varied widely among maternal trees. However, we found high consistency of selfing rates for individuals among years. Selfing rate did not influence early fitness traits, suggesting a lack of inbreeding depression at this stage. Maternal effects were a predominant source of variation for early vigor variables. Conclusions: Variability in selfing rates among trees may be partly explained by genetic variation in a late-acting self-incompatibility system or low, early-acting genetic load in some individuals. This population did not show evidence of early inbreeding depression in traits related to seed vigor probably from complete or partial purging as a result of repeated selfing of a fraction of the population or from strong maternal effects. Expression of genetic load at later developmental stages or in more stressful natural conditions may explain differences in inbreeding levels between seeds and adults.</v>
      </c>
      <c r="C328" s="24" t="str">
        <f>IFERROR(__xludf.DUMMYFUNCTION("""COMPUTED_VALUE"""),"10.3732/ajb.1400520")</f>
        <v>10.3732/ajb.1400520</v>
      </c>
      <c r="D328" s="24" t="str">
        <f>IFERROR(__xludf.DUMMYFUNCTION("""COMPUTED_VALUE"""),"shaw et al")</f>
        <v>shaw et al</v>
      </c>
      <c r="E328" s="24" t="str">
        <f>IFERROR(__xludf.DUMMYFUNCTION("""COMPUTED_VALUE"""),"WOS:000356600800015")</f>
        <v>WOS:000356600800015</v>
      </c>
      <c r="F328" s="24" t="str">
        <f>IFERROR(__xludf.DUMMYFUNCTION("""COMPUTED_VALUE"""),"[""ELIGIBLE""]")</f>
        <v>["ELIGIBLE"]</v>
      </c>
    </row>
    <row r="329">
      <c r="A329" s="24" t="str">
        <f>IFERROR(__xludf.DUMMYFUNCTION("""COMPUTED_VALUE"""),"Evidence and Consequence of a Highly Adapted Clonal Haplotype within the Australian Ascochyta rabiei Population")</f>
        <v>Evidence and Consequence of a Highly Adapted Clonal Haplotype within the Australian Ascochyta rabiei Population</v>
      </c>
      <c r="B329" s="24" t="str">
        <f>IFERROR(__xludf.DUMMYFUNCTION("""COMPUTED_VALUE"""),"The Australian Ascochyta rabiei (Pass.) Labr. (syn. Phoma rabiei) population has low genotypic diversity with only one mating type detected to date, potentially precluding substantial evolution through recombination. However, a large diversity in aggressi"&amp;"veness exists. In an effort to better understand the risk from selective adaptation to currently used resistance sources and chemical control strategies, the population was examined in detail. For this, a total of 598 isolates were quasi-hierarchically sa"&amp;"mpled between 2013 and 2015 across all major Australian chickpea growing regions and commonly grown host genotypes. Although a large number of haplotypes were identified (66) through short sequence repeat (SSR) genotyping, overall low gene diversity (H-ex"&amp;"p = 0.066) and genotypic diversity (D = 0.57) was detected. Almost 70% of the isolates assessed were of a single dominant haplotype (ARH01). Disease screening on a differential host set, including three commonly deployed resistance sources, revealed disti"&amp;"nct aggressiveness among the isolates, with 17% of all isolates identified as highly aggressive. Almost 75% of these were of the ARH01 haplotype. A similar pattern was observed at the host level, with 46% of all isolates collected from the commonly grown "&amp;"host genotype Genesis090 (classified as resistant during the term of collection) identified as highly aggressive. Of these, 63% belonged to the ARH01 haplotype. In conclusion, the ARH01 haplotype represents a significant risk to the Australian chickpea in"&amp;"dustry, being not only widely adapted to the diverse agro-geographical environments of the Australian chickpea growing regions, but also containing a disproportionately large number of aggressive isolates, indicating fitness to survive and replicate on th"&amp;"e best resistance sources in the Australian germplasm.")</f>
        <v>The Australian Ascochyta rabiei (Pass.) Labr. (syn. Phoma rabiei) population has low genotypic diversity with only one mating type detected to date, potentially precluding substantial evolution through recombination. However, a large diversity in aggressiveness exists. In an effort to better understand the risk from selective adaptation to currently used resistance sources and chemical control strategies, the population was examined in detail. For this, a total of 598 isolates were quasi-hierarchically sampled between 2013 and 2015 across all major Australian chickpea growing regions and commonly grown host genotypes. Although a large number of haplotypes were identified (66) through short sequence repeat (SSR) genotyping, overall low gene diversity (H-exp = 0.066) and genotypic diversity (D = 0.57) was detected. Almost 70% of the isolates assessed were of a single dominant haplotype (ARH01). Disease screening on a differential host set, including three commonly deployed resistance sources, revealed distinct aggressiveness among the isolates, with 17% of all isolates identified as highly aggressive. Almost 75% of these were of the ARH01 haplotype. A similar pattern was observed at the host level, with 46% of all isolates collected from the commonly grown host genotype Genesis090 (classified as resistant during the term of collection) identified as highly aggressive. Of these, 63% belonged to the ARH01 haplotype. In conclusion, the ARH01 haplotype represents a significant risk to the Australian chickpea industry, being not only widely adapted to the diverse agro-geographical environments of the Australian chickpea growing regions, but also containing a disproportionately large number of aggressive isolates, indicating fitness to survive and replicate on the best resistance sources in the Australian germplasm.</v>
      </c>
      <c r="C329" s="24" t="str">
        <f>IFERROR(__xludf.DUMMYFUNCTION("""COMPUTED_VALUE"""),"10.3389/fpls.2017.01029")</f>
        <v>10.3389/fpls.2017.01029</v>
      </c>
      <c r="D329" s="24" t="str">
        <f>IFERROR(__xludf.DUMMYFUNCTION("""COMPUTED_VALUE"""),"shaw et al")</f>
        <v>shaw et al</v>
      </c>
      <c r="E329" s="24" t="str">
        <f>IFERROR(__xludf.DUMMYFUNCTION("""COMPUTED_VALUE"""),"WOS:000403487300002")</f>
        <v>WOS:000403487300002</v>
      </c>
      <c r="F329" s="24" t="str">
        <f>IFERROR(__xludf.DUMMYFUNCTION("""COMPUTED_VALUE"""),"[""ELIGIBLE""]")</f>
        <v>["ELIGIBLE"]</v>
      </c>
    </row>
    <row r="330">
      <c r="A330" s="24" t="str">
        <f>IFERROR(__xludf.DUMMYFUNCTION("""COMPUTED_VALUE"""),"Estimating the long-term effects of stocking domesticated trout into wild brown trout (Salmo trutta) populations: an approach using microsatellite DNA analysis of historical and contemporary samples")</f>
        <v>Estimating the long-term effects of stocking domesticated trout into wild brown trout (Salmo trutta) populations: an approach using microsatellite DNA analysis of historical and contemporary samples</v>
      </c>
      <c r="B330" s="24" t="str">
        <f>IFERROR(__xludf.DUMMYFUNCTION("""COMPUTED_VALUE"""),"Indigenous salmonid fish gene pools are affected by domesticated conspecifics, derived from aquaculture escapes and deliberate releases. Variability was examined at nine microsatellite loci in order to assess the long-term impact of stocking domesticated "&amp;"trout in two brown trout populations. The study was based on analysis of two historical samples (194556), represented by old scale collections, and seven contemporary samples (1986-2000). In one population historical and contemporary samples were remarkab"&amp;"ly genetically similar despite more than a decade of intense stocking. Estimation of admixture proportions showed a small genetic contribution from domesticated trout (approximately 6%), and individual admixture analysis demonstrated a majority of nonadmi"&amp;"xed individuals. The expected genetic contribution by domesticated trout was 64%, assessed from the number of stocked trout and assuming equal survival and reproductive performance of wild and domesticated trout. This demonstrates poor performance and low"&amp;" fitness of domesticated trout in the wild. In another population there was a strong genetic contribution from domesticated trout (between 57% and 88% in different samples), both in samples from a broodstock thought to represent the indigenous population "&amp;"and in a sample of wild spawners. Survival of domesticated trout and admixture with indigenous fish in the broodstock and subsequent stocking into the river, combined with a low population size of native trout relative to the number of stocked trout, coul"&amp;"d explain the observed introgression. Few nonadmixed individuals remained in the introgressed population, and I discuss how individual admixture analysis can be used to identify and conserve nonintrogressed remains of the population.")</f>
        <v>Indigenous salmonid fish gene pools are affected by domesticated conspecifics, derived from aquaculture escapes and deliberate releases. Variability was examined at nine microsatellite loci in order to assess the long-term impact of stocking domesticated trout in two brown trout populations. The study was based on analysis of two historical samples (194556), represented by old scale collections, and seven contemporary samples (1986-2000). In one population historical and contemporary samples were remarkably genetically similar despite more than a decade of intense stocking. Estimation of admixture proportions showed a small genetic contribution from domesticated trout (approximately 6%), and individual admixture analysis demonstrated a majority of nonadmixed individuals. The expected genetic contribution by domesticated trout was 64%, assessed from the number of stocked trout and assuming equal survival and reproductive performance of wild and domesticated trout. This demonstrates poor performance and low fitness of domesticated trout in the wild. In another population there was a strong genetic contribution from domesticated trout (between 57% and 88% in different samples), both in samples from a broodstock thought to represent the indigenous population and in a sample of wild spawners. Survival of domesticated trout and admixture with indigenous fish in the broodstock and subsequent stocking into the river, combined with a low population size of native trout relative to the number of stocked trout, could explain the observed introgression. Few nonadmixed individuals remained in the introgressed population, and I discuss how individual admixture analysis can be used to identify and conserve nonintrogressed remains of the population.</v>
      </c>
      <c r="C330" s="24" t="str">
        <f>IFERROR(__xludf.DUMMYFUNCTION("""COMPUTED_VALUE"""),"10.1046/j.1365-294X.2002.01495.x")</f>
        <v>10.1046/j.1365-294X.2002.01495.x</v>
      </c>
      <c r="D330" s="24" t="str">
        <f>IFERROR(__xludf.DUMMYFUNCTION("""COMPUTED_VALUE"""),"shaw et al")</f>
        <v>shaw et al</v>
      </c>
      <c r="E330" s="24" t="str">
        <f>IFERROR(__xludf.DUMMYFUNCTION("""COMPUTED_VALUE"""),"WOS:000175841000005")</f>
        <v>WOS:000175841000005</v>
      </c>
      <c r="F330" s="24" t="str">
        <f>IFERROR(__xludf.DUMMYFUNCTION("""COMPUTED_VALUE"""),"[""ELIGIBLE""]")</f>
        <v>["ELIGIBLE"]</v>
      </c>
    </row>
    <row r="331">
      <c r="A331" s="24" t="str">
        <f>IFERROR(__xludf.DUMMYFUNCTION("""COMPUTED_VALUE"""),"Consequences of a demographic bottleneck on geneticstructure and variation in the Scandinavian brown bear")</f>
        <v>Consequences of a demographic bottleneck on geneticstructure and variation in the Scandinavian brown bear</v>
      </c>
      <c r="B331" s="24" t="str">
        <f>IFERROR(__xludf.DUMMYFUNCTION("""COMPUTED_VALUE"""),"The Scandinavian brown bear went through a major decline in population size approximately 100years ago, due to intense hunting. After being protected, the population subsequently recovered and today numbers in the thousands. The genetic diversity in the c"&amp;"ontemporary population has been investigated in considerable detail, and it has been shown that the population consists of several subpopulations that display relatively high levels of genetic variation. However, previous studies have been unable to resol"&amp;"ve the degree to which the demographic bottleneck impacted the contemporary genetic structure and diversity. In this study, we used mitochondrial and microsatellite DNA markers from pre- and postbottleneck Scandinavian brown bear samples to investigate th"&amp;"e effect of the bottleneck. Simulation and multivariate analysis suggested the same genetic structure for the historical and modern samples, which are clustered into three subpopulations in southern, central and northern Scandinavia. However, the southern"&amp;" subpopulation appears to have gone through a marked change in allele frequencies. When comparing the mitochondrial DNA diversity in the whole population, we found a major decline in haplotype numbers across the bottleneck. However, the loss of autosomal "&amp;"genetic diversity was less pronounced, although a significant decline in allelic richness was observed in the southern subpopulation. Approximate Bayesian computations provided clear support for a decline in effective population size during the bottleneck"&amp;", in both the southern and northern subpopulations. These results have implications for the future management of the Scandinavian brown bear because they indicate a recent loss in genetic diversity and also that the current genetic structure may have been"&amp;" caused by historical ecological processes rather than recent anthropogenic persecution.")</f>
        <v>The Scandinavian brown bear went through a major decline in population size approximately 100years ago, due to intense hunting. After being protected, the population subsequently recovered and today numbers in the thousands. The genetic diversity in the contemporary population has been investigated in considerable detail, and it has been shown that the population consists of several subpopulations that display relatively high levels of genetic variation. However, previous studies have been unable to resolve the degree to which the demographic bottleneck impacted the contemporary genetic structure and diversity. In this study, we used mitochondrial and microsatellite DNA markers from pre- and postbottleneck Scandinavian brown bear samples to investigate the effect of the bottleneck. Simulation and multivariate analysis suggested the same genetic structure for the historical and modern samples, which are clustered into three subpopulations in southern, central and northern Scandinavia. However, the southern subpopulation appears to have gone through a marked change in allele frequencies. When comparing the mitochondrial DNA diversity in the whole population, we found a major decline in haplotype numbers across the bottleneck. However, the loss of autosomal genetic diversity was less pronounced, although a significant decline in allelic richness was observed in the southern subpopulation. Approximate Bayesian computations provided clear support for a decline in effective population size during the bottleneck, in both the southern and northern subpopulations. These results have implications for the future management of the Scandinavian brown bear because they indicate a recent loss in genetic diversity and also that the current genetic structure may have been caused by historical ecological processes rather than recent anthropogenic persecution.</v>
      </c>
      <c r="C331" s="24" t="str">
        <f>IFERROR(__xludf.DUMMYFUNCTION("""COMPUTED_VALUE"""),"10.1111/mec.13239")</f>
        <v>10.1111/mec.13239</v>
      </c>
      <c r="D331" s="24" t="str">
        <f>IFERROR(__xludf.DUMMYFUNCTION("""COMPUTED_VALUE"""),"shaw et al")</f>
        <v>shaw et al</v>
      </c>
      <c r="E331" s="24" t="str">
        <f>IFERROR(__xludf.DUMMYFUNCTION("""COMPUTED_VALUE"""),"WOS:000356973100018")</f>
        <v>WOS:000356973100018</v>
      </c>
      <c r="F331" s="24" t="str">
        <f>IFERROR(__xludf.DUMMYFUNCTION("""COMPUTED_VALUE"""),"[""ELIGIBLE""]")</f>
        <v>["ELIGIBLE"]</v>
      </c>
    </row>
    <row r="332">
      <c r="A332" s="24" t="str">
        <f>IFERROR(__xludf.DUMMYFUNCTION("""COMPUTED_VALUE"""),"Multidisciplinary population monitoring when demographic data are sparse: a case study of remote trout populations")</f>
        <v>Multidisciplinary population monitoring when demographic data are sparse: a case study of remote trout populations</v>
      </c>
      <c r="B332" s="24" t="str">
        <f>IFERROR(__xludf.DUMMYFUNCTION("""COMPUTED_VALUE"""),"The potential of genetic, genomic, and phenotypic metrics for monitoring population trends may be especially high in isolated regions, where traditional demographic monitoring is logistically difficult and only sporadic sampling is possible. This potentia"&amp;"l, however, is relatively underexplored empirically. Over eleven years, we assessed several such metrics along with traditional ecological knowledge and catch data in a socioeconomically important trout species occupying a large, remote lake. The data rev"&amp;"ealed largely stable characteristics in two populations over 2-3 generations, but possible contemporary changes in a third population. These potential shifts were suggested by reduced catch rates, reduced body size, and changes in selection implied at one"&amp;" gene-associated single nucleotide polymorphism. A demographic decline in this population, however, was ambiguously supported, based on the apparent lack of temporal change in effective population size, and corresponding traditional knowledge suggesting l"&amp;"ittle change in catch. We illustrate how the pluralistic approach employed has practicality for setting future monitoring efforts of these populations, by guiding monitoring priorities according to the relative merits of different metrics and availability"&amp;" of resources. Our study also considers some advantages and disadvantages to adopting a pluralistic approach to population monitoring where demographic data are not easily obtained.")</f>
        <v>The potential of genetic, genomic, and phenotypic metrics for monitoring population trends may be especially high in isolated regions, where traditional demographic monitoring is logistically difficult and only sporadic sampling is possible. This potential, however, is relatively underexplored empirically. Over eleven years, we assessed several such metrics along with traditional ecological knowledge and catch data in a socioeconomically important trout species occupying a large, remote lake. The data revealed largely stable characteristics in two populations over 2-3 generations, but possible contemporary changes in a third population. These potential shifts were suggested by reduced catch rates, reduced body size, and changes in selection implied at one gene-associated single nucleotide polymorphism. A demographic decline in this population, however, was ambiguously supported, based on the apparent lack of temporal change in effective population size, and corresponding traditional knowledge suggesting little change in catch. We illustrate how the pluralistic approach employed has practicality for setting future monitoring efforts of these populations, by guiding monitoring priorities according to the relative merits of different metrics and availability of resources. Our study also considers some advantages and disadvantages to adopting a pluralistic approach to population monitoring where demographic data are not easily obtained.</v>
      </c>
      <c r="C332" s="24" t="str">
        <f>IFERROR(__xludf.DUMMYFUNCTION("""COMPUTED_VALUE"""),"10.1002/ece3.871")</f>
        <v>10.1002/ece3.871</v>
      </c>
      <c r="D332" s="24" t="str">
        <f>IFERROR(__xludf.DUMMYFUNCTION("""COMPUTED_VALUE"""),"shaw et al")</f>
        <v>shaw et al</v>
      </c>
      <c r="E332" s="24" t="str">
        <f>IFERROR(__xludf.DUMMYFUNCTION("""COMPUTED_VALUE"""),"WOS:000327961500009")</f>
        <v>WOS:000327961500009</v>
      </c>
      <c r="F332" s="24" t="str">
        <f>IFERROR(__xludf.DUMMYFUNCTION("""COMPUTED_VALUE"""),"[""ELIGIBLE""]")</f>
        <v>["ELIGIBLE"]</v>
      </c>
    </row>
    <row r="333">
      <c r="A333" s="24" t="str">
        <f>IFERROR(__xludf.DUMMYFUNCTION("""COMPUTED_VALUE"""),"Temporal variation in the genetic structure of a drone congregation area: an insight into the population dynamics of wild African honeybees (Apis mellifera scutellata)")</f>
        <v>Temporal variation in the genetic structure of a drone congregation area: an insight into the population dynamics of wild African honeybees (Apis mellifera scutellata)</v>
      </c>
      <c r="B333" s="24" t="str">
        <f>IFERROR(__xludf.DUMMYFUNCTION("""COMPUTED_VALUE"""),"The mating system of the honeybee (Apis mellifera) has been regarded as one of the most panmictic in the animal kingdom, with thousands of males aggregating in drone congregation areas (DCAs) that virgin queens visit to mate with tens of partners. Althoug"&amp;"h males from many colonies gather at such congregations, the temporal changes in the colonies contributing drones remain unknown. Yet, changes in the DCAs' genetic structure will ultimately determine population gene flow and effective population size. By "&amp;"repeatedly sampling drones from an African DCA over a period of 3 years, we studied the temporal changes in the genetic structure of a wild honeybee population. Using three sets of tightly linked microsatellite markers, we were able to reconstruct individ"&amp;"ual queen genotypes with a high accuracy, follow them through time and estimate their rate of replacement. The number of queens contributing drones to the DCA varied from 12 to 72 and was correlated with temperature and rainfall. We found that more than 8"&amp;"0% of these queens were replaced by mostly unrelated ones in successive eight months sampling intervals, which resulted in a clear temporal genetic differentiation of the DCA. Our results suggest that the frequent long-range migration of colonies without "&amp;"nest-site fidelity is the main driver of this high queen turnover. DCAs of African honeybees should thus be regarded as extremely dynamic systems which together with migration boost the effective population size and maintain a high genetic diversity in th"&amp;"e population.")</f>
        <v>The mating system of the honeybee (Apis mellifera) has been regarded as one of the most panmictic in the animal kingdom, with thousands of males aggregating in drone congregation areas (DCAs) that virgin queens visit to mate with tens of partners. Although males from many colonies gather at such congregations, the temporal changes in the colonies contributing drones remain unknown. Yet, changes in the DCAs' genetic structure will ultimately determine population gene flow and effective population size. By repeatedly sampling drones from an African DCA over a period of 3 years, we studied the temporal changes in the genetic structure of a wild honeybee population. Using three sets of tightly linked microsatellite markers, we were able to reconstruct individual queen genotypes with a high accuracy, follow them through time and estimate their rate of replacement. The number of queens contributing drones to the DCA varied from 12 to 72 and was correlated with temperature and rainfall. We found that more than 80% of these queens were replaced by mostly unrelated ones in successive eight months sampling intervals, which resulted in a clear temporal genetic differentiation of the DCA. Our results suggest that the frequent long-range migration of colonies without nest-site fidelity is the main driver of this high queen turnover. DCAs of African honeybees should thus be regarded as extremely dynamic systems which together with migration boost the effective population size and maintain a high genetic diversity in the population.</v>
      </c>
      <c r="C333" s="24" t="str">
        <f>IFERROR(__xludf.DUMMYFUNCTION("""COMPUTED_VALUE"""),"10.1111/j.1365-294X.2009.04143.x")</f>
        <v>10.1111/j.1365-294X.2009.04143.x</v>
      </c>
      <c r="D333" s="24" t="str">
        <f>IFERROR(__xludf.DUMMYFUNCTION("""COMPUTED_VALUE"""),"shaw et al")</f>
        <v>shaw et al</v>
      </c>
      <c r="E333" s="24" t="str">
        <f>IFERROR(__xludf.DUMMYFUNCTION("""COMPUTED_VALUE"""),"WOS:000264373900017")</f>
        <v>WOS:000264373900017</v>
      </c>
      <c r="F333" s="24" t="str">
        <f>IFERROR(__xludf.DUMMYFUNCTION("""COMPUTED_VALUE"""),"[""ELIGIBLE""]")</f>
        <v>["ELIGIBLE"]</v>
      </c>
    </row>
    <row r="334">
      <c r="A334" s="24" t="str">
        <f>IFERROR(__xludf.DUMMYFUNCTION("""COMPUTED_VALUE"""),"Temporal change in the genetic structure between and within cohorts of a marine fish, Diplodus sargus, induced by a large variance in individual reproductive success")</f>
        <v>Temporal change in the genetic structure between and within cohorts of a marine fish, Diplodus sargus, induced by a large variance in individual reproductive success</v>
      </c>
      <c r="B334" s="24" t="str">
        <f>IFERROR(__xludf.DUMMYFUNCTION("""COMPUTED_VALUE"""),"Temporal changes at 16 allozyme loci in the Diplodus sargus population of Banyuls-sur-Mer (Mediterranean Sea, France) were monitored. Temporal genetic variation within a single population was examined over two temporal scales: (i) among three year-classes"&amp;" sampled at the same age, and (ii) within a single year-class sampled three times over a two-year period. We observed a significant change in the genotypic structure within the same cohort during the first two years following settlement and before recruit"&amp;"ment into the adult population. In addition, comparison of year-classes showed that cohorts differed significantly one year after settlement, whereas they became similar later on before recruitment into the adult population. The observed changes in the ge"&amp;"netic structure within and between year-classes may be the result of complex selective processes or genetic drift. Linkage disequilibrium and genetic relatedness data suggest that these changes are due to large variation in reproductive success, followed "&amp;"by homogenization through adult movement. Overall, these results demonstrated a rapid genetic change within a population.")</f>
        <v>Temporal changes at 16 allozyme loci in the Diplodus sargus population of Banyuls-sur-Mer (Mediterranean Sea, France) were monitored. Temporal genetic variation within a single population was examined over two temporal scales: (i) among three year-classes sampled at the same age, and (ii) within a single year-class sampled three times over a two-year period. We observed a significant change in the genotypic structure within the same cohort during the first two years following settlement and before recruitment into the adult population. In addition, comparison of year-classes showed that cohorts differed significantly one year after settlement, whereas they became similar later on before recruitment into the adult population. The observed changes in the genetic structure within and between year-classes may be the result of complex selective processes or genetic drift. Linkage disequilibrium and genetic relatedness data suggest that these changes are due to large variation in reproductive success, followed by homogenization through adult movement. Overall, these results demonstrated a rapid genetic change within a population.</v>
      </c>
      <c r="C334" s="24" t="str">
        <f>IFERROR(__xludf.DUMMYFUNCTION("""COMPUTED_VALUE"""),"10.1046/j.1365-294X.2002.01521.x")</f>
        <v>10.1046/j.1365-294X.2002.01521.x</v>
      </c>
      <c r="D334" s="24" t="str">
        <f>IFERROR(__xludf.DUMMYFUNCTION("""COMPUTED_VALUE"""),"shaw et al")</f>
        <v>shaw et al</v>
      </c>
      <c r="E334" s="24" t="str">
        <f>IFERROR(__xludf.DUMMYFUNCTION("""COMPUTED_VALUE"""),"WOS:000177086900023")</f>
        <v>WOS:000177086900023</v>
      </c>
      <c r="F334" s="24" t="str">
        <f>IFERROR(__xludf.DUMMYFUNCTION("""COMPUTED_VALUE"""),"[""ELIGIBLE""]")</f>
        <v>["ELIGIBLE"]</v>
      </c>
    </row>
    <row r="335">
      <c r="A335" s="24" t="str">
        <f>IFERROR(__xludf.DUMMYFUNCTION("""COMPUTED_VALUE"""),"Interannual variation in effective number of breeders and estimation of effective population size in long-lived iteroparous lake sturgeon (Acipenser fulvescens)")</f>
        <v>Interannual variation in effective number of breeders and estimation of effective population size in long-lived iteroparous lake sturgeon (Acipenser fulvescens)</v>
      </c>
      <c r="B335" s="24" t="str">
        <f>IFERROR(__xludf.DUMMYFUNCTION("""COMPUTED_VALUE"""),"Quantifying interannual variation in effective adult breeding number (Nb) and relationships between Nb, effective population size (Ne), adult census size (N) and population demographic characteristics are important to predict genetic changes in population"&amp;"s of conservation concern. Such relationships are rarely available for long-lived iteroparous species like lake sturgeon (Acipenser fulvescens). We estimated annual Nb and generational Ne using genotypes from 12 microsatellite loci for lake sturgeon adult"&amp;"s (n=796) captured during ten spawning seasons and offspring (n=3925) collected during larval dispersal in a closed population over 8years. Inbreeding and variance Nb estimated using mean and variance in individual reproductive success derived from geneti"&amp;"cally identified parentage and using linkage disequilibrium (LD) were similar within and among years (interannual range of Nb across estimators: 41205). Variance in reproductive success and unequal sex ratios reduced Nb relative to N on average 36.8% and "&amp;"16.3%, respectively. Interannual variation in Nb/N ratios (0.270.86) resulted from stable N and low standardized variance in reproductive success due to high proportions of adults breeding and the species' polygamous mating system, despite a 40-fold diffe"&amp;"rence in annual larval production across years (43716417). Results indicated environmental conditions and features of the species' reproductive ecology interact to affect demographic parameters and Nb/N. Estimates of Ne based on three single-sample estima"&amp;"tors, including LD, approximate Bayesian computation and sibship assignment, were similar to annual estimates of Nb. Findings have important implications concerning applications of genetic monitoring in conservation planning for lake sturgeon and other sp"&amp;"ecies with similar life histories and mating systems.")</f>
        <v>Quantifying interannual variation in effective adult breeding number (Nb) and relationships between Nb, effective population size (Ne), adult census size (N) and population demographic characteristics are important to predict genetic changes in populations of conservation concern. Such relationships are rarely available for long-lived iteroparous species like lake sturgeon (Acipenser fulvescens). We estimated annual Nb and generational Ne using genotypes from 12 microsatellite loci for lake sturgeon adults (n=796) captured during ten spawning seasons and offspring (n=3925) collected during larval dispersal in a closed population over 8years. Inbreeding and variance Nb estimated using mean and variance in individual reproductive success derived from genetically identified parentage and using linkage disequilibrium (LD) were similar within and among years (interannual range of Nb across estimators: 41205). Variance in reproductive success and unequal sex ratios reduced Nb relative to N on average 36.8% and 16.3%, respectively. Interannual variation in Nb/N ratios (0.270.86) resulted from stable N and low standardized variance in reproductive success due to high proportions of adults breeding and the species' polygamous mating system, despite a 40-fold difference in annual larval production across years (43716417). Results indicated environmental conditions and features of the species' reproductive ecology interact to affect demographic parameters and Nb/N. Estimates of Ne based on three single-sample estimators, including LD, approximate Bayesian computation and sibship assignment, were similar to annual estimates of Nb. Findings have important implications concerning applications of genetic monitoring in conservation planning for lake sturgeon and other species with similar life histories and mating systems.</v>
      </c>
      <c r="C335" s="24" t="str">
        <f>IFERROR(__xludf.DUMMYFUNCTION("""COMPUTED_VALUE"""),"10.1111/mec.12167")</f>
        <v>10.1111/mec.12167</v>
      </c>
      <c r="D335" s="24" t="str">
        <f>IFERROR(__xludf.DUMMYFUNCTION("""COMPUTED_VALUE"""),"shaw et al")</f>
        <v>shaw et al</v>
      </c>
      <c r="E335" s="24" t="str">
        <f>IFERROR(__xludf.DUMMYFUNCTION("""COMPUTED_VALUE"""),"WOS:000315414700008")</f>
        <v>WOS:000315414700008</v>
      </c>
      <c r="F335" s="24" t="str">
        <f>IFERROR(__xludf.DUMMYFUNCTION("""COMPUTED_VALUE"""),"[""ELIGIBLE""]")</f>
        <v>["ELIGIBLE"]</v>
      </c>
    </row>
    <row r="336">
      <c r="A336" s="24" t="str">
        <f>IFERROR(__xludf.DUMMYFUNCTION("""COMPUTED_VALUE"""),"Temporal genetic stability in natural populations of the waterflea Daphnia magna in response to strong selection pressure")</f>
        <v>Temporal genetic stability in natural populations of the waterflea Daphnia magna in response to strong selection pressure</v>
      </c>
      <c r="B336" s="24" t="str">
        <f>IFERROR(__xludf.DUMMYFUNCTION("""COMPUTED_VALUE"""),"Studies monitoring changes in genetic diversity and composition through time allow a unique understanding of evolutionary dynamics and persistence of natural populations. However, such studies are often limited to species with short generation times that "&amp;"can be propagated in the laboratory or few exceptional cases in the wild. Species that produce dormant stages provide powerful models for the reconstruction of evolutionary dynamics in the natural environment. A remaining open question is to what extent d"&amp;"ormant egg banks are an unbiased representation of populations and hence of the species' evolutionary potential, especially in the presence of strong environmental selection. We address this key question using the water flea Daphnia magna, which produces "&amp;"dormant stages that accumulate in biological archives over time. We assess temporal genetic stability in three biological archives, previously used in resurrection ecology studies showing adaptive evolutionary responses to rapid environmental change. We s"&amp;"how that neutral genetic diversity does not decline with the age of the population and it is maintained in the presence of strong selection. In addition, by comparing temporal genetic stability in hatched and unhatched populations from the same biological"&amp;" archive, we show that dormant egg banks can be consulted to obtain a reliable measure of genetic diversity over time, at least in the multidecadal time frame studied here. The stability of neutral genetic diversity through time is likely mediated by the "&amp;"buffering effect of the resting egg bank.")</f>
        <v>Studies monitoring changes in genetic diversity and composition through time allow a unique understanding of evolutionary dynamics and persistence of natural populations. However, such studies are often limited to species with short generation times that can be propagated in the laboratory or few exceptional cases in the wild. Species that produce dormant stages provide powerful models for the reconstruction of evolutionary dynamics in the natural environment. A remaining open question is to what extent dormant egg banks are an unbiased representation of populations and hence of the species' evolutionary potential, especially in the presence of strong environmental selection. We address this key question using the water flea Daphnia magna, which produces dormant stages that accumulate in biological archives over time. We assess temporal genetic stability in three biological archives, previously used in resurrection ecology studies showing adaptive evolutionary responses to rapid environmental change. We show that neutral genetic diversity does not decline with the age of the population and it is maintained in the presence of strong selection. In addition, by comparing temporal genetic stability in hatched and unhatched populations from the same biological archive, we show that dormant egg banks can be consulted to obtain a reliable measure of genetic diversity over time, at least in the multidecadal time frame studied here. The stability of neutral genetic diversity through time is likely mediated by the buffering effect of the resting egg bank.</v>
      </c>
      <c r="C336" s="24" t="str">
        <f>IFERROR(__xludf.DUMMYFUNCTION("""COMPUTED_VALUE"""),"10.1111/mec.13907")</f>
        <v>10.1111/mec.13907</v>
      </c>
      <c r="D336" s="24" t="str">
        <f>IFERROR(__xludf.DUMMYFUNCTION("""COMPUTED_VALUE"""),"shaw et al")</f>
        <v>shaw et al</v>
      </c>
      <c r="E336" s="24" t="str">
        <f>IFERROR(__xludf.DUMMYFUNCTION("""COMPUTED_VALUE"""),"WOS:000391939700003")</f>
        <v>WOS:000391939700003</v>
      </c>
      <c r="F336" s="24" t="str">
        <f>IFERROR(__xludf.DUMMYFUNCTION("""COMPUTED_VALUE"""),"[""ELIGIBLE""]")</f>
        <v>["ELIGIBLE"]</v>
      </c>
    </row>
    <row r="337">
      <c r="A337" s="24" t="str">
        <f>IFERROR(__xludf.DUMMYFUNCTION("""COMPUTED_VALUE"""),"Genetic diversity, historic population size, and population structure in 2 North American tree bats")</f>
        <v>Genetic diversity, historic population size, and population structure in 2 North American tree bats</v>
      </c>
      <c r="B337" s="24" t="str">
        <f>IFERROR(__xludf.DUMMYFUNCTION("""COMPUTED_VALUE"""),"Migratory tree bats comprise the majority of casualties at wind energy facilities across North America and some species, like Lasiurus borealis, are suspected to be in decline. We took advantage of the large numbers of L. borealis and L. cinereus salvaged"&amp;" during fall migration at 1 wind farm in Texas and 3 wind farms in Minnesota to evaluate the ability of current genetic methods to estimate population size and detect genetic bottlenecks in these species. Using DNA extracted from wing membrane tissue samp"&amp;"les, we genotyped 439 L. borealis and 246 L. cinereus at 6 microsatellite loci and a 550 bp segment of the mitochondrial COI gene. Both microsatellite loci and mitochondrial haplotypes showed high levels of genetic diversity in each species. Historical es"&amp;"timates of N-e were large for both species. Estimates of N-ef from the COI gene were almost 2 times higher for L. borealis than L. cinereus, whereas estimates utilizing microsatellite heterozygosity were higher for L. cinereus. We found a strong signal of"&amp;" rapid historical population growth and range expansion in L. borealis, but not in L. cinereus. The majority of our estimates of current N-e had upper 95% confidence intervals that encompassed infinity. There is some indication from contemporary estimates"&amp;" of N-e that L. borealis may have a lower current N-e than historical estimates and that L. cinereus may currently have a very large N-e. We found no genetic evidence of recent population declines and no evidence of population structure in either species."&amp;" Genetic monitoring of migratory tree bats, specifically for the purpose of detecting population declines caused by wind turbine mortality, may be impractical due to the large effective population sizes and high levels of gene flow in these species. Futur"&amp;"e efforts should focus on developing genomic resources for these species, obtaining better estimates of mutation rates, and conducting range-wide population genetic studies in order to better estimate historical and current population sizes. (C) 2015 Amer"&amp;"ican Society of Mammalogists, www.mammalogy.org")</f>
        <v>Migratory tree bats comprise the majority of casualties at wind energy facilities across North America and some species, like Lasiurus borealis, are suspected to be in decline. We took advantage of the large numbers of L. borealis and L. cinereus salvaged during fall migration at 1 wind farm in Texas and 3 wind farms in Minnesota to evaluate the ability of current genetic methods to estimate population size and detect genetic bottlenecks in these species. Using DNA extracted from wing membrane tissue samples, we genotyped 439 L. borealis and 246 L. cinereus at 6 microsatellite loci and a 550 bp segment of the mitochondrial COI gene. Both microsatellite loci and mitochondrial haplotypes showed high levels of genetic diversity in each species. Historical estimates of N-e were large for both species. Estimates of N-ef from the COI gene were almost 2 times higher for L. borealis than L. cinereus, whereas estimates utilizing microsatellite heterozygosity were higher for L. cinereus. We found a strong signal of rapid historical population growth and range expansion in L. borealis, but not in L. cinereus. The majority of our estimates of current N-e had upper 95% confidence intervals that encompassed infinity. There is some indication from contemporary estimates of N-e that L. borealis may have a lower current N-e than historical estimates and that L. cinereus may currently have a very large N-e. We found no genetic evidence of recent population declines and no evidence of population structure in either species. Genetic monitoring of migratory tree bats, specifically for the purpose of detecting population declines caused by wind turbine mortality, may be impractical due to the large effective population sizes and high levels of gene flow in these species. Future efforts should focus on developing genomic resources for these species, obtaining better estimates of mutation rates, and conducting range-wide population genetic studies in order to better estimate historical and current population sizes. (C) 2015 American Society of Mammalogists, www.mammalogy.org</v>
      </c>
      <c r="C337" s="24" t="str">
        <f>IFERROR(__xludf.DUMMYFUNCTION("""COMPUTED_VALUE"""),"10.1093/jmammal/gyv101")</f>
        <v>10.1093/jmammal/gyv101</v>
      </c>
      <c r="D337" s="24" t="str">
        <f>IFERROR(__xludf.DUMMYFUNCTION("""COMPUTED_VALUE"""),"shaw et al")</f>
        <v>shaw et al</v>
      </c>
      <c r="E337" s="24" t="str">
        <f>IFERROR(__xludf.DUMMYFUNCTION("""COMPUTED_VALUE"""),"WOS:000362497700009")</f>
        <v>WOS:000362497700009</v>
      </c>
      <c r="F337" s="24" t="str">
        <f>IFERROR(__xludf.DUMMYFUNCTION("""COMPUTED_VALUE"""),"[""ELIGIBLE""]")</f>
        <v>["ELIGIBLE"]</v>
      </c>
    </row>
    <row r="338">
      <c r="A338" s="24" t="str">
        <f>IFERROR(__xludf.DUMMYFUNCTION("""COMPUTED_VALUE"""),"Population genetic structure of Atlantic salmon, Salmo salar L., in the River Tamar, southwest England")</f>
        <v>Population genetic structure of Atlantic salmon, Salmo salar L., in the River Tamar, southwest England</v>
      </c>
      <c r="B338" s="24" t="str">
        <f>IFERROR(__xludf.DUMMYFUNCTION("""COMPUTED_VALUE"""),"P&gt;Population genetic studies can be useful for informing conservation and management. In Atlantic salmon, Salmo salar L., population structuring frequently occurs between river systems, but contrasting patterns occur within rivers, highlighting the need f"&amp;"or catchment-specific studies to inform management. Here, population structure of Atlantic salmon was examined in the River Tamar, United Kingdom, using 12 microsatellite loci. Gene diversity and allelic richness ranged from 0.80 to 0.84 and from 8.96 to "&amp;"10.24, respectively. Some evidence of genetic structure was found, including significant genetic differentiation between samples in different subcatchments (pairwise theta and tests of genic differentiation), results from assignment tests and a pattern of"&amp;" isolation by distance. Conversely, structure revealed only one population cluster, and an analysis of molecular variance showed no significant variation between subcatchments. Evidence of population bottlenecks depended on the mutation model assumed and "&amp;"is discussed with reference to catchment-specific studies of stock abundance. Implications for implementing management actions are considered.")</f>
        <v>P&gt;Population genetic studies can be useful for informing conservation and management. In Atlantic salmon, Salmo salar L., population structuring frequently occurs between river systems, but contrasting patterns occur within rivers, highlighting the need for catchment-specific studies to inform management. Here, population structure of Atlantic salmon was examined in the River Tamar, United Kingdom, using 12 microsatellite loci. Gene diversity and allelic richness ranged from 0.80 to 0.84 and from 8.96 to 10.24, respectively. Some evidence of genetic structure was found, including significant genetic differentiation between samples in different subcatchments (pairwise theta and tests of genic differentiation), results from assignment tests and a pattern of isolation by distance. Conversely, structure revealed only one population cluster, and an analysis of molecular variance showed no significant variation between subcatchments. Evidence of population bottlenecks depended on the mutation model assumed and is discussed with reference to catchment-specific studies of stock abundance. Implications for implementing management actions are considered.</v>
      </c>
      <c r="C338" s="24" t="str">
        <f>IFERROR(__xludf.DUMMYFUNCTION("""COMPUTED_VALUE"""),"10.1111/j.1365-2400.2010.00776.x")</f>
        <v>10.1111/j.1365-2400.2010.00776.x</v>
      </c>
      <c r="D338" s="24" t="str">
        <f>IFERROR(__xludf.DUMMYFUNCTION("""COMPUTED_VALUE"""),"shaw et al")</f>
        <v>shaw et al</v>
      </c>
      <c r="E338" s="24" t="str">
        <f>IFERROR(__xludf.DUMMYFUNCTION("""COMPUTED_VALUE"""),"WOS:000290173700006")</f>
        <v>WOS:000290173700006</v>
      </c>
      <c r="F338" s="24" t="str">
        <f>IFERROR(__xludf.DUMMYFUNCTION("""COMPUTED_VALUE"""),"[""ELIGIBLE""]")</f>
        <v>["ELIGIBLE"]</v>
      </c>
    </row>
    <row r="339">
      <c r="A339" s="24" t="str">
        <f>IFERROR(__xludf.DUMMYFUNCTION("""COMPUTED_VALUE"""),"Genetic structure and evidence for recent population decline in Eurasian otter populations in the Czech and Slovak Republics: implications for conservation")</f>
        <v>Genetic structure and evidence for recent population decline in Eurasian otter populations in the Czech and Slovak Republics: implications for conservation</v>
      </c>
      <c r="B339" s="24" t="str">
        <f>IFERROR(__xludf.DUMMYFUNCTION("""COMPUTED_VALUE"""),"Over the latter part of the 20th century, Eurasian otter Lutra lutra populations suffered dramatic declines, resulting in extinction or fragmentation of populations in many western and central European countries. Part of the Czech otter population became "&amp;"totally isolated while the Slovak population remained partly connected to the relatively continuous central and eastern European otter distribution range. This paper examines the genetic structure and past demographic history of otters in the Czech and Sl"&amp;"ovak Republics, using microsatellite nuclear markers amplified from DNA extracted from tissue and faecal samples. A relatively high level of genetic differentiation was found between the Czech and Slovak populations (F-ST=0.154, P=0.0002), supported by a "&amp;"perfect assignment in Bayesian cluster analysis. Both the Czech and Slovak populations showed significant heterozygosity excess (assuming an infinite allele model), indicating recent population bottlenecks. A very recent population decline was also sugges"&amp;"ted by coalescent analysis, inferring a drop to c. 25% of past effective population size in both populations. The timing of the decline was in accordance with published data from otter surveys, suggesting that the strongest decline probably occurred betwe"&amp;"en the 1970s and the mid-1990s. The results of this study confirm that otter populations remain vulnerable to any violent demographic change and, despite the claims of fish-farmers and anglers for legal culls, it is highly desirable that they remain a str"&amp;"ongly protected species in both countries. The spreading and re-connection of otter populations observed recently is essential for the future health of the populations, and should be supported through habitat conservation.")</f>
        <v>Over the latter part of the 20th century, Eurasian otter Lutra lutra populations suffered dramatic declines, resulting in extinction or fragmentation of populations in many western and central European countries. Part of the Czech otter population became totally isolated while the Slovak population remained partly connected to the relatively continuous central and eastern European otter distribution range. This paper examines the genetic structure and past demographic history of otters in the Czech and Slovak Republics, using microsatellite nuclear markers amplified from DNA extracted from tissue and faecal samples. A relatively high level of genetic differentiation was found between the Czech and Slovak populations (F-ST=0.154, P=0.0002), supported by a perfect assignment in Bayesian cluster analysis. Both the Czech and Slovak populations showed significant heterozygosity excess (assuming an infinite allele model), indicating recent population bottlenecks. A very recent population decline was also suggested by coalescent analysis, inferring a drop to c. 25% of past effective population size in both populations. The timing of the decline was in accordance with published data from otter surveys, suggesting that the strongest decline probably occurred between the 1970s and the mid-1990s. The results of this study confirm that otter populations remain vulnerable to any violent demographic change and, despite the claims of fish-farmers and anglers for legal culls, it is highly desirable that they remain a strongly protected species in both countries. The spreading and re-connection of otter populations observed recently is essential for the future health of the populations, and should be supported through habitat conservation.</v>
      </c>
      <c r="C339" s="24" t="str">
        <f>IFERROR(__xludf.DUMMYFUNCTION("""COMPUTED_VALUE"""),"10.1111/j.1469-7998.2006.00259.x")</f>
        <v>10.1111/j.1469-7998.2006.00259.x</v>
      </c>
      <c r="D339" s="24" t="str">
        <f>IFERROR(__xludf.DUMMYFUNCTION("""COMPUTED_VALUE"""),"shaw et al")</f>
        <v>shaw et al</v>
      </c>
      <c r="E339" s="24" t="str">
        <f>IFERROR(__xludf.DUMMYFUNCTION("""COMPUTED_VALUE"""),"WOS:000245745300001")</f>
        <v>WOS:000245745300001</v>
      </c>
      <c r="F339" s="24" t="str">
        <f>IFERROR(__xludf.DUMMYFUNCTION("""COMPUTED_VALUE"""),"[""ELIGIBLE""]")</f>
        <v>["ELIGIBLE"]</v>
      </c>
    </row>
    <row r="340">
      <c r="A340" s="24" t="str">
        <f>IFERROR(__xludf.DUMMYFUNCTION("""COMPUTED_VALUE"""),"Adult survival and microsatellite diversity in possums: effects of major histocompatibility complex-linked microsatellite diversity but not multilocus inbreeding estimators")</f>
        <v>Adult survival and microsatellite diversity in possums: effects of major histocompatibility complex-linked microsatellite diversity but not multilocus inbreeding estimators</v>
      </c>
      <c r="B340" s="24" t="str">
        <f>IFERROR(__xludf.DUMMYFUNCTION("""COMPUTED_VALUE"""),"Adult survival is perhaps the fitness parameter most important to population growth in long-lived species. Intrinsic and extrinsic covariates of survival are therefore likely to be important drivers of population dynamics. We used long-term mark-recapture"&amp;" data to identify genetic, individual and environmental covariates of local survival in a natural population of mountain brushtail possums (Trichosurus cunninghami). Rainfall and intra-individual diversity at microsatellite DNA markers were associated wit"&amp;"h increased local survival of adults and juveniles. We contrasted the performance of several microsatellite heterozygosity measures, including internal relatedness (IR), homozygosity by loci (HL) and the mean multilocus estimate of the squared difference "&amp;"in microsatellite allele sizes within an individual (mean d (2)). However, the strongest effect on survival was not associated with multilocus microsatellite diversity (which would indicate a genome-wide inbreeding effect), but a subset of two loci. This "&amp;"included a major histocompatibility complex (MHC)-linked marker and a putatively neutral microsatellite locus. For both loci, diversity measures incorporating allele size information had stronger associations with survival than measures based on heterozyg"&amp;"osity, whether or not allele frequency information was included (such as IR). Increased survival was apparent among heterozygotes at the MHC-linked locus, but the benefits of heterozygosity to survival were reduced in heterozygotes with larger differences"&amp;" in allele size. The effect of heterozygosity on fitness-related traits was supported by data on endoparasites in a subset of the individuals studied in this population. There was no apparent density dependence in survival, nor an effect of sex, age or im"&amp;"migrant status. Our findings suggest that in the apparent absence of inbreeding, variation at specific loci can generate strong associations between fitness and diversity at linked markers.")</f>
        <v>Adult survival is perhaps the fitness parameter most important to population growth in long-lived species. Intrinsic and extrinsic covariates of survival are therefore likely to be important drivers of population dynamics. We used long-term mark-recapture data to identify genetic, individual and environmental covariates of local survival in a natural population of mountain brushtail possums (Trichosurus cunninghami). Rainfall and intra-individual diversity at microsatellite DNA markers were associated with increased local survival of adults and juveniles. We contrasted the performance of several microsatellite heterozygosity measures, including internal relatedness (IR), homozygosity by loci (HL) and the mean multilocus estimate of the squared difference in microsatellite allele sizes within an individual (mean d (2)). However, the strongest effect on survival was not associated with multilocus microsatellite diversity (which would indicate a genome-wide inbreeding effect), but a subset of two loci. This included a major histocompatibility complex (MHC)-linked marker and a putatively neutral microsatellite locus. For both loci, diversity measures incorporating allele size information had stronger associations with survival than measures based on heterozygosity, whether or not allele frequency information was included (such as IR). Increased survival was apparent among heterozygotes at the MHC-linked locus, but the benefits of heterozygosity to survival were reduced in heterozygotes with larger differences in allele size. The effect of heterozygosity on fitness-related traits was supported by data on endoparasites in a subset of the individuals studied in this population. There was no apparent density dependence in survival, nor an effect of sex, age or immigrant status. Our findings suggest that in the apparent absence of inbreeding, variation at specific loci can generate strong associations between fitness and diversity at linked markers.</v>
      </c>
      <c r="C340" s="24" t="str">
        <f>IFERROR(__xludf.DUMMYFUNCTION("""COMPUTED_VALUE"""),"10.1007/s00442-009-1464-0")</f>
        <v>10.1007/s00442-009-1464-0</v>
      </c>
      <c r="D340" s="24" t="str">
        <f>IFERROR(__xludf.DUMMYFUNCTION("""COMPUTED_VALUE"""),"shaw et al")</f>
        <v>shaw et al</v>
      </c>
      <c r="E340" s="24" t="str">
        <f>IFERROR(__xludf.DUMMYFUNCTION("""COMPUTED_VALUE"""),"WOS:000273795200010")</f>
        <v>WOS:000273795200010</v>
      </c>
      <c r="F340" s="24" t="str">
        <f>IFERROR(__xludf.DUMMYFUNCTION("""COMPUTED_VALUE"""),"[""ELIGIBLE""]")</f>
        <v>["ELIGIBLE"]</v>
      </c>
    </row>
    <row r="341">
      <c r="A341" s="24" t="str">
        <f>IFERROR(__xludf.DUMMYFUNCTION("""COMPUTED_VALUE"""),"Three Decades of Farmed Escapees in the Wild: A Spatio-Temporal Analysis of Atlantic Salmon Population Genetic Structure throughout Norway")</f>
        <v>Three Decades of Farmed Escapees in the Wild: A Spatio-Temporal Analysis of Atlantic Salmon Population Genetic Structure throughout Norway</v>
      </c>
      <c r="B341" s="24" t="str">
        <f>IFERROR(__xludf.DUMMYFUNCTION("""COMPUTED_VALUE"""),"Each year, hundreds of thousands of domesticated farmed Atlantic salmon escape into the wild. In Norway, which is the world's largest commercial producer, many native Atlantic salmon populations have experienced large numbers of escapees on the spawning g"&amp;"rounds for the past 15-30 years. In order to study the potential genetic impact, we conducted a spatio-temporal analysis of 3049 fish from 21 populations throughout Norway, sampled in the period 1970-2010. Based upon the analysis of 22 microsatellites, in"&amp;"dividual admixture, F-ST and increased allelic richness revealed temporal genetic changes in six of the populations. These changes were highly significant in four of them. For example, 76% and 100% of the fish comprising the contemporary samples for the r"&amp;"ivers Vosso and Opo were excluded from their respective historical samples at P = 0.001. Based upon several genetic parameters, including simulations, genetic drift was excluded as the primary cause of the observed genetic changes. In the remaining 15 pop"&amp;"ulations, some of which had also been exposed to high numbers of escapees, clear genetic changes were not detected. Significant population genetic structuring was observed among the 21 populations in the historical (global F-ST = 0.038) and contemporary d"&amp;"ata sets (global F-ST = 0.030), although significantly reduced with time (P = 0.008). This reduction was especially distinct when looking at the six populations displaying temporal changes (global F-ST dropped from 0.058 to 0.039, P = 0.006). We draw two "&amp;"main conclusions: 1. The majority of the historical population genetic structure throughout Norway still appears to be retained, suggesting a low to modest overall success of farmed escapees in the wild; 2. Genetic introgression of farmed escapees in nati"&amp;"ve salmon populations has been strongly population-dependent, and it appears to be linked with the density of the native population.")</f>
        <v>Each year, hundreds of thousands of domesticated farmed Atlantic salmon escape into the wild. In Norway, which is the world's largest commercial producer, many native Atlantic salmon populations have experienced large numbers of escapees on the spawning grounds for the past 15-30 years. In order to study the potential genetic impact, we conducted a spatio-temporal analysis of 3049 fish from 21 populations throughout Norway, sampled in the period 1970-2010. Based upon the analysis of 22 microsatellites, individual admixture, F-ST and increased allelic richness revealed temporal genetic changes in six of the populations. These changes were highly significant in four of them. For example, 76% and 100% of the fish comprising the contemporary samples for the rivers Vosso and Opo were excluded from their respective historical samples at P = 0.001. Based upon several genetic parameters, including simulations, genetic drift was excluded as the primary cause of the observed genetic changes. In the remaining 15 populations, some of which had also been exposed to high numbers of escapees, clear genetic changes were not detected. Significant population genetic structuring was observed among the 21 populations in the historical (global F-ST = 0.038) and contemporary data sets (global F-ST = 0.030), although significantly reduced with time (P = 0.008). This reduction was especially distinct when looking at the six populations displaying temporal changes (global F-ST dropped from 0.058 to 0.039, P = 0.006). We draw two main conclusions: 1. The majority of the historical population genetic structure throughout Norway still appears to be retained, suggesting a low to modest overall success of farmed escapees in the wild; 2. Genetic introgression of farmed escapees in native salmon populations has been strongly population-dependent, and it appears to be linked with the density of the native population.</v>
      </c>
      <c r="C341" s="24" t="str">
        <f>IFERROR(__xludf.DUMMYFUNCTION("""COMPUTED_VALUE"""),"10.1371/journal.pone.0043129")</f>
        <v>10.1371/journal.pone.0043129</v>
      </c>
      <c r="D341" s="24" t="str">
        <f>IFERROR(__xludf.DUMMYFUNCTION("""COMPUTED_VALUE"""),"shaw et al")</f>
        <v>shaw et al</v>
      </c>
      <c r="E341" s="24" t="str">
        <f>IFERROR(__xludf.DUMMYFUNCTION("""COMPUTED_VALUE"""),"WOS:000307823600049")</f>
        <v>WOS:000307823600049</v>
      </c>
      <c r="F341" s="24" t="str">
        <f>IFERROR(__xludf.DUMMYFUNCTION("""COMPUTED_VALUE"""),"[""ELIGIBLE""]")</f>
        <v>["ELIGIBLE"]</v>
      </c>
    </row>
    <row r="342">
      <c r="A342" s="24" t="str">
        <f>IFERROR(__xludf.DUMMYFUNCTION("""COMPUTED_VALUE"""),"Sibship reconstruction demonstrates the extremely low effective population size of striped bass Morone saxatilis in the Santee-Cooper system, South Carolina, USA")</f>
        <v>Sibship reconstruction demonstrates the extremely low effective population size of striped bass Morone saxatilis in the Santee-Cooper system, South Carolina, USA</v>
      </c>
      <c r="B342" s="24" t="str">
        <f>IFERROR(__xludf.DUMMYFUNCTION("""COMPUTED_VALUE"""),"For organisms with great fecundity and high mortality in early life stages, such as shellfish or fishes, the need to match reproductive activity with environmental conditions conducive to spawning, fertilization, larval development and recruitment may res"&amp;"ult in extreme variance in reproductive success among individuals. The main objective of this study was to investigate evidence of large variance in the reproductive success of the striped bass Morone saxatilis in the Santee-Cooper system, South Carolina,"&amp;" USA. Seven microsatellite loci were analysed in 603 recruits representing three yearly cohorts from 1992 to 1994, and a group analysis was performed to identify full-sib families. Large variance in reproductive success was detected, with a few large, ful"&amp;"l-sib families contributing disproportionately to each of the cohorts. The severity of sweepstakes reproductive success varied among cohorts depending on environmentally imposed mortality. Estimations of the effective number of breeders in these long-live"&amp;"d fish ranged from 24 in 1992 to 44 in 1994. Furthermore, the estimated genetic effective population size (N-e = 93) is approximately four orders of magnitude lower than estimates of adult census size (N = 362 000). Furthermore, the presence of large full"&amp;"-sib families indicates that striped bass engage in pair mating in the wild. Heterogeneity in genetic composition was also observed among cohorts, suggesting that genetically different adults contribute to different cohorts and that chance rather than fit"&amp;"ness variation determines reproductive success.")</f>
        <v>For organisms with great fecundity and high mortality in early life stages, such as shellfish or fishes, the need to match reproductive activity with environmental conditions conducive to spawning, fertilization, larval development and recruitment may result in extreme variance in reproductive success among individuals. The main objective of this study was to investigate evidence of large variance in the reproductive success of the striped bass Morone saxatilis in the Santee-Cooper system, South Carolina, USA. Seven microsatellite loci were analysed in 603 recruits representing three yearly cohorts from 1992 to 1994, and a group analysis was performed to identify full-sib families. Large variance in reproductive success was detected, with a few large, full-sib families contributing disproportionately to each of the cohorts. The severity of sweepstakes reproductive success varied among cohorts depending on environmentally imposed mortality. Estimations of the effective number of breeders in these long-lived fish ranged from 24 in 1992 to 44 in 1994. Furthermore, the estimated genetic effective population size (N-e = 93) is approximately four orders of magnitude lower than estimates of adult census size (N = 362 000). Furthermore, the presence of large full-sib families indicates that striped bass engage in pair mating in the wild. Heterogeneity in genetic composition was also observed among cohorts, suggesting that genetically different adults contribute to different cohorts and that chance rather than fitness variation determines reproductive success.</v>
      </c>
      <c r="C342" s="24" t="str">
        <f>IFERROR(__xludf.DUMMYFUNCTION("""COMPUTED_VALUE"""),"10.1111/j.1365-294X.2009.04343.x")</f>
        <v>10.1111/j.1365-294X.2009.04343.x</v>
      </c>
      <c r="D342" s="24" t="str">
        <f>IFERROR(__xludf.DUMMYFUNCTION("""COMPUTED_VALUE"""),"shaw et al")</f>
        <v>shaw et al</v>
      </c>
      <c r="E342" s="24" t="str">
        <f>IFERROR(__xludf.DUMMYFUNCTION("""COMPUTED_VALUE"""),"WOS:000270079100014")</f>
        <v>WOS:000270079100014</v>
      </c>
      <c r="F342" s="24" t="str">
        <f>IFERROR(__xludf.DUMMYFUNCTION("""COMPUTED_VALUE"""),"[""ELIGIBLE""]")</f>
        <v>["ELIGIBLE"]</v>
      </c>
    </row>
    <row r="343">
      <c r="A343" s="24" t="str">
        <f>IFERROR(__xludf.DUMMYFUNCTION("""COMPUTED_VALUE"""),"Historical influences dominate the population genetic structure of a sedentary marine fish, Atlantic wolffish (Anarhichas lupus), across the North Atlantic Ocean")</f>
        <v>Historical influences dominate the population genetic structure of a sedentary marine fish, Atlantic wolffish (Anarhichas lupus), across the North Atlantic Ocean</v>
      </c>
      <c r="B343" s="24" t="str">
        <f>IFERROR(__xludf.DUMMYFUNCTION("""COMPUTED_VALUE"""),"Genetic variation was assessed in Atlantic wolffish, Anarhichas lupus, across the North Atlantic Ocean using microsatellite and amplified fragment length polymorphism (AFLP) markers. Despite unusual life history attributes such as large benthic eggs, larg"&amp;"e larvae, a limited pelagic stage and relatively sedentary adults, which suggest potential for strong population structure, range-wide F-ST values were comparable to other marine fishes (&lt; 0.035). Nevertheless, both significant genetic differentiation amo"&amp;"ng regions and isolation by distance were observed, suggesting limited dispersal in this species. AFLP loci, evaluated on a subset of samples, revealed slightly higher F-ST values, but similar patterns of differentiation and isolation-by-distance estimate"&amp;"s, compared to microsatellites. The genetic structure of Atlantic wolffish has likely been shaped by its post-glacial history of recolonization, North Atlantic current patterns and continuity of habitat on continental shelves.")</f>
        <v>Genetic variation was assessed in Atlantic wolffish, Anarhichas lupus, across the North Atlantic Ocean using microsatellite and amplified fragment length polymorphism (AFLP) markers. Despite unusual life history attributes such as large benthic eggs, large larvae, a limited pelagic stage and relatively sedentary adults, which suggest potential for strong population structure, range-wide F-ST values were comparable to other marine fishes (&lt; 0.035). Nevertheless, both significant genetic differentiation among regions and isolation by distance were observed, suggesting limited dispersal in this species. AFLP loci, evaluated on a subset of samples, revealed slightly higher F-ST values, but similar patterns of differentiation and isolation-by-distance estimates, compared to microsatellites. The genetic structure of Atlantic wolffish has likely been shaped by its post-glacial history of recolonization, North Atlantic current patterns and continuity of habitat on continental shelves.</v>
      </c>
      <c r="C343" s="24" t="str">
        <f>IFERROR(__xludf.DUMMYFUNCTION("""COMPUTED_VALUE"""),"10.1111/j.1365-294X.2010.04806.x")</f>
        <v>10.1111/j.1365-294X.2010.04806.x</v>
      </c>
      <c r="D343" s="24" t="str">
        <f>IFERROR(__xludf.DUMMYFUNCTION("""COMPUTED_VALUE"""),"shaw et al")</f>
        <v>shaw et al</v>
      </c>
      <c r="E343" s="24" t="str">
        <f>IFERROR(__xludf.DUMMYFUNCTION("""COMPUTED_VALUE"""),"WOS:000282180500014")</f>
        <v>WOS:000282180500014</v>
      </c>
      <c r="F343" s="24" t="str">
        <f>IFERROR(__xludf.DUMMYFUNCTION("""COMPUTED_VALUE"""),"[""ELIGIBLE""]")</f>
        <v>["ELIGIBLE"]</v>
      </c>
    </row>
    <row r="344">
      <c r="A344" s="24" t="str">
        <f>IFERROR(__xludf.DUMMYFUNCTION("""COMPUTED_VALUE"""),"Temporal fine-scale genetic variation in the zoonosis-carrying long-tailed pygmy rice rat in Patagonia, Argentina")</f>
        <v>Temporal fine-scale genetic variation in the zoonosis-carrying long-tailed pygmy rice rat in Patagonia, Argentina</v>
      </c>
      <c r="B344" s="24" t="str">
        <f>IFERROR(__xludf.DUMMYFUNCTION("""COMPUTED_VALUE"""),"Factors modeling the population genetic structure are of major importance when species involved in the transmission of zoonoses are considered. The long-tailed pygmy rice rat or colilargo' Oligoryzomys longicaudatus is a highly vagile rodent species which"&amp;" acts as the reservoir of the Andes hantavirus in southern Argentina and Chile. To contribute to the knowledge of the processes determining the microgeographical genetic structure of populations of this species, we used 10 microsatellite loci to estimate "&amp;"the levels of polymorphism, individual relatedness and the population effective sizes through time and to explore if the effective size correlated with density. Individuals were sampled seasonally during a 25-month period in a population from the Argentin"&amp;"ean Patagonia located in the endemic area of Hantavirus Pulmonary Syndrome. We detected three genetic clusters. An important temporal change in cluster prevalence was detected after a population bottleneck. Individuals of the same period presented higher "&amp;"mean relatedness values than between consecutive periods. Density and effective population size estimations were correlated. All analyses performed in this study are in line with the conclusion that high levels of gene flow encompassing different habitats"&amp;" would be a major process producing fine-scale temporal changes in the genetic composition of the studied population.")</f>
        <v>Factors modeling the population genetic structure are of major importance when species involved in the transmission of zoonoses are considered. The long-tailed pygmy rice rat or colilargo' Oligoryzomys longicaudatus is a highly vagile rodent species which acts as the reservoir of the Andes hantavirus in southern Argentina and Chile. To contribute to the knowledge of the processes determining the microgeographical genetic structure of populations of this species, we used 10 microsatellite loci to estimate the levels of polymorphism, individual relatedness and the population effective sizes through time and to explore if the effective size correlated with density. Individuals were sampled seasonally during a 25-month period in a population from the Argentinean Patagonia located in the endemic area of Hantavirus Pulmonary Syndrome. We detected three genetic clusters. An important temporal change in cluster prevalence was detected after a population bottleneck. Individuals of the same period presented higher mean relatedness values than between consecutive periods. Density and effective population size estimations were correlated. All analyses performed in this study are in line with the conclusion that high levels of gene flow encompassing different habitats would be a major process producing fine-scale temporal changes in the genetic composition of the studied population.</v>
      </c>
      <c r="C344" s="24" t="str">
        <f>IFERROR(__xludf.DUMMYFUNCTION("""COMPUTED_VALUE"""),"10.1111/jzo.12238")</f>
        <v>10.1111/jzo.12238</v>
      </c>
      <c r="D344" s="24" t="str">
        <f>IFERROR(__xludf.DUMMYFUNCTION("""COMPUTED_VALUE"""),"shaw et al")</f>
        <v>shaw et al</v>
      </c>
      <c r="E344" s="24" t="str">
        <f>IFERROR(__xludf.DUMMYFUNCTION("""COMPUTED_VALUE"""),"WOS:000357817000008")</f>
        <v>WOS:000357817000008</v>
      </c>
      <c r="F344" s="24" t="str">
        <f>IFERROR(__xludf.DUMMYFUNCTION("""COMPUTED_VALUE"""),"[""ELIGIBLE""]")</f>
        <v>["ELIGIBLE"]</v>
      </c>
    </row>
    <row r="345">
      <c r="A345" s="24" t="str">
        <f>IFERROR(__xludf.DUMMYFUNCTION("""COMPUTED_VALUE"""),"Investigation of the domestication of common bean (Phaseolus vulgaris) using multilocus sequence data")</f>
        <v>Investigation of the domestication of common bean (Phaseolus vulgaris) using multilocus sequence data</v>
      </c>
      <c r="B345" s="24" t="str">
        <f>IFERROR(__xludf.DUMMYFUNCTION("""COMPUTED_VALUE"""),"Multilocus sequence data collected from domesticated and related wild relatives provides a rich source of information on the effect of human selection on the diversity and adaptability of a species to complex environments. To evaluate the domestication hi"&amp;"story of common bean (Phaseolus vulgaris L.), multilocus sequence data from landraces representing the various races within the Middle American (MA) and Andean gene pools was evaluated. Across 13 loci, nucleotide diversity was similar between landraces an"&amp;"d wild germplasm in both gene pools. The diversity data were evaluated using the approximate Bayesian computation approach to test multiple domestication models and estimate population demographic parameters. A model with a single domestication event coup"&amp;"led with bidirectional migration between wild and domesticated genotypes fitted the data better than models consisting of two or three domestication events in each genepool. The effective bottleneck population size was similar to 50% of the base populatio"&amp;"n in each genepool. The bottleneck began similar to 8200 and similar to 8500 years before present and ended at similar to 6300 and similar to 7000 years before present in MA and Andean gene pools respectively. Linkage disequilibrium decayed to a greater e"&amp;"xtent in the MA genepool. Given the (1) geographical adaptation bottleneck in each wild gene pool, (2) a subsequent domestication bottleneck within each gene pool, (3) differentiation into gene-pool specific races and (4) variable extents of linkage diseq"&amp;"uilibrium, association mapping experiments for common bean would more appropriately be performed within each genepool.")</f>
        <v>Multilocus sequence data collected from domesticated and related wild relatives provides a rich source of information on the effect of human selection on the diversity and adaptability of a species to complex environments. To evaluate the domestication history of common bean (Phaseolus vulgaris L.), multilocus sequence data from landraces representing the various races within the Middle American (MA) and Andean gene pools was evaluated. Across 13 loci, nucleotide diversity was similar between landraces and wild germplasm in both gene pools. The diversity data were evaluated using the approximate Bayesian computation approach to test multiple domestication models and estimate population demographic parameters. A model with a single domestication event coupled with bidirectional migration between wild and domesticated genotypes fitted the data better than models consisting of two or three domestication events in each genepool. The effective bottleneck population size was similar to 50% of the base population in each genepool. The bottleneck began similar to 8200 and similar to 8500 years before present and ended at similar to 6300 and similar to 7000 years before present in MA and Andean gene pools respectively. Linkage disequilibrium decayed to a greater extent in the MA genepool. Given the (1) geographical adaptation bottleneck in each wild gene pool, (2) a subsequent domestication bottleneck within each gene pool, (3) differentiation into gene-pool specific races and (4) variable extents of linkage disequilibrium, association mapping experiments for common bean would more appropriately be performed within each genepool.</v>
      </c>
      <c r="C345" s="24" t="str">
        <f>IFERROR(__xludf.DUMMYFUNCTION("""COMPUTED_VALUE"""),"10.1071/FP11124")</f>
        <v>10.1071/FP11124</v>
      </c>
      <c r="D345" s="24" t="str">
        <f>IFERROR(__xludf.DUMMYFUNCTION("""COMPUTED_VALUE"""),"shaw et al")</f>
        <v>shaw et al</v>
      </c>
      <c r="E345" s="24" t="str">
        <f>IFERROR(__xludf.DUMMYFUNCTION("""COMPUTED_VALUE"""),"WOS:000297556100005")</f>
        <v>WOS:000297556100005</v>
      </c>
      <c r="F345" s="24" t="str">
        <f>IFERROR(__xludf.DUMMYFUNCTION("""COMPUTED_VALUE"""),"[""ELIGIBLE""]")</f>
        <v>["ELIGIBLE"]</v>
      </c>
    </row>
    <row r="346">
      <c r="A346" s="24" t="str">
        <f>IFERROR(__xludf.DUMMYFUNCTION("""COMPUTED_VALUE"""),"Population genetic structure of eelgrass (Zostera marina) on the Korean coast: Current status and conservation implications for future management")</f>
        <v>Population genetic structure of eelgrass (Zostera marina) on the Korean coast: Current status and conservation implications for future management</v>
      </c>
      <c r="B346" s="24" t="str">
        <f>IFERROR(__xludf.DUMMYFUNCTION("""COMPUTED_VALUE"""),"Seagrasses provide numerous ecosystem services for coastal and estuarine environments, such as nursery functions, erosion protection, pollution filtration, and carbon sequestration. Zostera marina (common name broken vertical bar eelgrass ) is one of the "&amp;"seagrass bed-forming species distributed widely in the northern hemisphere, including the Korean Peninsula. Recently, however, there has been a drastic decline in the population size of Z. marina worldwide, including Korea. We examined the current populat"&amp;"ion genetic status of this species on the southern coast of Korea by estimating the levels of genetic diversity and genetic structure of 10 geographic populations using eight nuclear microsatellite markers. The level of genetic diversity was found to be s"&amp;"ignificantly lower for populations on Jeju Island [mean allelic richness (AR) = 1.92, clonal diversity (R) = 0.51], which is located approximately 155 km off the southernmost region of the Korean Peninsula, than for those in the South Sea (mean AR = 2.69,"&amp;" R = 0.82), which is on the southern coast of the mainland. South Korean eelgrass populations were substantially genetically divergent from one another (F-ST = 0.061 - 0.573), suggesting that limited contemporary gene flow has been taking place among popu"&amp;"lations. We also found weak but detectable temporal variation in genetic structure within a site over 10 years. In additional depth comparisons, statistically significant genetic differentiation was observed between shallow (or middle) and deep zones in t"&amp;"wo of three sites tested. Depleted genetic diversity, small effective population sizes (N-e) and limited connectivity for populations on Jeju Island indicate that these populations may be vulnerable to local extinction under changing environmental conditi"&amp;"ons, especially given that Jeju Island is one of the fastest warming regions around the world. Overall, our work will inform conservation and restoration efforts, including transplantation for eelgrass populations at the southern tip of the Korean Peninsu"&amp;"la, for this ecologically important species.")</f>
        <v>Seagrasses provide numerous ecosystem services for coastal and estuarine environments, such as nursery functions, erosion protection, pollution filtration, and carbon sequestration. Zostera marina (common name broken vertical bar eelgrass ) is one of the seagrass bed-forming species distributed widely in the northern hemisphere, including the Korean Peninsula. Recently, however, there has been a drastic decline in the population size of Z. marina worldwide, including Korea. We examined the current population genetic status of this species on the southern coast of Korea by estimating the levels of genetic diversity and genetic structure of 10 geographic populations using eight nuclear microsatellite markers. The level of genetic diversity was found to be significantly lower for populations on Jeju Island [mean allelic richness (AR) = 1.92, clonal diversity (R) = 0.51], which is located approximately 155 km off the southernmost region of the Korean Peninsula, than for those in the South Sea (mean AR = 2.69, R = 0.82), which is on the southern coast of the mainland. South Korean eelgrass populations were substantially genetically divergent from one another (F-ST = 0.061 - 0.573), suggesting that limited contemporary gene flow has been taking place among populations. We also found weak but detectable temporal variation in genetic structure within a site over 10 years. In additional depth comparisons, statistically significant genetic differentiation was observed between shallow (or middle) and deep zones in two of three sites tested. Depleted genetic diversity, small effective population sizes (N-e) and limited connectivity for populations on Jeju Island indicate that these populations may be vulnerable to local extinction under changing environmental conditions, especially given that Jeju Island is one of the fastest warming regions around the world. Overall, our work will inform conservation and restoration efforts, including transplantation for eelgrass populations at the southern tip of the Korean Peninsula, for this ecologically important species.</v>
      </c>
      <c r="C346" s="24" t="str">
        <f>IFERROR(__xludf.DUMMYFUNCTION("""COMPUTED_VALUE"""),"10.1371/journal.pone.0174105")</f>
        <v>10.1371/journal.pone.0174105</v>
      </c>
      <c r="D346" s="24" t="str">
        <f>IFERROR(__xludf.DUMMYFUNCTION("""COMPUTED_VALUE"""),"shaw et al")</f>
        <v>shaw et al</v>
      </c>
      <c r="E346" s="24" t="str">
        <f>IFERROR(__xludf.DUMMYFUNCTION("""COMPUTED_VALUE"""),"WOS:000399089000061")</f>
        <v>WOS:000399089000061</v>
      </c>
      <c r="F346" s="24" t="str">
        <f>IFERROR(__xludf.DUMMYFUNCTION("""COMPUTED_VALUE"""),"[""ELIGIBLE""]")</f>
        <v>["ELIGIBLE"]</v>
      </c>
    </row>
    <row r="347">
      <c r="A347" s="24" t="str">
        <f>IFERROR(__xludf.DUMMYFUNCTION("""COMPUTED_VALUE"""),"Genetic evidence for a recent geographic expansion of 15-acetyldeoxynivalenol chemotypes of Fusarium graminearum in Canada")</f>
        <v>Genetic evidence for a recent geographic expansion of 15-acetyldeoxynivalenol chemotypes of Fusarium graminearum in Canada</v>
      </c>
      <c r="B347" s="24" t="str">
        <f>IFERROR(__xludf.DUMMYFUNCTION("""COMPUTED_VALUE"""),"The genetic structure of 15-acetyldeoxynivalenol (15-ADON) chemotypes of Fusarium graminearum populations collected from Canada was examined using restriction length fragment polymorphism and inter simple sequence repeat molecular markers. The genetic ana"&amp;"lysis revealed that 15-ADON producing F. graminearum populations from different provinces of Canada are genetically homogeneous. Mismatch distribution analysis was used to examine the evolutionary factors leading to genetic homogeneity among populations. "&amp;"The results of mismatch distributions showed evidence of a recent burst in population growth and demographic expansion across Canada. These results suggested that vigilant monitoring of trends of population growth of F. graminearum in Canada may be useful"&amp;" for management of this fungal pathogen.")</f>
        <v>The genetic structure of 15-acetyldeoxynivalenol (15-ADON) chemotypes of Fusarium graminearum populations collected from Canada was examined using restriction length fragment polymorphism and inter simple sequence repeat molecular markers. The genetic analysis revealed that 15-ADON producing F. graminearum populations from different provinces of Canada are genetically homogeneous. Mismatch distribution analysis was used to examine the evolutionary factors leading to genetic homogeneity among populations. The results of mismatch distributions showed evidence of a recent burst in population growth and demographic expansion across Canada. These results suggested that vigilant monitoring of trends of population growth of F. graminearum in Canada may be useful for management of this fungal pathogen.</v>
      </c>
      <c r="C347" s="24" t="str">
        <f>IFERROR(__xludf.DUMMYFUNCTION("""COMPUTED_VALUE"""),"10.1080/07060660909507621")</f>
        <v>10.1080/07060660909507621</v>
      </c>
      <c r="D347" s="24" t="str">
        <f>IFERROR(__xludf.DUMMYFUNCTION("""COMPUTED_VALUE"""),"shaw et al")</f>
        <v>shaw et al</v>
      </c>
      <c r="E347" s="24" t="str">
        <f>IFERROR(__xludf.DUMMYFUNCTION("""COMPUTED_VALUE"""),"WOS:000279668900010")</f>
        <v>WOS:000279668900010</v>
      </c>
      <c r="F347" s="24" t="str">
        <f>IFERROR(__xludf.DUMMYFUNCTION("""COMPUTED_VALUE"""),"[""ELIGIBLE""]")</f>
        <v>["ELIGIBLE"]</v>
      </c>
    </row>
    <row r="348">
      <c r="A348" s="24" t="str">
        <f>IFERROR(__xludf.DUMMYFUNCTION("""COMPUTED_VALUE"""),"Using restriction fragment length polymorphisms to assess temporal variation and estimate the number of ascospores that initiate epidemics in field populations of Mycosphaerella graminicola")</f>
        <v>Using restriction fragment length polymorphisms to assess temporal variation and estimate the number of ascospores that initiate epidemics in field populations of Mycosphaerella graminicola</v>
      </c>
      <c r="B348" s="24" t="str">
        <f>IFERROR(__xludf.DUMMYFUNCTION("""COMPUTED_VALUE"""),"Restriction fragment length polymorphisms (RFLPs) and DNA fingerprints were used to assess temporal variation and estimate the effective population size of the wheat pathogen Mycosphaerella graminicola over a 6-year period. In each year, the fungal popula"&amp;"tion was founded by ascospores originating from outside the sampled fields. A total of 605 fungal isolates were included in this study. Our results indicate that the genetic structure of these M. graminicola populations were stable over the 6-year period."&amp;" The common alleles at each RFLP locus were present at similar frequencies each year. More than 99% of gene diversity was distributed within populations sampled from the same year and less than 1% was attributed to differences among years. The lack of pop"&amp;"ulation differentiation among collections taken in different years indicated that the effective size of the source population was sufficiently large that genetic drift was insignificant in this location. It also suggests that the initial colonists from as"&amp;"cospore founder populations were a fair reflection of the source population. We estimate that the effective sizes of these field populations ranged from 3,400 to 700,000 individuals, depending on the size of the field sampled and assumptions about mutatio"&amp;"n rates. Estimates of the number of ascospores initiating epidemics of leaf blotch disease in each field plot and factors that contribute to the large effective population size of M. graminicola are discussed.")</f>
        <v>Restriction fragment length polymorphisms (RFLPs) and DNA fingerprints were used to assess temporal variation and estimate the effective population size of the wheat pathogen Mycosphaerella graminicola over a 6-year period. In each year, the fungal population was founded by ascospores originating from outside the sampled fields. A total of 605 fungal isolates were included in this study. Our results indicate that the genetic structure of these M. graminicola populations were stable over the 6-year period. The common alleles at each RFLP locus were present at similar frequencies each year. More than 99% of gene diversity was distributed within populations sampled from the same year and less than 1% was attributed to differences among years. The lack of population differentiation among collections taken in different years indicated that the effective size of the source population was sufficiently large that genetic drift was insignificant in this location. It also suggests that the initial colonists from ascospore founder populations were a fair reflection of the source population. We estimate that the effective sizes of these field populations ranged from 3,400 to 700,000 individuals, depending on the size of the field sampled and assumptions about mutation rates. Estimates of the number of ascospores initiating epidemics of leaf blotch disease in each field plot and factors that contribute to the large effective population size of M. graminicola are discussed.</v>
      </c>
      <c r="C348" s="24" t="str">
        <f>IFERROR(__xludf.DUMMYFUNCTION("""COMPUTED_VALUE"""),"10.1094/PHYTO.2001.91.10.1011")</f>
        <v>10.1094/PHYTO.2001.91.10.1011</v>
      </c>
      <c r="D348" s="24" t="str">
        <f>IFERROR(__xludf.DUMMYFUNCTION("""COMPUTED_VALUE"""),"shaw et al")</f>
        <v>shaw et al</v>
      </c>
      <c r="E348" s="24" t="str">
        <f>IFERROR(__xludf.DUMMYFUNCTION("""COMPUTED_VALUE"""),"WOS:000171279300012")</f>
        <v>WOS:000171279300012</v>
      </c>
      <c r="F348" s="24" t="str">
        <f>IFERROR(__xludf.DUMMYFUNCTION("""COMPUTED_VALUE"""),"[""ELIGIBLE""]")</f>
        <v>["ELIGIBLE"]</v>
      </c>
    </row>
    <row r="349">
      <c r="A349" s="24" t="str">
        <f>IFERROR(__xludf.DUMMYFUNCTION("""COMPUTED_VALUE"""),"Phylogeography and population genetics of black alder (Alnus glutinosa (L.) Gaertn.) in Ireland: putting it in a European context")</f>
        <v>Phylogeography and population genetics of black alder (Alnus glutinosa (L.) Gaertn.) in Ireland: putting it in a European context</v>
      </c>
      <c r="B349" s="24" t="str">
        <f>IFERROR(__xludf.DUMMYFUNCTION("""COMPUTED_VALUE"""),"Black alder (Alnus glutinosa (L.) Gaertn.) is a widespread tree of European forests with a high potential for wood and biomass production. This study investigated the genetic origin and diversity in remnants of putative native alder forest stands in Irela"&amp;"nd and compared it with other European populations to determine phylogeographic patterns. The efficiency of capture of the genetic diversity in a breeding population was also assessed. Data were obtained from chloroplast DNA (cpDNA) polymorphisms and from"&amp;" nuclear microsatellites. In silico PCR-RFLP was used to locate cpDNA sequence polymorphisms in order to develop flanking primers for high-resolution melting (HRM) analysis. The cpDNA polymorphism analysis detected two main haplotypes in Ireland. The same"&amp;" two are also found in Wales and England while only one is found in Scotland. The results suggest that Irish populations of alder have originated from at least two European glacial refugia. Black alder in Ireland exhibited no or very weak population diffe"&amp;"rentiation using nuclear microsatellite markers, which is consistent for a wind-dispersed, outcrossing species. Based on the nuclear microsatellite data, a decline in population sizes is estimated to have occurred around a timeframe that coincides with a "&amp;"period of large-scale deforestation. The breeding population contained two haplotypes and showed a high level of genetic capture (86 % of microsatellite alleles) when compared with all samples combined. This study fills a gap in previous knowledge, provid"&amp;"es an additional marker and an additional method for future studies. The characterisation of a breeding population provides valuable baseline data for a national alder tree improvement programme.")</f>
        <v>Black alder (Alnus glutinosa (L.) Gaertn.) is a widespread tree of European forests with a high potential for wood and biomass production. This study investigated the genetic origin and diversity in remnants of putative native alder forest stands in Ireland and compared it with other European populations to determine phylogeographic patterns. The efficiency of capture of the genetic diversity in a breeding population was also assessed. Data were obtained from chloroplast DNA (cpDNA) polymorphisms and from nuclear microsatellites. In silico PCR-RFLP was used to locate cpDNA sequence polymorphisms in order to develop flanking primers for high-resolution melting (HRM) analysis. The cpDNA polymorphism analysis detected two main haplotypes in Ireland. The same two are also found in Wales and England while only one is found in Scotland. The results suggest that Irish populations of alder have originated from at least two European glacial refugia. Black alder in Ireland exhibited no or very weak population differentiation using nuclear microsatellite markers, which is consistent for a wind-dispersed, outcrossing species. Based on the nuclear microsatellite data, a decline in population sizes is estimated to have occurred around a timeframe that coincides with a period of large-scale deforestation. The breeding population contained two haplotypes and showed a high level of genetic capture (86 % of microsatellite alleles) when compared with all samples combined. This study fills a gap in previous knowledge, provides an additional marker and an additional method for future studies. The characterisation of a breeding population provides valuable baseline data for a national alder tree improvement programme.</v>
      </c>
      <c r="C349" s="24" t="str">
        <f>IFERROR(__xludf.DUMMYFUNCTION("""COMPUTED_VALUE"""),"10.1007/s11295-015-0924-4")</f>
        <v>10.1007/s11295-015-0924-4</v>
      </c>
      <c r="D349" s="24" t="str">
        <f>IFERROR(__xludf.DUMMYFUNCTION("""COMPUTED_VALUE"""),"shaw et al")</f>
        <v>shaw et al</v>
      </c>
      <c r="E349" s="24" t="str">
        <f>IFERROR(__xludf.DUMMYFUNCTION("""COMPUTED_VALUE"""),"WOS:000362431600013")</f>
        <v>WOS:000362431600013</v>
      </c>
      <c r="F349" s="24" t="str">
        <f>IFERROR(__xludf.DUMMYFUNCTION("""COMPUTED_VALUE"""),"[""ELIGIBLE""]")</f>
        <v>["ELIGIBLE"]</v>
      </c>
    </row>
    <row r="350">
      <c r="A350" s="24" t="str">
        <f>IFERROR(__xludf.DUMMYFUNCTION("""COMPUTED_VALUE"""),"Comparison of historical bottleneck effects and genetic consequences of re-introduction in a critically endangered island passerine")</f>
        <v>Comparison of historical bottleneck effects and genetic consequences of re-introduction in a critically endangered island passerine</v>
      </c>
      <c r="B350" s="24" t="str">
        <f>IFERROR(__xludf.DUMMYFUNCTION("""COMPUTED_VALUE"""),"Re-introduction is an important tool for recovering endangered species; however, the magnitude of genetic consequences for re-introduced populations remains largely unknown, in particular the relative impacts of historical population bottlenecks compared "&amp;"to those induced by conservation management. We characterize 14 microsatellite loci developed for the Seychelles paradise flycatcher and use them to quantify temporal and spatial measures of genetic variation across a 134-year time frame encompassing a hi"&amp;"storical bottleneck that reduced the species to similar to 28 individuals in the 1960s, through the initial stages of recovery and across a second contemporary conservation-introduction-induced bottleneck. We then evaluate the relative impacts of the two "&amp;"bottlenecks, and finally apply our findings to inform broader re-introduction strategy. We find a temporal trend of significant decrease in standard measures of genetic diversity across the historical bottleneck, but only a nonsignificant downward trend i"&amp;"n number of alleles across the contemporary bottleneck. However, accounting for the different timescales of the two bottlenecks (similar to 40 historical generations versus &lt;1 contemporary generation), the loss of genetic diversity per generation is great"&amp;"er across the contemporary bottleneck. Historically, the flycatcher population was genetically structured; however, extinction on four of five islands has resulted in a homogeneous contemporary population. We conclude that severe historical bottlenecks ca"&amp;"n leave a large footprint in terms of sheer quantity of genetic diversity lost. However, severely depleted genetic diversity does not render a species immune to further genetic erosion upon re-introduction. In some cases, the loss of genetic diversity per"&amp;" generation can, initially at least, be greater across re-introduction-induced bottlenecks.")</f>
        <v>Re-introduction is an important tool for recovering endangered species; however, the magnitude of genetic consequences for re-introduced populations remains largely unknown, in particular the relative impacts of historical population bottlenecks compared to those induced by conservation management. We characterize 14 microsatellite loci developed for the Seychelles paradise flycatcher and use them to quantify temporal and spatial measures of genetic variation across a 134-year time frame encompassing a historical bottleneck that reduced the species to similar to 28 individuals in the 1960s, through the initial stages of recovery and across a second contemporary conservation-introduction-induced bottleneck. We then evaluate the relative impacts of the two bottlenecks, and finally apply our findings to inform broader re-introduction strategy. We find a temporal trend of significant decrease in standard measures of genetic diversity across the historical bottleneck, but only a nonsignificant downward trend in number of alleles across the contemporary bottleneck. However, accounting for the different timescales of the two bottlenecks (similar to 40 historical generations versus &lt;1 contemporary generation), the loss of genetic diversity per generation is greater across the contemporary bottleneck. Historically, the flycatcher population was genetically structured; however, extinction on four of five islands has resulted in a homogeneous contemporary population. We conclude that severe historical bottlenecks can leave a large footprint in terms of sheer quantity of genetic diversity lost. However, severely depleted genetic diversity does not render a species immune to further genetic erosion upon re-introduction. In some cases, the loss of genetic diversity per generation can, initially at least, be greater across re-introduction-induced bottlenecks.</v>
      </c>
      <c r="C350" s="24" t="str">
        <f>IFERROR(__xludf.DUMMYFUNCTION("""COMPUTED_VALUE"""),"10.1111/mec.12429")</f>
        <v>10.1111/mec.12429</v>
      </c>
      <c r="D350" s="24" t="str">
        <f>IFERROR(__xludf.DUMMYFUNCTION("""COMPUTED_VALUE"""),"shaw et al")</f>
        <v>shaw et al</v>
      </c>
      <c r="E350" s="24" t="str">
        <f>IFERROR(__xludf.DUMMYFUNCTION("""COMPUTED_VALUE"""),"WOS:000324022600005")</f>
        <v>WOS:000324022600005</v>
      </c>
      <c r="F350" s="24" t="str">
        <f>IFERROR(__xludf.DUMMYFUNCTION("""COMPUTED_VALUE"""),"[""ELIGIBLE""]")</f>
        <v>["ELIGIBLE"]</v>
      </c>
    </row>
    <row r="351">
      <c r="A351" s="24" t="str">
        <f>IFERROR(__xludf.DUMMYFUNCTION("""COMPUTED_VALUE"""),"Marine population structure in an anadromous fish:: life-history influences patterns of mitochondrial DNA variation in the eulachon, Thaleichthys pacificus")</f>
        <v>Marine population structure in an anadromous fish:: life-history influences patterns of mitochondrial DNA variation in the eulachon, Thaleichthys pacificus</v>
      </c>
      <c r="B351" s="24" t="str">
        <f>IFERROR(__xludf.DUMMYFUNCTION("""COMPUTED_VALUE"""),"Due to the apparent decline in size of a number of populations, eulachon, Thaleichthys pacificus, have recently become the focus of a conservation movement in the northeast Pacific. Little is known of the marine life-history phase of this anadromous fish,"&amp;" and although it has been suggested that eulachon spawning in different rivers may form distinct populations, nothing is known of their population structure. Molecular genetic data were used to investigate population structure and possible management sche"&amp;"mes. Mitochondrial DNA genotypes, determined through restriction fragment length polymorphisms (RFLP) analysis, were resolved in fish from several rivers throughout the geographical range of eulachon. Our data support the idea that extant eulachon populat"&amp;"ions result from postglacial dispersal from a single Wisconsinan glacial refuge. Further, while three of the 37 haplotypes recovered account for approximately 79% of the samples, many private haplotypes were observed, suggesting possible regional populati"&amp;"on structure. While a great deal of genetic variation was observed (37 haplotypes in 315 samples), an AMOVA showed that &gt;97% of the total variation was detected within populations. As yet, it is unclear whether genetically distinct populations of eulachon"&amp;" exist, or if these fish may be treated as one or a few large populations. Results were tested against predictions made from hypotheses concerning the origin and persistence of subdivided populations in marine species, and seem to be more consistent with "&amp;"the Member-Vagrant hypothesis than isolation by distance. Eulachon present an interesting situation that illustrates the difficulties involved in defining management units in organisms with high levels of gene now.")</f>
        <v>Due to the apparent decline in size of a number of populations, eulachon, Thaleichthys pacificus, have recently become the focus of a conservation movement in the northeast Pacific. Little is known of the marine life-history phase of this anadromous fish, and although it has been suggested that eulachon spawning in different rivers may form distinct populations, nothing is known of their population structure. Molecular genetic data were used to investigate population structure and possible management schemes. Mitochondrial DNA genotypes, determined through restriction fragment length polymorphisms (RFLP) analysis, were resolved in fish from several rivers throughout the geographical range of eulachon. Our data support the idea that extant eulachon populations result from postglacial dispersal from a single Wisconsinan glacial refuge. Further, while three of the 37 haplotypes recovered account for approximately 79% of the samples, many private haplotypes were observed, suggesting possible regional population structure. While a great deal of genetic variation was observed (37 haplotypes in 315 samples), an AMOVA showed that &gt;97% of the total variation was detected within populations. As yet, it is unclear whether genetically distinct populations of eulachon exist, or if these fish may be treated as one or a few large populations. Results were tested against predictions made from hypotheses concerning the origin and persistence of subdivided populations in marine species, and seem to be more consistent with the Member-Vagrant hypothesis than isolation by distance. Eulachon present an interesting situation that illustrates the difficulties involved in defining management units in organisms with high levels of gene now.</v>
      </c>
      <c r="C351" s="24" t="str">
        <f>IFERROR(__xludf.DUMMYFUNCTION("""COMPUTED_VALUE"""),"10.1046/j.1365-294X.1999.00818.x")</f>
        <v>10.1046/j.1365-294X.1999.00818.x</v>
      </c>
      <c r="D351" s="24" t="str">
        <f>IFERROR(__xludf.DUMMYFUNCTION("""COMPUTED_VALUE"""),"shaw et al")</f>
        <v>shaw et al</v>
      </c>
      <c r="E351" s="24" t="str">
        <f>IFERROR(__xludf.DUMMYFUNCTION("""COMPUTED_VALUE"""),"WOS:000085737800014")</f>
        <v>WOS:000085737800014</v>
      </c>
      <c r="F351" s="24" t="str">
        <f>IFERROR(__xludf.DUMMYFUNCTION("""COMPUTED_VALUE"""),"[""ELIGIBLE""]")</f>
        <v>["ELIGIBLE"]</v>
      </c>
    </row>
    <row r="352">
      <c r="A352" s="24" t="str">
        <f>IFERROR(__xludf.DUMMYFUNCTION("""COMPUTED_VALUE"""),"Temporal and spatial genetic variation in spawning grounds of European hake (Merluccius merluccius) in the Bay of Biscay")</f>
        <v>Temporal and spatial genetic variation in spawning grounds of European hake (Merluccius merluccius) in the Bay of Biscay</v>
      </c>
      <c r="B352" s="24" t="str">
        <f>IFERROR(__xludf.DUMMYFUNCTION("""COMPUTED_VALUE"""),"Polymorphism at five microsatellite loci were screened to determine the genetic variability and the temporal stability of population structure in natural populations of European hake (Merluccius merluccius, L.) within the Bay of Biscay. In addition, the c"&amp;"ontrol region (900 bp) and two protein coding genes (ATPase, subunits 6 and 8, 842 bp and a partial sequence of the ND1, 800 bp) of the mitochondrial DNA (mtDNA) were sequenced from geographically distant populations from the extremes of the species range"&amp;". One hundred individuals from either side of a supposed stock boundary within the bay were collected in autumn 1997. This sampling strategy was repeated during hake spawning seasons in late spring of 1998 and 1999. Low levels of population subdivision we"&amp;"re found between putative populations within years. Similarly, low levels of differentiation were found between autumn 1997 northern samples and spring 1998 southern samples which were collected 7 months later on spawning grounds. These results are discus"&amp;"sed in relation to ecological, behavioural and oceanographic information. Sampling effects, which may influence these results, are also discussed. Theta (theta) estimates were significantly different from zero in every other pairwise comparison between ge"&amp;"ographical areas (north and south of the Bay of Biscay) and between years within the same area (P &lt; 0.05). Hierarchical analysis of molecular variance (AMOVA) does not confirm the temporal persistence of population structure. These results are discussed i"&amp;"n relation to variance in reproductive success, and temporal spawning patterns, which. may exist within the bay. mtDNA variability was very low between geographically distant samples from Norway and the Mediterranean Sea with only 10 variable sites found "&amp;"in a total of 2542 bp of mtDNA, these differences being exclusively in the D-loop.")</f>
        <v>Polymorphism at five microsatellite loci were screened to determine the genetic variability and the temporal stability of population structure in natural populations of European hake (Merluccius merluccius, L.) within the Bay of Biscay. In addition, the control region (900 bp) and two protein coding genes (ATPase, subunits 6 and 8, 842 bp and a partial sequence of the ND1, 800 bp) of the mitochondrial DNA (mtDNA) were sequenced from geographically distant populations from the extremes of the species range. One hundred individuals from either side of a supposed stock boundary within the bay were collected in autumn 1997. This sampling strategy was repeated during hake spawning seasons in late spring of 1998 and 1999. Low levels of population subdivision were found between putative populations within years. Similarly, low levels of differentiation were found between autumn 1997 northern samples and spring 1998 southern samples which were collected 7 months later on spawning grounds. These results are discussed in relation to ecological, behavioural and oceanographic information. Sampling effects, which may influence these results, are also discussed. Theta (theta) estimates were significantly different from zero in every other pairwise comparison between geographical areas (north and south of the Bay of Biscay) and between years within the same area (P &lt; 0.05). Hierarchical analysis of molecular variance (AMOVA) does not confirm the temporal persistence of population structure. These results are discussed in relation to variance in reproductive success, and temporal spawning patterns, which. may exist within the bay. mtDNA variability was very low between geographically distant samples from Norway and the Mediterranean Sea with only 10 variable sites found in a total of 2542 bp of mtDNA, these differences being exclusively in the D-loop.</v>
      </c>
      <c r="C352" s="24" t="str">
        <f>IFERROR(__xludf.DUMMYFUNCTION("""COMPUTED_VALUE"""),"10.1046/j.1365-294X.2000.01120.x")</f>
        <v>10.1046/j.1365-294X.2000.01120.x</v>
      </c>
      <c r="D352" s="24" t="str">
        <f>IFERROR(__xludf.DUMMYFUNCTION("""COMPUTED_VALUE"""),"shaw et al")</f>
        <v>shaw et al</v>
      </c>
      <c r="E352" s="24" t="str">
        <f>IFERROR(__xludf.DUMMYFUNCTION("""COMPUTED_VALUE"""),"WOS:000166112700013")</f>
        <v>WOS:000166112700013</v>
      </c>
      <c r="F352" s="24" t="str">
        <f>IFERROR(__xludf.DUMMYFUNCTION("""COMPUTED_VALUE"""),"[""ELIGIBLE""]")</f>
        <v>["ELIGIBLE"]</v>
      </c>
    </row>
    <row r="353">
      <c r="A353" s="24" t="str">
        <f>IFERROR(__xludf.DUMMYFUNCTION("""COMPUTED_VALUE"""),"Using Temporal Sampling to Improve Attribution of Source Populations for Invasive Species")</f>
        <v>Using Temporal Sampling to Improve Attribution of Source Populations for Invasive Species</v>
      </c>
      <c r="B353" s="24" t="str">
        <f>IFERROR(__xludf.DUMMYFUNCTION("""COMPUTED_VALUE"""),"Numerous studies have applied genetic tools to the identification of source populations and transport pathways for invasive species. However, there are many gaps in the knowledge obtained from such studies because comprehensive and meaningful spatial samp"&amp;"ling to meet these goals is difficult to achieve. Sampling populations as they arrive at the border should fill the gaps in source population identification, but such an advance has not yet been achieved with genetic data. Here we use previously acquired "&amp;"genetic data to assign new incursions as they invade populations within New Zealand ports and marinas. We also investigated allelelic frequency change in these recently established populations over a two-year period, and assessed the effect of temporal ge"&amp;"netic sampling on our ability to assign new incursions to their population of source. We observed shifts in the allele frequencies among populations, as well as the complete loss of some alleles and the addition of alleles novel to New Zealand, within the"&amp;"se recently established populations. There was no significant level of genetic differentiation observed in our samples between years, and the use of these temporal data did alter the assignment probability of new incursions. Our study further suggests tha"&amp;"t new incursions can add genetic variation to the population in a single introduction event as the founders themselves are often more genetically diverse than theory initially predicted.")</f>
        <v>Numerous studies have applied genetic tools to the identification of source populations and transport pathways for invasive species. However, there are many gaps in the knowledge obtained from such studies because comprehensive and meaningful spatial sampling to meet these goals is difficult to achieve. Sampling populations as they arrive at the border should fill the gaps in source population identification, but such an advance has not yet been achieved with genetic data. Here we use previously acquired genetic data to assign new incursions as they invade populations within New Zealand ports and marinas. We also investigated allelelic frequency change in these recently established populations over a two-year period, and assessed the effect of temporal genetic sampling on our ability to assign new incursions to their population of source. We observed shifts in the allele frequencies among populations, as well as the complete loss of some alleles and the addition of alleles novel to New Zealand, within these recently established populations. There was no significant level of genetic differentiation observed in our samples between years, and the use of these temporal data did alter the assignment probability of new incursions. Our study further suggests that new incursions can add genetic variation to the population in a single introduction event as the founders themselves are often more genetically diverse than theory initially predicted.</v>
      </c>
      <c r="C353" s="24" t="str">
        <f>IFERROR(__xludf.DUMMYFUNCTION("""COMPUTED_VALUE"""),"10.1371/journal.pone.0065656")</f>
        <v>10.1371/journal.pone.0065656</v>
      </c>
      <c r="D353" s="24" t="str">
        <f>IFERROR(__xludf.DUMMYFUNCTION("""COMPUTED_VALUE"""),"shaw et al")</f>
        <v>shaw et al</v>
      </c>
      <c r="E353" s="24" t="str">
        <f>IFERROR(__xludf.DUMMYFUNCTION("""COMPUTED_VALUE"""),"WOS:000319872300089")</f>
        <v>WOS:000319872300089</v>
      </c>
      <c r="F353" s="24" t="str">
        <f>IFERROR(__xludf.DUMMYFUNCTION("""COMPUTED_VALUE"""),"[""ELIGIBLE""]")</f>
        <v>["ELIGIBLE"]</v>
      </c>
    </row>
    <row r="354">
      <c r="A354" s="24" t="str">
        <f>IFERROR(__xludf.DUMMYFUNCTION("""COMPUTED_VALUE"""),"Rethinking the history of common walnut (Juglans regia L.) in Europe: Its origins and human interactions")</f>
        <v>Rethinking the history of common walnut (Juglans regia L.) in Europe: Its origins and human interactions</v>
      </c>
      <c r="B354" s="24" t="str">
        <f>IFERROR(__xludf.DUMMYFUNCTION("""COMPUTED_VALUE"""),"Common walnut (Juglans regia L) is an economically important species cultivated worldwide for its high-quality wood and nuts. It is generally accepted that after the last glaciation J. regia survived and grew in almost completely isolated stands in Asia, "&amp;"and that ancient humans dispersed walnuts across Asia and into new habitats via trade and cultural expansion. The history of walnut in Europe is a matter of debate, however. In this study, we estimated the genetic diversity and structure of 91 Eurasian wa"&amp;"lnut populations using 14 neutral microsatellites. By integrating fossil pollen, cultural, and historical data with population genetics, and approximate Bayesian analysis, we reconstructed the demographic history of walnut and its routes of dispersal acro"&amp;"ss Europe. The genetic data confirmed the presence of walnut in glacial refugia in the Balkans and western Europe. We conclude that human-mediated admixture between Anatolian and Balkan walnut germplasm started in the Early Bronze Age, and between western"&amp;" Europe and the Balkans in eastern Europe during the Roman Empire. A population size expansion and subsequent decline in northeastern and western Europe was detected in the last five centuries. The actual distribution of walnut in Europe resulted from the"&amp;" combined effects of expansion/contraction from multiple refugia after the Last Glacial Maximum and its human exploitation over the last 5,000 years.")</f>
        <v>Common walnut (Juglans regia L) is an economically important species cultivated worldwide for its high-quality wood and nuts. It is generally accepted that after the last glaciation J. regia survived and grew in almost completely isolated stands in Asia, and that ancient humans dispersed walnuts across Asia and into new habitats via trade and cultural expansion. The history of walnut in Europe is a matter of debate, however. In this study, we estimated the genetic diversity and structure of 91 Eurasian walnut populations using 14 neutral microsatellites. By integrating fossil pollen, cultural, and historical data with population genetics, and approximate Bayesian analysis, we reconstructed the demographic history of walnut and its routes of dispersal across Europe. The genetic data confirmed the presence of walnut in glacial refugia in the Balkans and western Europe. We conclude that human-mediated admixture between Anatolian and Balkan walnut germplasm started in the Early Bronze Age, and between western Europe and the Balkans in eastern Europe during the Roman Empire. A population size expansion and subsequent decline in northeastern and western Europe was detected in the last five centuries. The actual distribution of walnut in Europe resulted from the combined effects of expansion/contraction from multiple refugia after the Last Glacial Maximum and its human exploitation over the last 5,000 years.</v>
      </c>
      <c r="C354" s="24" t="str">
        <f>IFERROR(__xludf.DUMMYFUNCTION("""COMPUTED_VALUE"""),"10.1371/journal.pone.0172541")</f>
        <v>10.1371/journal.pone.0172541</v>
      </c>
      <c r="D354" s="24" t="str">
        <f>IFERROR(__xludf.DUMMYFUNCTION("""COMPUTED_VALUE"""),"shaw et al")</f>
        <v>shaw et al</v>
      </c>
      <c r="E354" s="24" t="str">
        <f>IFERROR(__xludf.DUMMYFUNCTION("""COMPUTED_VALUE"""),"WOS:000396021100020")</f>
        <v>WOS:000396021100020</v>
      </c>
      <c r="F354" s="24" t="str">
        <f>IFERROR(__xludf.DUMMYFUNCTION("""COMPUTED_VALUE"""),"[""ELIGIBLE""]")</f>
        <v>["ELIGIBLE"]</v>
      </c>
    </row>
    <row r="355">
      <c r="A355" s="24" t="str">
        <f>IFERROR(__xludf.DUMMYFUNCTION("""COMPUTED_VALUE"""),"Population Genetic Structure and Colonisation History of the Tool-Using New Caledonian Crow")</f>
        <v>Population Genetic Structure and Colonisation History of the Tool-Using New Caledonian Crow</v>
      </c>
      <c r="B355" s="24" t="str">
        <f>IFERROR(__xludf.DUMMYFUNCTION("""COMPUTED_VALUE"""),"New Caledonian crows exhibit considerable variation in tool making between populations. Here, we present the first study of the species' genetic structure over its geographical distribution. We collected feathers from crows on mainland Grande Terre, the i"&amp;"nshore island of Toupeti, and the nearby island of Mare where it is believed birds were introduced after European colonisation. We used nine microsatellite markers to establish the genotypes of 136 crows from these islands and classical population genetic"&amp;" tools as well as Approximate Bayesian Computations to explore the distribution of genetic diversity. We found that New Caledonian crows most likely separate into three main distinct clusters: Grande Terre, Toupeti and Mare. Furthermore, Toupeti and Mare "&amp;"crows represent a subset of the genetic diversity observed on Grande Terre, confirming their mainland origin. The genetic data are compatible with a colonisation of Mare taking place after European colonisation around 1900. Importantly, we observed (1) mo"&amp;"derate, but significant, genetic differentiation across Grande Terre, and (2) that the degree of differentiation between populations on the mainland increases with geographic distance. These data indicate that despite individual crows' potential ability t"&amp;"o disperse over large distances, most gene flow occurs over short distances. The temporal and spatial patterns described provide a basis for further hypothesis testing and investigation of the geographical variation observed in the tool skills of these cr"&amp;"ows.")</f>
        <v>New Caledonian crows exhibit considerable variation in tool making between populations. Here, we present the first study of the species' genetic structure over its geographical distribution. We collected feathers from crows on mainland Grande Terre, the inshore island of Toupeti, and the nearby island of Mare where it is believed birds were introduced after European colonisation. We used nine microsatellite markers to establish the genotypes of 136 crows from these islands and classical population genetic tools as well as Approximate Bayesian Computations to explore the distribution of genetic diversity. We found that New Caledonian crows most likely separate into three main distinct clusters: Grande Terre, Toupeti and Mare. Furthermore, Toupeti and Mare crows represent a subset of the genetic diversity observed on Grande Terre, confirming their mainland origin. The genetic data are compatible with a colonisation of Mare taking place after European colonisation around 1900. Importantly, we observed (1) moderate, but significant, genetic differentiation across Grande Terre, and (2) that the degree of differentiation between populations on the mainland increases with geographic distance. These data indicate that despite individual crows' potential ability to disperse over large distances, most gene flow occurs over short distances. The temporal and spatial patterns described provide a basis for further hypothesis testing and investigation of the geographical variation observed in the tool skills of these crows.</v>
      </c>
      <c r="C355" s="24" t="str">
        <f>IFERROR(__xludf.DUMMYFUNCTION("""COMPUTED_VALUE"""),"10.1371/journal.pone.0036608")</f>
        <v>10.1371/journal.pone.0036608</v>
      </c>
      <c r="D355" s="24" t="str">
        <f>IFERROR(__xludf.DUMMYFUNCTION("""COMPUTED_VALUE"""),"shaw et al")</f>
        <v>shaw et al</v>
      </c>
      <c r="E355" s="24" t="str">
        <f>IFERROR(__xludf.DUMMYFUNCTION("""COMPUTED_VALUE"""),"WOS:000305336100047")</f>
        <v>WOS:000305336100047</v>
      </c>
      <c r="F355" s="24" t="str">
        <f>IFERROR(__xludf.DUMMYFUNCTION("""COMPUTED_VALUE"""),"[""ELIGIBLE""]")</f>
        <v>["ELIGIBLE"]</v>
      </c>
    </row>
    <row r="356">
      <c r="A356" s="24" t="str">
        <f>IFERROR(__xludf.DUMMYFUNCTION("""COMPUTED_VALUE"""),"Mating system and genetic diversity of progenies before and after logging: a case study of Bagassa guianensis (Moraceae), a low-density dioecious tree of the Amazonian forest")</f>
        <v>Mating system and genetic diversity of progenies before and after logging: a case study of Bagassa guianensis (Moraceae), a low-density dioecious tree of the Amazonian forest</v>
      </c>
      <c r="B356" s="24" t="str">
        <f>IFERROR(__xludf.DUMMYFUNCTION("""COMPUTED_VALUE"""),"The logging of large trees in tropical forests causes a decrease in the density of reproductive individuals, which likely affects the pattern of pollen dispersal and the mating system of the remaining trees in the population. Here, we investigate the impa"&amp;"ct of logging on mating system and genetic diversity of the low-density, thrip-pollinated, dioecious tree Bagassa guianensis within a 500-ha plot at Tapajos National Forest, Para State, Brazil. Mating system parameters of the logged population were estima"&amp;"ted using mixed-mating model. Six microsatellite loci were used to genotype 232 seeds from ten remnant female trees over three seasons (2006, 2007, and 2008). The data were compared with the mating system of the unlogged population of B. guianensis (18 fe"&amp;"male trees, 488 seeds) in the same plot. The overall number of alleles found in the open-pollinated progenies decreased after logging (K-71 before logging and K-57 after logging, considering the three after logging seasons pooled), as well as the average "&amp;"number of alleles per locus (A - 11.8 and 9.5, respectively). Similarly, the number of private alleles, which is defined in the context of this study as the number of alleles observed in the population exclusively before or after logging, also decreased a"&amp;"fter logging (15 and 1, respectively). However, the average number of alleles per locus and the observed and expected heterozygosities were not significantly higher before logging than after logging. Logging also did not affect the inbreeding of progenies"&amp;" in the population. Somewhat unexpectedly, the effective number of pollen donors was consistently higher after (N-ep = 14.5 in 2006, 8.1 in 2007, and 6.3 in 2008) than before logging (N-ep = 3.4), suggesting that the loss of alleles in the population was "&amp;"compensated by the higher heterogeneity in the pollen pool after the removal of the largest trees by logging. Potential causes explaining the patterns found here include the maintenance of large patches of forest around the logged plot and the species' ab"&amp;"ility to perform long-distance pollination by airborne thrips. Maintenance of landscape integrity as logged and unlogged forests around the exploited areas is recommended to enhance pollen migration and to avoid long-term losses in genetic diversity.")</f>
        <v>The logging of large trees in tropical forests causes a decrease in the density of reproductive individuals, which likely affects the pattern of pollen dispersal and the mating system of the remaining trees in the population. Here, we investigate the impact of logging on mating system and genetic diversity of the low-density, thrip-pollinated, dioecious tree Bagassa guianensis within a 500-ha plot at Tapajos National Forest, Para State, Brazil. Mating system parameters of the logged population were estimated using mixed-mating model. Six microsatellite loci were used to genotype 232 seeds from ten remnant female trees over three seasons (2006, 2007, and 2008). The data were compared with the mating system of the unlogged population of B. guianensis (18 female trees, 488 seeds) in the same plot. The overall number of alleles found in the open-pollinated progenies decreased after logging (K-71 before logging and K-57 after logging, considering the three after logging seasons pooled), as well as the average number of alleles per locus (A - 11.8 and 9.5, respectively). Similarly, the number of private alleles, which is defined in the context of this study as the number of alleles observed in the population exclusively before or after logging, also decreased after logging (15 and 1, respectively). However, the average number of alleles per locus and the observed and expected heterozygosities were not significantly higher before logging than after logging. Logging also did not affect the inbreeding of progenies in the population. Somewhat unexpectedly, the effective number of pollen donors was consistently higher after (N-ep = 14.5 in 2006, 8.1 in 2007, and 6.3 in 2008) than before logging (N-ep = 3.4), suggesting that the loss of alleles in the population was compensated by the higher heterogeneity in the pollen pool after the removal of the largest trees by logging. Potential causes explaining the patterns found here include the maintenance of large patches of forest around the logged plot and the species' ability to perform long-distance pollination by airborne thrips. Maintenance of landscape integrity as logged and unlogged forests around the exploited areas is recommended to enhance pollen migration and to avoid long-term losses in genetic diversity.</v>
      </c>
      <c r="C356" s="24" t="str">
        <f>IFERROR(__xludf.DUMMYFUNCTION("""COMPUTED_VALUE"""),"10.1007/s11295-015-0837-2")</f>
        <v>10.1007/s11295-015-0837-2</v>
      </c>
      <c r="D356" s="24" t="str">
        <f>IFERROR(__xludf.DUMMYFUNCTION("""COMPUTED_VALUE"""),"shaw et al")</f>
        <v>shaw et al</v>
      </c>
      <c r="E356" s="24" t="str">
        <f>IFERROR(__xludf.DUMMYFUNCTION("""COMPUTED_VALUE"""),"WOS:000349553500002")</f>
        <v>WOS:000349553500002</v>
      </c>
      <c r="F356" s="24" t="str">
        <f>IFERROR(__xludf.DUMMYFUNCTION("""COMPUTED_VALUE"""),"[""ELIGIBLE""]")</f>
        <v>["ELIGIBLE"]</v>
      </c>
    </row>
    <row r="357">
      <c r="A357" s="24" t="str">
        <f>IFERROR(__xludf.DUMMYFUNCTION("""COMPUTED_VALUE"""),"Genetic depletion at adaptive but not neutral loci in an endangered bird species")</f>
        <v>Genetic depletion at adaptive but not neutral loci in an endangered bird species</v>
      </c>
      <c r="B357" s="24" t="str">
        <f>IFERROR(__xludf.DUMMYFUNCTION("""COMPUTED_VALUE"""),"Many endangered species suffer from the loss of genetic diversity, but some populations may be able to thrive even if genetically depleted. To investigate the underlying genetic processes of population bottlenecks, we apply an innovative approach for asse"&amp;"ssing genetic diversity in the last known population of the endangered Pale-headed Brushfinch (Atlapetes pallidiceps) in Ecuador. First, we measure genetic diversity at eleven neutral microsatellite loci and adaptive SNP variation in five Toll-like recept"&amp;"or (TLR) immune system genes. Bottleneck tests confirm genetic drift as the main force shaping genetic diversity in this species and indicate a 99% reduction in population size dating back several hundred years. Second, we compare contemporary microsatell"&amp;"ite diversity with historic museum samples of A.pallidiceps, finding no change in genetic diversity. Third, we compare genetic diversity in the Pale-headed Brushfinch with two co-occurring-related brushfinch species (Atlapetes latinuchus, Buarremon torqua"&amp;"tus), finding a reduction of up to 91% diversity in the immune system genes but not in microsatellites. High TLR diversity is linked to decreased survival probabilities in A.pallidiceps. Low TLR diversity is thus probably an adaptation to the specific sel"&amp;"ection regime within its currently very restricted distribution (approximately 200ha), but could severely restrict the adaptive potential of the species in the long run. Our study illustrates the importance of investigating both neutral and adaptive marke"&amp;"rs to assess the effect of population bottlenecks and for recommending specific management plans in endangered species.")</f>
        <v>Many endangered species suffer from the loss of genetic diversity, but some populations may be able to thrive even if genetically depleted. To investigate the underlying genetic processes of population bottlenecks, we apply an innovative approach for assessing genetic diversity in the last known population of the endangered Pale-headed Brushfinch (Atlapetes pallidiceps) in Ecuador. First, we measure genetic diversity at eleven neutral microsatellite loci and adaptive SNP variation in five Toll-like receptor (TLR) immune system genes. Bottleneck tests confirm genetic drift as the main force shaping genetic diversity in this species and indicate a 99% reduction in population size dating back several hundred years. Second, we compare contemporary microsatellite diversity with historic museum samples of A.pallidiceps, finding no change in genetic diversity. Third, we compare genetic diversity in the Pale-headed Brushfinch with two co-occurring-related brushfinch species (Atlapetes latinuchus, Buarremon torquatus), finding a reduction of up to 91% diversity in the immune system genes but not in microsatellites. High TLR diversity is linked to decreased survival probabilities in A.pallidiceps. Low TLR diversity is thus probably an adaptation to the specific selection regime within its currently very restricted distribution (approximately 200ha), but could severely restrict the adaptive potential of the species in the long run. Our study illustrates the importance of investigating both neutral and adaptive markers to assess the effect of population bottlenecks and for recommending specific management plans in endangered species.</v>
      </c>
      <c r="C357" s="24" t="str">
        <f>IFERROR(__xludf.DUMMYFUNCTION("""COMPUTED_VALUE"""),"10.1111/mec.12975")</f>
        <v>10.1111/mec.12975</v>
      </c>
      <c r="D357" s="24" t="str">
        <f>IFERROR(__xludf.DUMMYFUNCTION("""COMPUTED_VALUE"""),"shaw et al")</f>
        <v>shaw et al</v>
      </c>
      <c r="E357" s="24" t="str">
        <f>IFERROR(__xludf.DUMMYFUNCTION("""COMPUTED_VALUE"""),"WOS:000345630700005")</f>
        <v>WOS:000345630700005</v>
      </c>
      <c r="F357" s="24" t="str">
        <f>IFERROR(__xludf.DUMMYFUNCTION("""COMPUTED_VALUE"""),"[""ELIGIBLE""]")</f>
        <v>["ELIGIBLE"]</v>
      </c>
    </row>
    <row r="358">
      <c r="A358" s="24" t="str">
        <f>IFERROR(__xludf.DUMMYFUNCTION("""COMPUTED_VALUE"""),"Contribution of progeny cohorts to the restoration of genetic diversity in the post-harvest dragon spruce (Picea asperata) stands")</f>
        <v>Contribution of progeny cohorts to the restoration of genetic diversity in the post-harvest dragon spruce (Picea asperata) stands</v>
      </c>
      <c r="B358" s="24" t="str">
        <f>IFERROR(__xludf.DUMMYFUNCTION("""COMPUTED_VALUE"""),"Naturally regenerated seedlings or saplings in post-harvest forest stands are expected to contribute to population regeneration and the restoration and maintenance of genetic diversity in forest trees. In this study, we used intact old-growth stands of dr"&amp;"agon spruce (Picea asperata Mast.) as a benchmark to compare genetic diversity between mature and progeny cohorts sampled from post-harvest planted and post-harvest naturally regenerated stands in western Sichuan, China. Mature cohorts in the intact stand"&amp;"s exhibited the highest levels of genetic diversity among the three types of stands. Genetic diversity within the progeny cohorts in the intact stands was significantly lower than their parent cohorts for all five measures of diversity. The progeny cohort"&amp;"s of the intact stands had lower genetic diversity than progeny cohorts from two types of post-harvest stands, but only for two measures of diversity. There were no significant differences in diversity between the mature or progeny cohorts of the planted "&amp;"and naturally regenerated stands. When mature and progeny cohorts were pooled, genetic variation within the united sample was enriched and close to that of the mature cohort in the intact stands. High genetic similarity and low genetic differentiation bet"&amp;"ween progeny cohorts in the post-harvest stands and mature cohorts in the intact stands indicated a sufficient seed or pollen migration from the surrounding intact stands into the regenerated area. These findings illustrate the important role of the matur"&amp;"e cohorts in the intact stands as reservoirs of genetic diversity.")</f>
        <v>Naturally regenerated seedlings or saplings in post-harvest forest stands are expected to contribute to population regeneration and the restoration and maintenance of genetic diversity in forest trees. In this study, we used intact old-growth stands of dragon spruce (Picea asperata Mast.) as a benchmark to compare genetic diversity between mature and progeny cohorts sampled from post-harvest planted and post-harvest naturally regenerated stands in western Sichuan, China. Mature cohorts in the intact stands exhibited the highest levels of genetic diversity among the three types of stands. Genetic diversity within the progeny cohorts in the intact stands was significantly lower than their parent cohorts for all five measures of diversity. The progeny cohorts of the intact stands had lower genetic diversity than progeny cohorts from two types of post-harvest stands, but only for two measures of diversity. There were no significant differences in diversity between the mature or progeny cohorts of the planted and naturally regenerated stands. When mature and progeny cohorts were pooled, genetic variation within the united sample was enriched and close to that of the mature cohort in the intact stands. High genetic similarity and low genetic differentiation between progeny cohorts in the post-harvest stands and mature cohorts in the intact stands indicated a sufficient seed or pollen migration from the surrounding intact stands into the regenerated area. These findings illustrate the important role of the mature cohorts in the intact stands as reservoirs of genetic diversity.</v>
      </c>
      <c r="C358" s="24" t="str">
        <f>IFERROR(__xludf.DUMMYFUNCTION("""COMPUTED_VALUE"""),"10.1093/forestry/cpq013")</f>
        <v>10.1093/forestry/cpq013</v>
      </c>
      <c r="D358" s="24" t="str">
        <f>IFERROR(__xludf.DUMMYFUNCTION("""COMPUTED_VALUE"""),"shaw et al")</f>
        <v>shaw et al</v>
      </c>
      <c r="E358" s="24" t="str">
        <f>IFERROR(__xludf.DUMMYFUNCTION("""COMPUTED_VALUE"""),"WOS:000279189800008")</f>
        <v>WOS:000279189800008</v>
      </c>
      <c r="F358" s="24" t="str">
        <f>IFERROR(__xludf.DUMMYFUNCTION("""COMPUTED_VALUE"""),"[""ELIGIBLE""]")</f>
        <v>["ELIGIBLE"]</v>
      </c>
    </row>
    <row r="359">
      <c r="A359" s="24" t="str">
        <f>IFERROR(__xludf.DUMMYFUNCTION("""COMPUTED_VALUE"""),"First Evidence of Inbreeding, Relatedness and Chaotic Genetic Patchiness in the Holoplanktonic Jellyfish Pelagia noctiluca (Scyphozoa, Cnidaria)")</f>
        <v>First Evidence of Inbreeding, Relatedness and Chaotic Genetic Patchiness in the Holoplanktonic Jellyfish Pelagia noctiluca (Scyphozoa, Cnidaria)</v>
      </c>
      <c r="B359" s="24" t="str">
        <f>IFERROR(__xludf.DUMMYFUNCTION("""COMPUTED_VALUE"""),"Genetic drift and non-random mating seldom influence species with large breeding populations and high dispersal potential, characterized by unstructured gene pool and panmixia at a scale lower than the minimum dispersal range of individuals. In the presen"&amp;"t study, a set of nine microsatellite markers was developed and used to investigate the spatio-temporal genetic patterns of the holoplanktonic jellyfish Pelagia noctiluca (Scyphozoa) in the Southern Tyrrhenian Sea. Homozygote excess was detected at eight "&amp;"loci, and individuals exhibited intra-population relatedness higher than expected by chance in at least three samples. This result was supported by the presence of siblings in at least 5 out 8 samples, 4 of which contained full-sib in addition to half-sib"&amp;" dyads. Having tested and ruled out alternative explanations as null alleles, our results suggest the influence of reproductive and behavioural features in shaping the genetic structure of P. noctiluca, as outcomes of population genetics analyses pointed "&amp;"out. Indeed, the genetic differentiation among populations was globally small but highlighted: a) a spatial genetic patchiness uncorrelated with distance between sampling locations, and b) a significant genetic heterogeneity between samples collected in t"&amp;"he same locations in different years. Therefore, despite its extreme dispersal potential, P. noctiluca does not maintain a single homogenous population, but rather these jellyfish appear to have intra-bloom localized recruitment and/or individual cohesive"&amp;"ness, whereby siblings more likely swarm together as a single group and remain close after spawning events. These findings provide the first evidence of family structures and consequent genetic patchiness in a species with highly dispersive potential thro"&amp;"ughout its whole life cycle, contributing to understanding the patterns of dispersal and connectivity in marine environments.")</f>
        <v>Genetic drift and non-random mating seldom influence species with large breeding populations and high dispersal potential, characterized by unstructured gene pool and panmixia at a scale lower than the minimum dispersal range of individuals. In the present study, a set of nine microsatellite markers was developed and used to investigate the spatio-temporal genetic patterns of the holoplanktonic jellyfish Pelagia noctiluca (Scyphozoa) in the Southern Tyrrhenian Sea. Homozygote excess was detected at eight loci, and individuals exhibited intra-population relatedness higher than expected by chance in at least three samples. This result was supported by the presence of siblings in at least 5 out 8 samples, 4 of which contained full-sib in addition to half-sib dyads. Having tested and ruled out alternative explanations as null alleles, our results suggest the influence of reproductive and behavioural features in shaping the genetic structure of P. noctiluca, as outcomes of population genetics analyses pointed out. Indeed, the genetic differentiation among populations was globally small but highlighted: a) a spatial genetic patchiness uncorrelated with distance between sampling locations, and b) a significant genetic heterogeneity between samples collected in the same locations in different years. Therefore, despite its extreme dispersal potential, P. noctiluca does not maintain a single homogenous population, but rather these jellyfish appear to have intra-bloom localized recruitment and/or individual cohesiveness, whereby siblings more likely swarm together as a single group and remain close after spawning events. These findings provide the first evidence of family structures and consequent genetic patchiness in a species with highly dispersive potential throughout its whole life cycle, contributing to understanding the patterns of dispersal and connectivity in marine environments.</v>
      </c>
      <c r="C359" s="24" t="str">
        <f>IFERROR(__xludf.DUMMYFUNCTION("""COMPUTED_VALUE"""),"10.1371/journal.pone.0099647")</f>
        <v>10.1371/journal.pone.0099647</v>
      </c>
      <c r="D359" s="24" t="str">
        <f>IFERROR(__xludf.DUMMYFUNCTION("""COMPUTED_VALUE"""),"shaw et al")</f>
        <v>shaw et al</v>
      </c>
      <c r="E359" s="24" t="str">
        <f>IFERROR(__xludf.DUMMYFUNCTION("""COMPUTED_VALUE"""),"WOS:000338506400006")</f>
        <v>WOS:000338506400006</v>
      </c>
      <c r="F359" s="24" t="str">
        <f>IFERROR(__xludf.DUMMYFUNCTION("""COMPUTED_VALUE"""),"[""ELIGIBLE""]")</f>
        <v>["ELIGIBLE"]</v>
      </c>
    </row>
    <row r="360">
      <c r="A360" s="24" t="str">
        <f>IFERROR(__xludf.DUMMYFUNCTION("""COMPUTED_VALUE"""),"Long-term changes in the fine-scale population structure of coho salmon populations (Oncorhynchus kisutch) subject to extensive supportive breeding")</f>
        <v>Long-term changes in the fine-scale population structure of coho salmon populations (Oncorhynchus kisutch) subject to extensive supportive breeding</v>
      </c>
      <c r="B360" s="24" t="str">
        <f>IFERROR(__xludf.DUMMYFUNCTION("""COMPUTED_VALUE"""),"The long-term viability of a metapopulation depends partly on the gene flow among sub-populations. Management approaches such as translocations and supportive breeding between closely related populations may affect gene flow and overall structure, and the"&amp;"refore viability. Here, we examined temporal changes in the fine-scale population structure of coho salmon (Oncorhynchus kisutch) by comparing archived (1938) and modern (2001-2005) populations in six rivers within a single conservation unit (Puget Sound,"&amp;" Washington) sampled before and after an extended period of between-river transfers and releases of millions of cultured salmon. Genotype frequencies at eight microsatellite loci showed that current populations descended from historical Puget Sound popula"&amp;"tions, but populations in different rivers that exchanged fish for hatchery propagation share more of their ancestry recently than they did historically. Historically, populations in different rivers were isolated by geographic distance, but that relation"&amp;"ship is no longer significant. Allelic richness among all populations declined significantly, suggesting that genetic drift has increased because of a population bottleneck. Populations in different rivers and within the same river have become more diverg"&amp;"ed, providing further evidence for a widespread bottleneck. Previously, we observed that genetic distance significantly decreased with the number of fish exchanged; however, some populations apparently resisted introgression. Altered gene flow and lost di"&amp;"versity may affect the complexity, and therefore resiliency of sub-populations within a conservation unit. Plans for artificial culture need to maintain existing genetic diversity and avoid disrupting the fine-scale structure by using local populations fo"&amp;"r parents whenever possible. Heredity (2009) 103, 299-309; doi: 10.1038/hdy.2009.69; published online 15 July 2009")</f>
        <v>The long-term viability of a metapopulation depends partly on the gene flow among sub-populations. Management approaches such as translocations and supportive breeding between closely related populations may affect gene flow and overall structure, and therefore viability. Here, we examined temporal changes in the fine-scale population structure of coho salmon (Oncorhynchus kisutch) by comparing archived (1938) and modern (2001-2005) populations in six rivers within a single conservation unit (Puget Sound, Washington) sampled before and after an extended period of between-river transfers and releases of millions of cultured salmon. Genotype frequencies at eight microsatellite loci showed that current populations descended from historical Puget Sound populations, but populations in different rivers that exchanged fish for hatchery propagation share more of their ancestry recently than they did historically. Historically, populations in different rivers were isolated by geographic distance, but that relationship is no longer significant. Allelic richness among all populations declined significantly, suggesting that genetic drift has increased because of a population bottleneck. Populations in different rivers and within the same river have become more diverged, providing further evidence for a widespread bottleneck. Previously, we observed that genetic distance significantly decreased with the number of fish exchanged; however, some populations apparently resisted introgression. Altered gene flow and lost diversity may affect the complexity, and therefore resiliency of sub-populations within a conservation unit. Plans for artificial culture need to maintain existing genetic diversity and avoid disrupting the fine-scale structure by using local populations for parents whenever possible. Heredity (2009) 103, 299-309; doi: 10.1038/hdy.2009.69; published online 15 July 2009</v>
      </c>
      <c r="C360" s="24" t="str">
        <f>IFERROR(__xludf.DUMMYFUNCTION("""COMPUTED_VALUE"""),"10.1038/hdy.2009.69")</f>
        <v>10.1038/hdy.2009.69</v>
      </c>
      <c r="D360" s="24" t="str">
        <f>IFERROR(__xludf.DUMMYFUNCTION("""COMPUTED_VALUE"""),"shaw et al")</f>
        <v>shaw et al</v>
      </c>
      <c r="E360" s="24" t="str">
        <f>IFERROR(__xludf.DUMMYFUNCTION("""COMPUTED_VALUE"""),"WOS:000270087700005")</f>
        <v>WOS:000270087700005</v>
      </c>
      <c r="F360" s="24" t="str">
        <f>IFERROR(__xludf.DUMMYFUNCTION("""COMPUTED_VALUE"""),"[""ELIGIBLE""]")</f>
        <v>["ELIGIBLE"]</v>
      </c>
    </row>
    <row r="361">
      <c r="A361" s="24" t="str">
        <f>IFERROR(__xludf.DUMMYFUNCTION("""COMPUTED_VALUE"""),"Genetic monitoring of wild and repatriated populations of endangered razorback sucker (Xyrauchen texanus, Catostomidae, Teleostei) in Lake Mohave, Arizona-Nevada")</f>
        <v>Genetic monitoring of wild and repatriated populations of endangered razorback sucker (Xyrauchen texanus, Catostomidae, Teleostei) in Lake Mohave, Arizona-Nevada</v>
      </c>
      <c r="B361" s="24" t="str">
        <f>IFERROR(__xludf.DUMMYFUNCTION("""COMPUTED_VALUE"""),"The Native Fishes Work Group, formed in 1991, developed and implemented a protocol to enhance the dwindling razorback sucker population in Lake Mohave, Arizona-Nevada. This large, genetically diverse population is severely reduced in size as a result of r"&amp;"ecruitment failure associated with predation on larvae. To circumvent this problem, wild larvae are captured, reared in protective custody until they are large enough to escape predation, and then released back into the lake. We present results of a monit"&amp;"oring program designed to assess the effectiveness of the sampling design in transmitting the high genetic diversity found in wild adults. Variation in a fragment from the mitochondrial DNA gene cytochrome b was examined by analysis of single-stranded pol"&amp;"ymorphisms and direct sequencing. Samples were characterized from three life history stages. Characterization of wild adults verified previous results that identified considerable diversity and provided baseline data. Samples of larvae from several tempor"&amp;"al collections from throughout the spawning season and four geographical areas were characterized for 7 years (1997-2003) to assess the transmission of genetic variation from wild adults to larvae. Several analyses identified significant differences among"&amp;" temporal collections, resulting from sampling errors associated with finite number of females spawning at a given time and place. Comparisons among areas and years failed to identify significant variation, indicating that pooled collections for each year"&amp;" possess the same levels and patterns of genetic variation. Examination of repatriates representing 11 years (1992-2002) also failed to identify significant differences among cohorts; however, some sample sizes were small and the AMOVA may lack sufficient"&amp;" power to detect differences. Contrasts of wild adults, larvae, and repatriates identified statistically significant differences among collections within these three groups; however, levels of variation are small and not biologically meaningful. More impo"&amp;"rtantly, this analysis failed to detect significant differences among adults, larvae, and repatriates indicating that the program has been achieving its goal of transmitting variation from adults through the larvae and into the repatriate population. The "&amp;"reproductive capability of repatriates has not been examined, so it is unknown if the program will maintain genetic variation found in the original adult population. This will be most easily achieved by periodic monitoring of genetic variation in larval s"&amp;"amples. If levels of variation become reduced in repatriates, levels and patterns of diversity in larvae are also expected to become reduced, and deviations in estimates of genetic diversity may become larger and more frequent. If this is the case, interv"&amp;"ention may be necessary to ensure that certain individuals are not over-represented in the repatriate population.")</f>
        <v>The Native Fishes Work Group, formed in 1991, developed and implemented a protocol to enhance the dwindling razorback sucker population in Lake Mohave, Arizona-Nevada. This large, genetically diverse population is severely reduced in size as a result of recruitment failure associated with predation on larvae. To circumvent this problem, wild larvae are captured, reared in protective custody until they are large enough to escape predation, and then released back into the lake. We present results of a monitoring program designed to assess the effectiveness of the sampling design in transmitting the high genetic diversity found in wild adults. Variation in a fragment from the mitochondrial DNA gene cytochrome b was examined by analysis of single-stranded polymorphisms and direct sequencing. Samples were characterized from three life history stages. Characterization of wild adults verified previous results that identified considerable diversity and provided baseline data. Samples of larvae from several temporal collections from throughout the spawning season and four geographical areas were characterized for 7 years (1997-2003) to assess the transmission of genetic variation from wild adults to larvae. Several analyses identified significant differences among temporal collections, resulting from sampling errors associated with finite number of females spawning at a given time and place. Comparisons among areas and years failed to identify significant variation, indicating that pooled collections for each year possess the same levels and patterns of genetic variation. Examination of repatriates representing 11 years (1992-2002) also failed to identify significant differences among cohorts; however, some sample sizes were small and the AMOVA may lack sufficient power to detect differences. Contrasts of wild adults, larvae, and repatriates identified statistically significant differences among collections within these three groups; however, levels of variation are small and not biologically meaningful. More importantly, this analysis failed to detect significant differences among adults, larvae, and repatriates indicating that the program has been achieving its goal of transmitting variation from adults through the larvae and into the repatriate population. The reproductive capability of repatriates has not been examined, so it is unknown if the program will maintain genetic variation found in the original adult population. This will be most easily achieved by periodic monitoring of genetic variation in larval samples. If levels of variation become reduced in repatriates, levels and patterns of diversity in larvae are also expected to become reduced, and deviations in estimates of genetic diversity may become larger and more frequent. If this is the case, intervention may be necessary to ensure that certain individuals are not over-represented in the repatriate population.</v>
      </c>
      <c r="C361" s="24" t="str">
        <f>IFERROR(__xludf.DUMMYFUNCTION("""COMPUTED_VALUE"""),"10.1111/j.1365-294X.2004.02408.x")</f>
        <v>10.1111/j.1365-294X.2004.02408.x</v>
      </c>
      <c r="D361" s="24" t="str">
        <f>IFERROR(__xludf.DUMMYFUNCTION("""COMPUTED_VALUE"""),"shaw et al")</f>
        <v>shaw et al</v>
      </c>
      <c r="E361" s="24" t="str">
        <f>IFERROR(__xludf.DUMMYFUNCTION("""COMPUTED_VALUE"""),"WOS:000226421000011")</f>
        <v>WOS:000226421000011</v>
      </c>
      <c r="F361" s="24" t="str">
        <f>IFERROR(__xludf.DUMMYFUNCTION("""COMPUTED_VALUE"""),"[""ELIGIBLE""]")</f>
        <v>["ELIGIBLE"]</v>
      </c>
    </row>
    <row r="362">
      <c r="A362" s="24" t="str">
        <f>IFERROR(__xludf.DUMMYFUNCTION("""COMPUTED_VALUE"""),"Quantitative evaluation of genetic diversity in wheat germplasm using molecular markers")</f>
        <v>Quantitative evaluation of genetic diversity in wheat germplasm using molecular markers</v>
      </c>
      <c r="B362" s="24" t="str">
        <f>IFERROR(__xludf.DUMMYFUNCTION("""COMPUTED_VALUE"""),"Characterization of germplasm by means of DNA fingerprinting techniques provides a too] for precise germplasm identification and a quantitative estimate of genetic diversity. This estimate is important because a decrease in genetic variability might resul"&amp;"t in a reduction of the plasticity of the crops to respond to changes in climate, pathogen populations, or agricultural practices. In this study, 105 Argentine bread wheat (Triticum aestivum L.) cultivars released between 1932 and 1995 were characterized "&amp;"by simple sequence repeat (SSR) and amplified fragment length polymorphism (AFLP) markers. A selected subset of 10 highly informative SSR was used to construct an Identification Matrix that allowed the discrimination of the 105 cultivars. Data obtained fr"&amp;"om SSR markers were complemented by information derived from AFLPs. Molecular data were used to quantify genetic diversity across Argentine wheat breeding programs and to determine if modern wheat cultivars have a lower genetic diversity than earlier cult"&amp;"ivars (genetic erosion). No significant differences in genetic diversity were found among the large private and public breeding programs, suggesting that each of them contains a representative sample of the complete diversity of the Argentine germplasm. S"&amp;"ignificant differences were found for both SSR and AFLP only between breeding programs with large differences in number of released cultivars. No significant differences in genetic diversity were found between the group of cultivars released before 1960 a"&amp;"nd those released in each of the following three decades. Average diversity values based on SSR markers were almost identical for the four analyzed periods. Genetic diversity estimates based on AFLP data confirmed the absence of a reduction of genetic div"&amp;"ersity with time, but significant differences (P = 0.01) were found between bread wheat cultivars released in the 1970s (PIC = 0.28) and those released in the 1980s (PIC = 0.34). These results show that the Argentine bread wheat germplasm has maintained a"&amp;" relatively constant level of genetic diversity during the last half century.")</f>
        <v>Characterization of germplasm by means of DNA fingerprinting techniques provides a too] for precise germplasm identification and a quantitative estimate of genetic diversity. This estimate is important because a decrease in genetic variability might result in a reduction of the plasticity of the crops to respond to changes in climate, pathogen populations, or agricultural practices. In this study, 105 Argentine bread wheat (Triticum aestivum L.) cultivars released between 1932 and 1995 were characterized by simple sequence repeat (SSR) and amplified fragment length polymorphism (AFLP) markers. A selected subset of 10 highly informative SSR was used to construct an Identification Matrix that allowed the discrimination of the 105 cultivars. Data obtained from SSR markers were complemented by information derived from AFLPs. Molecular data were used to quantify genetic diversity across Argentine wheat breeding programs and to determine if modern wheat cultivars have a lower genetic diversity than earlier cultivars (genetic erosion). No significant differences in genetic diversity were found among the large private and public breeding programs, suggesting that each of them contains a representative sample of the complete diversity of the Argentine germplasm. Significant differences were found for both SSR and AFLP only between breeding programs with large differences in number of released cultivars. No significant differences in genetic diversity were found between the group of cultivars released before 1960 and those released in each of the following three decades. Average diversity values based on SSR markers were almost identical for the four analyzed periods. Genetic diversity estimates based on AFLP data confirmed the absence of a reduction of genetic diversity with time, but significant differences (P = 0.01) were found between bread wheat cultivars released in the 1970s (PIC = 0.28) and those released in the 1980s (PIC = 0.34). These results show that the Argentine bread wheat germplasm has maintained a relatively constant level of genetic diversity during the last half century.</v>
      </c>
      <c r="C362" s="24" t="str">
        <f>IFERROR(__xludf.DUMMYFUNCTION("""COMPUTED_VALUE"""),"10.2135/cropsci2001.413682x")</f>
        <v>10.2135/cropsci2001.413682x</v>
      </c>
      <c r="D362" s="24" t="str">
        <f>IFERROR(__xludf.DUMMYFUNCTION("""COMPUTED_VALUE"""),"shaw et al")</f>
        <v>shaw et al</v>
      </c>
      <c r="E362" s="24" t="str">
        <f>IFERROR(__xludf.DUMMYFUNCTION("""COMPUTED_VALUE"""),"WOS:000170696200010")</f>
        <v>WOS:000170696200010</v>
      </c>
      <c r="F362" s="24" t="str">
        <f>IFERROR(__xludf.DUMMYFUNCTION("""COMPUTED_VALUE"""),"[""ELIGIBLE""]")</f>
        <v>["ELIGIBLE"]</v>
      </c>
    </row>
    <row r="363">
      <c r="A363" s="24" t="str">
        <f>IFERROR(__xludf.DUMMYFUNCTION("""COMPUTED_VALUE"""),"European Flint Landraces Grown In Situ Reveal Adaptive Introgression from Modern Maize")</f>
        <v>European Flint Landraces Grown In Situ Reveal Adaptive Introgression from Modern Maize</v>
      </c>
      <c r="B363" s="24" t="str">
        <f>IFERROR(__xludf.DUMMYFUNCTION("""COMPUTED_VALUE"""),"We have investigated the role of selection in the determination of the detected levels of introgression from modern maize hybrid varieties into maize landraces still cultivated in situ in Italy. We exploited the availability of a historical collection of "&amp;"landraces undertaken before the introduction and widespread use of modern maize, to analyse genomic changes that have occurred in these maize landraces over 50 years of co-existence with hybrid varieties. We have combined a previously published SSR datase"&amp;"t (n=21) with an AFLP loci dataset (n=168) to provide higher resolution power and to obtain a more detailed picture. We show that selection pressures for adaptation have favoured new alleles introduced by migration from hybrids. This shows the potential f"&amp;"or analysis of historical introgression even over this short period of 50 years, for an understanding of the evolution of the genome and for the identification of its functionally important regions. Moreover, this demonstrates that landraces grown in situ"&amp;" represent almost unique populations for use for such studies when the focus is on the domesticated plant. This is due to their adaptation, which has arisen from their dynamic evolution under a continuously changing agro-ecological environment, and their "&amp;"capture of new alleles from hybridisation. We have also identified loci for which selection has inhibited introgression from modern germplasm and has enhanced the distinction between landraces and modern maize. These loci indicate that selection acted in "&amp;"the past, during the formation of the flint and dent gene pools. In particular, the locus showing the strongest signals of selection is a Misfit transposable element. Finally, molecular characterisation of the same samples with two different molecular mar"&amp;"kers has allowed us to compare their performances. Although the genetic-diversity and population-structure analyses provide the same global qualitative pattern, which thus provides the same inferences, there are differences related to their natures and ch"&amp;"aracteristics.")</f>
        <v>We have investigated the role of selection in the determination of the detected levels of introgression from modern maize hybrid varieties into maize landraces still cultivated in situ in Italy. We exploited the availability of a historical collection of landraces undertaken before the introduction and widespread use of modern maize, to analyse genomic changes that have occurred in these maize landraces over 50 years of co-existence with hybrid varieties. We have combined a previously published SSR dataset (n=21) with an AFLP loci dataset (n=168) to provide higher resolution power and to obtain a more detailed picture. We show that selection pressures for adaptation have favoured new alleles introduced by migration from hybrids. This shows the potential for analysis of historical introgression even over this short period of 50 years, for an understanding of the evolution of the genome and for the identification of its functionally important regions. Moreover, this demonstrates that landraces grown in situ represent almost unique populations for use for such studies when the focus is on the domesticated plant. This is due to their adaptation, which has arisen from their dynamic evolution under a continuously changing agro-ecological environment, and their capture of new alleles from hybridisation. We have also identified loci for which selection has inhibited introgression from modern germplasm and has enhanced the distinction between landraces and modern maize. These loci indicate that selection acted in the past, during the formation of the flint and dent gene pools. In particular, the locus showing the strongest signals of selection is a Misfit transposable element. Finally, molecular characterisation of the same samples with two different molecular markers has allowed us to compare their performances. Although the genetic-diversity and population-structure analyses provide the same global qualitative pattern, which thus provides the same inferences, there are differences related to their natures and characteristics.</v>
      </c>
      <c r="C363" s="24" t="str">
        <f>IFERROR(__xludf.DUMMYFUNCTION("""COMPUTED_VALUE"""),"10.1371/journal.pone.0121381")</f>
        <v>10.1371/journal.pone.0121381</v>
      </c>
      <c r="D363" s="24" t="str">
        <f>IFERROR(__xludf.DUMMYFUNCTION("""COMPUTED_VALUE"""),"shaw et al")</f>
        <v>shaw et al</v>
      </c>
      <c r="E363" s="24" t="str">
        <f>IFERROR(__xludf.DUMMYFUNCTION("""COMPUTED_VALUE"""),"WOS:000352478400037")</f>
        <v>WOS:000352478400037</v>
      </c>
      <c r="F363" s="24" t="str">
        <f>IFERROR(__xludf.DUMMYFUNCTION("""COMPUTED_VALUE"""),"[""ELIGIBLE""]")</f>
        <v>["ELIGIBLE"]</v>
      </c>
    </row>
    <row r="364">
      <c r="A364" s="24" t="str">
        <f>IFERROR(__xludf.DUMMYFUNCTION("""COMPUTED_VALUE"""),"Clonal Expansion of Verticillium dahliae in Lettuce")</f>
        <v>Clonal Expansion of Verticillium dahliae in Lettuce</v>
      </c>
      <c r="B364" s="24" t="str">
        <f>IFERROR(__xludf.DUMMYFUNCTION("""COMPUTED_VALUE"""),"Few studies in population biology have documented how structure and diversity of pathogens evolve over time at local scales. With the historical samples of Verticillium dahliae available from lettuce, we investigated the structure and diversity of this pa"&amp;"thogen in time and space. Three hundred twenty-nine V dahliae isolates from lettuce fields collected over 18 years were characterized with polymorphic microsatellite markers and polymerase chain reaction tests for race and mating type. Genetic variation w"&amp;"ithin and among commercial lettuce fields in a single season was also investigated using an additional 146 isolates. Sixty-two haplotypes (HTs) were observed among the 329 isolates. A single HT was frequently observed over multiple years and locations (61"&amp;".40%). Genetic diversity, allelic richness, and private allelic richness suggested a relatively recent clonal expansion. Race 1 (93.63%) and MAT1-2-1 (99.69%) were overwhelmingly represented among the isolates. Linkage disequilibrium was significant (P &lt; "&amp;"0.001) for all populations, suggesting limited sexual recombination in the sampled populations from lettuce. Populations from 2006, 2009, and 2010 had higher numbers of unique HTs, implying a recent introduction of novel HTs. We conclude that V dahliae po"&amp;"pulation from lettuce evaluated in this study is expanding clonally, consistent with an asexually reproducing pathogen, and the movement of clonal genotypes locally occurs over time.")</f>
        <v>Few studies in population biology have documented how structure and diversity of pathogens evolve over time at local scales. With the historical samples of Verticillium dahliae available from lettuce, we investigated the structure and diversity of this pathogen in time and space. Three hundred twenty-nine V dahliae isolates from lettuce fields collected over 18 years were characterized with polymorphic microsatellite markers and polymerase chain reaction tests for race and mating type. Genetic variation within and among commercial lettuce fields in a single season was also investigated using an additional 146 isolates. Sixty-two haplotypes (HTs) were observed among the 329 isolates. A single HT was frequently observed over multiple years and locations (61.40%). Genetic diversity, allelic richness, and private allelic richness suggested a relatively recent clonal expansion. Race 1 (93.63%) and MAT1-2-1 (99.69%) were overwhelmingly represented among the isolates. Linkage disequilibrium was significant (P &lt; 0.001) for all populations, suggesting limited sexual recombination in the sampled populations from lettuce. Populations from 2006, 2009, and 2010 had higher numbers of unique HTs, implying a recent introduction of novel HTs. We conclude that V dahliae population from lettuce evaluated in this study is expanding clonally, consistent with an asexually reproducing pathogen, and the movement of clonal genotypes locally occurs over time.</v>
      </c>
      <c r="C364" s="24" t="str">
        <f>IFERROR(__xludf.DUMMYFUNCTION("""COMPUTED_VALUE"""),"10.1094/PHYTO-10-13-0282-R")</f>
        <v>10.1094/PHYTO-10-13-0282-R</v>
      </c>
      <c r="D364" s="24" t="str">
        <f>IFERROR(__xludf.DUMMYFUNCTION("""COMPUTED_VALUE"""),"shaw et al")</f>
        <v>shaw et al</v>
      </c>
      <c r="E364" s="24" t="str">
        <f>IFERROR(__xludf.DUMMYFUNCTION("""COMPUTED_VALUE"""),"WOS:000336239900009")</f>
        <v>WOS:000336239900009</v>
      </c>
      <c r="F364" s="24" t="str">
        <f>IFERROR(__xludf.DUMMYFUNCTION("""COMPUTED_VALUE"""),"[""ELIGIBLE""]")</f>
        <v>["ELIGIBLE"]</v>
      </c>
    </row>
    <row r="365">
      <c r="A365" s="24" t="str">
        <f>IFERROR(__xludf.DUMMYFUNCTION("""COMPUTED_VALUE"""),"Temporal trends in genetic data and effective population size support efficacy of management practices in critically endangered dusky gopher frogs (Lithobates sevosus)")</f>
        <v>Temporal trends in genetic data and effective population size support efficacy of management practices in critically endangered dusky gopher frogs (Lithobates sevosus)</v>
      </c>
      <c r="B365" s="24" t="str">
        <f>IFERROR(__xludf.DUMMYFUNCTION("""COMPUTED_VALUE"""),"Monitoring temporal changes in population genetic diversity and effective population size can provide vital information on future viability. The dusky gopher frog, Lithobates sevosus, is a critically endangered species found only in coastal Mississippi, w"&amp;"ith low genetic variability as a consequence of isolation and population size reduction. Conservation management practices have been implemented, but their efficacy has not been addressed. We genotyped individuals collected 1997-2014 to determine temporal"&amp;" trends in population genetic variation, structure, and effective size. Observed and expected heterozygosity and allelic richness revealed temporally stable, but low, levels of genetic variation. Positive levels of inbreeding were found in each year. Ther"&amp;"e was weak genetic structure among years, which can be attributed to increased effects of genetic drift and inbreeding in small populations. L. sevosus exhibited an increase in effective population size, and currently has an estimated effective size of 33"&amp;".0-58.6 individuals, which is approximately half the census size. This large ratio could possibly be explained by genetic compensation. We found that management practices have been effective at maintaining and improving effective size and genetic diversit"&amp;"y, but that additional strategies need to be implemented to enhance viability of the species.")</f>
        <v>Monitoring temporal changes in population genetic diversity and effective population size can provide vital information on future viability. The dusky gopher frog, Lithobates sevosus, is a critically endangered species found only in coastal Mississippi, with low genetic variability as a consequence of isolation and population size reduction. Conservation management practices have been implemented, but their efficacy has not been addressed. We genotyped individuals collected 1997-2014 to determine temporal trends in population genetic variation, structure, and effective size. Observed and expected heterozygosity and allelic richness revealed temporally stable, but low, levels of genetic variation. Positive levels of inbreeding were found in each year. There was weak genetic structure among years, which can be attributed to increased effects of genetic drift and inbreeding in small populations. L. sevosus exhibited an increase in effective population size, and currently has an estimated effective size of 33.0-58.6 individuals, which is approximately half the census size. This large ratio could possibly be explained by genetic compensation. We found that management practices have been effective at maintaining and improving effective size and genetic diversity, but that additional strategies need to be implemented to enhance viability of the species.</v>
      </c>
      <c r="C365" s="24" t="str">
        <f>IFERROR(__xludf.DUMMYFUNCTION("""COMPUTED_VALUE"""),"10.1002/ece3.2084")</f>
        <v>10.1002/ece3.2084</v>
      </c>
      <c r="D365" s="24" t="str">
        <f>IFERROR(__xludf.DUMMYFUNCTION("""COMPUTED_VALUE"""),"shaw et al")</f>
        <v>shaw et al</v>
      </c>
      <c r="E365" s="24" t="str">
        <f>IFERROR(__xludf.DUMMYFUNCTION("""COMPUTED_VALUE"""),"WOS:000376149400003")</f>
        <v>WOS:000376149400003</v>
      </c>
      <c r="F365" s="24" t="str">
        <f>IFERROR(__xludf.DUMMYFUNCTION("""COMPUTED_VALUE"""),"[""ELIGIBLE""]")</f>
        <v>["ELIGIBLE"]</v>
      </c>
    </row>
    <row r="366">
      <c r="A366" s="24" t="str">
        <f>IFERROR(__xludf.DUMMYFUNCTION("""COMPUTED_VALUE"""),"Evidence of parasite-mediated disruptive selection on genetic diversity in a wild fish population")</f>
        <v>Evidence of parasite-mediated disruptive selection on genetic diversity in a wild fish population</v>
      </c>
      <c r="B366" s="24" t="str">
        <f>IFERROR(__xludf.DUMMYFUNCTION("""COMPUTED_VALUE"""),"Identifying the processes maintaining genetic variability in wild populations is a major concern in conservation and evolutionary biology. Parasite-mediated selection may strongly affect genetic variability in wild populations. The inbreeding depression t"&amp;"heory predicts that directional selection imposed by parasites should act against the most inbred hosts, thus favouring genetic diversity in wild populations. We have tested this prediction by evaluating the strength and shape of the relationship between "&amp;"the load of a harmful fin-feeder ectoparasite (Tracheliastes polycolpus) and the genome-wide genetic diversity (i.e. heterozygosity measured at a set of 15 microsatellites) of its fish host, the rostrum dace (Leuciscus leuciscus). Contrary to expectation,"&amp;" we found a nonlinear relationship between host genetic diversity and ectoparasite load, with hosts that were either homozygous or heterozygous harbouring significantly fewer parasites than hosts with an intermediate level of heterozygosity. This relation"&amp;"ship suggests that parasites could increase the variance of global heterozygosity in this host population through disruptive selection on genetic diversity. Moreover, when genetic diversity was measured at each locus separately, we found two very strong p"&amp;"ositive associations between host genetic diversity and the ectoparasite load. This latter result has three main implications: (i) genome-wide effect cannot alone explain the nonlinear relationship between global heterozygosity and ectoparasite load, (ii)"&amp;" negative non-additive allelic interactions (i.e. underdominance) may be a mechanism for resisting ectoparasite infection, and (iii) ectoparasites may favour homozygosity at some loci in this host population.")</f>
        <v>Identifying the processes maintaining genetic variability in wild populations is a major concern in conservation and evolutionary biology. Parasite-mediated selection may strongly affect genetic variability in wild populations. The inbreeding depression theory predicts that directional selection imposed by parasites should act against the most inbred hosts, thus favouring genetic diversity in wild populations. We have tested this prediction by evaluating the strength and shape of the relationship between the load of a harmful fin-feeder ectoparasite (Tracheliastes polycolpus) and the genome-wide genetic diversity (i.e. heterozygosity measured at a set of 15 microsatellites) of its fish host, the rostrum dace (Leuciscus leuciscus). Contrary to expectation, we found a nonlinear relationship between host genetic diversity and ectoparasite load, with hosts that were either homozygous or heterozygous harbouring significantly fewer parasites than hosts with an intermediate level of heterozygosity. This relationship suggests that parasites could increase the variance of global heterozygosity in this host population through disruptive selection on genetic diversity. Moreover, when genetic diversity was measured at each locus separately, we found two very strong positive associations between host genetic diversity and the ectoparasite load. This latter result has three main implications: (i) genome-wide effect cannot alone explain the nonlinear relationship between global heterozygosity and ectoparasite load, (ii) negative non-additive allelic interactions (i.e. underdominance) may be a mechanism for resisting ectoparasite infection, and (iii) ectoparasites may favour homozygosity at some loci in this host population.</v>
      </c>
      <c r="C366" s="24" t="str">
        <f>IFERROR(__xludf.DUMMYFUNCTION("""COMPUTED_VALUE"""),"10.1111/j.1365-294X.2009.04099.x")</f>
        <v>10.1111/j.1365-294X.2009.04099.x</v>
      </c>
      <c r="D366" s="24" t="str">
        <f>IFERROR(__xludf.DUMMYFUNCTION("""COMPUTED_VALUE"""),"shaw et al")</f>
        <v>shaw et al</v>
      </c>
      <c r="E366" s="24" t="str">
        <f>IFERROR(__xludf.DUMMYFUNCTION("""COMPUTED_VALUE"""),"WOS:000263853600009")</f>
        <v>WOS:000263853600009</v>
      </c>
      <c r="F366" s="24" t="str">
        <f>IFERROR(__xludf.DUMMYFUNCTION("""COMPUTED_VALUE"""),"[""ELIGIBLE""]")</f>
        <v>["ELIGIBLE"]</v>
      </c>
    </row>
    <row r="367">
      <c r="A367" s="24" t="str">
        <f>IFERROR(__xludf.DUMMYFUNCTION("""COMPUTED_VALUE"""),"The genetic legacy of the 19th-century decline of the British polecat: evidence for extensive introgression from feral ferrets")</f>
        <v>The genetic legacy of the 19th-century decline of the British polecat: evidence for extensive introgression from feral ferrets</v>
      </c>
      <c r="B367" s="24" t="str">
        <f>IFERROR(__xludf.DUMMYFUNCTION("""COMPUTED_VALUE"""),"In the 19th century, the British polecat suffered a demographic contraction, as a consequence of direct persecution, reaching its lowest population in the years that preceded the First World War. The polecat is now recovering and expanding throughout Brit"&amp;"ain, but introgressive hybridization with feral ferrets has been reported, which could be masking the true range of the polecat and introducing domestic genes into the species. We used a fragment of the mitochondrial DNA control region and 11 microsatelli"&amp;"te loci to characterize the frequency and extent of hybridization and introgression between the two species and assess whether the 19th-century decline corresponded to a genetic bottleneck in the polecat. The proportion of admixture detected in the wild w"&amp;"as high (31%) and hybrids were more frequently found outside Wales, suggesting that hybridization is more likely to occur along the eastern edge of the polecat's range expansion. The patterns observed in the mitochondrial and nuclear DNA data show that in"&amp;"trogression was mediated by crosses between male polecats and female ferrets, whose offspring backcrossed with polecats. No first-generation (F-1) hybrids were identified, and the broad range of observed admixture proportions agrees with a scenario of pas"&amp;"t extensive hybridization between the two species. Using several different methods to investigate demographic history, we did not find consistent evidence for a genetic bottleneck in the British polecat, a result that could be interpreted as a consequence"&amp;" of hybridization with ferrets. Our results highlight the importance of the Welsh polecat population for the conservation and restoration of the genetic identity of the British polecat.")</f>
        <v>In the 19th century, the British polecat suffered a demographic contraction, as a consequence of direct persecution, reaching its lowest population in the years that preceded the First World War. The polecat is now recovering and expanding throughout Britain, but introgressive hybridization with feral ferrets has been reported, which could be masking the true range of the polecat and introducing domestic genes into the species. We used a fragment of the mitochondrial DNA control region and 11 microsatellite loci to characterize the frequency and extent of hybridization and introgression between the two species and assess whether the 19th-century decline corresponded to a genetic bottleneck in the polecat. The proportion of admixture detected in the wild was high (31%) and hybrids were more frequently found outside Wales, suggesting that hybridization is more likely to occur along the eastern edge of the polecat's range expansion. The patterns observed in the mitochondrial and nuclear DNA data show that introgression was mediated by crosses between male polecats and female ferrets, whose offspring backcrossed with polecats. No first-generation (F-1) hybrids were identified, and the broad range of observed admixture proportions agrees with a scenario of past extensive hybridization between the two species. Using several different methods to investigate demographic history, we did not find consistent evidence for a genetic bottleneck in the British polecat, a result that could be interpreted as a consequence of hybridization with ferrets. Our results highlight the importance of the Welsh polecat population for the conservation and restoration of the genetic identity of the British polecat.</v>
      </c>
      <c r="C367" s="24" t="str">
        <f>IFERROR(__xludf.DUMMYFUNCTION("""COMPUTED_VALUE"""),"10.1111/mec.12456")</f>
        <v>10.1111/mec.12456</v>
      </c>
      <c r="D367" s="24" t="str">
        <f>IFERROR(__xludf.DUMMYFUNCTION("""COMPUTED_VALUE"""),"shaw et al")</f>
        <v>shaw et al</v>
      </c>
      <c r="E367" s="24" t="str">
        <f>IFERROR(__xludf.DUMMYFUNCTION("""COMPUTED_VALUE"""),"WOS:000325550000007")</f>
        <v>WOS:000325550000007</v>
      </c>
      <c r="F367" s="24" t="str">
        <f>IFERROR(__xludf.DUMMYFUNCTION("""COMPUTED_VALUE"""),"[""ELIGIBLE""]")</f>
        <v>["ELIGIBLE"]</v>
      </c>
    </row>
    <row r="368">
      <c r="A368" s="24" t="str">
        <f>IFERROR(__xludf.DUMMYFUNCTION("""COMPUTED_VALUE"""),"Genetic diversity in Australian populations of Puccinia graminis f. sp avenae")</f>
        <v>Genetic diversity in Australian populations of Puccinia graminis f. sp avenae</v>
      </c>
      <c r="B368" s="24" t="str">
        <f>IFERROR(__xludf.DUMMYFUNCTION("""COMPUTED_VALUE"""),"Sequence-tagged microsatellite profiling was used to develop 110 microsatellites for Puccinia graminis f. sp. tritici (causal agent of wheat stem rust). Low microsatellite polymorphism was exhibited among 10 pathogenically diverse P. graminis f. sp. triti"&amp;"ci isolates collected from Australian cereal growing regions over a period of at least 70 years, with two polymorphic loci detected, each revealing two alleles. Limited cross-species amplification was observed for the wheat rust pathogens, P. triticina (l"&amp;"eaf rust) and P striiformis f. sp. tritici (stripe rust). However, very high transferability was revealed with P. graminis f. sp. avenae (causal agent of oat stem rust) isolates. A genetic diversity study of 47 P. graminis f. sp. avenae isolates collected"&amp;" from an Australia-wide survey in 1999, and a historical group of 16 isolates collected from Australian cereal growing regions from 1971 to 1996, revealed six polymorphic microsatellite loci with a total of 15 alleles. Genetic analysis revealed the presen"&amp;"ce of several clonal lineages and subpopulations in the pathogen population, and wide dispersal of identical races and genotypes throughout Australian cereal-growing regions. These findings demonstrated the dynamic population structure of this pathogen in"&amp;" Australia and concur with the patterns of diversity observed in pathogenicity studies.")</f>
        <v>Sequence-tagged microsatellite profiling was used to develop 110 microsatellites for Puccinia graminis f. sp. tritici (causal agent of wheat stem rust). Low microsatellite polymorphism was exhibited among 10 pathogenically diverse P. graminis f. sp. tritici isolates collected from Australian cereal growing regions over a period of at least 70 years, with two polymorphic loci detected, each revealing two alleles. Limited cross-species amplification was observed for the wheat rust pathogens, P. triticina (leaf rust) and P striiformis f. sp. tritici (stripe rust). However, very high transferability was revealed with P. graminis f. sp. avenae (causal agent of oat stem rust) isolates. A genetic diversity study of 47 P. graminis f. sp. avenae isolates collected from an Australia-wide survey in 1999, and a historical group of 16 isolates collected from Australian cereal growing regions from 1971 to 1996, revealed six polymorphic microsatellite loci with a total of 15 alleles. Genetic analysis revealed the presence of several clonal lineages and subpopulations in the pathogen population, and wide dispersal of identical races and genotypes throughout Australian cereal-growing regions. These findings demonstrated the dynamic population structure of this pathogen in Australia and concur with the patterns of diversity observed in pathogenicity studies.</v>
      </c>
      <c r="C368" s="24" t="str">
        <f>IFERROR(__xludf.DUMMYFUNCTION("""COMPUTED_VALUE"""),"10.1094/PHYTO-96-0096")</f>
        <v>10.1094/PHYTO-96-0096</v>
      </c>
      <c r="D368" s="24" t="str">
        <f>IFERROR(__xludf.DUMMYFUNCTION("""COMPUTED_VALUE"""),"shaw et al")</f>
        <v>shaw et al</v>
      </c>
      <c r="E368" s="24" t="str">
        <f>IFERROR(__xludf.DUMMYFUNCTION("""COMPUTED_VALUE"""),"WOS:000234416800007")</f>
        <v>WOS:000234416800007</v>
      </c>
      <c r="F368" s="24" t="str">
        <f>IFERROR(__xludf.DUMMYFUNCTION("""COMPUTED_VALUE"""),"[""ELIGIBLE""]")</f>
        <v>["ELIGIBLE"]</v>
      </c>
    </row>
    <row r="369">
      <c r="A369" s="24" t="str">
        <f>IFERROR(__xludf.DUMMYFUNCTION("""COMPUTED_VALUE"""),"A high level of outcrossing in the vulnerable species Prosopis rubriflora in a Chaco remnant")</f>
        <v>A high level of outcrossing in the vulnerable species Prosopis rubriflora in a Chaco remnant</v>
      </c>
      <c r="B369" s="24" t="str">
        <f>IFERROR(__xludf.DUMMYFUNCTION("""COMPUTED_VALUE"""),"Prosopis rubriflora Hassl. is a tree species typically found in chaquenian areas, mainly with an arborised phytophysiognomy in the southern region of the Pantanal wetland. This species has become vulnerable in recent decades as a result of considerable in"&amp;"creases in anthropogenic activities such as cattle breeding, and this vulnerability has also been observed in several other native species. The goal of this study was to estimate the mating system of P. rubriflora in a Chaco remnant by analysing 10 micros"&amp;"atellite markers. Samples were collected over 2 years (2010-213 seedlings and 2011-180 seedlings), and the results suggest that the mating system of P. rubriflora is preferably allogamous. A progeny array was predominantly composed of half-sibs (from 76 t"&amp;"o 79%), full-sibs (from 15%) and self-half-sibs (from 6 to 9%). The outcrossing rate between related individuals was significant in 2011 but not in 2010. The average co-ancestry coefficient ((theta) over bar) ranged from 0.158 to 0.162, and the variance e"&amp;"ffective size (N-e) ranged from 3.05 to 3.13. The number of seed trees required for seed collection (m) to retain an effective size of 150 in progeny array samples was 48-49. The high levels of outcrossing of P. rubriflora appear to be related to several "&amp;"mechanisms that avoid selfing and due to the behaviour of native pollinators, which clearly contribute to the gene flow of the species.")</f>
        <v>Prosopis rubriflora Hassl. is a tree species typically found in chaquenian areas, mainly with an arborised phytophysiognomy in the southern region of the Pantanal wetland. This species has become vulnerable in recent decades as a result of considerable increases in anthropogenic activities such as cattle breeding, and this vulnerability has also been observed in several other native species. The goal of this study was to estimate the mating system of P. rubriflora in a Chaco remnant by analysing 10 microsatellite markers. Samples were collected over 2 years (2010-213 seedlings and 2011-180 seedlings), and the results suggest that the mating system of P. rubriflora is preferably allogamous. A progeny array was predominantly composed of half-sibs (from 76 to 79%), full-sibs (from 15%) and self-half-sibs (from 6 to 9%). The outcrossing rate between related individuals was significant in 2011 but not in 2010. The average co-ancestry coefficient ((theta) over bar) ranged from 0.158 to 0.162, and the variance effective size (N-e) ranged from 3.05 to 3.13. The number of seed trees required for seed collection (m) to retain an effective size of 150 in progeny array samples was 48-49. The high levels of outcrossing of P. rubriflora appear to be related to several mechanisms that avoid selfing and due to the behaviour of native pollinators, which clearly contribute to the gene flow of the species.</v>
      </c>
      <c r="C369" s="24" t="str">
        <f>IFERROR(__xludf.DUMMYFUNCTION("""COMPUTED_VALUE"""),"10.1071/BT17195")</f>
        <v>10.1071/BT17195</v>
      </c>
      <c r="D369" s="24" t="str">
        <f>IFERROR(__xludf.DUMMYFUNCTION("""COMPUTED_VALUE"""),"shaw et al")</f>
        <v>shaw et al</v>
      </c>
      <c r="E369" s="24" t="str">
        <f>IFERROR(__xludf.DUMMYFUNCTION("""COMPUTED_VALUE"""),"WOS:000441025000009")</f>
        <v>WOS:000441025000009</v>
      </c>
      <c r="F369" s="24" t="str">
        <f>IFERROR(__xludf.DUMMYFUNCTION("""COMPUTED_VALUE"""),"[""ELIGIBLE""]")</f>
        <v>["ELIGIBLE"]</v>
      </c>
    </row>
    <row r="370">
      <c r="A370" s="24" t="str">
        <f>IFERROR(__xludf.DUMMYFUNCTION("""COMPUTED_VALUE"""),"Genetic structure and temporal dynamics of a Colletotrichum graminicola population in a sorghum disease nursery")</f>
        <v>Genetic structure and temporal dynamics of a Colletotrichum graminicola population in a sorghum disease nursery</v>
      </c>
      <c r="B370" s="24" t="str">
        <f>IFERROR(__xludf.DUMMYFUNCTION("""COMPUTED_VALUE"""),"Restriction fragment length polymorphisms (RFLPs) were used to study the population genetics of Colletotrichum graminicola (= C. sublineolum), the causal agent of sorghum anthracnose. Screening of 80 anonymous probes from a genomic library detected polymo"&amp;"rphisms in 81% of 299 probe-enzyme combinations among nine international isolates. Seven single- or low-copy probes were used to study a collection of 411 isolates sampled during 1991 to 1993 from a sorghum disease nursery in Georgia. Nei's gene diversity"&amp;" was moderately high, with H = 0.215 on average, while genotypic diversity was extremely low with an average genotypic diversity value of (G) over cap = 1.513. Only nine multilocus haplotypes were identified, with one haplotype being present at a frequenc"&amp;"y of approximately 80% each year. Two other haplotypes were found at significant frequencies (4 to 10%). Allele and haplotype frequencies did not differ over the 3 years, indicating that this population was stable. Our findings suggest that genetic drift "&amp;"and gene flow were not major contributors to genetic structure, while asexual reproduction had a significant effect.")</f>
        <v>Restriction fragment length polymorphisms (RFLPs) were used to study the population genetics of Colletotrichum graminicola (= C. sublineolum), the causal agent of sorghum anthracnose. Screening of 80 anonymous probes from a genomic library detected polymorphisms in 81% of 299 probe-enzyme combinations among nine international isolates. Seven single- or low-copy probes were used to study a collection of 411 isolates sampled during 1991 to 1993 from a sorghum disease nursery in Georgia. Nei's gene diversity was moderately high, with H = 0.215 on average, while genotypic diversity was extremely low with an average genotypic diversity value of (G) over cap = 1.513. Only nine multilocus haplotypes were identified, with one haplotype being present at a frequency of approximately 80% each year. Two other haplotypes were found at significant frequencies (4 to 10%). Allele and haplotype frequencies did not differ over the 3 years, indicating that this population was stable. Our findings suggest that genetic drift and gene flow were not major contributors to genetic structure, while asexual reproduction had a significant effect.</v>
      </c>
      <c r="C370" s="24" t="str">
        <f>IFERROR(__xludf.DUMMYFUNCTION("""COMPUTED_VALUE"""),"10.1094/PHYTO.1998.88.10.1087")</f>
        <v>10.1094/PHYTO.1998.88.10.1087</v>
      </c>
      <c r="D370" s="24" t="str">
        <f>IFERROR(__xludf.DUMMYFUNCTION("""COMPUTED_VALUE"""),"shaw et al")</f>
        <v>shaw et al</v>
      </c>
      <c r="E370" s="24" t="str">
        <f>IFERROR(__xludf.DUMMYFUNCTION("""COMPUTED_VALUE"""),"WOS:000076134000011")</f>
        <v>WOS:000076134000011</v>
      </c>
      <c r="F370" s="24" t="str">
        <f>IFERROR(__xludf.DUMMYFUNCTION("""COMPUTED_VALUE"""),"[""ELIGIBLE""]")</f>
        <v>["ELIGIBLE"]</v>
      </c>
    </row>
    <row r="371">
      <c r="A371" s="24" t="str">
        <f>IFERROR(__xludf.DUMMYFUNCTION("""COMPUTED_VALUE"""),"Genetic drift outweighs natural selection at toll-like receptor (TLR) immunity loci in a re-introduced population of a threatened species")</f>
        <v>Genetic drift outweighs natural selection at toll-like receptor (TLR) immunity loci in a re-introduced population of a threatened species</v>
      </c>
      <c r="B371" s="24" t="str">
        <f>IFERROR(__xludf.DUMMYFUNCTION("""COMPUTED_VALUE"""),"During population establishment, genetic drift can be the key driver of changes in genetic diversity, particularly while the population is small. However, natural selection can also play a role in shaping diversity at functionally important loci. We used "&amp;"a well-studied, re-introduced population of the threatened Stewart Island robin (N=722 pedigreed individuals) to determine whether selection shaped genetic diversity at innate immunity toll-like receptor (TLR) genes, over a 9-year period of population gro"&amp;"wth following establishment with 12 genetic founders. We found no evidence for selection operating with respect to TLR diversity on first-year overwinter survival for the majority of loci, genotypes and alleles studied. However, survival of individuals wi"&amp;"th TLR4(BE) genotype was significantly improved: these birds were less than half as likely to die prior to maturity compared with all other TLR4 genotypes. Furthermore, the population frequency of this genotype, at a two-fold excess over Hardy-Weinberg ex"&amp;"pectation, was increased by nonrandom mating. Near-complete sampling and full pedigree and reproductive data enabled us to eliminate other potential causes of these patterns including inbreeding, year effects, density dependence, selection on animals at e"&amp;"arlier life history stages or genome-level association of the TLR4(E) allele with good genes'. However, comparison of observed levels of gene diversity to predictions under simulated genetic drift revealed results consistent with neutral expectations for "&amp;"all loci, including TLR4. Although selection favoured TLR4(BE) heterozygotes in this population, these effects were insufficient to outweigh genetic drift. This is the first empirical study to show that genetic drift can overwhelm natural selection in a w"&amp;"ild population immediately following establishment.")</f>
        <v>During population establishment, genetic drift can be the key driver of changes in genetic diversity, particularly while the population is small. However, natural selection can also play a role in shaping diversity at functionally important loci. We used a well-studied, re-introduced population of the threatened Stewart Island robin (N=722 pedigreed individuals) to determine whether selection shaped genetic diversity at innate immunity toll-like receptor (TLR) genes, over a 9-year period of population growth following establishment with 12 genetic founders. We found no evidence for selection operating with respect to TLR diversity on first-year overwinter survival for the majority of loci, genotypes and alleles studied. However, survival of individuals with TLR4(BE) genotype was significantly improved: these birds were less than half as likely to die prior to maturity compared with all other TLR4 genotypes. Furthermore, the population frequency of this genotype, at a two-fold excess over Hardy-Weinberg expectation, was increased by nonrandom mating. Near-complete sampling and full pedigree and reproductive data enabled us to eliminate other potential causes of these patterns including inbreeding, year effects, density dependence, selection on animals at earlier life history stages or genome-level association of the TLR4(E) allele with good genes'. However, comparison of observed levels of gene diversity to predictions under simulated genetic drift revealed results consistent with neutral expectations for all loci, including TLR4. Although selection favoured TLR4(BE) heterozygotes in this population, these effects were insufficient to outweigh genetic drift. This is the first empirical study to show that genetic drift can overwhelm natural selection in a wild population immediately following establishment.</v>
      </c>
      <c r="C371" s="24" t="str">
        <f>IFERROR(__xludf.DUMMYFUNCTION("""COMPUTED_VALUE"""),"10.1111/mec.12404")</f>
        <v>10.1111/mec.12404</v>
      </c>
      <c r="D371" s="24" t="str">
        <f>IFERROR(__xludf.DUMMYFUNCTION("""COMPUTED_VALUE"""),"shaw et al")</f>
        <v>shaw et al</v>
      </c>
      <c r="E371" s="24" t="str">
        <f>IFERROR(__xludf.DUMMYFUNCTION("""COMPUTED_VALUE"""),"WOS:000323506400010")</f>
        <v>WOS:000323506400010</v>
      </c>
      <c r="F371" s="24" t="str">
        <f>IFERROR(__xludf.DUMMYFUNCTION("""COMPUTED_VALUE"""),"[""ELIGIBLE""]")</f>
        <v>["ELIGIBLE"]</v>
      </c>
    </row>
    <row r="372">
      <c r="A372" s="24" t="str">
        <f>IFERROR(__xludf.DUMMYFUNCTION("""COMPUTED_VALUE"""),"Temporal estimates of genetic diversity in some Mytilus galloprovincialis populations impacted by the Prestige oil-spill")</f>
        <v>Temporal estimates of genetic diversity in some Mytilus galloprovincialis populations impacted by the Prestige oil-spill</v>
      </c>
      <c r="B372" s="24" t="str">
        <f>IFERROR(__xludf.DUMMYFUNCTION("""COMPUTED_VALUE"""),"The sinking of the tanker Prestige in November 2002 off the coast of Galicia resulted in the release of about 60,000 tons of heavy oil. The oil-spill provoked a serious environmental impact in Spanish and French coasts, which biological consequences are s"&amp;"till being assessed. In this study we address the temporal dynamics of genetic diversity in some mussel populations impacted by the oil-spill. Changes in genetic diversity can be measured in natural populations provided that serial samples are available f"&amp;"rom before (year 2000) and after (years 2003, 2005) the oil-spill. Analyses of seven microsatellites indicate a weak but significant increase of genetic variation after the spill. This phenomenon is interpreted herein in terms of a balance between a enhan"&amp;"ced genome mutability on microsatellite variation and a low genetic drift due to toxicants and asphyxia although other stochastic phenomena cannot be ruled out. Per locus annotation showed that in spite of the allelic changes observed in the period 2000-2"&amp;"005, the final size of most allelic series remained quite alike to those of year 2000. Present genetic data suggest that the genotoxic impact of the Prestige spill did not compromise the genetic diversity of studied mussel populations, at least regarding "&amp;"the genetic markers analysed. (C) 2010 Elsevier Ltd. All rights reserved.")</f>
        <v>The sinking of the tanker Prestige in November 2002 off the coast of Galicia resulted in the release of about 60,000 tons of heavy oil. The oil-spill provoked a serious environmental impact in Spanish and French coasts, which biological consequences are still being assessed. In this study we address the temporal dynamics of genetic diversity in some mussel populations impacted by the oil-spill. Changes in genetic diversity can be measured in natural populations provided that serial samples are available from before (year 2000) and after (years 2003, 2005) the oil-spill. Analyses of seven microsatellites indicate a weak but significant increase of genetic variation after the spill. This phenomenon is interpreted herein in terms of a balance between a enhanced genome mutability on microsatellite variation and a low genetic drift due to toxicants and asphyxia although other stochastic phenomena cannot be ruled out. Per locus annotation showed that in spite of the allelic changes observed in the period 2000-2005, the final size of most allelic series remained quite alike to those of year 2000. Present genetic data suggest that the genotoxic impact of the Prestige spill did not compromise the genetic diversity of studied mussel populations, at least regarding the genetic markers analysed. (C) 2010 Elsevier Ltd. All rights reserved.</v>
      </c>
      <c r="C372" s="24" t="str">
        <f>IFERROR(__xludf.DUMMYFUNCTION("""COMPUTED_VALUE"""),"10.1016/j.csr.2010.06.008")</f>
        <v>10.1016/j.csr.2010.06.008</v>
      </c>
      <c r="D372" s="24" t="str">
        <f>IFERROR(__xludf.DUMMYFUNCTION("""COMPUTED_VALUE"""),"shaw et al")</f>
        <v>shaw et al</v>
      </c>
      <c r="E372" s="24" t="str">
        <f>IFERROR(__xludf.DUMMYFUNCTION("""COMPUTED_VALUE"""),"WOS:000288818200010")</f>
        <v>WOS:000288818200010</v>
      </c>
      <c r="F372" s="24" t="str">
        <f>IFERROR(__xludf.DUMMYFUNCTION("""COMPUTED_VALUE"""),"[""ELIGIBLE""]")</f>
        <v>["ELIGIBLE"]</v>
      </c>
    </row>
    <row r="373">
      <c r="A373" s="24" t="str">
        <f>IFERROR(__xludf.DUMMYFUNCTION("""COMPUTED_VALUE"""),"Genetic evaluation of the captive breeding program of the Persian wild ass")</f>
        <v>Genetic evaluation of the captive breeding program of the Persian wild ass</v>
      </c>
      <c r="B373" s="24" t="str">
        <f>IFERROR(__xludf.DUMMYFUNCTION("""COMPUTED_VALUE"""),"During the last century, many species have become endangered and conservation in terms of captive breeding has been crucial for their survival. Classical management of captive species is based on recorded genealogies. However, if pedigrees are incomplete "&amp;"or inaccurate, it can bias the interpretation of the results obtained from analyses based on such data. In this investigation, 12 microsatellite loci were investigated to evaluate the studbook information of the critically endangered Persian wild ass, Equ"&amp;"us heinionus onager. Relatedness and inbreeding coefficients were calculated in order to compare the same coefficients estimated from the recorded studbook. A significant correlation between coefficients obtained by microsatellites and the studbook valida"&amp;"tes the recorded studbook as a reasonable tool for future genetic management. Furthermore, a Bayesian-based method divided the captive onager population into four subgroups that indicate departure from random mating, and thus minor rotation of animals bet"&amp;"ween zoos. Lastly, analyses for inferring past demographic changes revealed a gradual population decline and inbreeding over several generations. This may indicate a low genetic load in captive onagers as a consequence of some degree ofpurging. Consequent"&amp;"ly, the risk of inbreeding depression should currently be minimal in the captive breeding program. Therefore, it is recommended to increase the connectivity between the four subgroups of onagers in order to reduce the risk of demographic and genetic stoch"&amp;"asticity. This study underlines the importance of using molecular markers to evaluate genetic management of captive breeding programs.")</f>
        <v>During the last century, many species have become endangered and conservation in terms of captive breeding has been crucial for their survival. Classical management of captive species is based on recorded genealogies. However, if pedigrees are incomplete or inaccurate, it can bias the interpretation of the results obtained from analyses based on such data. In this investigation, 12 microsatellite loci were investigated to evaluate the studbook information of the critically endangered Persian wild ass, Equus heinionus onager. Relatedness and inbreeding coefficients were calculated in order to compare the same coefficients estimated from the recorded studbook. A significant correlation between coefficients obtained by microsatellites and the studbook validates the recorded studbook as a reasonable tool for future genetic management. Furthermore, a Bayesian-based method divided the captive onager population into four subgroups that indicate departure from random mating, and thus minor rotation of animals between zoos. Lastly, analyses for inferring past demographic changes revealed a gradual population decline and inbreeding over several generations. This may indicate a low genetic load in captive onagers as a consequence of some degree ofpurging. Consequently, the risk of inbreeding depression should currently be minimal in the captive breeding program. Therefore, it is recommended to increase the connectivity between the four subgroups of onagers in order to reduce the risk of demographic and genetic stochasticity. This study underlines the importance of using molecular markers to evaluate genetic management of captive breeding programs.</v>
      </c>
      <c r="C373" s="24" t="str">
        <f>IFERROR(__xludf.DUMMYFUNCTION("""COMPUTED_VALUE"""),"10.1111/j.1469-7998.2007.00294.x")</f>
        <v>10.1111/j.1469-7998.2007.00294.x</v>
      </c>
      <c r="D373" s="24" t="str">
        <f>IFERROR(__xludf.DUMMYFUNCTION("""COMPUTED_VALUE"""),"shaw et al")</f>
        <v>shaw et al</v>
      </c>
      <c r="E373" s="24" t="str">
        <f>IFERROR(__xludf.DUMMYFUNCTION("""COMPUTED_VALUE"""),"WOS:000248887100001")</f>
        <v>WOS:000248887100001</v>
      </c>
      <c r="F373" s="24" t="str">
        <f>IFERROR(__xludf.DUMMYFUNCTION("""COMPUTED_VALUE"""),"[""ELIGIBLE""]")</f>
        <v>["ELIGIBLE"]</v>
      </c>
    </row>
    <row r="374">
      <c r="A374" s="24" t="str">
        <f>IFERROR(__xludf.DUMMYFUNCTION("""COMPUTED_VALUE"""),"Extensive immigration from compensatory hatchery releases into wild Atlantic salmon population in the Baltic sea: spatio-temporal analysis over 18 years")</f>
        <v>Extensive immigration from compensatory hatchery releases into wild Atlantic salmon population in the Baltic sea: spatio-temporal analysis over 18 years</v>
      </c>
      <c r="B374" s="24" t="str">
        <f>IFERROR(__xludf.DUMMYFUNCTION("""COMPUTED_VALUE"""),"Genetic homogenization has been recognized as a serious threat in an increasing number of species, including many salmonid fishes. We assessed the rate and impact of immigration from the main hatchery stocks of Atlantic salmon in the Gulf of Bothnia into "&amp;"one of the largest wild salmon populations in the Baltic Sea, the River Vindelalven, within a temporal framework of 18 years (from 1985-2003). We provide genetic evidence based on mtDNA and microsatellite markers, using mixed-stock analysis, that a large "&amp;"proportion (66%) of fin-damaged spawners (n=181) caught in the Ume/Vindelalven during 1997-2003 originated from the hatcheries in the Rivers Angermanalven, Lulealven and Ljusnan. The maximum-likelihood estimate of immigration rate from these hatcheries in"&amp;"to the wild Vindelalven population was 0.068 (95% CI 0.021-0.128) over the studied time period (1985-2003) and reached up to a quarter (m=0.249, 95% CI 0.106-0.419) of the total population during 1993-2000. This resulted in significant (P&lt;0.01) genetic ho"&amp;"mogenization trend between the wild Vindelalven population and hatchery stocks of the Angermanalven and Lulealven. Our results demonstrate extensive straying from geographically distant hatchery releases into wild salmon population and emphasize the genet"&amp;"ic risks associated with current large-scale stocking practices in the Baltic Sea.")</f>
        <v>Genetic homogenization has been recognized as a serious threat in an increasing number of species, including many salmonid fishes. We assessed the rate and impact of immigration from the main hatchery stocks of Atlantic salmon in the Gulf of Bothnia into one of the largest wild salmon populations in the Baltic Sea, the River Vindelalven, within a temporal framework of 18 years (from 1985-2003). We provide genetic evidence based on mtDNA and microsatellite markers, using mixed-stock analysis, that a large proportion (66%) of fin-damaged spawners (n=181) caught in the Ume/Vindelalven during 1997-2003 originated from the hatcheries in the Rivers Angermanalven, Lulealven and Ljusnan. The maximum-likelihood estimate of immigration rate from these hatcheries into the wild Vindelalven population was 0.068 (95% CI 0.021-0.128) over the studied time period (1985-2003) and reached up to a quarter (m=0.249, 95% CI 0.106-0.419) of the total population during 1993-2000. This resulted in significant (P&lt;0.01) genetic homogenization trend between the wild Vindelalven population and hatchery stocks of the Angermanalven and Lulealven. Our results demonstrate extensive straying from geographically distant hatchery releases into wild salmon population and emphasize the genetic risks associated with current large-scale stocking practices in the Baltic Sea.</v>
      </c>
      <c r="C374" s="24" t="str">
        <f>IFERROR(__xludf.DUMMYFUNCTION("""COMPUTED_VALUE"""),"10.1038/sj.hdy.6800693")</f>
        <v>10.1038/sj.hdy.6800693</v>
      </c>
      <c r="D374" s="24" t="str">
        <f>IFERROR(__xludf.DUMMYFUNCTION("""COMPUTED_VALUE"""),"shaw et al")</f>
        <v>shaw et al</v>
      </c>
      <c r="E374" s="24" t="str">
        <f>IFERROR(__xludf.DUMMYFUNCTION("""COMPUTED_VALUE"""),"WOS:000230110700012")</f>
        <v>WOS:000230110700012</v>
      </c>
      <c r="F374" s="24" t="str">
        <f>IFERROR(__xludf.DUMMYFUNCTION("""COMPUTED_VALUE"""),"[""ELIGIBLE""]")</f>
        <v>["ELIGIBLE"]</v>
      </c>
    </row>
    <row r="375">
      <c r="A375" s="24" t="str">
        <f>IFERROR(__xludf.DUMMYFUNCTION("""COMPUTED_VALUE"""),"Determinants of extinction in fragmented plant populations: Crepis sancta (asteraceae) in urban environments")</f>
        <v>Determinants of extinction in fragmented plant populations: Crepis sancta (asteraceae) in urban environments</v>
      </c>
      <c r="B375" s="24" t="str">
        <f>IFERROR(__xludf.DUMMYFUNCTION("""COMPUTED_VALUE"""),"Local populations are subject to recurrent extinctions, and small populations are particularly prone to extinction. Both demographic (stochasticity and the Allee effect) and genetic factors (drift load and inbreeding depression) potentially affect extinct"&amp;"ion. In fragmented populations, regular dispersal may boost population sizes (demographic rescue effect) or/and reduce the local inbreeding level and genetic drift (genetic rescue effect), which can affect extinction risks. We studied extinction processes"&amp;" in highly fragmented populations of the common species Crepis sancta (Asteraceae) in urban habitats exhibiting a rapid turnover of patches. A four-year demographic monitoring survey and microsatellite genotyping of individuals allowed us to study the det"&amp;"erminants of extinction. We documented a low genetic structure and an absence of inbreeding (estimated by multilocus heterozygosity), which suggest that genetic factors were not a major cause of patch extinction. On the contrary, local population size was"&amp;" the main factor in extinction, whereas connectivity was shown to decrease patch extinction, which we interpreted as a demographic rescue effect that was likely due to better pollination services for reproduction. This coupling of demographic and genetic "&amp;"tools highlighted the importance of dispersal in local patch extinctions of small fragmented populations connected by gene flow.")</f>
        <v>Local populations are subject to recurrent extinctions, and small populations are particularly prone to extinction. Both demographic (stochasticity and the Allee effect) and genetic factors (drift load and inbreeding depression) potentially affect extinction. In fragmented populations, regular dispersal may boost population sizes (demographic rescue effect) or/and reduce the local inbreeding level and genetic drift (genetic rescue effect), which can affect extinction risks. We studied extinction processes in highly fragmented populations of the common species Crepis sancta (Asteraceae) in urban habitats exhibiting a rapid turnover of patches. A four-year demographic monitoring survey and microsatellite genotyping of individuals allowed us to study the determinants of extinction. We documented a low genetic structure and an absence of inbreeding (estimated by multilocus heterozygosity), which suggest that genetic factors were not a major cause of patch extinction. On the contrary, local population size was the main factor in extinction, whereas connectivity was shown to decrease patch extinction, which we interpreted as a demographic rescue effect that was likely due to better pollination services for reproduction. This coupling of demographic and genetic tools highlighted the importance of dispersal in local patch extinctions of small fragmented populations connected by gene flow.</v>
      </c>
      <c r="C375" s="24" t="str">
        <f>IFERROR(__xludf.DUMMYFUNCTION("""COMPUTED_VALUE"""),"10.1007/s00442-011-2229-0")</f>
        <v>10.1007/s00442-011-2229-0</v>
      </c>
      <c r="D375" s="24" t="str">
        <f>IFERROR(__xludf.DUMMYFUNCTION("""COMPUTED_VALUE"""),"shaw et al")</f>
        <v>shaw et al</v>
      </c>
      <c r="E375" s="24" t="str">
        <f>IFERROR(__xludf.DUMMYFUNCTION("""COMPUTED_VALUE"""),"WOS:000305229400012")</f>
        <v>WOS:000305229400012</v>
      </c>
      <c r="F375" s="24" t="str">
        <f>IFERROR(__xludf.DUMMYFUNCTION("""COMPUTED_VALUE"""),"[""ELIGIBLE""]")</f>
        <v>["ELIGIBLE"]</v>
      </c>
    </row>
    <row r="376">
      <c r="A376" s="24" t="str">
        <f>IFERROR(__xludf.DUMMYFUNCTION("""COMPUTED_VALUE"""),"The genetic rescue of two bottlenecked South Island robin populations using translocations of inbred donors")</f>
        <v>The genetic rescue of two bottlenecked South Island robin populations using translocations of inbred donors</v>
      </c>
      <c r="B376" s="24" t="str">
        <f>IFERROR(__xludf.DUMMYFUNCTION("""COMPUTED_VALUE"""),"Populations forced through bottlenecks typically lose genetic variation and exhibit inbreeding depression. 'Genetic rescue' techniques that introduce individuals from outbred populations can be highly effective in reversing the deleterious effects of inbr"&amp;"eeding, but have limited application for the majority of endangered species, which survive only in a few bottlenecked populations. We tested the effectiveness of using highly inbred populations as donors to rescue two isolated and bottlenecked populations"&amp;" of the South Island robin (Petroica australis). Reciprocal translocations significantly increased heterozygosity and allelic diversity. Increased genetic diversity was accompanied by increased juvenile survival and recruitment, sperm quality, and immunoc"&amp;"ompetence of hybrid individuals (crosses between the two populations) compared with inbred control individuals (crosses within each population). Our results confirm that the implementation of 'genetic rescue' using bottlenecked populations as donors provi"&amp;"des a way of preserving endangered species and restoring their viability when outbred donor populations no longer exist.")</f>
        <v>Populations forced through bottlenecks typically lose genetic variation and exhibit inbreeding depression. 'Genetic rescue' techniques that introduce individuals from outbred populations can be highly effective in reversing the deleterious effects of inbreeding, but have limited application for the majority of endangered species, which survive only in a few bottlenecked populations. We tested the effectiveness of using highly inbred populations as donors to rescue two isolated and bottlenecked populations of the South Island robin (Petroica australis). Reciprocal translocations significantly increased heterozygosity and allelic diversity. Increased genetic diversity was accompanied by increased juvenile survival and recruitment, sperm quality, and immunocompetence of hybrid individuals (crosses between the two populations) compared with inbred control individuals (crosses within each population). Our results confirm that the implementation of 'genetic rescue' using bottlenecked populations as donors provides a way of preserving endangered species and restoring their viability when outbred donor populations no longer exist.</v>
      </c>
      <c r="C376" s="24" t="str">
        <f>IFERROR(__xludf.DUMMYFUNCTION("""COMPUTED_VALUE"""),"10.1098/rspb.2012.2228")</f>
        <v>10.1098/rspb.2012.2228</v>
      </c>
      <c r="D376" s="24" t="str">
        <f>IFERROR(__xludf.DUMMYFUNCTION("""COMPUTED_VALUE"""),"shaw et al")</f>
        <v>shaw et al</v>
      </c>
      <c r="E376" s="24" t="str">
        <f>IFERROR(__xludf.DUMMYFUNCTION("""COMPUTED_VALUE"""),"WOS:000312591600002")</f>
        <v>WOS:000312591600002</v>
      </c>
      <c r="F376" s="24" t="str">
        <f>IFERROR(__xludf.DUMMYFUNCTION("""COMPUTED_VALUE"""),"[""ELIGIBLE""]")</f>
        <v>["ELIGIBLE"]</v>
      </c>
    </row>
    <row r="377">
      <c r="A377" s="24" t="str">
        <f>IFERROR(__xludf.DUMMYFUNCTION("""COMPUTED_VALUE"""),"Genetic analysis of the populations of Japanese anchovy Engraulis japonicus from the Yellow Sea and East China Sea based on mitochondrial cytochrome b sequence")</f>
        <v>Genetic analysis of the populations of Japanese anchovy Engraulis japonicus from the Yellow Sea and East China Sea based on mitochondrial cytochrome b sequence</v>
      </c>
      <c r="B377" s="24" t="str">
        <f>IFERROR(__xludf.DUMMYFUNCTION("""COMPUTED_VALUE"""),"Japanese anchovy Engraulis japonicus was not only a commercial species but also a key link in the marine food chain in the Yellow Sea and East China Sea. However, in recent years, E. japonicus experienced a deep recession caused by over fishing. Therefore"&amp;", determination of population genetic structure is essential to underpin resource recovery and to aid delineating and monitoring populations for fishery management. In this study, sequence variation of a 402-bp fragment of mitochondrial cytochrome b (cyt "&amp;"b) gene from ten populations of E. japonicus in the Yellow Sea and East China Sea was determined, detecting 73 haplotypes. Haplotype diversities and nucleotide diversities for the ten populations ranged from 0.4706 +/- 0.1177 (D) to 0.9935 +/- 0.210 (WH),"&amp;" and from 0.0014 +/- 0.0013 (D) to 0.0090 +/- 0.0053 (WH), respectively. Analysis of molecular variance (AMOVA) showed no significant differences at all hierarchical levels, and almost all FsT values were nonsignificant, indicating no significant populati"&amp;"on genetic structure in the Yellow Sea and East China Sea. Two indistinct clades with low support values were detected and the analysis of haplotype frequency distribution showed no significant geographic differences among populations. These results suppo"&amp;"rted the null hypothesis that E. japonicus within the Yellow Sea and East China Sea constituted a panmictic mtDNA gene pool. Based on the present study, the existence of separate genetic stocks in the Yellow Sea and East China Sea were not detected. Stron"&amp;"g dispersal capacity of planktonic larvae, and ocean current could be the reasons for genetic homogeneity in this species in the Yellow Sea and East China Sea. (C) 2014 Elsevier Ltd. All rights reserved.")</f>
        <v>Japanese anchovy Engraulis japonicus was not only a commercial species but also a key link in the marine food chain in the Yellow Sea and East China Sea. However, in recent years, E. japonicus experienced a deep recession caused by over fishing. Therefore, determination of population genetic structure is essential to underpin resource recovery and to aid delineating and monitoring populations for fishery management. In this study, sequence variation of a 402-bp fragment of mitochondrial cytochrome b (cyt b) gene from ten populations of E. japonicus in the Yellow Sea and East China Sea was determined, detecting 73 haplotypes. Haplotype diversities and nucleotide diversities for the ten populations ranged from 0.4706 +/- 0.1177 (D) to 0.9935 +/- 0.210 (WH), and from 0.0014 +/- 0.0013 (D) to 0.0090 +/- 0.0053 (WH), respectively. Analysis of molecular variance (AMOVA) showed no significant differences at all hierarchical levels, and almost all FsT values were nonsignificant, indicating no significant population genetic structure in the Yellow Sea and East China Sea. Two indistinct clades with low support values were detected and the analysis of haplotype frequency distribution showed no significant geographic differences among populations. These results supported the null hypothesis that E. japonicus within the Yellow Sea and East China Sea constituted a panmictic mtDNA gene pool. Based on the present study, the existence of separate genetic stocks in the Yellow Sea and East China Sea were not detected. Strong dispersal capacity of planktonic larvae, and ocean current could be the reasons for genetic homogeneity in this species in the Yellow Sea and East China Sea. (C) 2014 Elsevier Ltd. All rights reserved.</v>
      </c>
      <c r="C377" s="24" t="str">
        <f>IFERROR(__xludf.DUMMYFUNCTION("""COMPUTED_VALUE"""),"10.1016/j.bse.2014.12.007")</f>
        <v>10.1016/j.bse.2014.12.007</v>
      </c>
      <c r="D377" s="24" t="str">
        <f>IFERROR(__xludf.DUMMYFUNCTION("""COMPUTED_VALUE"""),"shaw et al")</f>
        <v>shaw et al</v>
      </c>
      <c r="E377" s="24" t="str">
        <f>IFERROR(__xludf.DUMMYFUNCTION("""COMPUTED_VALUE"""),"WOS:000351320000026")</f>
        <v>WOS:000351320000026</v>
      </c>
      <c r="F377" s="24" t="str">
        <f>IFERROR(__xludf.DUMMYFUNCTION("""COMPUTED_VALUE"""),"[""ELIGIBLE""]")</f>
        <v>["ELIGIBLE"]</v>
      </c>
    </row>
    <row r="378">
      <c r="A378" s="24" t="str">
        <f>IFERROR(__xludf.DUMMYFUNCTION("""COMPUTED_VALUE"""),"Comparative genetic analyses of historical and contemporary collections highlight contrasting demographic histories for the bumble bees Bombus pensylvanicus and B. impatiens in Illinois")</f>
        <v>Comparative genetic analyses of historical and contemporary collections highlight contrasting demographic histories for the bumble bees Bombus pensylvanicus and B. impatiens in Illinois</v>
      </c>
      <c r="B378" s="24" t="str">
        <f>IFERROR(__xludf.DUMMYFUNCTION("""COMPUTED_VALUE"""),"Direct comparison of genetic patterns between museum specimens and contemporary collections can be a powerful approach for detecting recent demographic changes. Using microsatellite markers, we examined historical and contemporary genetic variation from a"&amp;"n apparently declining bumble bee species, Bombus pensylvanicus, and from a stable species, Bombus impatiens, in central Illinois. For each species, we genotyped specimens from the Illinois Natural History Survey collected from three populations between 1"&amp;"969-1972 and from a resurvey of the same areas conducted in 2008. Population structure in B. pensylvanicus increased markedly over the last four decades (from theta(ST) = 0.001 to 0.027) while no structure was detected in B. impatiens for either time peri"&amp;"od (theta(ST) = -0.006 to -0.003). Changes in genetic diversity were not significant for either species, although small reductions were observed for B. pensylvanicus in all three populations. Coalescent simulations incorporating both contemporary and hist"&amp;"orical samples suggest that this small change is not surprising for recent population declines, as large reductions in genetic diversity were only apparent under the most severe bottleneck scenarios. These results demonstrate how comparisons of genetic pa"&amp;"tterns between temporal periods and species can help elucidate potential threats to population health and suggest several strategies that might be useful in the conservation of B. pensylvanicus in the Midwestern USA.")</f>
        <v>Direct comparison of genetic patterns between museum specimens and contemporary collections can be a powerful approach for detecting recent demographic changes. Using microsatellite markers, we examined historical and contemporary genetic variation from an apparently declining bumble bee species, Bombus pensylvanicus, and from a stable species, Bombus impatiens, in central Illinois. For each species, we genotyped specimens from the Illinois Natural History Survey collected from three populations between 1969-1972 and from a resurvey of the same areas conducted in 2008. Population structure in B. pensylvanicus increased markedly over the last four decades (from theta(ST) = 0.001 to 0.027) while no structure was detected in B. impatiens for either time period (theta(ST) = -0.006 to -0.003). Changes in genetic diversity were not significant for either species, although small reductions were observed for B. pensylvanicus in all three populations. Coalescent simulations incorporating both contemporary and historical samples suggest that this small change is not surprising for recent population declines, as large reductions in genetic diversity were only apparent under the most severe bottleneck scenarios. These results demonstrate how comparisons of genetic patterns between temporal periods and species can help elucidate potential threats to population health and suggest several strategies that might be useful in the conservation of B. pensylvanicus in the Midwestern USA.</v>
      </c>
      <c r="C378" s="24" t="str">
        <f>IFERROR(__xludf.DUMMYFUNCTION("""COMPUTED_VALUE"""),"10.1111/j.1365-294X.2009.04160.x")</f>
        <v>10.1111/j.1365-294X.2009.04160.x</v>
      </c>
      <c r="D378" s="24" t="str">
        <f>IFERROR(__xludf.DUMMYFUNCTION("""COMPUTED_VALUE"""),"shaw et al")</f>
        <v>shaw et al</v>
      </c>
      <c r="E378" s="24" t="str">
        <f>IFERROR(__xludf.DUMMYFUNCTION("""COMPUTED_VALUE"""),"WOS:000265189400008")</f>
        <v>WOS:000265189400008</v>
      </c>
      <c r="F378" s="24" t="str">
        <f>IFERROR(__xludf.DUMMYFUNCTION("""COMPUTED_VALUE"""),"[""ELIGIBLE""]")</f>
        <v>["ELIGIBLE"]</v>
      </c>
    </row>
    <row r="379">
      <c r="A379" s="24" t="str">
        <f>IFERROR(__xludf.DUMMYFUNCTION("""COMPUTED_VALUE"""),"Do pathogens reduce genetic diversity of their hosts? Variable effects of sylvatic plague in black-tailed prairie dogs")</f>
        <v>Do pathogens reduce genetic diversity of their hosts? Variable effects of sylvatic plague in black-tailed prairie dogs</v>
      </c>
      <c r="B379" s="24" t="str">
        <f>IFERROR(__xludf.DUMMYFUNCTION("""COMPUTED_VALUE"""),"Introduced diseases can cause dramatic declines inand even the loss ofnatural populations. Extirpations may be followed by low recolonization rates, leading to inbreeding and a loss of genetic variation, with consequences on population viability. Converse"&amp;"ly, extirpations may create vacant habitat patches that individuals from multiple source populations can colonize, potentially leading to an influx of variation. We tested these alternative hypotheses by sampling 15 colonies in a prairie dog metapopulatio"&amp;"n during 7years that encompassed an outbreak of sylvatic plague, providing the opportunity to monitor genetic diversity before, during and after the outbreak. Analysis of nine microsatellite loci revealed that within the metapopulation, there was no chang"&amp;"e in diversity. However, within extirpated colonies, patterns varied: In half of the colonies, allelic richness after recovery was less than the preplague conditions, and in the other half, richness was greater than the preplague conditions. Finally, anal"&amp;"ysis of variation within individuals revealed that prairie dogs present in recolonized colonies had higher heterozygosity than those present before plague. We confirmed plague survivorship in six founders; these individuals had significantly higher hetero"&amp;"zygosity than expected by chance. Collectively, our results suggest that high immigration rates can maintain genetic variation at a regional scale despite simultaneous extirpations in spatially proximate populations. Thus, virulent diseases may increase g"&amp;"enetic diversity of host populations by creating vacant habitats that allow an influx of genetic diversity. Furthermore, even highly virulent diseases may not eliminate individuals randomly; rather, they may selectively remove the most inbred individuals.")</f>
        <v>Introduced diseases can cause dramatic declines inand even the loss ofnatural populations. Extirpations may be followed by low recolonization rates, leading to inbreeding and a loss of genetic variation, with consequences on population viability. Conversely, extirpations may create vacant habitat patches that individuals from multiple source populations can colonize, potentially leading to an influx of variation. We tested these alternative hypotheses by sampling 15 colonies in a prairie dog metapopulation during 7years that encompassed an outbreak of sylvatic plague, providing the opportunity to monitor genetic diversity before, during and after the outbreak. Analysis of nine microsatellite loci revealed that within the metapopulation, there was no change in diversity. However, within extirpated colonies, patterns varied: In half of the colonies, allelic richness after recovery was less than the preplague conditions, and in the other half, richness was greater than the preplague conditions. Finally, analysis of variation within individuals revealed that prairie dogs present in recolonized colonies had higher heterozygosity than those present before plague. We confirmed plague survivorship in six founders; these individuals had significantly higher heterozygosity than expected by chance. Collectively, our results suggest that high immigration rates can maintain genetic variation at a regional scale despite simultaneous extirpations in spatially proximate populations. Thus, virulent diseases may increase genetic diversity of host populations by creating vacant habitats that allow an influx of genetic diversity. Furthermore, even highly virulent diseases may not eliminate individuals randomly; rather, they may selectively remove the most inbred individuals.</v>
      </c>
      <c r="C379" s="24" t="str">
        <f>IFERROR(__xludf.DUMMYFUNCTION("""COMPUTED_VALUE"""),"10.1111/mec.12270")</f>
        <v>10.1111/mec.12270</v>
      </c>
      <c r="D379" s="24" t="str">
        <f>IFERROR(__xludf.DUMMYFUNCTION("""COMPUTED_VALUE"""),"shaw et al")</f>
        <v>shaw et al</v>
      </c>
      <c r="E379" s="24" t="str">
        <f>IFERROR(__xludf.DUMMYFUNCTION("""COMPUTED_VALUE"""),"WOS:000318111100010")</f>
        <v>WOS:000318111100010</v>
      </c>
      <c r="F379" s="24" t="str">
        <f>IFERROR(__xludf.DUMMYFUNCTION("""COMPUTED_VALUE"""),"[""ELIGIBLE""]")</f>
        <v>["ELIGIBLE"]</v>
      </c>
    </row>
    <row r="380">
      <c r="A380" s="24" t="str">
        <f>IFERROR(__xludf.DUMMYFUNCTION("""COMPUTED_VALUE"""),"Assessing current genetic status of the Hainan gibbon using historical and demographic baselines: implications for conservation management of species of extreme rarity")</f>
        <v>Assessing current genetic status of the Hainan gibbon using historical and demographic baselines: implications for conservation management of species of extreme rarity</v>
      </c>
      <c r="B380" s="24" t="str">
        <f>IFERROR(__xludf.DUMMYFUNCTION("""COMPUTED_VALUE"""),"Evidence-based conservation planning is crucial for informing management decisions for species of extreme rarity, but collection of robust data on genetic status or other parameters can be extremely challenging for such species. The Hainan gibbon, possibl"&amp;"y the world's rarest mammal, consists of a single population of similar to 25 individuals restricted to one protected area on Hainan Island, China, and has persisted for over 30years at exceptionally low population size. Analysis of genotypes at 11 micros"&amp;"atellite loci from faecal samples for 36% of the current global population and tissue samples from 62% of existing historical museum specimens demonstrates limited current genetic diversity (Na=2.27, Ar=2.24, H-e=0.43); diversity has declined since the 19"&amp;"th century and even further within the last 30years, representing declines of similar to 30% from historical levels (Na=3.36, Ar=3.29, H-e=0.63). Significant differentiation is seen between current and historical samples (F-ST=0.156, P=0.0315), and the cu"&amp;"rrent population exhibits extremely small N-e (current N-e=2.16). There is evidence for both a recent population bottleneck and an earlier bottleneck, with population size already reasonably low by the late 19th century (historical N-e=1162.96). Individua"&amp;"ls in the current population are related at the level of half- to full-siblings between social groups, and full-siblings or parent-offspring within a social group, suggesting that inbreeding is likely to increase in the future. The species' current reduce"&amp;"d genetic diversity must be considered during conservation planning, particularly for expectations of likely population recovery, indicating that intensive, carefully planned management is essential.")</f>
        <v>Evidence-based conservation planning is crucial for informing management decisions for species of extreme rarity, but collection of robust data on genetic status or other parameters can be extremely challenging for such species. The Hainan gibbon, possibly the world's rarest mammal, consists of a single population of similar to 25 individuals restricted to one protected area on Hainan Island, China, and has persisted for over 30years at exceptionally low population size. Analysis of genotypes at 11 microsatellite loci from faecal samples for 36% of the current global population and tissue samples from 62% of existing historical museum specimens demonstrates limited current genetic diversity (Na=2.27, Ar=2.24, H-e=0.43); diversity has declined since the 19th century and even further within the last 30years, representing declines of similar to 30% from historical levels (Na=3.36, Ar=3.29, H-e=0.63). Significant differentiation is seen between current and historical samples (F-ST=0.156, P=0.0315), and the current population exhibits extremely small N-e (current N-e=2.16). There is evidence for both a recent population bottleneck and an earlier bottleneck, with population size already reasonably low by the late 19th century (historical N-e=1162.96). Individuals in the current population are related at the level of half- to full-siblings between social groups, and full-siblings or parent-offspring within a social group, suggesting that inbreeding is likely to increase in the future. The species' current reduced genetic diversity must be considered during conservation planning, particularly for expectations of likely population recovery, indicating that intensive, carefully planned management is essential.</v>
      </c>
      <c r="C380" s="24" t="str">
        <f>IFERROR(__xludf.DUMMYFUNCTION("""COMPUTED_VALUE"""),"10.1111/mec.13716")</f>
        <v>10.1111/mec.13716</v>
      </c>
      <c r="D380" s="24" t="str">
        <f>IFERROR(__xludf.DUMMYFUNCTION("""COMPUTED_VALUE"""),"shaw et al")</f>
        <v>shaw et al</v>
      </c>
      <c r="E380" s="24" t="str">
        <f>IFERROR(__xludf.DUMMYFUNCTION("""COMPUTED_VALUE"""),"WOS:000380949700004")</f>
        <v>WOS:000380949700004</v>
      </c>
      <c r="F380" s="24" t="str">
        <f>IFERROR(__xludf.DUMMYFUNCTION("""COMPUTED_VALUE"""),"[""ELIGIBLE""]")</f>
        <v>["ELIGIBLE"]</v>
      </c>
    </row>
    <row r="381">
      <c r="A381" s="24" t="str">
        <f>IFERROR(__xludf.DUMMYFUNCTION("""COMPUTED_VALUE"""),"Genetic population structure of the bigeye tuna Thunnus obesus in the central Pacific Ocean based on mtDNA Cytb sequences")</f>
        <v>Genetic population structure of the bigeye tuna Thunnus obesus in the central Pacific Ocean based on mtDNA Cytb sequences</v>
      </c>
      <c r="B381" s="24" t="str">
        <f>IFERROR(__xludf.DUMMYFUNCTION("""COMPUTED_VALUE"""),"Bigeye tuna Thunnus obesus is considered an important fishery species around the world. There is no adequate genetic data available for the T. obesus population. Polymorphism of sequence variations in mitochondrial Cytb genes were assessed to explore the "&amp;"level of genetic variability and differentiation among eight populations of T. obesus sampled from the central Pacific Ocean. Overall, a total of 44 mtDNA haplotypes and 26 variable sites were detected in the 686 bp segment of mtDNA Cytb gene. Nucleotide "&amp;"diversity ranged from 0.17 to 0.27 % and the haplotype diversity ranged from 0.604 to 0.793. An analysis of molecular variance (AMOVA) test of bigeye tuna revealed that 99.38 % of the genetic variation occurred within populations. Both the maximum likelih"&amp;"ood tree and the haplotype network indicated that two lineages of bigeye tuna coexisted in the central Pacific Ocean. Hierarchical AMOVA tests and pairwise analysis revealed no geographical isolation among haplotypes within the two lineages. High Nm value"&amp;"s from this investigation indicated high rates of gene flow between the two sampling regions. Furthermore, tests of neutrality and mismatch distribution suggested that T. obesus might have experienced a population expansion, one that possibly occurred 110"&amp;",000 years ago. Our study firstly unraveled the population genetic structure of the T. obesus in the central Pacific Ocean, and addressed the related fishery management issues including fishery stock identification, management, and conservation.")</f>
        <v>Bigeye tuna Thunnus obesus is considered an important fishery species around the world. There is no adequate genetic data available for the T. obesus population. Polymorphism of sequence variations in mitochondrial Cytb genes were assessed to explore the level of genetic variability and differentiation among eight populations of T. obesus sampled from the central Pacific Ocean. Overall, a total of 44 mtDNA haplotypes and 26 variable sites were detected in the 686 bp segment of mtDNA Cytb gene. Nucleotide diversity ranged from 0.17 to 0.27 % and the haplotype diversity ranged from 0.604 to 0.793. An analysis of molecular variance (AMOVA) test of bigeye tuna revealed that 99.38 % of the genetic variation occurred within populations. Both the maximum likelihood tree and the haplotype network indicated that two lineages of bigeye tuna coexisted in the central Pacific Ocean. Hierarchical AMOVA tests and pairwise analysis revealed no geographical isolation among haplotypes within the two lineages. High Nm values from this investigation indicated high rates of gene flow between the two sampling regions. Furthermore, tests of neutrality and mismatch distribution suggested that T. obesus might have experienced a population expansion, one that possibly occurred 110,000 years ago. Our study firstly unraveled the population genetic structure of the T. obesus in the central Pacific Ocean, and addressed the related fishery management issues including fishery stock identification, management, and conservation.</v>
      </c>
      <c r="C381" s="24" t="str">
        <f>IFERROR(__xludf.DUMMYFUNCTION("""COMPUTED_VALUE"""),"10.1007/s12562-014-0712-3")</f>
        <v>10.1007/s12562-014-0712-3</v>
      </c>
      <c r="D381" s="24" t="str">
        <f>IFERROR(__xludf.DUMMYFUNCTION("""COMPUTED_VALUE"""),"shaw et al")</f>
        <v>shaw et al</v>
      </c>
      <c r="E381" s="24" t="str">
        <f>IFERROR(__xludf.DUMMYFUNCTION("""COMPUTED_VALUE"""),"WOS:000336367100003")</f>
        <v>WOS:000336367100003</v>
      </c>
      <c r="F381" s="24" t="str">
        <f>IFERROR(__xludf.DUMMYFUNCTION("""COMPUTED_VALUE"""),"[""ELIGIBLE""]")</f>
        <v>["ELIGIBLE"]</v>
      </c>
    </row>
    <row r="382">
      <c r="A382" s="24" t="str">
        <f>IFERROR(__xludf.DUMMYFUNCTION("""COMPUTED_VALUE"""),"Population biology of the invasive freshwater snail Physa acuta approached through genetic markers, ecological characterization and demography")</f>
        <v>Population biology of the invasive freshwater snail Physa acuta approached through genetic markers, ecological characterization and demography</v>
      </c>
      <c r="B382" s="24" t="str">
        <f>IFERROR(__xludf.DUMMYFUNCTION("""COMPUTED_VALUE"""),"The respective role of factors acting on population functioning can be inferred from a variety of approaches, including population genetics and demography. We here investigated the role of four of these factors (mating systems, population size, bottleneck"&amp;"s and migration) in the hermaphroditic freshwater snail Physa acuta. Twenty-four populations were sampled either around Montpellier (local scale), or at the scale of France (global scale). At local scale, eight populations were sampled twice, before and a"&amp;"fter summer drying out. The genetic structure of these populations was studied using microsatellite loci. Populations were classified according to openness (ponds vs. rivers) and water regime (permanent vs. temporary) allowing predictions on genetic patte"&amp;"rns (e.g. diversity within populations and differentiation). At local scale, progeny-arrays analysis of the selfing rate was conducted, and size distributions of individuals were followed over two years. Results with regard to the four factors mentioned a"&amp;"bove were: (i) Estimates of population selfing rates derived from inbreeding coefficients were only slightly higher than those from progeny-arrays. (ii) More variation was detected in rivers than in ponds, but no influence of water regime was detected. On"&amp;"e reason might be that permanent populations are not going less often through low densities than those from temporary habitats at the time scale studied. (iii) There was limited evidence for genetic bottlenecks which is compatible with the fact that even "&amp;"marked reduction in water availability was not necessarily associated with demographic bottlenecks. More generally, bottlenecks reducing genetic variation probably occur at population foundation. (iv) Lower genetic differentiation was detected among river"&amp;"s than among ponds which might be related to limitations on gene flow. Demographic and temporal genetic data further indicates that flooding in rivers is unlikely to induce marked gene flow explaining the strong genetic differentiation at short geographic"&amp;"al scale in such habitats. Finally, the demographic data suggest that some populations are transitory and subject to recurrent recolonization, a pattern that was also detected through genetic data.")</f>
        <v>The respective role of factors acting on population functioning can be inferred from a variety of approaches, including population genetics and demography. We here investigated the role of four of these factors (mating systems, population size, bottlenecks and migration) in the hermaphroditic freshwater snail Physa acuta. Twenty-four populations were sampled either around Montpellier (local scale), or at the scale of France (global scale). At local scale, eight populations were sampled twice, before and after summer drying out. The genetic structure of these populations was studied using microsatellite loci. Populations were classified according to openness (ponds vs. rivers) and water regime (permanent vs. temporary) allowing predictions on genetic patterns (e.g. diversity within populations and differentiation). At local scale, progeny-arrays analysis of the selfing rate was conducted, and size distributions of individuals were followed over two years. Results with regard to the four factors mentioned above were: (i) Estimates of population selfing rates derived from inbreeding coefficients were only slightly higher than those from progeny-arrays. (ii) More variation was detected in rivers than in ponds, but no influence of water regime was detected. One reason might be that permanent populations are not going less often through low densities than those from temporary habitats at the time scale studied. (iii) There was limited evidence for genetic bottlenecks which is compatible with the fact that even marked reduction in water availability was not necessarily associated with demographic bottlenecks. More generally, bottlenecks reducing genetic variation probably occur at population foundation. (iv) Lower genetic differentiation was detected among rivers than among ponds which might be related to limitations on gene flow. Demographic and temporal genetic data further indicates that flooding in rivers is unlikely to induce marked gene flow explaining the strong genetic differentiation at short geographical scale in such habitats. Finally, the demographic data suggest that some populations are transitory and subject to recurrent recolonization, a pattern that was also detected through genetic data.</v>
      </c>
      <c r="C382" s="24" t="str">
        <f>IFERROR(__xludf.DUMMYFUNCTION("""COMPUTED_VALUE"""),"10.1111/j.1365-294X.2004.02200.x")</f>
        <v>10.1111/j.1365-294X.2004.02200.x</v>
      </c>
      <c r="D382" s="24" t="str">
        <f>IFERROR(__xludf.DUMMYFUNCTION("""COMPUTED_VALUE"""),"shaw et al")</f>
        <v>shaw et al</v>
      </c>
      <c r="E382" s="24" t="str">
        <f>IFERROR(__xludf.DUMMYFUNCTION("""COMPUTED_VALUE"""),"WOS:000221933000026")</f>
        <v>WOS:000221933000026</v>
      </c>
      <c r="F382" s="24" t="str">
        <f>IFERROR(__xludf.DUMMYFUNCTION("""COMPUTED_VALUE"""),"[""ELIGIBLE""]")</f>
        <v>["ELIGIBLE"]</v>
      </c>
    </row>
    <row r="383">
      <c r="A383" s="24" t="str">
        <f>IFERROR(__xludf.DUMMYFUNCTION("""COMPUTED_VALUE"""),"Bimodal run distribution in a northern population of sockeye salmon (Oncorhynchus nerka): life history and genetic analysis on a temporal scale")</f>
        <v>Bimodal run distribution in a northern population of sockeye salmon (Oncorhynchus nerka): life history and genetic analysis on a temporal scale</v>
      </c>
      <c r="B383" s="24" t="str">
        <f>IFERROR(__xludf.DUMMYFUNCTION("""COMPUTED_VALUE"""),"Life history variation and genetic differentiation were analysed in sockeye salmon in Klukshu River, Yukon Canada over 7 years (1994-2000). Sockeye salmon return to the Klukshu River in two distinct runs, with a small 'early run' in June-August, and a lar"&amp;"ger 'late run' in August-September. A maximum likelihood test for clusters indicated that the return frequency distribution was bimodal in all the years analysed. Life history differences (fork length, sex ratio, age at maturity, fresh- and saltwater resi"&amp;"dency times) were found between the early and late runs; however, inconsistent patterns suggest that environmental effects outweigh, or strongly interact with, genetic effects for the life history characters evaluated. Analysis of variation at eight micro"&amp;"satellite loci showed that the early and late runs are genetically differentiated in all years examined (exact test). F-ST estimates between runs within years were significantly greater than zero (range: 0.018-0.041) for all years except one (0.004). The "&amp;"genetic variance explained by early vs. late runs (2.27%) was twice the variance among years (1.16%) based on analysis of molecular variance. Our neighbour-joining tree showed early and late runs generally clustering separately, indicating higher gene flo"&amp;"w among the early or late run fish across years relative to between-run gene flow. Two years did not fit the general clustering pattern; although the early and late runs in 1995 and 2000 were genetically differentiated, they clustered separately from the "&amp;"rest of the groups. We cannot offer a definitive explanation for these anomalies; however, an analysis of possible cryptic population structure in early and late runs indicated that at least a few fish strayed between the runs in each year, and the highes"&amp;"t rate of mixing was in 1995 and 2000. Our data indicate that the runs are at least partially reproductively isolated as a result of temporal and/or spatial isolating mechanisms. Such reproductive isolation has important implications for conservation and "&amp;"management of the Klukshu sockeye salmon, and make them an evolutionarily interesting group because of parallels with incipient speciation.")</f>
        <v>Life history variation and genetic differentiation were analysed in sockeye salmon in Klukshu River, Yukon Canada over 7 years (1994-2000). Sockeye salmon return to the Klukshu River in two distinct runs, with a small 'early run' in June-August, and a larger 'late run' in August-September. A maximum likelihood test for clusters indicated that the return frequency distribution was bimodal in all the years analysed. Life history differences (fork length, sex ratio, age at maturity, fresh- and saltwater residency times) were found between the early and late runs; however, inconsistent patterns suggest that environmental effects outweigh, or strongly interact with, genetic effects for the life history characters evaluated. Analysis of variation at eight microsatellite loci showed that the early and late runs are genetically differentiated in all years examined (exact test). F-ST estimates between runs within years were significantly greater than zero (range: 0.018-0.041) for all years except one (0.004). The genetic variance explained by early vs. late runs (2.27%) was twice the variance among years (1.16%) based on analysis of molecular variance. Our neighbour-joining tree showed early and late runs generally clustering separately, indicating higher gene flow among the early or late run fish across years relative to between-run gene flow. Two years did not fit the general clustering pattern; although the early and late runs in 1995 and 2000 were genetically differentiated, they clustered separately from the rest of the groups. We cannot offer a definitive explanation for these anomalies; however, an analysis of possible cryptic population structure in early and late runs indicated that at least a few fish strayed between the runs in each year, and the highest rate of mixing was in 1995 and 2000. Our data indicate that the runs are at least partially reproductively isolated as a result of temporal and/or spatial isolating mechanisms. Such reproductive isolation has important implications for conservation and management of the Klukshu sockeye salmon, and make them an evolutionarily interesting group because of parallels with incipient speciation.</v>
      </c>
      <c r="C383" s="24" t="str">
        <f>IFERROR(__xludf.DUMMYFUNCTION("""COMPUTED_VALUE"""),"10.1046/j.1365-294X.2003.01869.x")</f>
        <v>10.1046/j.1365-294X.2003.01869.x</v>
      </c>
      <c r="D383" s="24" t="str">
        <f>IFERROR(__xludf.DUMMYFUNCTION("""COMPUTED_VALUE"""),"shaw et al")</f>
        <v>shaw et al</v>
      </c>
      <c r="E383" s="24" t="str">
        <f>IFERROR(__xludf.DUMMYFUNCTION("""COMPUTED_VALUE"""),"WOS:000183514900009")</f>
        <v>WOS:000183514900009</v>
      </c>
      <c r="F383" s="24" t="str">
        <f>IFERROR(__xludf.DUMMYFUNCTION("""COMPUTED_VALUE"""),"[""ELIGIBLE""]")</f>
        <v>["ELIGIBLE"]</v>
      </c>
    </row>
    <row r="384">
      <c r="A384" s="24" t="str">
        <f>IFERROR(__xludf.DUMMYFUNCTION("""COMPUTED_VALUE"""),"Indirect genetic estimates of breeding population size in the polyploid green sturgeon (Acipenser medirostris)")</f>
        <v>Indirect genetic estimates of breeding population size in the polyploid green sturgeon (Acipenser medirostris)</v>
      </c>
      <c r="B384" s="24" t="str">
        <f>IFERROR(__xludf.DUMMYFUNCTION("""COMPUTED_VALUE"""),"The utility of genetic measures for kinship reconstruction in polysomic species is not well evaluated. We developed a framework to test hypotheses about estimating breeding population size indirectly from collections of outmigrating green sturgeon juvenil"&amp;"es. We evaluated a polysomic dataset, in allelic frequency and phenotypic formats, from green sturgeon to describe the relationship among known progeny from experimental families. The distributions of relatedness values for kin classes were used for recon"&amp;"structing green sturgeon pedigrees from juveniles of unknown relationship. We compared three rarefaction functions that described the relationship between the number of kin groups and number of samples in a pedigree to estimate the annual abundance of spa"&amp;"wners contributing to the threatened green sturgeon Southern Distinct Population Segment in the upper Sacramento River. Results suggested the estimated abundance of breeding green sturgeon remained roughly constant in the upper Sacramento River over a 5-y"&amp;"ear period, ranging from 10 to 28 individuals depending on the year and rarefaction method. These results demonstrate an empirical understanding for the distribution of relatedness values among individuals is a benefit for assessing pedigree reconstructio"&amp;"n methods and identifying misclassification rates. Monitoring of rare species using these indirect methods is feasible and can provide insight into breeding and ontogenetic behaviour. While this framework was developed for specific application to studying"&amp;" fish populations in a riverscape, the framework could be advanced to improve genetic estimation of breeding population size and to identify important breeding habitats of rare species when combined with finer-scaled sampling of offspring.")</f>
        <v>The utility of genetic measures for kinship reconstruction in polysomic species is not well evaluated. We developed a framework to test hypotheses about estimating breeding population size indirectly from collections of outmigrating green sturgeon juveniles. We evaluated a polysomic dataset, in allelic frequency and phenotypic formats, from green sturgeon to describe the relationship among known progeny from experimental families. The distributions of relatedness values for kin classes were used for reconstructing green sturgeon pedigrees from juveniles of unknown relationship. We compared three rarefaction functions that described the relationship between the number of kin groups and number of samples in a pedigree to estimate the annual abundance of spawners contributing to the threatened green sturgeon Southern Distinct Population Segment in the upper Sacramento River. Results suggested the estimated abundance of breeding green sturgeon remained roughly constant in the upper Sacramento River over a 5-year period, ranging from 10 to 28 individuals depending on the year and rarefaction method. These results demonstrate an empirical understanding for the distribution of relatedness values among individuals is a benefit for assessing pedigree reconstruction methods and identifying misclassification rates. Monitoring of rare species using these indirect methods is feasible and can provide insight into breeding and ontogenetic behaviour. While this framework was developed for specific application to studying fish populations in a riverscape, the framework could be advanced to improve genetic estimation of breeding population size and to identify important breeding habitats of rare species when combined with finer-scaled sampling of offspring.</v>
      </c>
      <c r="C384" s="24" t="str">
        <f>IFERROR(__xludf.DUMMYFUNCTION("""COMPUTED_VALUE"""),"10.1111/j.1365-294X.2010.04533.x")</f>
        <v>10.1111/j.1365-294X.2010.04533.x</v>
      </c>
      <c r="D384" s="24" t="str">
        <f>IFERROR(__xludf.DUMMYFUNCTION("""COMPUTED_VALUE"""),"shaw et al")</f>
        <v>shaw et al</v>
      </c>
      <c r="E384" s="24" t="str">
        <f>IFERROR(__xludf.DUMMYFUNCTION("""COMPUTED_VALUE"""),"WOS:000274550100018")</f>
        <v>WOS:000274550100018</v>
      </c>
      <c r="F384" s="24" t="str">
        <f>IFERROR(__xludf.DUMMYFUNCTION("""COMPUTED_VALUE"""),"[""ELIGIBLE""]")</f>
        <v>["ELIGIBLE"]</v>
      </c>
    </row>
    <row r="385">
      <c r="A385" s="24" t="str">
        <f>IFERROR(__xludf.DUMMYFUNCTION("""COMPUTED_VALUE"""),"Environmental heterogeneity promotes microgeographic genetic divergence in the Mediterranean killifish Aphanius fasciatus (Cyprinodontidae)")</f>
        <v>Environmental heterogeneity promotes microgeographic genetic divergence in the Mediterranean killifish Aphanius fasciatus (Cyprinodontidae)</v>
      </c>
      <c r="B385" s="24" t="str">
        <f>IFERROR(__xludf.DUMMYFUNCTION("""COMPUTED_VALUE"""),"Environmental stress can promote evolutionary forces and genetic divergence, but at which microgeographic scale divergence may arise, even in the presence of gene flow, remains poorly known. We studied the effects of eutrophication in a saltwork over a pe"&amp;"riod of 6years on the gene pool of a local population of the Mediterranean killifish Aphanius fasciatus, a species resistant to extreme conditions. We hypothesised that during eutrophication, the environmental stress may have acted differently along a gra"&amp;"dient of salinity and oxygen concentration in promoting evolutionary forces, generating divergence over a small spatial scale (2km), despite gene flow. We analysed 24 allozymes in three temporal samples each composed of four spatial sub-samples, collected"&amp;" along the gradient, during eutrophication (2003 and 2005) and after a recovery project (2008). The results suggest that eutrophication promoted natural selection, originating a genetic cline on one locus (adenosine deaminase) significantly linked to sali"&amp;"nity and oxygen concentration. Together with selection, both genetic drift and gene flow contributed to shaping the genetic structure under stress by further promoting the genetic heterogeneity and giving rise to deficits of heterozygotes as a secondary e"&amp;"ffect of the divergence. Environmental stress thus increased diversification, with the effects of selection and drift prevailing on gene flow. When environmental stress was relaxed (2008), allele and genotype frequencies became homogeneous, likely because"&amp;" under less extreme conditions the gene flow prevailed. These results improve our understanding of microgeographic divergence, and highlight the role of environmental stress in moulding microevolutionary dynamics and genetic patterns of animal populations"&amp;".")</f>
        <v>Environmental stress can promote evolutionary forces and genetic divergence, but at which microgeographic scale divergence may arise, even in the presence of gene flow, remains poorly known. We studied the effects of eutrophication in a saltwork over a period of 6years on the gene pool of a local population of the Mediterranean killifish Aphanius fasciatus, a species resistant to extreme conditions. We hypothesised that during eutrophication, the environmental stress may have acted differently along a gradient of salinity and oxygen concentration in promoting evolutionary forces, generating divergence over a small spatial scale (2km), despite gene flow. We analysed 24 allozymes in three temporal samples each composed of four spatial sub-samples, collected along the gradient, during eutrophication (2003 and 2005) and after a recovery project (2008). The results suggest that eutrophication promoted natural selection, originating a genetic cline on one locus (adenosine deaminase) significantly linked to salinity and oxygen concentration. Together with selection, both genetic drift and gene flow contributed to shaping the genetic structure under stress by further promoting the genetic heterogeneity and giving rise to deficits of heterozygotes as a secondary effect of the divergence. Environmental stress thus increased diversification, with the effects of selection and drift prevailing on gene flow. When environmental stress was relaxed (2008), allele and genotype frequencies became homogeneous, likely because under less extreme conditions the gene flow prevailed. These results improve our understanding of microgeographic divergence, and highlight the role of environmental stress in moulding microevolutionary dynamics and genetic patterns of animal populations.</v>
      </c>
      <c r="C385" s="24" t="str">
        <f>IFERROR(__xludf.DUMMYFUNCTION("""COMPUTED_VALUE"""),"10.1080/03949370.2016.1188159")</f>
        <v>10.1080/03949370.2016.1188159</v>
      </c>
      <c r="D385" s="24" t="str">
        <f>IFERROR(__xludf.DUMMYFUNCTION("""COMPUTED_VALUE"""),"shaw et al")</f>
        <v>shaw et al</v>
      </c>
      <c r="E385" s="24" t="str">
        <f>IFERROR(__xludf.DUMMYFUNCTION("""COMPUTED_VALUE"""),"WOS:000402457800004")</f>
        <v>WOS:000402457800004</v>
      </c>
      <c r="F385" s="24" t="str">
        <f>IFERROR(__xludf.DUMMYFUNCTION("""COMPUTED_VALUE"""),"[""ELIGIBLE""]")</f>
        <v>["ELIGIBLE"]</v>
      </c>
    </row>
    <row r="386">
      <c r="A386" s="24" t="str">
        <f>IFERROR(__xludf.DUMMYFUNCTION("""COMPUTED_VALUE"""),"Evaluating effective population size and genetic diversity of a declining kit fox population using contemporary and historical specimens")</f>
        <v>Evaluating effective population size and genetic diversity of a declining kit fox population using contemporary and historical specimens</v>
      </c>
      <c r="B386" s="24" t="str">
        <f>IFERROR(__xludf.DUMMYFUNCTION("""COMPUTED_VALUE"""),"Loss of genetic diversity has serious conservation consequences (e.g., loss of adaptive potential, reduced population viability), but is difficult to evaluate without developing long-term, multigenerational datasets. Alternatively, historical samples can "&amp;"provide insights into changes in genetic diversity and effective population size (N-e). Kit foxes (Vulpes macrotis) are a species of conservation concern across much of their range. In western Utah, kit fox abundance has declined precipitously from histor"&amp;"ical levels, causing concern about population persistence. We analyzed genetic samples from museum specimens and contemporary scats to evaluate temporal changes in (a) genetic diversity and (b) N-e for kit foxes in western Utah, and (c) discuss our findin"&amp;"gs with respect to population risk and conservation. The N-e of kit foxes in western Utah has decreased substantially. When compared to established conservation thresholds for N-e (e.g., the 50/500 rule), observed levels suggest the population may be at r"&amp;"isk of inbreeding depression and local extinction. In contrast, we found no significant decrease in genetic diversity associated with declining N-e. We detected evidence of low levels of immigration into the population and suspect genetic diversity may ha"&amp;"ve been maintained by this previously undescribed gene flow from adjacent populations. Low or intermittent immigration may serve to temper the potential short-term negative consequences of low N-e. We recommend that kit fox conservation efforts focus on e"&amp;"valuating and maintaining landscape connectivity. We demonstrate how historical specimens can provide a baseline of comparison for contemporary populations, highlighting the importance of natural history collections to conservation during a period of decl"&amp;"ining funding and support.")</f>
        <v>Loss of genetic diversity has serious conservation consequences (e.g., loss of adaptive potential, reduced population viability), but is difficult to evaluate without developing long-term, multigenerational datasets. Alternatively, historical samples can provide insights into changes in genetic diversity and effective population size (N-e). Kit foxes (Vulpes macrotis) are a species of conservation concern across much of their range. In western Utah, kit fox abundance has declined precipitously from historical levels, causing concern about population persistence. We analyzed genetic samples from museum specimens and contemporary scats to evaluate temporal changes in (a) genetic diversity and (b) N-e for kit foxes in western Utah, and (c) discuss our findings with respect to population risk and conservation. The N-e of kit foxes in western Utah has decreased substantially. When compared to established conservation thresholds for N-e (e.g., the 50/500 rule), observed levels suggest the population may be at risk of inbreeding depression and local extinction. In contrast, we found no significant decrease in genetic diversity associated with declining N-e. We detected evidence of low levels of immigration into the population and suspect genetic diversity may have been maintained by this previously undescribed gene flow from adjacent populations. Low or intermittent immigration may serve to temper the potential short-term negative consequences of low N-e. We recommend that kit fox conservation efforts focus on evaluating and maintaining landscape connectivity. We demonstrate how historical specimens can provide a baseline of comparison for contemporary populations, highlighting the importance of natural history collections to conservation during a period of declining funding and support.</v>
      </c>
      <c r="C386" s="24" t="str">
        <f>IFERROR(__xludf.DUMMYFUNCTION("""COMPUTED_VALUE"""),"10.1002/ece3.4660")</f>
        <v>10.1002/ece3.4660</v>
      </c>
      <c r="D386" s="24" t="str">
        <f>IFERROR(__xludf.DUMMYFUNCTION("""COMPUTED_VALUE"""),"shaw et al")</f>
        <v>shaw et al</v>
      </c>
      <c r="E386" s="24" t="str">
        <f>IFERROR(__xludf.DUMMYFUNCTION("""COMPUTED_VALUE"""),"WOS:000454107200054")</f>
        <v>WOS:000454107200054</v>
      </c>
      <c r="F386" s="24" t="str">
        <f>IFERROR(__xludf.DUMMYFUNCTION("""COMPUTED_VALUE"""),"[""ELIGIBLE""]")</f>
        <v>["ELIGIBLE"]</v>
      </c>
    </row>
    <row r="387">
      <c r="A387" s="24" t="str">
        <f>IFERROR(__xludf.DUMMYFUNCTION("""COMPUTED_VALUE"""),"A CENTURY OF GENETIC CHANGE AND METAPOPULATION DYNAMICS IN THE GALAPAGOS WARBLER FINCHES (CERTHIDEA)")</f>
        <v>A CENTURY OF GENETIC CHANGE AND METAPOPULATION DYNAMICS IN THE GALAPAGOS WARBLER FINCHES (CERTHIDEA)</v>
      </c>
      <c r="B387" s="24" t="str">
        <f>IFERROR(__xludf.DUMMYFUNCTION("""COMPUTED_VALUE"""),"Populations that are connected by immigrants play an important role in evolutionary and conservation biology, yet we have little direct evidence of how such metapopulations change genetically over evolutionary time. We compared historic (1894-1906) to mod"&amp;"ern (1988-2006) genetic variation in 11 populations of warbler finches at 14 microsatellite loci. Although several lines of evidence suggest that Darwin's finches may be in decline, we found that the genetic diversity of warbler finches has not generally "&amp;"declined, and broad-scale patterns of variation remained similar over time. Contrary to expectations, inferred population sizes have generally increased over time (6-8%) as have immigration rates (8-16%), which may reflect a recent increase in the frequen"&amp;"cy and intensity of El Nino events. Individual island populations showed significant declines (18-19%) and also substantial gains (18-20%) in allelic richness over time. Changes in genetic diversity were correlated with changes in immigration rates, but d"&amp;"id not correspond to population size or human disturbance. These results reflect the expected stabilizing properties of whole metapopulations over time. However, the dramatic and unpredictable changes observed in individual populations during this short t"&amp;"ime interval suggests that care should be taken when monitoring individual population fragments with snapshots of genetic variation.")</f>
        <v>Populations that are connected by immigrants play an important role in evolutionary and conservation biology, yet we have little direct evidence of how such metapopulations change genetically over evolutionary time. We compared historic (1894-1906) to modern (1988-2006) genetic variation in 11 populations of warbler finches at 14 microsatellite loci. Although several lines of evidence suggest that Darwin's finches may be in decline, we found that the genetic diversity of warbler finches has not generally declined, and broad-scale patterns of variation remained similar over time. Contrary to expectations, inferred population sizes have generally increased over time (6-8%) as have immigration rates (8-16%), which may reflect a recent increase in the frequency and intensity of El Nino events. Individual island populations showed significant declines (18-19%) and also substantial gains (18-20%) in allelic richness over time. Changes in genetic diversity were correlated with changes in immigration rates, but did not correspond to population size or human disturbance. These results reflect the expected stabilizing properties of whole metapopulations over time. However, the dramatic and unpredictable changes observed in individual populations during this short time interval suggests that care should be taken when monitoring individual population fragments with snapshots of genetic variation.</v>
      </c>
      <c r="C387" s="24" t="str">
        <f>IFERROR(__xludf.DUMMYFUNCTION("""COMPUTED_VALUE"""),"10.1111/j.1558-5646.2011.01385.x")</f>
        <v>10.1111/j.1558-5646.2011.01385.x</v>
      </c>
      <c r="D387" s="24" t="str">
        <f>IFERROR(__xludf.DUMMYFUNCTION("""COMPUTED_VALUE"""),"shaw et al")</f>
        <v>shaw et al</v>
      </c>
      <c r="E387" s="24" t="str">
        <f>IFERROR(__xludf.DUMMYFUNCTION("""COMPUTED_VALUE"""),"WOS:000296702800011")</f>
        <v>WOS:000296702800011</v>
      </c>
      <c r="F387" s="24" t="str">
        <f>IFERROR(__xludf.DUMMYFUNCTION("""COMPUTED_VALUE"""),"[""ELIGIBLE""]")</f>
        <v>["ELIGIBLE"]</v>
      </c>
    </row>
    <row r="388">
      <c r="A388" s="24" t="str">
        <f>IFERROR(__xludf.DUMMYFUNCTION("""COMPUTED_VALUE"""),"Identifying footprints of selection in stocked brown trout populations: a spatio-temporal approach")</f>
        <v>Identifying footprints of selection in stocked brown trout populations: a spatio-temporal approach</v>
      </c>
      <c r="B388" s="24" t="str">
        <f>IFERROR(__xludf.DUMMYFUNCTION("""COMPUTED_VALUE"""),"Studies of interactions between farmed and wild salmonid fishes have suggested reduced fitness of farmed strains in the wild, but evidence for selection at the genic level is lacking. We studied three brown trout populations in Denmark which have been sig"&amp;"nificantly admixed with stocked hatchery trout (19-64%), along with two hatchery strains used for stocking. The wild populations were represented by contemporary samples (2000-2006) and two of them by historical samples (1943-1956). We analysed 61 microsa"&amp;"tellite loci, nine of which showed putative functional relationships [expressed sequence tag (EST)-linked or quantitative trait loci]. FST-based outlier tests provided support for diversifying selection at chromosome regions marked by three loci, two anon"&amp;"ymous and one EST-linked. Patterns of differentiation suggested that the loci were candidates for being under diversifying hitch-hiking selection in hatchery vs. wild environments. Analysis of hatchery strain admixture proportions showed that in one wild "&amp;"population, two of the loci showed significantly lower admixture proportions than the putatively neutral loci, implying contemporary selection against alleles introduced by hatchery strain trout. In the most strongly admixed population, however, there was"&amp;" no evidence for selection, possibly because of immigration by stocked trout overcoming selection against hatchery-derived alleles or supportive breeding practices allowing hatchery strain trout to escape natural selection. To our knowledge, this is the f"&amp;"irst study demonstrating footprints of selection in wild salmonid populations subject to spawning intrusion by farmed fish.")</f>
        <v>Studies of interactions between farmed and wild salmonid fishes have suggested reduced fitness of farmed strains in the wild, but evidence for selection at the genic level is lacking. We studied three brown trout populations in Denmark which have been significantly admixed with stocked hatchery trout (19-64%), along with two hatchery strains used for stocking. The wild populations were represented by contemporary samples (2000-2006) and two of them by historical samples (1943-1956). We analysed 61 microsatellite loci, nine of which showed putative functional relationships [expressed sequence tag (EST)-linked or quantitative trait loci]. FST-based outlier tests provided support for diversifying selection at chromosome regions marked by three loci, two anonymous and one EST-linked. Patterns of differentiation suggested that the loci were candidates for being under diversifying hitch-hiking selection in hatchery vs. wild environments. Analysis of hatchery strain admixture proportions showed that in one wild population, two of the loci showed significantly lower admixture proportions than the putatively neutral loci, implying contemporary selection against alleles introduced by hatchery strain trout. In the most strongly admixed population, however, there was no evidence for selection, possibly because of immigration by stocked trout overcoming selection against hatchery-derived alleles or supportive breeding practices allowing hatchery strain trout to escape natural selection. To our knowledge, this is the first study demonstrating footprints of selection in wild salmonid populations subject to spawning intrusion by farmed fish.</v>
      </c>
      <c r="C388" s="24" t="str">
        <f>IFERROR(__xludf.DUMMYFUNCTION("""COMPUTED_VALUE"""),"10.1111/j.1365-294X.2010.04615.x")</f>
        <v>10.1111/j.1365-294X.2010.04615.x</v>
      </c>
      <c r="D388" s="24" t="str">
        <f>IFERROR(__xludf.DUMMYFUNCTION("""COMPUTED_VALUE"""),"shaw et al")</f>
        <v>shaw et al</v>
      </c>
      <c r="E388" s="24" t="str">
        <f>IFERROR(__xludf.DUMMYFUNCTION("""COMPUTED_VALUE"""),"WOS:000276794300005")</f>
        <v>WOS:000276794300005</v>
      </c>
      <c r="F388" s="24" t="str">
        <f>IFERROR(__xludf.DUMMYFUNCTION("""COMPUTED_VALUE"""),"[""ELIGIBLE""]")</f>
        <v>["ELIGIBLE"]</v>
      </c>
    </row>
    <row r="389">
      <c r="A389" s="24" t="str">
        <f>IFERROR(__xludf.DUMMYFUNCTION("""COMPUTED_VALUE"""),"Impact of insecticide-treated bed nets implementation on the genetic structure of Anopheles arabiensis in an area of irrigated rice fields in the Sahelian region of Cameroon")</f>
        <v>Impact of insecticide-treated bed nets implementation on the genetic structure of Anopheles arabiensis in an area of irrigated rice fields in the Sahelian region of Cameroon</v>
      </c>
      <c r="B389" s="24" t="str">
        <f>IFERROR(__xludf.DUMMYFUNCTION("""COMPUTED_VALUE"""),"Variation at 12 microsatellite loci was investigated to assess the impact of the implementation of insecticide-treated bed nets (ITNs) on the genetic structure of Anopheles arabiensis in Simatou, a village surrounded by irrigated rice fields in the Saheli"&amp;"an area of Cameroon. The An. arabiensis population of Simatou was sampled twice before ITN implementation, and twice after. Effective population size estimates (N-e) were similar across each time point, except for the period closely following ITN introduc"&amp;"tion where a nonsignificant reduction was recorded. Hence, we believe that ITN implementation resulted in a temporary bottleneck, rapidly followed by a demographic expansion. The genetic diversity of the population was not significantly affected since dif"&amp;"ferent genetic parameters (allele number, observed and expected heterozygosities) remained stable. Low estimates of genetic differentiation between the populations from Simatou and Lagdo, separated by 300 km, suggested extensive gene flow among population"&amp;"s of An. arabiensis in the Sahelian region of Cameroon. A decrease in the susceptibility to deltamethrin was observed following ITN introduction, but no kdr mutation was detected and a metabolic resistance mechanism is probably involved. The temporary eff"&amp;"ect of ITNs on the genetic structure of An. arabiensis population suggests that, to optimize the success of any control programme of this species based on ITNs, the control area should be very large and the programme should be implemented for a long perio"&amp;"d of time.")</f>
        <v>Variation at 12 microsatellite loci was investigated to assess the impact of the implementation of insecticide-treated bed nets (ITNs) on the genetic structure of Anopheles arabiensis in Simatou, a village surrounded by irrigated rice fields in the Sahelian area of Cameroon. The An. arabiensis population of Simatou was sampled twice before ITN implementation, and twice after. Effective population size estimates (N-e) were similar across each time point, except for the period closely following ITN introduction where a nonsignificant reduction was recorded. Hence, we believe that ITN implementation resulted in a temporary bottleneck, rapidly followed by a demographic expansion. The genetic diversity of the population was not significantly affected since different genetic parameters (allele number, observed and expected heterozygosities) remained stable. Low estimates of genetic differentiation between the populations from Simatou and Lagdo, separated by 300 km, suggested extensive gene flow among populations of An. arabiensis in the Sahelian region of Cameroon. A decrease in the susceptibility to deltamethrin was observed following ITN introduction, but no kdr mutation was detected and a metabolic resistance mechanism is probably involved. The temporary effect of ITNs on the genetic structure of An. arabiensis population suggests that, to optimize the success of any control programme of this species based on ITNs, the control area should be very large and the programme should be implemented for a long period of time.</v>
      </c>
      <c r="C389" s="24" t="str">
        <f>IFERROR(__xludf.DUMMYFUNCTION("""COMPUTED_VALUE"""),"10.1111/j.1365-294X.2005.02699.x")</f>
        <v>10.1111/j.1365-294X.2005.02699.x</v>
      </c>
      <c r="D389" s="24" t="str">
        <f>IFERROR(__xludf.DUMMYFUNCTION("""COMPUTED_VALUE"""),"shaw et al")</f>
        <v>shaw et al</v>
      </c>
      <c r="E389" s="24" t="str">
        <f>IFERROR(__xludf.DUMMYFUNCTION("""COMPUTED_VALUE"""),"WOS:000232143800005")</f>
        <v>WOS:000232143800005</v>
      </c>
      <c r="F389" s="24" t="str">
        <f>IFERROR(__xludf.DUMMYFUNCTION("""COMPUTED_VALUE"""),"[""ELIGIBLE""]")</f>
        <v>["ELIGIBLE"]</v>
      </c>
    </row>
    <row r="390">
      <c r="A390" s="24" t="str">
        <f>IFERROR(__xludf.DUMMYFUNCTION("""COMPUTED_VALUE"""),"Microsatellite DNA analysis of genetic effects of harvesting in old-growth eastern white pine (Pinus strobus) in Ontario, Canada")</f>
        <v>Microsatellite DNA analysis of genetic effects of harvesting in old-growth eastern white pine (Pinus strobus) in Ontario, Canada</v>
      </c>
      <c r="B390" s="24" t="str">
        <f>IFERROR(__xludf.DUMMYFUNCTION("""COMPUTED_VALUE"""),"Microsatellite DNA markers from 13 simple sequence repeat (SSR) loci were used to compare genetic diversity between preharvest pristine and postharvest residual gene pools of two adjacent virgin, old-growth (approximate to 250 years) stands of eastern whi"&amp;"te pine (Pinus strobus L.) in Ontario. There was concurrence in genetic diversity changes in the postharvest gene pools of the two stands. The total and mean numbers of alleles detected in each stand were reduced by approximate to 26% after tree density r"&amp;"eductions of approximate to 75%. Approximately 18 and 21% of the low-frequency (0.25 &gt; P greater than or equal to 0.01) alleles and 76 and 92% of the rare (P &lt; 0.01) alleles were lost from residual stands A and B, respectively, after harvesting. Multilocu"&amp;"s gametic diversity was reduced by 38 and 85% and genotype additivity by approximate to 50% in the residual stands after harvesting. Latent genetic potential of each stand was reduced by approximate to 40%. Although heterozygosity was reduced (1-5%) in th"&amp;"e postharvest residual stands, the reductions were not substantial and not comparable to those using other genetic diversity measures. The reductions in genetic diversity measures were slightly higher than those theoretically expected in postbottleneck po"&amp;"pulations according to drift theory. In the absence of substantial gene migration that could ameliorate the genetic losses, the ability of the postharvest white pine gene pools to adapt to changing environmental and disease conditions may have been compro"&amp;"mised. The microsatellite DNA results for genetic effects of harvesting in old-growth eastern white pine stands were similar to those that we reported earlier from allozyme analysis (Buchert et al. 1997). The results indicate that silvicultural practices "&amp;"should ensure that the gene pools of remaining pristine old-growth stands are reconstituted in the regenerating stands.")</f>
        <v>Microsatellite DNA markers from 13 simple sequence repeat (SSR) loci were used to compare genetic diversity between preharvest pristine and postharvest residual gene pools of two adjacent virgin, old-growth (approximate to 250 years) stands of eastern white pine (Pinus strobus L.) in Ontario. There was concurrence in genetic diversity changes in the postharvest gene pools of the two stands. The total and mean numbers of alleles detected in each stand were reduced by approximate to 26% after tree density reductions of approximate to 75%. Approximately 18 and 21% of the low-frequency (0.25 &gt; P greater than or equal to 0.01) alleles and 76 and 92% of the rare (P &lt; 0.01) alleles were lost from residual stands A and B, respectively, after harvesting. Multilocus gametic diversity was reduced by 38 and 85% and genotype additivity by approximate to 50% in the residual stands after harvesting. Latent genetic potential of each stand was reduced by approximate to 40%. Although heterozygosity was reduced (1-5%) in the postharvest residual stands, the reductions were not substantial and not comparable to those using other genetic diversity measures. The reductions in genetic diversity measures were slightly higher than those theoretically expected in postbottleneck populations according to drift theory. In the absence of substantial gene migration that could ameliorate the genetic losses, the ability of the postharvest white pine gene pools to adapt to changing environmental and disease conditions may have been compromised. The microsatellite DNA results for genetic effects of harvesting in old-growth eastern white pine stands were similar to those that we reported earlier from allozyme analysis (Buchert et al. 1997). The results indicate that silvicultural practices should ensure that the gene pools of remaining pristine old-growth stands are reconstituted in the regenerating stands.</v>
      </c>
      <c r="C390" s="24" t="str">
        <f>IFERROR(__xludf.DUMMYFUNCTION("""COMPUTED_VALUE"""),"10.1046/j.1365-294x.2000.00886.x")</f>
        <v>10.1046/j.1365-294x.2000.00886.x</v>
      </c>
      <c r="D390" s="24" t="str">
        <f>IFERROR(__xludf.DUMMYFUNCTION("""COMPUTED_VALUE"""),"shaw et al")</f>
        <v>shaw et al</v>
      </c>
      <c r="E390" s="24" t="str">
        <f>IFERROR(__xludf.DUMMYFUNCTION("""COMPUTED_VALUE"""),"WOS:000085800500009")</f>
        <v>WOS:000085800500009</v>
      </c>
      <c r="F390" s="24" t="str">
        <f>IFERROR(__xludf.DUMMYFUNCTION("""COMPUTED_VALUE"""),"[""ELIGIBLE""]")</f>
        <v>["ELIGIBLE"]</v>
      </c>
    </row>
    <row r="391">
      <c r="A391" s="24" t="str">
        <f>IFERROR(__xludf.DUMMYFUNCTION("""COMPUTED_VALUE"""),"Heterozygosity-fitness correlations in a declining seabird population")</f>
        <v>Heterozygosity-fitness correlations in a declining seabird population</v>
      </c>
      <c r="B391" s="24" t="str">
        <f>IFERROR(__xludf.DUMMYFUNCTION("""COMPUTED_VALUE"""),"Loss of genetic diversity is thought to lead to increased risk of extinction in endangered populations due to decreasing fitness of homozygous individuals. Here, we evaluated the presence of inbreeding depression in a long-lived seabird, the European shag"&amp;" (Phalacrocorax aristotelis), after a severe decline in population size by nearly 70%. During three reproductive seasons, 85 breeders were captured and genotyped at seven microsatellite loci. Nest sites were monitored during the breeding season to estimat"&amp;"e reproductive success as the number of chicks surviving to full-size-grown per nest. Captured birds were tagged with a ring with an individual code, and resighting data were collected during 7-year period. We found a strong effect of multilocus heterozyg"&amp;"osity on female reproductive performance, and a significant, although weaker, effect on breeder survival. However, our matrix population model suggests that this relatively small effect of genetic diversity on breeder survival may have a profound effect o"&amp;"n fitness. This highlights the importance of integrating life history consequences in HFC studies. Importantly, heterozygosity was correlated across loci, suggesting that genomewide effects, rather than single loci, are responsible for the observed HFCs. "&amp;"Overall, the HFCs are a worrying symptom of genetic erosion in this declining population. Many long-lived species are prone to extinction, and future studies should evaluate the magnitude of fitness impact of genetic deterioration on key population parame"&amp;"ters, such as survival of breeders.")</f>
        <v>Loss of genetic diversity is thought to lead to increased risk of extinction in endangered populations due to decreasing fitness of homozygous individuals. Here, we evaluated the presence of inbreeding depression in a long-lived seabird, the European shag (Phalacrocorax aristotelis), after a severe decline in population size by nearly 70%. During three reproductive seasons, 85 breeders were captured and genotyped at seven microsatellite loci. Nest sites were monitored during the breeding season to estimate reproductive success as the number of chicks surviving to full-size-grown per nest. Captured birds were tagged with a ring with an individual code, and resighting data were collected during 7-year period. We found a strong effect of multilocus heterozygosity on female reproductive performance, and a significant, although weaker, effect on breeder survival. However, our matrix population model suggests that this relatively small effect of genetic diversity on breeder survival may have a profound effect on fitness. This highlights the importance of integrating life history consequences in HFC studies. Importantly, heterozygosity was correlated across loci, suggesting that genomewide effects, rather than single loci, are responsible for the observed HFCs. Overall, the HFCs are a worrying symptom of genetic erosion in this declining population. Many long-lived species are prone to extinction, and future studies should evaluate the magnitude of fitness impact of genetic deterioration on key population parameters, such as survival of breeders.</v>
      </c>
      <c r="C391" s="24" t="str">
        <f>IFERROR(__xludf.DUMMYFUNCTION("""COMPUTED_VALUE"""),"10.1111/mec.13092")</f>
        <v>10.1111/mec.13092</v>
      </c>
      <c r="D391" s="24" t="str">
        <f>IFERROR(__xludf.DUMMYFUNCTION("""COMPUTED_VALUE"""),"shaw et al")</f>
        <v>shaw et al</v>
      </c>
      <c r="E391" s="24" t="str">
        <f>IFERROR(__xludf.DUMMYFUNCTION("""COMPUTED_VALUE"""),"WOS:000350246500005")</f>
        <v>WOS:000350246500005</v>
      </c>
      <c r="F391" s="24" t="str">
        <f>IFERROR(__xludf.DUMMYFUNCTION("""COMPUTED_VALUE"""),"[""ELIGIBLE""]")</f>
        <v>["ELIGIBLE"]</v>
      </c>
    </row>
    <row r="392">
      <c r="A392" s="24" t="str">
        <f>IFERROR(__xludf.DUMMYFUNCTION("""COMPUTED_VALUE"""),"Temporal variation in genetic diversity and effective population size of Mediterranean and subalpine Arabidopsis thaliana populations")</f>
        <v>Temporal variation in genetic diversity and effective population size of Mediterranean and subalpine Arabidopsis thaliana populations</v>
      </c>
      <c r="B392" s="24" t="str">
        <f>IFERROR(__xludf.DUMMYFUNCTION("""COMPUTED_VALUE"""),"Currently, there exists a limited knowledge on the extent of temporal variation in population genetic parameters of natural populations. Here, we study the extent of temporal variation in population genetics by genotyping 151 genome-wide SNP markers polym"&amp;"orphic in 466 individuals collected from nine populations of the annual plant Arabidopsis thaliana during 4 years. Populations are located along an altitudinal climatic gradient from Mediterranean to subalpine environments in NE Spain, which has been show"&amp;"n to influence key demographic attributes and life cycle adaptations. Genetically, A. thaliana populations were more variable across space than over time. Common multilocus genotypes were detected several years in the same population, whereas low-frequenc"&amp;"y multilocus genotypes appeared only 1 year. High-elevation populations were genetically poorer and more variable over time than low-elevation populations, which might be caused by a higher overall demographic instability at higher altitudes. Estimated ef"&amp;"fective population sizes were low but also showed a significant decreasing trend with increasing altitude, suggesting a deeper impact of genetic drift at high-elevation populations. In comparison with single-year samplings, repeated genotyping over time c"&amp;"aptured substantially higher amount of genetic variation contained in A. thaliana populations. Furthermore, repeated genotyping of populations provided novel information on the genetic properties of A. thaliana populations and allowed hypothesizing on the"&amp;"ir underlying mechanisms. Therefore, including temporal genotyping programmes into traditional population genetic studies can significantly increase our understanding of the dynamics of natural populations.")</f>
        <v>Currently, there exists a limited knowledge on the extent of temporal variation in population genetic parameters of natural populations. Here, we study the extent of temporal variation in population genetics by genotyping 151 genome-wide SNP markers polymorphic in 466 individuals collected from nine populations of the annual plant Arabidopsis thaliana during 4 years. Populations are located along an altitudinal climatic gradient from Mediterranean to subalpine environments in NE Spain, which has been shown to influence key demographic attributes and life cycle adaptations. Genetically, A. thaliana populations were more variable across space than over time. Common multilocus genotypes were detected several years in the same population, whereas low-frequency multilocus genotypes appeared only 1 year. High-elevation populations were genetically poorer and more variable over time than low-elevation populations, which might be caused by a higher overall demographic instability at higher altitudes. Estimated effective population sizes were low but also showed a significant decreasing trend with increasing altitude, suggesting a deeper impact of genetic drift at high-elevation populations. In comparison with single-year samplings, repeated genotyping over time captured substantially higher amount of genetic variation contained in A. thaliana populations. Furthermore, repeated genotyping of populations provided novel information on the genetic properties of A. thaliana populations and allowed hypothesizing on their underlying mechanisms. Therefore, including temporal genotyping programmes into traditional population genetic studies can significantly increase our understanding of the dynamics of natural populations.</v>
      </c>
      <c r="C392" s="24" t="str">
        <f>IFERROR(__xludf.DUMMYFUNCTION("""COMPUTED_VALUE"""),"10.1111/j.1365-294X.2011.05193.x")</f>
        <v>10.1111/j.1365-294X.2011.05193.x</v>
      </c>
      <c r="D392" s="24" t="str">
        <f>IFERROR(__xludf.DUMMYFUNCTION("""COMPUTED_VALUE"""),"shaw et al")</f>
        <v>shaw et al</v>
      </c>
      <c r="E392" s="24" t="str">
        <f>IFERROR(__xludf.DUMMYFUNCTION("""COMPUTED_VALUE"""),"WOS:000294224400008")</f>
        <v>WOS:000294224400008</v>
      </c>
      <c r="F392" s="24" t="str">
        <f>IFERROR(__xludf.DUMMYFUNCTION("""COMPUTED_VALUE"""),"[""ELIGIBLE""]")</f>
        <v>["ELIGIBLE"]</v>
      </c>
    </row>
    <row r="393">
      <c r="A393" s="24" t="str">
        <f>IFERROR(__xludf.DUMMYFUNCTION("""COMPUTED_VALUE"""),"Genetic variation of Central European oaks: shaped by evolutionary factors and human intervention?")</f>
        <v>Genetic variation of Central European oaks: shaped by evolutionary factors and human intervention?</v>
      </c>
      <c r="B393" s="24" t="str">
        <f>IFERROR(__xludf.DUMMYFUNCTION("""COMPUTED_VALUE"""),"Oak species (Quercus spp.) in Central Europe grow on a relatively wide range of sites. Due to the economic importance of oak for its wood and other products, oak forests have long been managed by humans. This raises the question whether adaptation and/or "&amp;"human activities-especially the moving of propagules-have left their footprints on the genetic variation of oak populations. To address this question, we focused on the Upper Rhine Valley, a densely populated area today that was settled by humans early on"&amp;". Here, the three most common native Central European oak species can be found. We studied their genetic variation across a large number of oak stands, growing on different sites and having different silvicultural histories, using neutral and EST-derived "&amp;"microsatellite markers. At the interspecific level, we showed that Quercus robur is relatively well delimited, while Quercus petraea and Quercus pubescens are more closely related. Natural hybridization might explain the increased genetic introgression be"&amp;"tween these two species. Within species, we found a low differentiation among populations of Q. robur and Q. petraea. In spite of forest fragmentation, we detected no spatial genetic barriers. However, we found that populations of Q. pubescens, a species "&amp;"with a marginal distribution in the study area were spatially structured. Genetic drift but also unidirectional introgressive hybridization with Q. petraea may account for this. Regarding the question of adaptation, we considered soil flooding, texture, d"&amp;"rainage, and calcium carbonate in the upper horizons as physiologically important site condition variables. But with multivariate statistics, we could not find any significant effects of these parameters on genetic differentiation. Although there was no e"&amp;"vidence for natural selection due to adaptation in stands of Q. robur, we demonstrated that age had a significant effect on their genetic variation and that stands established after the end of the Second World War had higher genetic diversity. We interpre"&amp;"t these findings as being the result of an increase in large-scale transfers of reproductive materials during this time period and discuss arguments supporting this hypothesis. Finally, we consider the implications of these results for forest management.")</f>
        <v>Oak species (Quercus spp.) in Central Europe grow on a relatively wide range of sites. Due to the economic importance of oak for its wood and other products, oak forests have long been managed by humans. This raises the question whether adaptation and/or human activities-especially the moving of propagules-have left their footprints on the genetic variation of oak populations. To address this question, we focused on the Upper Rhine Valley, a densely populated area today that was settled by humans early on. Here, the three most common native Central European oak species can be found. We studied their genetic variation across a large number of oak stands, growing on different sites and having different silvicultural histories, using neutral and EST-derived microsatellite markers. At the interspecific level, we showed that Quercus robur is relatively well delimited, while Quercus petraea and Quercus pubescens are more closely related. Natural hybridization might explain the increased genetic introgression between these two species. Within species, we found a low differentiation among populations of Q. robur and Q. petraea. In spite of forest fragmentation, we detected no spatial genetic barriers. However, we found that populations of Q. pubescens, a species with a marginal distribution in the study area were spatially structured. Genetic drift but also unidirectional introgressive hybridization with Q. petraea may account for this. Regarding the question of adaptation, we considered soil flooding, texture, drainage, and calcium carbonate in the upper horizons as physiologically important site condition variables. But with multivariate statistics, we could not find any significant effects of these parameters on genetic differentiation. Although there was no evidence for natural selection due to adaptation in stands of Q. robur, we demonstrated that age had a significant effect on their genetic variation and that stands established after the end of the Second World War had higher genetic diversity. We interpret these findings as being the result of an increase in large-scale transfers of reproductive materials during this time period and discuss arguments supporting this hypothesis. Finally, we consider the implications of these results for forest management.</v>
      </c>
      <c r="C393" s="24" t="str">
        <f>IFERROR(__xludf.DUMMYFUNCTION("""COMPUTED_VALUE"""),"10.1007/s11295-015-0905-7")</f>
        <v>10.1007/s11295-015-0905-7</v>
      </c>
      <c r="D393" s="24" t="str">
        <f>IFERROR(__xludf.DUMMYFUNCTION("""COMPUTED_VALUE"""),"shaw et al")</f>
        <v>shaw et al</v>
      </c>
      <c r="E393" s="24" t="str">
        <f>IFERROR(__xludf.DUMMYFUNCTION("""COMPUTED_VALUE"""),"WOS:000359417100016")</f>
        <v>WOS:000359417100016</v>
      </c>
      <c r="F393" s="24" t="str">
        <f>IFERROR(__xludf.DUMMYFUNCTION("""COMPUTED_VALUE"""),"[""ELIGIBLE""]")</f>
        <v>["ELIGIBLE"]</v>
      </c>
    </row>
    <row r="394">
      <c r="A394" s="24" t="str">
        <f>IFERROR(__xludf.DUMMYFUNCTION("""COMPUTED_VALUE"""),"Genetic diversity and structure of urban populations of Pieris butterflies assessed using amplified fragment length polymorphism")</f>
        <v>Genetic diversity and structure of urban populations of Pieris butterflies assessed using amplified fragment length polymorphism</v>
      </c>
      <c r="B394" s="24" t="str">
        <f>IFERROR(__xludf.DUMMYFUNCTION("""COMPUTED_VALUE"""),"Conservation programs in urban ecosystems need to determine the genetic background in populations of urban dwellers. We examined the genetic diversity and structure of Pieris rapae and P. melete using AFLP markers, and compared them between species and be"&amp;"tween urban and rural environments. As a result: (i) in both species, there was no reduction in genetic diversity within urban populations by direct comparison of diversity measurements, although the analysis of molecular variance suggested significant re"&amp;"ductions in the variance within seasonal subpopulations in urban populations; (ii) P. rapae retained greater genetic diversity within species and populations; (iii) populations of both species showed significant genetic differentiation, and P. melete was "&amp;"more strongly subdivided; (iv) in both species, geographically close populations did not cluster with one another in the UPGMA analysis; (v) there was no genetic isolation due to geographical distance in either species; (vi) the genetic composition of sea"&amp;"sonal subpopulations differed in urban populations of both species, and the genetic distances among subpopulations were correlated with seasonal differences in P. rapae and with temporal differences in P. melete. These results indicate that the genetic di"&amp;"versity in urban populations of both species was reduced at times, but was maintained by dispersal from genetically differentiated populations. Differences in the ability and mode of dispersal in the two species may be reflected in the degree of populatio"&amp;"n subdivision and patterns of seasonal change in the genetic composition.")</f>
        <v>Conservation programs in urban ecosystems need to determine the genetic background in populations of urban dwellers. We examined the genetic diversity and structure of Pieris rapae and P. melete using AFLP markers, and compared them between species and between urban and rural environments. As a result: (i) in both species, there was no reduction in genetic diversity within urban populations by direct comparison of diversity measurements, although the analysis of molecular variance suggested significant reductions in the variance within seasonal subpopulations in urban populations; (ii) P. rapae retained greater genetic diversity within species and populations; (iii) populations of both species showed significant genetic differentiation, and P. melete was more strongly subdivided; (iv) in both species, geographically close populations did not cluster with one another in the UPGMA analysis; (v) there was no genetic isolation due to geographical distance in either species; (vi) the genetic composition of seasonal subpopulations differed in urban populations of both species, and the genetic distances among subpopulations were correlated with seasonal differences in P. rapae and with temporal differences in P. melete. These results indicate that the genetic diversity in urban populations of both species was reduced at times, but was maintained by dispersal from genetically differentiated populations. Differences in the ability and mode of dispersal in the two species may be reflected in the degree of population subdivision and patterns of seasonal change in the genetic composition.</v>
      </c>
      <c r="C394" s="24" t="str">
        <f>IFERROR(__xludf.DUMMYFUNCTION("""COMPUTED_VALUE"""),"10.1046/j.1365-294X.2003.02040.x")</f>
        <v>10.1046/j.1365-294X.2003.02040.x</v>
      </c>
      <c r="D394" s="24" t="str">
        <f>IFERROR(__xludf.DUMMYFUNCTION("""COMPUTED_VALUE"""),"shaw et al")</f>
        <v>shaw et al</v>
      </c>
      <c r="E394" s="24" t="str">
        <f>IFERROR(__xludf.DUMMYFUNCTION("""COMPUTED_VALUE"""),"WOS:000187919200001")</f>
        <v>WOS:000187919200001</v>
      </c>
      <c r="F394" s="24" t="str">
        <f>IFERROR(__xludf.DUMMYFUNCTION("""COMPUTED_VALUE"""),"[""ELIGIBLE""]")</f>
        <v>["ELIGIBLE"]</v>
      </c>
    </row>
    <row r="395">
      <c r="A395" s="24" t="str">
        <f>IFERROR(__xludf.DUMMYFUNCTION("""COMPUTED_VALUE"""),"A genetic demographic analysis of Lake Malawi rock-dwelling cichlids using spatio-temporal sampling")</f>
        <v>A genetic demographic analysis of Lake Malawi rock-dwelling cichlids using spatio-temporal sampling</v>
      </c>
      <c r="B395" s="24" t="str">
        <f>IFERROR(__xludf.DUMMYFUNCTION("""COMPUTED_VALUE"""),"We estimated the effective population sizes (N-e) and tested for short-term temporal demographic stability of populations of two Lake Malawi cichlids: Maylandia benetos, a micro-endemic, and Maylandia zebra, a widespread species found across the lake. We "&amp;"sampled a total of 351 individuals, genotyped them at 13 microsatellite loci and sequenced their mitochondrial D-loop to estimate genetic diversity, population structure, demographic history and effective population sizes. At the microsatellite loci, gene"&amp;"tic diversity was high in all populations. Yet, genetic diversity was relatively low for the sequence data. Microsatellites yielded mean N-e estimates of 481 individuals (+/- 99 SD) for M.benetos and between 597 (+/- 106.3 SD) and 1524 (+/- 483.9 SD) indi"&amp;"viduals for local populations of M.zebra. The microsatellite data indicated no deviations from mutation-drift equilibrium. Maylandia zebra was further found to be in migration-drift equilibrium. Temporal fluctuations in allele frequencies were limited acr"&amp;"oss the sampling period for both species. Bayesian Skyline analyses suggested a recent expansion of M.zebra populations in line with lake-level fluctuations, whereas the demographic history of M.benetos could only be estimated for the very recent past. Di"&amp;"vergence time estimates placed the origin of M.benetos within the last 100ka after the refilling of the lake and suggested that it split off the sympatric M.zebra population. Overall, our data indicate that micro-endemics and populations in less favourabl"&amp;"e habitats have smaller N-e, indicating that drift may play an important role driving their divergence. Yet, despite small population sizes, high genetic variation can be maintained.")</f>
        <v>We estimated the effective population sizes (N-e) and tested for short-term temporal demographic stability of populations of two Lake Malawi cichlids: Maylandia benetos, a micro-endemic, and Maylandia zebra, a widespread species found across the lake. We sampled a total of 351 individuals, genotyped them at 13 microsatellite loci and sequenced their mitochondrial D-loop to estimate genetic diversity, population structure, demographic history and effective population sizes. At the microsatellite loci, genetic diversity was high in all populations. Yet, genetic diversity was relatively low for the sequence data. Microsatellites yielded mean N-e estimates of 481 individuals (+/- 99 SD) for M.benetos and between 597 (+/- 106.3 SD) and 1524 (+/- 483.9 SD) individuals for local populations of M.zebra. The microsatellite data indicated no deviations from mutation-drift equilibrium. Maylandia zebra was further found to be in migration-drift equilibrium. Temporal fluctuations in allele frequencies were limited across the sampling period for both species. Bayesian Skyline analyses suggested a recent expansion of M.zebra populations in line with lake-level fluctuations, whereas the demographic history of M.benetos could only be estimated for the very recent past. Divergence time estimates placed the origin of M.benetos within the last 100ka after the refilling of the lake and suggested that it split off the sympatric M.zebra population. Overall, our data indicate that micro-endemics and populations in less favourable habitats have smaller N-e, indicating that drift may play an important role driving their divergence. Yet, despite small population sizes, high genetic variation can be maintained.</v>
      </c>
      <c r="C395" s="24" t="str">
        <f>IFERROR(__xludf.DUMMYFUNCTION("""COMPUTED_VALUE"""),"10.1111/mec.13205")</f>
        <v>10.1111/mec.13205</v>
      </c>
      <c r="D395" s="24" t="str">
        <f>IFERROR(__xludf.DUMMYFUNCTION("""COMPUTED_VALUE"""),"shaw et al")</f>
        <v>shaw et al</v>
      </c>
      <c r="E395" s="24" t="str">
        <f>IFERROR(__xludf.DUMMYFUNCTION("""COMPUTED_VALUE"""),"WOS:000355228800009")</f>
        <v>WOS:000355228800009</v>
      </c>
      <c r="F395" s="24" t="str">
        <f>IFERROR(__xludf.DUMMYFUNCTION("""COMPUTED_VALUE"""),"[""ELIGIBLE""]")</f>
        <v>["ELIGIBLE"]</v>
      </c>
    </row>
    <row r="396">
      <c r="A396" s="24" t="str">
        <f>IFERROR(__xludf.DUMMYFUNCTION("""COMPUTED_VALUE"""),"Genetic variation at the MHC DRB1 locus is similar across Gunnison's prairie dog (Cynomys gunnisoni) colonies regardless of plague history")</f>
        <v>Genetic variation at the MHC DRB1 locus is similar across Gunnison's prairie dog (Cynomys gunnisoni) colonies regardless of plague history</v>
      </c>
      <c r="B396" s="24" t="str">
        <f>IFERROR(__xludf.DUMMYFUNCTION("""COMPUTED_VALUE"""),"Yersinia pestis was introduced to North America around 1900 and leads to nearly 100% mortality in prairie dog (Cynomys spp.) colonies during epizootic events, which suggests this pathogen may exert a strong selective force. We characterized genetic divers"&amp;"ity at an MHC class II locus (DRB1) in Gunnison's prairie dog (C. gunnisoni) and quantified population genetic structure at the DRB1 versus 12 microsatellite loci in three large Arizona colonies. Two colonies, Seligman (SE) and Espee Ranch (ES), have expe"&amp;"rienced multiple plague-related die-offs in recent years, whereas plague has never been documented at Aubrey Valley (AV). We found fairly low allelic diversity at the DRB1 locus, with one allele (DRB1*01) at high frequency (0.67-0.87) in all colonies. Two"&amp;" other DRB1 alleles appear to be trans-species polymorphisms shared with the black-tailed prairie dog (C. ludovicianus), indicating that these alleles have been maintained across evolutionary time frames. Estimates of genetic differentiation were generall"&amp;"y lower at the MHC locus (F-ST = 0.033) than at microsatellite markers (F-ST = 0.098). The reduced differentiation at DRB1 may indicate that selection has been important for shaping variation at MHC loci, regardless of the presence or absence of plague in"&amp;" recent decades. However, genetic drift has probably also influenced the DRB1 locus because its level of differentiation was not different from that of microsatellites in an F-ST outlier analysis. We then compared specific MHC alleles to plague survivorsh"&amp;"ip in 60 C. gunnisoni that had been experimentally infected with Y. pestis. We found that survival was greater in individuals that carried at least one copy of the most common allele (DRB1* 01) compared to those that did not (60% vs. 20%). Although the sa"&amp;"mple sizes of these two groups were unbalanced, this result suggests the possibility that this MHC class II locus, or a nearby linked gene, could play a role in plague survival.")</f>
        <v>Yersinia pestis was introduced to North America around 1900 and leads to nearly 100% mortality in prairie dog (Cynomys spp.) colonies during epizootic events, which suggests this pathogen may exert a strong selective force. We characterized genetic diversity at an MHC class II locus (DRB1) in Gunnison's prairie dog (C. gunnisoni) and quantified population genetic structure at the DRB1 versus 12 microsatellite loci in three large Arizona colonies. Two colonies, Seligman (SE) and Espee Ranch (ES), have experienced multiple plague-related die-offs in recent years, whereas plague has never been documented at Aubrey Valley (AV). We found fairly low allelic diversity at the DRB1 locus, with one allele (DRB1*01) at high frequency (0.67-0.87) in all colonies. Two other DRB1 alleles appear to be trans-species polymorphisms shared with the black-tailed prairie dog (C. ludovicianus), indicating that these alleles have been maintained across evolutionary time frames. Estimates of genetic differentiation were generally lower at the MHC locus (F-ST = 0.033) than at microsatellite markers (F-ST = 0.098). The reduced differentiation at DRB1 may indicate that selection has been important for shaping variation at MHC loci, regardless of the presence or absence of plague in recent decades. However, genetic drift has probably also influenced the DRB1 locus because its level of differentiation was not different from that of microsatellites in an F-ST outlier analysis. We then compared specific MHC alleles to plague survivorship in 60 C. gunnisoni that had been experimentally infected with Y. pestis. We found that survival was greater in individuals that carried at least one copy of the most common allele (DRB1* 01) compared to those that did not (60% vs. 20%). Although the sample sizes of these two groups were unbalanced, this result suggests the possibility that this MHC class II locus, or a nearby linked gene, could play a role in plague survival.</v>
      </c>
      <c r="C396" s="24" t="str">
        <f>IFERROR(__xludf.DUMMYFUNCTION("""COMPUTED_VALUE"""),"10.1002/ece3.2077")</f>
        <v>10.1002/ece3.2077</v>
      </c>
      <c r="D396" s="24" t="str">
        <f>IFERROR(__xludf.DUMMYFUNCTION("""COMPUTED_VALUE"""),"shaw et al")</f>
        <v>shaw et al</v>
      </c>
      <c r="E396" s="24" t="str">
        <f>IFERROR(__xludf.DUMMYFUNCTION("""COMPUTED_VALUE"""),"WOS:000374568300031")</f>
        <v>WOS:000374568300031</v>
      </c>
      <c r="F396" s="24" t="str">
        <f>IFERROR(__xludf.DUMMYFUNCTION("""COMPUTED_VALUE"""),"[""ELIGIBLE""]")</f>
        <v>["ELIGIBLE"]</v>
      </c>
    </row>
    <row r="397">
      <c r="A397" s="24" t="str">
        <f>IFERROR(__xludf.DUMMYFUNCTION("""COMPUTED_VALUE"""),"Genetic implications of bottleneck effects of differing severities on genetic diversity in naturally recovering populations: An example from Hawaiian coot and Hawaiian gallinule")</f>
        <v>Genetic implications of bottleneck effects of differing severities on genetic diversity in naturally recovering populations: An example from Hawaiian coot and Hawaiian gallinule</v>
      </c>
      <c r="B397" s="24" t="str">
        <f>IFERROR(__xludf.DUMMYFUNCTION("""COMPUTED_VALUE"""),"The evolutionary trajectory of populations through time is influenced by the interplay of forces (biological, evolutionary, and anthropogenic) acting on the standing genetic variation. We used microsatellite and mitochondrial loci to examine the influence"&amp;" of population declines, of varying severity, on genetic diversity within two Hawaiian endemic waterbirds, the Hawaiian coot and Hawaiian gallinule, by comparing historical (samples collected in the late 1800s and early 1900s) and modern (collected in 201"&amp;"2-2013) populations. Population declines simultaneously experienced by Hawaiian coots and Hawaiian gallinules differentially shaped the evolutionary trajectory of these two populations. Within Hawaiian coot, large reductions (between -38.4% and -51.4%) in"&amp;" mitochondrial diversity were observed, although minimal differences were observed in the distribution of allelic and haplotypic frequencies between sampled time periods. Conversely, for Hawaiian gallinule, allelic frequencies were strongly differentiated"&amp;" between time periods, signatures of a genetic bottleneck were detected, and biases in means of the effective population size were observed at microsatellite loci. The strength of the decline appears to have had a greater influence on genetic diversity wi"&amp;"thin Hawaiian gallinule than Hawaiian coot, coincident with the reduction in census size. These species exhibit similar life history characteristics and generation times; therefore, we hypothesize that differences in behavior and colonization history are "&amp;"likely playing a large role in how allelic and haplotypic frequencies are being shaped through time. Furthermore, differences in patterns of genetic diversity within Hawaiian coot and Hawaiian gallinule highlight the influence of demographic and evolution"&amp;"ary processes in shaping how species respond genetically to ecological stressors.")</f>
        <v>The evolutionary trajectory of populations through time is influenced by the interplay of forces (biological, evolutionary, and anthropogenic) acting on the standing genetic variation. We used microsatellite and mitochondrial loci to examine the influence of population declines, of varying severity, on genetic diversity within two Hawaiian endemic waterbirds, the Hawaiian coot and Hawaiian gallinule, by comparing historical (samples collected in the late 1800s and early 1900s) and modern (collected in 2012-2013) populations. Population declines simultaneously experienced by Hawaiian coots and Hawaiian gallinules differentially shaped the evolutionary trajectory of these two populations. Within Hawaiian coot, large reductions (between -38.4% and -51.4%) in mitochondrial diversity were observed, although minimal differences were observed in the distribution of allelic and haplotypic frequencies between sampled time periods. Conversely, for Hawaiian gallinule, allelic frequencies were strongly differentiated between time periods, signatures of a genetic bottleneck were detected, and biases in means of the effective population size were observed at microsatellite loci. The strength of the decline appears to have had a greater influence on genetic diversity within Hawaiian gallinule than Hawaiian coot, coincident with the reduction in census size. These species exhibit similar life history characteristics and generation times; therefore, we hypothesize that differences in behavior and colonization history are likely playing a large role in how allelic and haplotypic frequencies are being shaped through time. Furthermore, differences in patterns of genetic diversity within Hawaiian coot and Hawaiian gallinule highlight the influence of demographic and evolutionary processes in shaping how species respond genetically to ecological stressors.</v>
      </c>
      <c r="C397" s="24" t="str">
        <f>IFERROR(__xludf.DUMMYFUNCTION("""COMPUTED_VALUE"""),"10.1002/ece3.3530")</f>
        <v>10.1002/ece3.3530</v>
      </c>
      <c r="D397" s="24" t="str">
        <f>IFERROR(__xludf.DUMMYFUNCTION("""COMPUTED_VALUE"""),"shaw et al")</f>
        <v>shaw et al</v>
      </c>
      <c r="E397" s="24" t="str">
        <f>IFERROR(__xludf.DUMMYFUNCTION("""COMPUTED_VALUE"""),"WOS:000417754100007")</f>
        <v>WOS:000417754100007</v>
      </c>
      <c r="F397" s="24" t="str">
        <f>IFERROR(__xludf.DUMMYFUNCTION("""COMPUTED_VALUE"""),"[""ELIGIBLE""]")</f>
        <v>["ELIGIBLE"]</v>
      </c>
    </row>
    <row r="398">
      <c r="A398" s="24" t="str">
        <f>IFERROR(__xludf.DUMMYFUNCTION("""COMPUTED_VALUE"""),"Impact of a population bottleneck on symmetry and genetic diversity in the northern elephant seal")</f>
        <v>Impact of a population bottleneck on symmetry and genetic diversity in the northern elephant seal</v>
      </c>
      <c r="B398" s="24" t="str">
        <f>IFERROR(__xludf.DUMMYFUNCTION("""COMPUTED_VALUE"""),"The northern elephant seal (NES) suffered a severe population bottleneck towards the end of the nineteenth century. Theoretical expectations for the impact of population bottlenecks include the loss of genetic diversity and a loss of fitness (e.g. through"&amp;" a disruption of developmental stability); however, there are few direct demonstrations in natural populations. Here, we report on the comparison of archive samples collected prior to and following the NES population bottleneck. Measures of genetic divers"&amp;"ity show a loss of variation consistent with expectations and suggest a strong disruption in the pattern of allele frequencies following the bottleneck. Measures of bilateral characters show an increase in fluctuating asymmetry.")</f>
        <v>The northern elephant seal (NES) suffered a severe population bottleneck towards the end of the nineteenth century. Theoretical expectations for the impact of population bottlenecks include the loss of genetic diversity and a loss of fitness (e.g. through a disruption of developmental stability); however, there are few direct demonstrations in natural populations. Here, we report on the comparison of archive samples collected prior to and following the NES population bottleneck. Measures of genetic diversity show a loss of variation consistent with expectations and suggest a strong disruption in the pattern of allele frequencies following the bottleneck. Measures of bilateral characters show an increase in fluctuating asymmetry.</v>
      </c>
      <c r="C398" s="24" t="str">
        <f>IFERROR(__xludf.DUMMYFUNCTION("""COMPUTED_VALUE"""),"10.1046/j.1420-9101.2002.00419.x")</f>
        <v>10.1046/j.1420-9101.2002.00419.x</v>
      </c>
      <c r="D398" s="24" t="str">
        <f>IFERROR(__xludf.DUMMYFUNCTION("""COMPUTED_VALUE"""),"shaw et al")</f>
        <v>shaw et al</v>
      </c>
      <c r="E398" s="24" t="str">
        <f>IFERROR(__xludf.DUMMYFUNCTION("""COMPUTED_VALUE"""),"WOS:000176319800008")</f>
        <v>WOS:000176319800008</v>
      </c>
      <c r="F398" s="24" t="str">
        <f>IFERROR(__xludf.DUMMYFUNCTION("""COMPUTED_VALUE"""),"[""ELIGIBLE""]")</f>
        <v>["ELIGIBLE"]</v>
      </c>
    </row>
    <row r="399">
      <c r="A399" s="24" t="str">
        <f>IFERROR(__xludf.DUMMYFUNCTION("""COMPUTED_VALUE"""),"Impact of founder population, drift and selection on the genetic diversity of a recently translocated tree population")</f>
        <v>Impact of founder population, drift and selection on the genetic diversity of a recently translocated tree population</v>
      </c>
      <c r="B399" s="24" t="str">
        <f>IFERROR(__xludf.DUMMYFUNCTION("""COMPUTED_VALUE"""),"Recently established, temperate tree populations combine a high level of differentiation for adaptive traits, suggesting rapid genetic evolution, with a high level of genetic diversity within population, suggesting a limited impact of genetic drift and pu"&amp;"rifying selection. To study experimentally the evolutionary forces in a recently established population, we assessed the spatial and temporal patterns of genetic diversity within a disjunct population of Cedrus atlantica established 140 years ago in south"&amp;"-eastern France from a North African source. The population is expanding through natural regeneration. Three generations were sampled, including founder trees. We analysed 12 isozyme loci, three of which were previously found in tight association with sel"&amp;"ected genes, and quantitative traits. No bottleneck effect was detected in the founder generation, but a simple test of allelic association revealed an initial disequilibrium which disappeared in the following generations. The impact of genetic drift duri"&amp;"ng secondary evolution was limited, as suggested by the weak temporal differentiation. The genetic load was not reduced after 3 generations, and the quantitative variation for adaptive traits did not change either. Thus, initial genetic changes first proc"&amp;"eed from a rapid re-organisation of the diversity through mating and recombination, whereas genetic erosion through drift and selection is delayed due to temporal and spatial stochasticity. Two life-history traits of trees contribute to slowing down the p"&amp;"rocesses of genetic erosion: perenniality and large spatial scale. Thus, one would expect recently established tree populations to have a higher diversity than older ones, which seems in accordance with experimental surveys.")</f>
        <v>Recently established, temperate tree populations combine a high level of differentiation for adaptive traits, suggesting rapid genetic evolution, with a high level of genetic diversity within population, suggesting a limited impact of genetic drift and purifying selection. To study experimentally the evolutionary forces in a recently established population, we assessed the spatial and temporal patterns of genetic diversity within a disjunct population of Cedrus atlantica established 140 years ago in south-eastern France from a North African source. The population is expanding through natural regeneration. Three generations were sampled, including founder trees. We analysed 12 isozyme loci, three of which were previously found in tight association with selected genes, and quantitative traits. No bottleneck effect was detected in the founder generation, but a simple test of allelic association revealed an initial disequilibrium which disappeared in the following generations. The impact of genetic drift during secondary evolution was limited, as suggested by the weak temporal differentiation. The genetic load was not reduced after 3 generations, and the quantitative variation for adaptive traits did not change either. Thus, initial genetic changes first proceed from a rapid re-organisation of the diversity through mating and recombination, whereas genetic erosion through drift and selection is delayed due to temporal and spatial stochasticity. Two life-history traits of trees contribute to slowing down the processes of genetic erosion: perenniality and large spatial scale. Thus, one would expect recently established tree populations to have a higher diversity than older ones, which seems in accordance with experimental surveys.</v>
      </c>
      <c r="C399" s="24" t="str">
        <f>IFERROR(__xludf.DUMMYFUNCTION("""COMPUTED_VALUE"""),"10.1038/sj.hdy.6800549")</f>
        <v>10.1038/sj.hdy.6800549</v>
      </c>
      <c r="D399" s="24" t="str">
        <f>IFERROR(__xludf.DUMMYFUNCTION("""COMPUTED_VALUE"""),"shaw et al")</f>
        <v>shaw et al</v>
      </c>
      <c r="E399" s="24" t="str">
        <f>IFERROR(__xludf.DUMMYFUNCTION("""COMPUTED_VALUE"""),"WOS:000225354800004")</f>
        <v>WOS:000225354800004</v>
      </c>
      <c r="F399" s="24" t="str">
        <f>IFERROR(__xludf.DUMMYFUNCTION("""COMPUTED_VALUE"""),"[""ELIGIBLE""]")</f>
        <v>["ELIGIBLE"]</v>
      </c>
    </row>
    <row r="400">
      <c r="A400" s="24" t="str">
        <f>IFERROR(__xludf.DUMMYFUNCTION("""COMPUTED_VALUE"""),"Genetic population structure and contemporary dispersal patterns of a recent European invader, the Chinese mitten crab, Eriocheir sinensis")</f>
        <v>Genetic population structure and contemporary dispersal patterns of a recent European invader, the Chinese mitten crab, Eriocheir sinensis</v>
      </c>
      <c r="B400" s="24" t="str">
        <f>IFERROR(__xludf.DUMMYFUNCTION("""COMPUTED_VALUE"""),"Genetic studies of recently established populations are challenging because the assumption of equilibrium underlying many analyses is likely to be violated. Using microsatellites, we investigated determinants of genetic structure and migration among invas"&amp;"ive European-Chinese mitten crab populations, applying a combination of traditional population genetic analyses and nonequilibrium Bayesian methods. Consistent with their recent history, invasive populations showed much lower levels of genetic diversity t"&amp;"han a native Chinese population, indicative of recent bottlenecks. Population differentiation was generally low but significant and especially pronounced among recently established populations. Significant differentiation among cohorts from the same geogr"&amp;"aphical location (River Thames) suggests the low effective population size and associated strong genetic drift that would be anticipated from a very recent colonization. An isolation-by-distance pattern appears to be driven by an underlying correlation be"&amp;"tween geographical distance and population age, suggesting that cumulative homogenizing gene flow reduces founder bottleneck-associated genetic differentiation between longer-established populations. This hypothesis was supported by a coalescent analysis,"&amp;" which supported a drift + gene flow model as more likely than a model excluding gene flow. Furthermore, admixture analysis identified several recent migrants between the UK and Continental European population clusters. Admixture proportions were signific"&amp;"antly predicted by the volume of shipping between sites, indicating that human-mediated transport remains a significant factor for dispersal of mitten crabs after the initial establishment of populations. Our study highlights the value of nonequilibrium m"&amp;"ethods for the study of invasive species, and also the importance of evaluating nonequilibrium explanations for isolation by distance patterns.")</f>
        <v>Genetic studies of recently established populations are challenging because the assumption of equilibrium underlying many analyses is likely to be violated. Using microsatellites, we investigated determinants of genetic structure and migration among invasive European-Chinese mitten crab populations, applying a combination of traditional population genetic analyses and nonequilibrium Bayesian methods. Consistent with their recent history, invasive populations showed much lower levels of genetic diversity than a native Chinese population, indicative of recent bottlenecks. Population differentiation was generally low but significant and especially pronounced among recently established populations. Significant differentiation among cohorts from the same geographical location (River Thames) suggests the low effective population size and associated strong genetic drift that would be anticipated from a very recent colonization. An isolation-by-distance pattern appears to be driven by an underlying correlation between geographical distance and population age, suggesting that cumulative homogenizing gene flow reduces founder bottleneck-associated genetic differentiation between longer-established populations. This hypothesis was supported by a coalescent analysis, which supported a drift + gene flow model as more likely than a model excluding gene flow. Furthermore, admixture analysis identified several recent migrants between the UK and Continental European population clusters. Admixture proportions were significantly predicted by the volume of shipping between sites, indicating that human-mediated transport remains a significant factor for dispersal of mitten crabs after the initial establishment of populations. Our study highlights the value of nonequilibrium methods for the study of invasive species, and also the importance of evaluating nonequilibrium explanations for isolation by distance patterns.</v>
      </c>
      <c r="C400" s="24" t="str">
        <f>IFERROR(__xludf.DUMMYFUNCTION("""COMPUTED_VALUE"""),"10.1111/j.1365-294X.2006.03133.x")</f>
        <v>10.1111/j.1365-294X.2006.03133.x</v>
      </c>
      <c r="D400" s="24" t="str">
        <f>IFERROR(__xludf.DUMMYFUNCTION("""COMPUTED_VALUE"""),"shaw et al")</f>
        <v>shaw et al</v>
      </c>
      <c r="E400" s="24" t="str">
        <f>IFERROR(__xludf.DUMMYFUNCTION("""COMPUTED_VALUE"""),"WOS:000243305200001")</f>
        <v>WOS:000243305200001</v>
      </c>
      <c r="F400" s="24" t="str">
        <f>IFERROR(__xludf.DUMMYFUNCTION("""COMPUTED_VALUE"""),"[""ELIGIBLE""]")</f>
        <v>["ELIGIBLE"]</v>
      </c>
    </row>
    <row r="401">
      <c r="A401" s="24" t="str">
        <f>IFERROR(__xludf.DUMMYFUNCTION("""COMPUTED_VALUE"""),"Variation in mitochondrial DNA control region haplotypes in populations of the bank vole, Clethrionomys glareolus, living in the Chernobyl environment, Ukraine")</f>
        <v>Variation in mitochondrial DNA control region haplotypes in populations of the bank vole, Clethrionomys glareolus, living in the Chernobyl environment, Ukraine</v>
      </c>
      <c r="B401" s="24" t="str">
        <f>IFERROR(__xludf.DUMMYFUNCTION("""COMPUTED_VALUE"""),"Bank vole, Clethrionomys glareolus, specimens have been annually sampled from the radioactive Chernobyl, Ukraine, environment and nonradioactive reference sites since 1997. Exposed voles continually exhibit increased mitochondrial DNA haplotype (h) and nu"&amp;"cleotide diversity (ND), observed in the hypervariable control region (1997-1999). Increased maternal mutation rates, source-sink relationships, or both are proposed as hypotheses for these differences. Samples from additional years (2000 and 2001) have b"&amp;"een incorporated into this temporal study. To evaluate the hypothesis that an increased mutation rate is associated with increased h, DNA sequences were examined in a phylogenetic context for novel substitutions not observed in haplotypes from bank voles "&amp;"from outside Ukraine or in other species of Clethrionomys. Such novel substitutions might result from in situ mutation events and. if largely restricted to samples from radioactive environments, support an increased maternal mutation rate in these areas. "&amp;"The only unique substitution meeting this criterion was found in an uncontaminated reference site. All other substitutions are found in other haplotypes of the bank vole or in other species. Increased maternal mutation rates do not appear to explain trend"&amp;"s in h and ND observed in northern Ukraine. Studies examining ecological dynamics will clarify the reasons behind, and significance of, increased levels of h in contaminated areas.")</f>
        <v>Bank vole, Clethrionomys glareolus, specimens have been annually sampled from the radioactive Chernobyl, Ukraine, environment and nonradioactive reference sites since 1997. Exposed voles continually exhibit increased mitochondrial DNA haplotype (h) and nucleotide diversity (ND), observed in the hypervariable control region (1997-1999). Increased maternal mutation rates, source-sink relationships, or both are proposed as hypotheses for these differences. Samples from additional years (2000 and 2001) have been incorporated into this temporal study. To evaluate the hypothesis that an increased mutation rate is associated with increased h, DNA sequences were examined in a phylogenetic context for novel substitutions not observed in haplotypes from bank voles from outside Ukraine or in other species of Clethrionomys. Such novel substitutions might result from in situ mutation events and. if largely restricted to samples from radioactive environments, support an increased maternal mutation rate in these areas. The only unique substitution meeting this criterion was found in an uncontaminated reference site. All other substitutions are found in other haplotypes of the bank vole or in other species. Increased maternal mutation rates do not appear to explain trends in h and ND observed in northern Ukraine. Studies examining ecological dynamics will clarify the reasons behind, and significance of, increased levels of h in contaminated areas.</v>
      </c>
      <c r="C401" s="24" t="str">
        <f>IFERROR(__xludf.DUMMYFUNCTION("""COMPUTED_VALUE"""),"10.1897/05-327R.1")</f>
        <v>10.1897/05-327R.1</v>
      </c>
      <c r="D401" s="24" t="str">
        <f>IFERROR(__xludf.DUMMYFUNCTION("""COMPUTED_VALUE"""),"shaw et al")</f>
        <v>shaw et al</v>
      </c>
      <c r="E401" s="24" t="str">
        <f>IFERROR(__xludf.DUMMYFUNCTION("""COMPUTED_VALUE"""),"WOS:000234792000024")</f>
        <v>WOS:000234792000024</v>
      </c>
      <c r="F401" s="24" t="str">
        <f>IFERROR(__xludf.DUMMYFUNCTION("""COMPUTED_VALUE"""),"[""ELIGIBLE""]")</f>
        <v>["ELIGIBLE"]</v>
      </c>
    </row>
    <row r="402">
      <c r="A402" s="24" t="str">
        <f>IFERROR(__xludf.DUMMYFUNCTION("""COMPUTED_VALUE"""),"High sexual reproduction and limited contemporary dispersal in the ectomycorrhizal fungus Tricholoma scalpturatum: new insights from population genetics and spatial autocorrelation analysis")</f>
        <v>High sexual reproduction and limited contemporary dispersal in the ectomycorrhizal fungus Tricholoma scalpturatum: new insights from population genetics and spatial autocorrelation analysis</v>
      </c>
      <c r="B402" s="24" t="str">
        <f>IFERROR(__xludf.DUMMYFUNCTION("""COMPUTED_VALUE"""),"Dispersal and establishment are fundamental processes influencing the response of species to environmental changes, and the long-term persistence of populations. A previous study on the symbiotic ectomycorrhizal fungus Tricholoma scalpturatum revealed str"&amp;"ong genetic differentiations between populations in Western Europe, suggesting restricted dispersal for this wind-dispersed cosmopolitan fungus. Two distinct genetic groups (genetic groups 1 and 2), co-occurring in some locations, were also identified and"&amp;" could correspond to cryptic species. In the present work, we examine the reproductive strategy and dispersal biology of the two T. scalpturatum's genetic groups. Variable molecular markers (intersimple sequence repeats and intergenic spacer 2-restriction"&amp;" fragment length polymorphisms) and spatial autocorrelation analyses were used to examine fine-scale patterns (&lt; 140 m) of genetic structure, in an effort to determine the physical scale at which genetic structure exists. A total of 473 fruit bodies were "&amp;"mapped and collected over 3 years from two plots located in the south of France, including 219 and 254 samples from group 1 and group 2, respectively. High genetic diversity and the presence of numerous small genets were observed in both groups. Autocorre"&amp;"lation analyses revealed significant positive spatial genetic structures of genets at close distances (up to few metres for both groups). Mantel tests confirmed this isolation-by-distance pattern. These results clearly demonstrate high sexual reproduction"&amp;" and spatial structuring of genets at very small geographical scales in this wind-dispersed ectomycorrhizal fungal species, a pattern consistent with restricted contemporary dispersal of spores.")</f>
        <v>Dispersal and establishment are fundamental processes influencing the response of species to environmental changes, and the long-term persistence of populations. A previous study on the symbiotic ectomycorrhizal fungus Tricholoma scalpturatum revealed strong genetic differentiations between populations in Western Europe, suggesting restricted dispersal for this wind-dispersed cosmopolitan fungus. Two distinct genetic groups (genetic groups 1 and 2), co-occurring in some locations, were also identified and could correspond to cryptic species. In the present work, we examine the reproductive strategy and dispersal biology of the two T. scalpturatum's genetic groups. Variable molecular markers (intersimple sequence repeats and intergenic spacer 2-restriction fragment length polymorphisms) and spatial autocorrelation analyses were used to examine fine-scale patterns (&lt; 140 m) of genetic structure, in an effort to determine the physical scale at which genetic structure exists. A total of 473 fruit bodies were mapped and collected over 3 years from two plots located in the south of France, including 219 and 254 samples from group 1 and group 2, respectively. High genetic diversity and the presence of numerous small genets were observed in both groups. Autocorrelation analyses revealed significant positive spatial genetic structures of genets at close distances (up to few metres for both groups). Mantel tests confirmed this isolation-by-distance pattern. These results clearly demonstrate high sexual reproduction and spatial structuring of genets at very small geographical scales in this wind-dispersed ectomycorrhizal fungal species, a pattern consistent with restricted contemporary dispersal of spores.</v>
      </c>
      <c r="C402" s="24" t="str">
        <f>IFERROR(__xludf.DUMMYFUNCTION("""COMPUTED_VALUE"""),"10.1111/j.1365-294X.2008.03924.x")</f>
        <v>10.1111/j.1365-294X.2008.03924.x</v>
      </c>
      <c r="D402" s="24" t="str">
        <f>IFERROR(__xludf.DUMMYFUNCTION("""COMPUTED_VALUE"""),"shaw et al")</f>
        <v>shaw et al</v>
      </c>
      <c r="E402" s="24" t="str">
        <f>IFERROR(__xludf.DUMMYFUNCTION("""COMPUTED_VALUE"""),"WOS:000259953500005")</f>
        <v>WOS:000259953500005</v>
      </c>
      <c r="F402" s="24" t="str">
        <f>IFERROR(__xludf.DUMMYFUNCTION("""COMPUTED_VALUE"""),"[""ELIGIBLE""]")</f>
        <v>["ELIGIBLE"]</v>
      </c>
    </row>
    <row r="403">
      <c r="A403" s="24" t="str">
        <f>IFERROR(__xludf.DUMMYFUNCTION("""COMPUTED_VALUE"""),"Temporal patterns of genetic variation across a 9-year-old aerial seed bank of the shrub Banksia hookeriana (Proteaceae)")</f>
        <v>Temporal patterns of genetic variation across a 9-year-old aerial seed bank of the shrub Banksia hookeriana (Proteaceae)</v>
      </c>
      <c r="B403" s="24" t="str">
        <f>IFERROR(__xludf.DUMMYFUNCTION("""COMPUTED_VALUE"""),"The pattern of accumulation of genetic variation over time in seed banks is poorly understood. We examined the genetic structure of the aerial seed bank of Banksia hookeriana within a single 15-year-old population in fire-prone southwestern Australia, and"&amp;" compared genetic variation between adults and each year of a 9-year-old seed bank using amplified fragment length polymorphism (AFLP). B. hookeriana is well suited to the study of seed bank dynamics due to the canopy storage of its seeds, and because eac"&amp;"h annual crop can be identified. A total of 304 seeds from nine crop years and five maternal plants were genotyped, along with 113 plants from the adult population. Genetic variation, as assessed by the proportion of polymorphic markers (P-p) and Shannon'"&amp;"s index (I), increased slightly within the seed bank over time, while gene diversity (H-j), did not change. P-p, I, and H-j all indicated that genetic variation within the seed bank quickly approached the maximal level detected. Analysis of molecular vari"&amp;"ance revealed that less than 4% of variation could be accounted for by variation among seeds produced in different years, whereas there was greater differentiation among maternal plants (12.7%), and among individual seeds produced by different maternal pl"&amp;"ants (83.4%). With increasing population age, offspring generated each year were slightly more outbred, as indicated by an increase in the mean number of nonmaternal markers per offspring. There were no significant differences for H-j or I between adults "&amp;"and the seed bank. Viability of seeds decreased with age, such that the viability of 9-year-old seeds was half that of 2-year-old seeds. These results suggest that variable fire frequencies have only limited potential to influence the amount of genetic va"&amp;"riation stored within the seed bank of B. hookeriana.")</f>
        <v>The pattern of accumulation of genetic variation over time in seed banks is poorly understood. We examined the genetic structure of the aerial seed bank of Banksia hookeriana within a single 15-year-old population in fire-prone southwestern Australia, and compared genetic variation between adults and each year of a 9-year-old seed bank using amplified fragment length polymorphism (AFLP). B. hookeriana is well suited to the study of seed bank dynamics due to the canopy storage of its seeds, and because each annual crop can be identified. A total of 304 seeds from nine crop years and five maternal plants were genotyped, along with 113 plants from the adult population. Genetic variation, as assessed by the proportion of polymorphic markers (P-p) and Shannon's index (I), increased slightly within the seed bank over time, while gene diversity (H-j), did not change. P-p, I, and H-j all indicated that genetic variation within the seed bank quickly approached the maximal level detected. Analysis of molecular variance revealed that less than 4% of variation could be accounted for by variation among seeds produced in different years, whereas there was greater differentiation among maternal plants (12.7%), and among individual seeds produced by different maternal plants (83.4%). With increasing population age, offspring generated each year were slightly more outbred, as indicated by an increase in the mean number of nonmaternal markers per offspring. There were no significant differences for H-j or I between adults and the seed bank. Viability of seeds decreased with age, such that the viability of 9-year-old seeds was half that of 2-year-old seeds. These results suggest that variable fire frequencies have only limited potential to influence the amount of genetic variation stored within the seed bank of B. hookeriana.</v>
      </c>
      <c r="C403" s="24" t="str">
        <f>IFERROR(__xludf.DUMMYFUNCTION("""COMPUTED_VALUE"""),"10.1111/j.1365-294X.2005.02726.x")</f>
        <v>10.1111/j.1365-294X.2005.02726.x</v>
      </c>
      <c r="D403" s="24" t="str">
        <f>IFERROR(__xludf.DUMMYFUNCTION("""COMPUTED_VALUE"""),"shaw et al")</f>
        <v>shaw et al</v>
      </c>
      <c r="E403" s="24" t="str">
        <f>IFERROR(__xludf.DUMMYFUNCTION("""COMPUTED_VALUE"""),"WOS:000232774000021")</f>
        <v>WOS:000232774000021</v>
      </c>
      <c r="F403" s="24" t="str">
        <f>IFERROR(__xludf.DUMMYFUNCTION("""COMPUTED_VALUE"""),"[""ELIGIBLE""]")</f>
        <v>["ELIGIBLE"]</v>
      </c>
    </row>
    <row r="404">
      <c r="A404" s="24" t="str">
        <f>IFERROR(__xludf.DUMMYFUNCTION("""COMPUTED_VALUE"""),"Parallel changes in genetic diversity and species diversity following a natural disturbance")</f>
        <v>Parallel changes in genetic diversity and species diversity following a natural disturbance</v>
      </c>
      <c r="B404" s="24" t="str">
        <f>IFERROR(__xludf.DUMMYFUNCTION("""COMPUTED_VALUE"""),"We examined the spatial and temporal variation of species diversity and genetic diversity in a metacommunity comprising 16 species of freshwater gastropods. We monitored species abundance at five localities of the Ain river floodplain in southeastern Fran"&amp;"ce, over a period of four years. Using 190 AFLP loci, we monitored the genetic diversity of Radix balthica, one of the most abundant gastropod species of the metacommunity, twice during that period. An exceptionally intense drought occurred during the las"&amp;"t two years and differentially affected the study sites. This allowed us to test the effect of natural disturbances on changes in both genetic and species diversity. Overall, local (alpha) diversity declined as reflected by lower values of gene diversity "&amp;"H-S and evenness. In parallel, the among-sites (beta) diversity increased at both the genetic (F-ST) and species (F-STC) levels. These results suggest that disturbances can lead to similar changes in genetic and community structure through the combined ef"&amp;"fects of selective and neutral processes.")</f>
        <v>We examined the spatial and temporal variation of species diversity and genetic diversity in a metacommunity comprising 16 species of freshwater gastropods. We monitored species abundance at five localities of the Ain river floodplain in southeastern France, over a period of four years. Using 190 AFLP loci, we monitored the genetic diversity of Radix balthica, one of the most abundant gastropod species of the metacommunity, twice during that period. An exceptionally intense drought occurred during the last two years and differentially affected the study sites. This allowed us to test the effect of natural disturbances on changes in both genetic and species diversity. Overall, local (alpha) diversity declined as reflected by lower values of gene diversity H-S and evenness. In parallel, the among-sites (beta) diversity increased at both the genetic (F-ST) and species (F-STC) levels. These results suggest that disturbances can lead to similar changes in genetic and community structure through the combined effects of selective and neutral processes.</v>
      </c>
      <c r="C404" s="24" t="str">
        <f>IFERROR(__xludf.DUMMYFUNCTION("""COMPUTED_VALUE"""),"10.1111/j.1365-294X.2009.04102.x")</f>
        <v>10.1111/j.1365-294X.2009.04102.x</v>
      </c>
      <c r="D404" s="24" t="str">
        <f>IFERROR(__xludf.DUMMYFUNCTION("""COMPUTED_VALUE"""),"shaw et al")</f>
        <v>shaw et al</v>
      </c>
      <c r="E404" s="24" t="str">
        <f>IFERROR(__xludf.DUMMYFUNCTION("""COMPUTED_VALUE"""),"WOS:000263853600011")</f>
        <v>WOS:000263853600011</v>
      </c>
      <c r="F404" s="24" t="str">
        <f>IFERROR(__xludf.DUMMYFUNCTION("""COMPUTED_VALUE"""),"[""ELIGIBLE""]")</f>
        <v>["ELIGIBLE"]</v>
      </c>
    </row>
    <row r="405">
      <c r="A405" s="24" t="str">
        <f>IFERROR(__xludf.DUMMYFUNCTION("""COMPUTED_VALUE"""),"Metapopulation structure of the specialized herbivore Macrosiphoniella tanacetaria (Homoptera, Aphididae)")</f>
        <v>Metapopulation structure of the specialized herbivore Macrosiphoniella tanacetaria (Homoptera, Aphididae)</v>
      </c>
      <c r="B405" s="24" t="str">
        <f>IFERROR(__xludf.DUMMYFUNCTION("""COMPUTED_VALUE"""),"We investigated population dynamics, genetic diversity and spatial structure in the aphid species Macrosiphoniella tanacetaria, a specialist herbivore feeding on tansy, Tanacetum vulgare. Tansy plants (genets) consist of many shoots (ramets), and genets a"&amp;"re grouped in sites. Thus, aphids feeding on tansy can cluster at the level of ramets, genets and sites. We studied aphid population dynamics in 1997 and 2001 and found that within sites: (i) at any time, aphids used only a fraction of the available ramet"&amp;"s and genets; (ii) at the level of ramets, most aphid colonies survived only one week; (iii) at the level of genets, mean survival time was less than 4 weeks; and (iv) colonization and extinction events occurred throughout the season. We sampled aphids in"&amp;" seven sites in the Alsace region, France (4-45 km apart) and two sites in Germany in 1999 to study genetic structure within and between populations. Genetic analyses using nine microsatellite loci showed that: (i) genotypic variability was high, (ii) non"&amp;"e of the populations was in Hardy-Weinberg equilibrium, (iii) heterozygote deficits and linkage disequilibria were frequent, and (iv) all populations were genetically differentiated, even at a small geographical scale. Renewed sampling of the Alsace sites"&amp;" in 2001 showed that three populations had become extinct and significant genetic changes had occurred in the remaining four populations. The frequencies of extinction and colonization events at several spatial scales suggest a hierarchical metapopulation"&amp;" structure for M. tanacetaria. Frequent population turnover and drift are likely causes for the genetic differentiation of M. tanacetaria populations.")</f>
        <v>We investigated population dynamics, genetic diversity and spatial structure in the aphid species Macrosiphoniella tanacetaria, a specialist herbivore feeding on tansy, Tanacetum vulgare. Tansy plants (genets) consist of many shoots (ramets), and genets are grouped in sites. Thus, aphids feeding on tansy can cluster at the level of ramets, genets and sites. We studied aphid population dynamics in 1997 and 2001 and found that within sites: (i) at any time, aphids used only a fraction of the available ramets and genets; (ii) at the level of ramets, most aphid colonies survived only one week; (iii) at the level of genets, mean survival time was less than 4 weeks; and (iv) colonization and extinction events occurred throughout the season. We sampled aphids in seven sites in the Alsace region, France (4-45 km apart) and two sites in Germany in 1999 to study genetic structure within and between populations. Genetic analyses using nine microsatellite loci showed that: (i) genotypic variability was high, (ii) none of the populations was in Hardy-Weinberg equilibrium, (iii) heterozygote deficits and linkage disequilibria were frequent, and (iv) all populations were genetically differentiated, even at a small geographical scale. Renewed sampling of the Alsace sites in 2001 showed that three populations had become extinct and significant genetic changes had occurred in the remaining four populations. The frequencies of extinction and colonization events at several spatial scales suggest a hierarchical metapopulation structure for M. tanacetaria. Frequent population turnover and drift are likely causes for the genetic differentiation of M. tanacetaria populations.</v>
      </c>
      <c r="C405" s="24" t="str">
        <f>IFERROR(__xludf.DUMMYFUNCTION("""COMPUTED_VALUE"""),"10.1046/j.1365-294X.2002.01633.x")</f>
        <v>10.1046/j.1365-294X.2002.01633.x</v>
      </c>
      <c r="D405" s="24" t="str">
        <f>IFERROR(__xludf.DUMMYFUNCTION("""COMPUTED_VALUE"""),"shaw et al")</f>
        <v>shaw et al</v>
      </c>
      <c r="E405" s="24" t="str">
        <f>IFERROR(__xludf.DUMMYFUNCTION("""COMPUTED_VALUE"""),"WOS:000179492800006")</f>
        <v>WOS:000179492800006</v>
      </c>
      <c r="F405" s="24" t="str">
        <f>IFERROR(__xludf.DUMMYFUNCTION("""COMPUTED_VALUE"""),"[""ELIGIBLE""]")</f>
        <v>["ELIGIBLE"]</v>
      </c>
    </row>
    <row r="406">
      <c r="A406" s="24" t="str">
        <f>IFERROR(__xludf.DUMMYFUNCTION("""COMPUTED_VALUE"""),"Islands and Stepping-Stones: Comparative Population Structure of Anopheles gambiae sensu stricto and Anopheles arabiensis in Tanzania and Implications for the Spread of Insecticide Resistance")</f>
        <v>Islands and Stepping-Stones: Comparative Population Structure of Anopheles gambiae sensu stricto and Anopheles arabiensis in Tanzania and Implications for the Spread of Insecticide Resistance</v>
      </c>
      <c r="B406" s="24" t="str">
        <f>IFERROR(__xludf.DUMMYFUNCTION("""COMPUTED_VALUE"""),"Population genetic structures of the two major malaria vectors Anopheles gambiae s.s. and An. arabiensis, differ markedly across Sub-Saharan Africa, which could reflect differences in historical demographies or in contemporary gene flow. Elucidation of th"&amp;"e degree and cause of population structure is important for predicting the spread of genetic traits such as insecticide resistance genes or artificially engineered genes. Here the population genetics of An. gambiae s.s. and An. arabiensis in the central, "&amp;"eastern and island regions of Tanzania were compared. Microsatellite markers were screened in 33 collections of female An. gambiae s.l., originating from 22 geographical locations, four of which were sampled in two or three years between 2008 and 2010. An"&amp;". gambiae were sampled from six sites, An. arabiensis from 14 sites, and both species from two sites, with an additional colonised insectary sample of each species. Frequencies of the knock-down resistance (kdr) alleles 1014S and 1014F were also determine"&amp;"d. An. gambiae exhibited relatively high genetic differentiation (average pairwise F-ST = 0.131), significant even between nearby samples, but without clear geographical patterning. In contrast, An. arabiensis exhibited limited differentiation (average F-"&amp;"ST = 0.015), but strong isolation-by-distance (Mantel test r = 0.46, p = 0.0008). Most time-series samples of An. arabiensis were homogeneous, suggesting general temporal stability of the genetic structure. An. gambiae populations from Dar es Salaam and B"&amp;"agamoyo were found to have high frequencies of kdr 1014S (around 70%), with almost 50% homozygote but was at much lower frequency on Unguja Island, with no. An. gambiae population genetic differentiation was consistent with an island model of genetic stru"&amp;"cturing with highly restricted gene flow, contrary to An. arabiensis which was consistent with a stepping-stone model of extensive, but geographically-restricted gene flow.")</f>
        <v>Population genetic structures of the two major malaria vectors Anopheles gambiae s.s. and An. arabiensis, differ markedly across Sub-Saharan Africa, which could reflect differences in historical demographies or in contemporary gene flow. Elucidation of the degree and cause of population structure is important for predicting the spread of genetic traits such as insecticide resistance genes or artificially engineered genes. Here the population genetics of An. gambiae s.s. and An. arabiensis in the central, eastern and island regions of Tanzania were compared. Microsatellite markers were screened in 33 collections of female An. gambiae s.l., originating from 22 geographical locations, four of which were sampled in two or three years between 2008 and 2010. An. gambiae were sampled from six sites, An. arabiensis from 14 sites, and both species from two sites, with an additional colonised insectary sample of each species. Frequencies of the knock-down resistance (kdr) alleles 1014S and 1014F were also determined. An. gambiae exhibited relatively high genetic differentiation (average pairwise F-ST = 0.131), significant even between nearby samples, but without clear geographical patterning. In contrast, An. arabiensis exhibited limited differentiation (average F-ST = 0.015), but strong isolation-by-distance (Mantel test r = 0.46, p = 0.0008). Most time-series samples of An. arabiensis were homogeneous, suggesting general temporal stability of the genetic structure. An. gambiae populations from Dar es Salaam and Bagamoyo were found to have high frequencies of kdr 1014S (around 70%), with almost 50% homozygote but was at much lower frequency on Unguja Island, with no. An. gambiae population genetic differentiation was consistent with an island model of genetic structuring with highly restricted gene flow, contrary to An. arabiensis which was consistent with a stepping-stone model of extensive, but geographically-restricted gene flow.</v>
      </c>
      <c r="C406" s="24" t="str">
        <f>IFERROR(__xludf.DUMMYFUNCTION("""COMPUTED_VALUE"""),"10.1371/journal.pone.0110910")</f>
        <v>10.1371/journal.pone.0110910</v>
      </c>
      <c r="D406" s="24" t="str">
        <f>IFERROR(__xludf.DUMMYFUNCTION("""COMPUTED_VALUE"""),"shaw et al")</f>
        <v>shaw et al</v>
      </c>
      <c r="E406" s="24" t="str">
        <f>IFERROR(__xludf.DUMMYFUNCTION("""COMPUTED_VALUE"""),"WOS:000345204200046")</f>
        <v>WOS:000345204200046</v>
      </c>
      <c r="F406" s="24" t="str">
        <f>IFERROR(__xludf.DUMMYFUNCTION("""COMPUTED_VALUE"""),"[""ELIGIBLE""]")</f>
        <v>["ELIGIBLE"]</v>
      </c>
    </row>
    <row r="407">
      <c r="A407" s="24" t="str">
        <f>IFERROR(__xludf.DUMMYFUNCTION("""COMPUTED_VALUE"""),"Escape to Ferality: The Endoferal Origin of Weedy Rice from Crop Rice through De-Domestication")</f>
        <v>Escape to Ferality: The Endoferal Origin of Weedy Rice from Crop Rice through De-Domestication</v>
      </c>
      <c r="B407" s="24" t="str">
        <f>IFERROR(__xludf.DUMMYFUNCTION("""COMPUTED_VALUE"""),"Domestication is the hallmark of evolution and civilization and harnesses biodiversity through selection for specific traits. In regions where domesticated lines are grown near wild relatives, congeneric sources of aggressive weedy genotypes cause major e"&amp;"conomic losses. Thus, the origins of weedy genotypes where no congeneric species occur raise questions regarding management effectiveness and evolutionary mechanisms responsible for weedy population success. Since eradication in the 1970s, California grow"&amp;"ers avoided weedy rice through continuous flood culture and zero-tolerance guidelines, preventing the import, presence, and movement of weedy seeds. In 2003, after decades of no reported presence in California, a weedy rice population was confirmed in dry"&amp;"-seeded fields. Our objectives were to identify the origins and establishment of this population and pinpoint possible phenotypes involved. We show that California weedy rice is derived from a different genetic source among a broad range of AA genome Oryz"&amp;"as and is most recently diverged from O. sativa temperate japonica cultivated in California. In contrast, other weedy rice eco-types in North America (Southern US) originate from weedy genotypes from China near wild Oryza, and are derived through existing"&amp;" crop-wild relative crosses. Analyses of morphological data show that California weedy rice subgroups have phenotypes like medium-grain or gourmet cultivars, but have colored pericarp, seed shattering, and awns like wild relatives, suggesting that reversi"&amp;"on to non-domestic or wild-like traits can occur following domestication, despite apparent fixation of domestication alleles. Additionally, these results indicate that preventive methods focused on incoming weed sources through contamination may miss burg"&amp;"eoning weedy genotypes that rapidly adapt, establish, and proliferate. Investigating the common and unique evolutionary mechanisms underlying global weed origins and subsequent interactions with crop relatives sheds light on how weeds evolve and addresses"&amp;" broader questions regarding the stability of selection during domestication and crop improvement.")</f>
        <v>Domestication is the hallmark of evolution and civilization and harnesses biodiversity through selection for specific traits. In regions where domesticated lines are grown near wild relatives, congeneric sources of aggressive weedy genotypes cause major economic losses. Thus, the origins of weedy genotypes where no congeneric species occur raise questions regarding management effectiveness and evolutionary mechanisms responsible for weedy population success. Since eradication in the 1970s, California growers avoided weedy rice through continuous flood culture and zero-tolerance guidelines, preventing the import, presence, and movement of weedy seeds. In 2003, after decades of no reported presence in California, a weedy rice population was confirmed in dry-seeded fields. Our objectives were to identify the origins and establishment of this population and pinpoint possible phenotypes involved. We show that California weedy rice is derived from a different genetic source among a broad range of AA genome Oryzas and is most recently diverged from O. sativa temperate japonica cultivated in California. In contrast, other weedy rice eco-types in North America (Southern US) originate from weedy genotypes from China near wild Oryza, and are derived through existing crop-wild relative crosses. Analyses of morphological data show that California weedy rice subgroups have phenotypes like medium-grain or gourmet cultivars, but have colored pericarp, seed shattering, and awns like wild relatives, suggesting that reversion to non-domestic or wild-like traits can occur following domestication, despite apparent fixation of domestication alleles. Additionally, these results indicate that preventive methods focused on incoming weed sources through contamination may miss burgeoning weedy genotypes that rapidly adapt, establish, and proliferate. Investigating the common and unique evolutionary mechanisms underlying global weed origins and subsequent interactions with crop relatives sheds light on how weeds evolve and addresses broader questions regarding the stability of selection during domestication and crop improvement.</v>
      </c>
      <c r="C407" s="24" t="str">
        <f>IFERROR(__xludf.DUMMYFUNCTION("""COMPUTED_VALUE"""),"10.1371/journal.pone.0162676")</f>
        <v>10.1371/journal.pone.0162676</v>
      </c>
      <c r="D407" s="24" t="str">
        <f>IFERROR(__xludf.DUMMYFUNCTION("""COMPUTED_VALUE"""),"shaw et al")</f>
        <v>shaw et al</v>
      </c>
      <c r="E407" s="24" t="str">
        <f>IFERROR(__xludf.DUMMYFUNCTION("""COMPUTED_VALUE"""),"WOS:000383893500009")</f>
        <v>WOS:000383893500009</v>
      </c>
      <c r="F407" s="24" t="str">
        <f>IFERROR(__xludf.DUMMYFUNCTION("""COMPUTED_VALUE"""),"[""ELIGIBLE""]")</f>
        <v>["ELIGIBLE"]</v>
      </c>
    </row>
    <row r="408">
      <c r="A408" s="24" t="str">
        <f>IFERROR(__xludf.DUMMYFUNCTION("""COMPUTED_VALUE"""),"The history of effective population size and genetic diversity in the Yellowstone grizzly (Ursus arctos):: Implications for conservation")</f>
        <v>The history of effective population size and genetic diversity in the Yellowstone grizzly (Ursus arctos):: Implications for conservation</v>
      </c>
      <c r="B408" s="24" t="str">
        <f>IFERROR(__xludf.DUMMYFUNCTION("""COMPUTED_VALUE"""),"Protein, mtDNA, and nuclear microsatellite DNA analyses have demonstrated that the Yellowstone grizzly bear has low levels of genetic variability compared with other Ursus arctos populations. Researchers have attributed this difference to inbreeding durin"&amp;"g a century of anthropogenic isolation and population size reduction. We test this hypothesis and assess the seriousness of genetic threats by generating microsatellite data for 110 museum specimens collected between 1912 and 1981. A loss of variability i"&amp;"s detected, but it is much less severe than hypothesized. Variance in allele frequencies over time is used to estimate an effective population size of approximate to 80 across the 20th century and &gt; 100 currently. The viability of the population is unlike"&amp;"ly to be substantially reduced by genetic factors in the next several generations. However, gene flow from outside populations will be beneficial in avoiding inbreeding and the erosion of genetic diversity in the future.")</f>
        <v>Protein, mtDNA, and nuclear microsatellite DNA analyses have demonstrated that the Yellowstone grizzly bear has low levels of genetic variability compared with other Ursus arctos populations. Researchers have attributed this difference to inbreeding during a century of anthropogenic isolation and population size reduction. We test this hypothesis and assess the seriousness of genetic threats by generating microsatellite data for 110 museum specimens collected between 1912 and 1981. A loss of variability is detected, but it is much less severe than hypothesized. Variance in allele frequencies over time is used to estimate an effective population size of approximate to 80 across the 20th century and &gt; 100 currently. The viability of the population is unlikely to be substantially reduced by genetic factors in the next several generations. However, gene flow from outside populations will be beneficial in avoiding inbreeding and the erosion of genetic diversity in the future.</v>
      </c>
      <c r="C408" s="24" t="str">
        <f>IFERROR(__xludf.DUMMYFUNCTION("""COMPUTED_VALUE"""),"10.1073/pnas.0735531100")</f>
        <v>10.1073/pnas.0735531100</v>
      </c>
      <c r="D408" s="24" t="str">
        <f>IFERROR(__xludf.DUMMYFUNCTION("""COMPUTED_VALUE"""),"shaw et al")</f>
        <v>shaw et al</v>
      </c>
      <c r="E408" s="24" t="str">
        <f>IFERROR(__xludf.DUMMYFUNCTION("""COMPUTED_VALUE"""),"WOS:000182058400142")</f>
        <v>WOS:000182058400142</v>
      </c>
      <c r="F408" s="24" t="str">
        <f>IFERROR(__xludf.DUMMYFUNCTION("""COMPUTED_VALUE"""),"[""ELIGIBLE""]")</f>
        <v>["ELIGIBLE"]</v>
      </c>
    </row>
    <row r="409">
      <c r="A409" s="24" t="str">
        <f>IFERROR(__xludf.DUMMYFUNCTION("""COMPUTED_VALUE"""),"The ghost of genetic diversity past: Historical DNA analysis of the greater prairie chicken")</f>
        <v>The ghost of genetic diversity past: Historical DNA analysis of the greater prairie chicken</v>
      </c>
      <c r="B409" s="24" t="str">
        <f>IFERROR(__xludf.DUMMYFUNCTION("""COMPUTED_VALUE"""),"Most, if not all, of the classic, often-cited examples illustrating the genetic effects of a population bottleneck are open to alternative explanations due to the lack of adequate control populations, that is, low levels of genetic variability are often a"&amp;"ssumed to be the result of a past population bottleneck without having any prebottleneck measures. Here we provide the first clear case history where both prebottleneck and postbottleneck measures of genetic variability have been collected from a natural "&amp;"system. Analysis of DNA from museum specimens of the greater prairie chicken Tympanuchus cupido from central Illinois revealed the loss of specific alleles (known to have been present earlier in this century) following a demographic contraction. Lost alle"&amp;"les included common ones present in all other populations sampled and others unique to the Illinois population.")</f>
        <v>Most, if not all, of the classic, often-cited examples illustrating the genetic effects of a population bottleneck are open to alternative explanations due to the lack of adequate control populations, that is, low levels of genetic variability are often assumed to be the result of a past population bottleneck without having any prebottleneck measures. Here we provide the first clear case history where both prebottleneck and postbottleneck measures of genetic variability have been collected from a natural system. Analysis of DNA from museum specimens of the greater prairie chicken Tympanuchus cupido from central Illinois revealed the loss of specific alleles (known to have been present earlier in this century) following a demographic contraction. Lost alleles included common ones present in all other populations sampled and others unique to the Illinois population.</v>
      </c>
      <c r="C409" s="24" t="str">
        <f>IFERROR(__xludf.DUMMYFUNCTION("""COMPUTED_VALUE"""),"10.1086/286145")</f>
        <v>10.1086/286145</v>
      </c>
      <c r="D409" s="24" t="str">
        <f>IFERROR(__xludf.DUMMYFUNCTION("""COMPUTED_VALUE"""),"shaw et al")</f>
        <v>shaw et al</v>
      </c>
      <c r="E409" s="24" t="str">
        <f>IFERROR(__xludf.DUMMYFUNCTION("""COMPUTED_VALUE"""),"WOS:000074332100002")</f>
        <v>WOS:000074332100002</v>
      </c>
      <c r="F409" s="24" t="str">
        <f>IFERROR(__xludf.DUMMYFUNCTION("""COMPUTED_VALUE"""),"[""ELIGIBLE""]")</f>
        <v>["ELIGIBLE"]</v>
      </c>
    </row>
    <row r="410">
      <c r="A410" s="24" t="str">
        <f>IFERROR(__xludf.DUMMYFUNCTION("""COMPUTED_VALUE"""),"Evidence for isolation by time in the European eel (Anguilla anguilla L.)")</f>
        <v>Evidence for isolation by time in the European eel (Anguilla anguilla L.)</v>
      </c>
      <c r="B410" s="24" t="str">
        <f>IFERROR(__xludf.DUMMYFUNCTION("""COMPUTED_VALUE"""),"Life history traits of highly vagile marine species, such as adult reproductive success and larval dispersal, are strongly determined by oceanographic and climatic forces. Nevertheless, marine organisms may show restricted dispersal in time and space. Pat"&amp;"terns of isolation by distance (IBD) have been repeatedly observed in marine species. If spawning time is a function of geographical location, temporal and spatial isolation, can easily be confounded or misinterpreted. In this study, we aimed at discrimin"&amp;"ating between various forces shaping the genetic composition of recruiting juveniles of the European eel (Anguilla anguilla L.). By controlling for geographical variation, we assessed temporal variation and tested for possible isolation by time (IBT) betw"&amp;"een recruitment waves within and between years. Using 12 polymorphic allozyme and six variable microsatellite loci, we show that genetic differentiation was low (F-ST = 0.01-0.002) and significant between temporal samples. Regression analysis between gene"&amp;"tic and temporal distance, was consistent with a subtle interannual pattern of IBT. Our data suggest that the population dynamics of the European eel may be governed by a double pattern of temporal variance in genetic composition: (i) a broad-scale IBT of"&amp;" spawning cohorts, possibly as a consequence of the large migration loop in anguillids and strong variance in annual adult reproductive contribution; and (ii) a smaller-scale variance in reproductive success (genetic patchiness) within cohorts among seaso"&amp;"nally separated spawning groups, most likely originating from fluctuating oceanic and climatic forces. The consistency of both mechanisms remains to be verified with fine-scale analyses of both spawning/migrating aged adults and their offspring to confirm"&amp;" the stochastic/deterministic nature of the IBT pattern in eel.")</f>
        <v>Life history traits of highly vagile marine species, such as adult reproductive success and larval dispersal, are strongly determined by oceanographic and climatic forces. Nevertheless, marine organisms may show restricted dispersal in time and space. Patterns of isolation by distance (IBD) have been repeatedly observed in marine species. If spawning time is a function of geographical location, temporal and spatial isolation, can easily be confounded or misinterpreted. In this study, we aimed at discriminating between various forces shaping the genetic composition of recruiting juveniles of the European eel (Anguilla anguilla L.). By controlling for geographical variation, we assessed temporal variation and tested for possible isolation by time (IBT) between recruitment waves within and between years. Using 12 polymorphic allozyme and six variable microsatellite loci, we show that genetic differentiation was low (F-ST = 0.01-0.002) and significant between temporal samples. Regression analysis between genetic and temporal distance, was consistent with a subtle interannual pattern of IBT. Our data suggest that the population dynamics of the European eel may be governed by a double pattern of temporal variance in genetic composition: (i) a broad-scale IBT of spawning cohorts, possibly as a consequence of the large migration loop in anguillids and strong variance in annual adult reproductive contribution; and (ii) a smaller-scale variance in reproductive success (genetic patchiness) within cohorts among seasonally separated spawning groups, most likely originating from fluctuating oceanic and climatic forces. The consistency of both mechanisms remains to be verified with fine-scale analyses of both spawning/migrating aged adults and their offspring to confirm the stochastic/deterministic nature of the IBT pattern in eel.</v>
      </c>
      <c r="C410" s="24" t="str">
        <f>IFERROR(__xludf.DUMMYFUNCTION("""COMPUTED_VALUE"""),"10.1111/j.1365-294X.2006.02925.x")</f>
        <v>10.1111/j.1365-294X.2006.02925.x</v>
      </c>
      <c r="D410" s="24" t="str">
        <f>IFERROR(__xludf.DUMMYFUNCTION("""COMPUTED_VALUE"""),"shaw et al")</f>
        <v>shaw et al</v>
      </c>
      <c r="E410" s="24" t="str">
        <f>IFERROR(__xludf.DUMMYFUNCTION("""COMPUTED_VALUE"""),"WOS:000238143900007")</f>
        <v>WOS:000238143900007</v>
      </c>
      <c r="F410" s="24" t="str">
        <f>IFERROR(__xludf.DUMMYFUNCTION("""COMPUTED_VALUE"""),"[""ELIGIBLE""]")</f>
        <v>["ELIGIBLE"]</v>
      </c>
    </row>
    <row r="411">
      <c r="A411" s="24" t="str">
        <f>IFERROR(__xludf.DUMMYFUNCTION("""COMPUTED_VALUE"""),"Gene flow, effective population size and selection at major histocompatibility complex genes: brown trout in the Hardanger Fjord, Norway")</f>
        <v>Gene flow, effective population size and selection at major histocompatibility complex genes: brown trout in the Hardanger Fjord, Norway</v>
      </c>
      <c r="B411" s="24" t="str">
        <f>IFERROR(__xludf.DUMMYFUNCTION("""COMPUTED_VALUE"""),"Brown trout populations in the Hardanger Fjord, Norway, have declined drastically due to increased exposure to salmon lice from salmonid aquaculture. We studied contemporary samples from seven populations and historical samples (1972 and 1983) from the tw"&amp;"o largest populations, one of which has declined drastically whereas the other remains stable. We analysed 11 microsatellite loci, including one tightly linked to the UBA gene of the major histocompatibility class I complex (MHC) and another locus linked "&amp;"to the TAP2A gene, also associated with MHC. The results revealed asymmetric gene flow from the two largest populations to the other, smaller populations. This has important conservation implications, and we predict that possible future population recover"&amp;"ies will be mediated primarily by the remaining large population. Tests for selection suggested diversifying selection at UBA, whereas evidence was inconclusive for TAP2A. There was no evidence for temporally fluctuating selection. We assessed the distrib"&amp;"ution of adaptive divergence among populations. The results showed the most pronounced footprints of selection between the two largest populations subject to the least immigration. We suggest that asymmetric gene flow has an important influence on adaptiv"&amp;"e divergence and constrains local adaptive responses in the smaller populations. Even though UBA alleles may not affect salmon louse resistance, the results bear evidence of adaptive divergence among populations at immune system genes. This suggests that "&amp;"similar genetic differences could exist at salmon louse resistance loci, thus rendering it a realistic scenario that differential population declines could reflect differences in adaptive variation.")</f>
        <v>Brown trout populations in the Hardanger Fjord, Norway, have declined drastically due to increased exposure to salmon lice from salmonid aquaculture. We studied contemporary samples from seven populations and historical samples (1972 and 1983) from the two largest populations, one of which has declined drastically whereas the other remains stable. We analysed 11 microsatellite loci, including one tightly linked to the UBA gene of the major histocompatibility class I complex (MHC) and another locus linked to the TAP2A gene, also associated with MHC. The results revealed asymmetric gene flow from the two largest populations to the other, smaller populations. This has important conservation implications, and we predict that possible future population recoveries will be mediated primarily by the remaining large population. Tests for selection suggested diversifying selection at UBA, whereas evidence was inconclusive for TAP2A. There was no evidence for temporally fluctuating selection. We assessed the distribution of adaptive divergence among populations. The results showed the most pronounced footprints of selection between the two largest populations subject to the least immigration. We suggest that asymmetric gene flow has an important influence on adaptive divergence and constrains local adaptive responses in the smaller populations. Even though UBA alleles may not affect salmon louse resistance, the results bear evidence of adaptive divergence among populations at immune system genes. This suggests that similar genetic differences could exist at salmon louse resistance loci, thus rendering it a realistic scenario that differential population declines could reflect differences in adaptive variation.</v>
      </c>
      <c r="C411" s="24" t="str">
        <f>IFERROR(__xludf.DUMMYFUNCTION("""COMPUTED_VALUE"""),"10.1111/j.1365-294X.2007.03255.x")</f>
        <v>10.1111/j.1365-294X.2007.03255.x</v>
      </c>
      <c r="D411" s="24" t="str">
        <f>IFERROR(__xludf.DUMMYFUNCTION("""COMPUTED_VALUE"""),"shaw et al")</f>
        <v>shaw et al</v>
      </c>
      <c r="E411" s="24" t="str">
        <f>IFERROR(__xludf.DUMMYFUNCTION("""COMPUTED_VALUE"""),"WOS:000245162700009")</f>
        <v>WOS:000245162700009</v>
      </c>
      <c r="F411" s="24" t="str">
        <f>IFERROR(__xludf.DUMMYFUNCTION("""COMPUTED_VALUE"""),"[""ELIGIBLE""]")</f>
        <v>["ELIGIBLE"]</v>
      </c>
    </row>
    <row r="412">
      <c r="A412" s="24" t="str">
        <f>IFERROR(__xludf.DUMMYFUNCTION("""COMPUTED_VALUE"""),"Reconstructing recent divergence: evaluating nonequilibrium population structure in New Zealand chinook salmon")</f>
        <v>Reconstructing recent divergence: evaluating nonequilibrium population structure in New Zealand chinook salmon</v>
      </c>
      <c r="B412" s="24" t="str">
        <f>IFERROR(__xludf.DUMMYFUNCTION("""COMPUTED_VALUE"""),"Newly established or perturbed populations are often the focus of conservation concerns but they pose special challenges for population genetics because drift-migration equilibrium is unlikely. To advance our understanding of the evolution of such populat"&amp;"ions, we investigated structure and gene flow among populations of chinook salmon that formed via natural straying following introduction to New Zealand in the early 1900s. We examined 11 microsatellite loci from samples collected in several sites and yea"&amp;"rs to address two questions: (i) what population differentiation has arisen in the approximate to 30 generations since salmon were introduced to New Zealand, relative to temporal variation within populations; and (ii) what are the approximate effective po"&amp;"pulation sizes and amounts of gene flow in these populations? These questions are routinely addressed in studies of indigenous populations, but less often in the case of new populations and rarely with consideration of equilibrium assumptions. We show tha"&amp;"t despite the recent introduction, continued gene flow and high temporal variability among samples, detectable population structure has arisen among the New Zealand populations, consistent with their colonization pattern and isolation by geographical dist"&amp;"ance. Furthermore, we use simple individual-based simulations and estimates of effective population sizes to estimate the effective gene flow among drainages under likely nonequilibrium conditions. Similar methodology may be broadly applicable to other st"&amp;"udies of population structure and phenotypic evolution under similar nonequilibrium, high gene flow conditions.")</f>
        <v>Newly established or perturbed populations are often the focus of conservation concerns but they pose special challenges for population genetics because drift-migration equilibrium is unlikely. To advance our understanding of the evolution of such populations, we investigated structure and gene flow among populations of chinook salmon that formed via natural straying following introduction to New Zealand in the early 1900s. We examined 11 microsatellite loci from samples collected in several sites and years to address two questions: (i) what population differentiation has arisen in the approximate to 30 generations since salmon were introduced to New Zealand, relative to temporal variation within populations; and (ii) what are the approximate effective population sizes and amounts of gene flow in these populations? These questions are routinely addressed in studies of indigenous populations, but less often in the case of new populations and rarely with consideration of equilibrium assumptions. We show that despite the recent introduction, continued gene flow and high temporal variability among samples, detectable population structure has arisen among the New Zealand populations, consistent with their colonization pattern and isolation by geographical distance. Furthermore, we use simple individual-based simulations and estimates of effective population sizes to estimate the effective gene flow among drainages under likely nonequilibrium conditions. Similar methodology may be broadly applicable to other studies of population structure and phenotypic evolution under similar nonequilibrium, high gene flow conditions.</v>
      </c>
      <c r="C412" s="24" t="str">
        <f>IFERROR(__xludf.DUMMYFUNCTION("""COMPUTED_VALUE"""),"10.1046/j.1365-294X.2002.01477.x")</f>
        <v>10.1046/j.1365-294X.2002.01477.x</v>
      </c>
      <c r="D412" s="24" t="str">
        <f>IFERROR(__xludf.DUMMYFUNCTION("""COMPUTED_VALUE"""),"shaw et al")</f>
        <v>shaw et al</v>
      </c>
      <c r="E412" s="24" t="str">
        <f>IFERROR(__xludf.DUMMYFUNCTION("""COMPUTED_VALUE"""),"WOS:000175250300009")</f>
        <v>WOS:000175250300009</v>
      </c>
      <c r="F412" s="24" t="str">
        <f>IFERROR(__xludf.DUMMYFUNCTION("""COMPUTED_VALUE"""),"[""ELIGIBLE""]")</f>
        <v>["ELIGIBLE"]</v>
      </c>
    </row>
    <row r="413">
      <c r="A413" s="24" t="str">
        <f>IFERROR(__xludf.DUMMYFUNCTION("""COMPUTED_VALUE"""),"Spatio-temporal variation in the genetic composition of wild populations of pearl oyster (Pinctada margaritifera cumingii) in French Polynesia following 10 years of juvenile translocation")</f>
        <v>Spatio-temporal variation in the genetic composition of wild populations of pearl oyster (Pinctada margaritifera cumingii) in French Polynesia following 10 years of juvenile translocation</v>
      </c>
      <c r="B413" s="24" t="str">
        <f>IFERROR(__xludf.DUMMYFUNCTION("""COMPUTED_VALUE"""),"The genetic impact of the cultural practice of spat collection and translocation between genetically distinct stocks of black-lipped pearl oyster, Pinctada margaritifera cumingii, was studied by comparing samples collected in the 1980s and 2000s from seve"&amp;"n atolls in French Polynesia. An AMOVA revealed homogenization of the previously genetically distinct wild stocks of Tuamotu-Gambier and Society archipelagos (the indices of genetic differentiation among archipelagos and among populations within archipela"&amp;"gos, respectively, Phi(CT) and Phi(ST), decreased from 0.032* and 0.025*, respectively, to 0.006(NS) and 0.007(NS)). These results suggest high success of spontaneous reproduction in farms, probably due to the very high density of cultivated pearl oysters"&amp;", and underline the importance of genetic monitoring of future hatchery produced stocks.")</f>
        <v>The genetic impact of the cultural practice of spat collection and translocation between genetically distinct stocks of black-lipped pearl oyster, Pinctada margaritifera cumingii, was studied by comparing samples collected in the 1980s and 2000s from seven atolls in French Polynesia. An AMOVA revealed homogenization of the previously genetically distinct wild stocks of Tuamotu-Gambier and Society archipelagos (the indices of genetic differentiation among archipelagos and among populations within archipelagos, respectively, Phi(CT) and Phi(ST), decreased from 0.032* and 0.025*, respectively, to 0.006(NS) and 0.007(NS)). These results suggest high success of spontaneous reproduction in farms, probably due to the very high density of cultivated pearl oysters, and underline the importance of genetic monitoring of future hatchery produced stocks.</v>
      </c>
      <c r="C413" s="24" t="str">
        <f>IFERROR(__xludf.DUMMYFUNCTION("""COMPUTED_VALUE"""),"10.1111/j.1365-294X.2004.02188.x")</f>
        <v>10.1111/j.1365-294X.2004.02188.x</v>
      </c>
      <c r="D413" s="24" t="str">
        <f>IFERROR(__xludf.DUMMYFUNCTION("""COMPUTED_VALUE"""),"shaw et al")</f>
        <v>shaw et al</v>
      </c>
      <c r="E413" s="24" t="str">
        <f>IFERROR(__xludf.DUMMYFUNCTION("""COMPUTED_VALUE"""),"WOS:000221933000023")</f>
        <v>WOS:000221933000023</v>
      </c>
      <c r="F413" s="24" t="str">
        <f>IFERROR(__xludf.DUMMYFUNCTION("""COMPUTED_VALUE"""),"[""ELIGIBLE""]")</f>
        <v>["ELIGIBLE"]</v>
      </c>
    </row>
    <row r="414">
      <c r="A414" s="24" t="str">
        <f>IFERROR(__xludf.DUMMYFUNCTION("""COMPUTED_VALUE"""),"MHC variation reflects the bottleneck histories of New Zealand passerines")</f>
        <v>MHC variation reflects the bottleneck histories of New Zealand passerines</v>
      </c>
      <c r="B414" s="24" t="str">
        <f>IFERROR(__xludf.DUMMYFUNCTION("""COMPUTED_VALUE"""),"Most empirical evidence suggests that balancing selection does not counter the effects of genetic drift in shaping postbottleneck major histocompatibility complex (MHC) genetic diversity when population declines are severe or prolonged. However, few studi"&amp;"es have been able to include data from historical specimens, or to compare populations/species with different bottleneck histories. In this study, we examined MHC class II B and microsatellite diversity in four New Zealand passerine (songbird) species tha"&amp;"t experienced moderate to very severe declines. We compared diversity from historical samples (collected c.1884-1938) to present-day populations. Using a Bayesian framework, we found that the change in genetic diversity from historical to contemporary sam"&amp;"ples was affected by three main factors: (i) whether the data were based on MHC or microsatellite markers, (ii) species (as a surrogate for bottleneck severity) and (iii) whether the comparison between historical and contemporary samples was made using hi"&amp;"storical samples originating from the mainland, or using historical samples originating from islands. The greatest losses in genetic diversity occurred for the most severely bottlenecked species, particularly between historical mainland and contemporary s"&amp;"amples. Additionally, where loss of diversity occurred, the change was greater for MHC genes compared to microsatellite loci.")</f>
        <v>Most empirical evidence suggests that balancing selection does not counter the effects of genetic drift in shaping postbottleneck major histocompatibility complex (MHC) genetic diversity when population declines are severe or prolonged. However, few studies have been able to include data from historical specimens, or to compare populations/species with different bottleneck histories. In this study, we examined MHC class II B and microsatellite diversity in four New Zealand passerine (songbird) species that experienced moderate to very severe declines. We compared diversity from historical samples (collected c.1884-1938) to present-day populations. Using a Bayesian framework, we found that the change in genetic diversity from historical to contemporary samples was affected by three main factors: (i) whether the data were based on MHC or microsatellite markers, (ii) species (as a surrogate for bottleneck severity) and (iii) whether the comparison between historical and contemporary samples was made using historical samples originating from the mainland, or using historical samples originating from islands. The greatest losses in genetic diversity occurred for the most severely bottlenecked species, particularly between historical mainland and contemporary samples. Additionally, where loss of diversity occurred, the change was greater for MHC genes compared to microsatellite loci.</v>
      </c>
      <c r="C414" s="24" t="str">
        <f>IFERROR(__xludf.DUMMYFUNCTION("""COMPUTED_VALUE"""),"10.1111/mec.13039")</f>
        <v>10.1111/mec.13039</v>
      </c>
      <c r="D414" s="24" t="str">
        <f>IFERROR(__xludf.DUMMYFUNCTION("""COMPUTED_VALUE"""),"shaw et al")</f>
        <v>shaw et al</v>
      </c>
      <c r="E414" s="24" t="str">
        <f>IFERROR(__xludf.DUMMYFUNCTION("""COMPUTED_VALUE"""),"WOS:000348061600008")</f>
        <v>WOS:000348061600008</v>
      </c>
      <c r="F414" s="24" t="str">
        <f>IFERROR(__xludf.DUMMYFUNCTION("""COMPUTED_VALUE"""),"[""ELIGIBLE""]")</f>
        <v>["ELIGIBLE"]</v>
      </c>
    </row>
    <row r="415">
      <c r="A415" s="24" t="str">
        <f>IFERROR(__xludf.DUMMYFUNCTION("""COMPUTED_VALUE"""),"Microsatellite variation and microevolution in the critically endangered San Clemente Island loggerhead shrike (Lanius ludovicianus mearnsi)")</f>
        <v>Microsatellite variation and microevolution in the critically endangered San Clemente Island loggerhead shrike (Lanius ludovicianus mearnsi)</v>
      </c>
      <c r="B415" s="24" t="str">
        <f>IFERROR(__xludf.DUMMYFUNCTION("""COMPUTED_VALUE"""),"Polymorphic nuclear microsatellite loci were used to characterize genetic variation in contemporary and historic populations of the San Clemente Island loggerhead shrike (Lanius ludovicianus mearnsi), an endangered bird with a current population of about "&amp;"30 individuals, that is endemic to one of the California Channel Islands. We also compared the population of the shrike with two contemporary populations of the still abundant subspecies, L. l. gambeli, which live 120 km away on the adjacent mainland. The"&amp;" current population of L. l. mearnsi has 60 % of the genetic variation of the mainland shrike populations and is strongly differentiated from them. Comparison of living birds with 19 birds collected in 1915 shows that most of the variation within the isla"&amp;"nd population was lost before the recent 90% decline in population size, and the 20 % decrease in variation this century is probably attributable to genetic drift. Mitochondrial DNA control region sequence data from 80-year-old specimens show that there m"&amp;"ay have been limited introgression to L. l. mearnsi, this century, from another island subspecies, L. l. anthonyi, found in the northern Channel Islands. Today, gene flow between L. l. mearnsi and mainland L. l. gambeli is very low, even though a few main"&amp;"land birds visit the island annually. The island subspecies population has evolved sufficient genetic independence to justify ongoing conservation efforts to counter demographic collapse and genetic erosion; the course of genetic erosion can now be monito"&amp;"red noninvasively, as demonstrated by this study, based on DNA amplified from feathers.")</f>
        <v>Polymorphic nuclear microsatellite loci were used to characterize genetic variation in contemporary and historic populations of the San Clemente Island loggerhead shrike (Lanius ludovicianus mearnsi), an endangered bird with a current population of about 30 individuals, that is endemic to one of the California Channel Islands. We also compared the population of the shrike with two contemporary populations of the still abundant subspecies, L. l. gambeli, which live 120 km away on the adjacent mainland. The current population of L. l. mearnsi has 60 % of the genetic variation of the mainland shrike populations and is strongly differentiated from them. Comparison of living birds with 19 birds collected in 1915 shows that most of the variation within the island population was lost before the recent 90% decline in population size, and the 20 % decrease in variation this century is probably attributable to genetic drift. Mitochondrial DNA control region sequence data from 80-year-old specimens show that there may have been limited introgression to L. l. mearnsi, this century, from another island subspecies, L. l. anthonyi, found in the northern Channel Islands. Today, gene flow between L. l. mearnsi and mainland L. l. gambeli is very low, even though a few mainland birds visit the island annually. The island subspecies population has evolved sufficient genetic independence to justify ongoing conservation efforts to counter demographic collapse and genetic erosion; the course of genetic erosion can now be monitored noninvasively, as demonstrated by this study, based on DNA amplified from feathers.</v>
      </c>
      <c r="C415" s="24" t="str">
        <f>IFERROR(__xludf.DUMMYFUNCTION("""COMPUTED_VALUE"""),"10.1098/rspb.1997.0121")</f>
        <v>10.1098/rspb.1997.0121</v>
      </c>
      <c r="D415" s="24" t="str">
        <f>IFERROR(__xludf.DUMMYFUNCTION("""COMPUTED_VALUE"""),"shaw et al")</f>
        <v>shaw et al</v>
      </c>
      <c r="E415" s="24" t="str">
        <f>IFERROR(__xludf.DUMMYFUNCTION("""COMPUTED_VALUE"""),"WOS:A1997XH13100012")</f>
        <v>WOS:A1997XH13100012</v>
      </c>
      <c r="F415" s="24" t="str">
        <f>IFERROR(__xludf.DUMMYFUNCTION("""COMPUTED_VALUE"""),"[""ELIGIBLE""]")</f>
        <v>["ELIGIBLE"]</v>
      </c>
    </row>
    <row r="416">
      <c r="A416" s="24" t="str">
        <f>IFERROR(__xludf.DUMMYFUNCTION("""COMPUTED_VALUE"""),"An invasive social insect overcomes genetic load at the sex locus")</f>
        <v>An invasive social insect overcomes genetic load at the sex locus</v>
      </c>
      <c r="B416" s="24" t="str">
        <f>IFERROR(__xludf.DUMMYFUNCTION("""COMPUTED_VALUE"""),"Some invasive hymenopteran social insects found new populations with very few reproductive individuals. This is despite the high cost of founder effects for such insects, which generally require heterozygosity at a single locus-the complementary sex deter"&amp;"miner, csd-to develop as females. Individuals that are homozygous at csd develop as either infertile or subfertile diploid males or not at all. Furthermore, diploid males replace the female workers that are essential for colony function. Here we document "&amp;"how the Asian honey bee (Apis cerana) overcame the diploid male problem during its invasion of Australia. Natural selection prevented the loss of rare csd alleles due to genetic drift and corrected the skew in allele frequencies caused by founder effects "&amp;"to restore high average heterozygosity. Thus, balancing selection can alleviate the genetic load at csd imposed by severe bottlenecks, and so facilitate invasiveness.")</f>
        <v>Some invasive hymenopteran social insects found new populations with very few reproductive individuals. This is despite the high cost of founder effects for such insects, which generally require heterozygosity at a single locus-the complementary sex determiner, csd-to develop as females. Individuals that are homozygous at csd develop as either infertile or subfertile diploid males or not at all. Furthermore, diploid males replace the female workers that are essential for colony function. Here we document how the Asian honey bee (Apis cerana) overcame the diploid male problem during its invasion of Australia. Natural selection prevented the loss of rare csd alleles due to genetic drift and corrected the skew in allele frequencies caused by founder effects to restore high average heterozygosity. Thus, balancing selection can alleviate the genetic load at csd imposed by severe bottlenecks, and so facilitate invasiveness.</v>
      </c>
      <c r="C416" s="24" t="str">
        <f>IFERROR(__xludf.DUMMYFUNCTION("""COMPUTED_VALUE"""),"10.1038/s41559-016-0011")</f>
        <v>10.1038/s41559-016-0011</v>
      </c>
      <c r="D416" s="24" t="str">
        <f>IFERROR(__xludf.DUMMYFUNCTION("""COMPUTED_VALUE"""),"shaw et al")</f>
        <v>shaw et al</v>
      </c>
      <c r="E416" s="24" t="str">
        <f>IFERROR(__xludf.DUMMYFUNCTION("""COMPUTED_VALUE"""),"WOS:000417168900008")</f>
        <v>WOS:000417168900008</v>
      </c>
      <c r="F416" s="24" t="str">
        <f>IFERROR(__xludf.DUMMYFUNCTION("""COMPUTED_VALUE"""),"[""ELIGIBLE""]")</f>
        <v>["ELIGIBLE"]</v>
      </c>
    </row>
    <row r="417">
      <c r="A417" s="24" t="str">
        <f>IFERROR(__xludf.DUMMYFUNCTION("""COMPUTED_VALUE"""),"Transcriptome population genomics reveals severe bottleneck and domestication cost in the African rice (Oryza glaberrima)")</f>
        <v>Transcriptome population genomics reveals severe bottleneck and domestication cost in the African rice (Oryza glaberrima)</v>
      </c>
      <c r="B417" s="24" t="str">
        <f>IFERROR(__xludf.DUMMYFUNCTION("""COMPUTED_VALUE"""),"The African cultivated rice (Oryza glaberrima) was domesticated in West Africa 3000years ago. Although less cultivated than the Asian rice (O.sativa), O.glaberrima landraces often display interesting adaptation to rustic environment (e.g. drought). Here, "&amp;"using RNA-seq technology, we were able to compare more than 12000 transcripts between 9 O.glaberrima, 10 wild O.barthii and one O.meridionalis individuals. With a synonymous nucleotide diversity (s)=0.0006 per site, O.glaberrima appears as the least genet"&amp;"ically diverse crop grass ever documented. Using approximate Bayesian computation, we estimated that O.glaberrima experienced a severe bottleneck during domestication. This demographic scenario almost fully accounts for the pattern of genetic diversity ac"&amp;"ross O.glaberrima genome as we detected very few outliers regions where positive selection may have further impacted genetic diversity. Moreover, the large excess of derived nonsynonymous substitution that we detected suggests that the O.glaberrima popula"&amp;"tion suffered from the cost of domestication'. In addition, we used this genome-scale data set to demonstrate that (i) O.barthii genetic diversity is positively correlated with recombination rate and negatively with gene density, (ii) expression level is "&amp;"negatively correlated with evolutionary constraint, and (iii) one region on chromosome 5 (position 4-6Mb) exhibits a clear signature of introgression with a yet unidentified Oryza species. This work represents the first genome-wide survey of the African r"&amp;"ice genetic diversity and paves the way for further comparison between the African and the Asian rice, notably regarding the genetics underlying domestication traits.")</f>
        <v>The African cultivated rice (Oryza glaberrima) was domesticated in West Africa 3000years ago. Although less cultivated than the Asian rice (O.sativa), O.glaberrima landraces often display interesting adaptation to rustic environment (e.g. drought). Here, using RNA-seq technology, we were able to compare more than 12000 transcripts between 9 O.glaberrima, 10 wild O.barthii and one O.meridionalis individuals. With a synonymous nucleotide diversity (s)=0.0006 per site, O.glaberrima appears as the least genetically diverse crop grass ever documented. Using approximate Bayesian computation, we estimated that O.glaberrima experienced a severe bottleneck during domestication. This demographic scenario almost fully accounts for the pattern of genetic diversity across O.glaberrima genome as we detected very few outliers regions where positive selection may have further impacted genetic diversity. Moreover, the large excess of derived nonsynonymous substitution that we detected suggests that the O.glaberrima population suffered from the cost of domestication'. In addition, we used this genome-scale data set to demonstrate that (i) O.barthii genetic diversity is positively correlated with recombination rate and negatively with gene density, (ii) expression level is negatively correlated with evolutionary constraint, and (iii) one region on chromosome 5 (position 4-6Mb) exhibits a clear signature of introgression with a yet unidentified Oryza species. This work represents the first genome-wide survey of the African rice genetic diversity and paves the way for further comparison between the African and the Asian rice, notably regarding the genetics underlying domestication traits.</v>
      </c>
      <c r="C417" s="24" t="str">
        <f>IFERROR(__xludf.DUMMYFUNCTION("""COMPUTED_VALUE"""),"10.1111/mec.12738")</f>
        <v>10.1111/mec.12738</v>
      </c>
      <c r="D417" s="24" t="str">
        <f>IFERROR(__xludf.DUMMYFUNCTION("""COMPUTED_VALUE"""),"shaw et al")</f>
        <v>shaw et al</v>
      </c>
      <c r="E417" s="24" t="str">
        <f>IFERROR(__xludf.DUMMYFUNCTION("""COMPUTED_VALUE"""),"WOS:000334908100009")</f>
        <v>WOS:000334908100009</v>
      </c>
      <c r="F417" s="24" t="str">
        <f>IFERROR(__xludf.DUMMYFUNCTION("""COMPUTED_VALUE"""),"[""ELIGIBLE""]")</f>
        <v>["ELIGIBLE"]</v>
      </c>
    </row>
    <row r="418">
      <c r="A418" s="24" t="str">
        <f>IFERROR(__xludf.DUMMYFUNCTION("""COMPUTED_VALUE"""),"Population genetics of the American eel (Anguilla rostrata): FST=0 and North Atlantic Oscillation effects on demographic fluctuations of a panmictic species")</f>
        <v>Population genetics of the American eel (Anguilla rostrata): FST=0 and North Atlantic Oscillation effects on demographic fluctuations of a panmictic species</v>
      </c>
      <c r="B418" s="24" t="str">
        <f>IFERROR(__xludf.DUMMYFUNCTION("""COMPUTED_VALUE"""),"We performed population genetic analyses on the American eel (Anguilla rostrata) with three main objectives. First, we conducted the most comprehensive analysis of neutral genetic population structure to date to revisit the null hypothesis of panmixia in "&amp;"this species. Second, we used this data to provide the first estimates of contemporary effective population size (Ne) and to document temporal variation in effective number of breeders (Nb) in American eel. Third, we tested for statistical associations be"&amp;"tween temporal variation in the North Atlantic Oscillation (NAO), the effective number of breeders and two indices of recruit abundance. A total of 2142 eels from 32 sampling locations were genotyped with 18 microsatellite loci. All measures of differenti"&amp;"ation were essentially zero, and no evidence for significant spatial or temporal genetic differentiation was found. The panmixia hypothesis should thus be accepted for this species. Nb estimates varied by a factor of 23 among 12 cohorts, from 473 to 10999"&amp;". The effective population size Ne was estimated at 10532 (95% CI, 931211752). This study also showed that genetically based demographic indices, namely Nb and allelic richness (Ar), can be used as surrogates for the abundance of breeders and recruits, wh"&amp;"ich were both shown to be positively influenced by variation during high (positive) NAO phases. Thus, long-term genetic monitoring of American glass eels at several sites along the North American Atlantic coast would represent a powerful and efficient com"&amp;"plement to census monitoring to track demographic fluctuations and better understand their causes.")</f>
        <v>We performed population genetic analyses on the American eel (Anguilla rostrata) with three main objectives. First, we conducted the most comprehensive analysis of neutral genetic population structure to date to revisit the null hypothesis of panmixia in this species. Second, we used this data to provide the first estimates of contemporary effective population size (Ne) and to document temporal variation in effective number of breeders (Nb) in American eel. Third, we tested for statistical associations between temporal variation in the North Atlantic Oscillation (NAO), the effective number of breeders and two indices of recruit abundance. A total of 2142 eels from 32 sampling locations were genotyped with 18 microsatellite loci. All measures of differentiation were essentially zero, and no evidence for significant spatial or temporal genetic differentiation was found. The panmixia hypothesis should thus be accepted for this species. Nb estimates varied by a factor of 23 among 12 cohorts, from 473 to 10999. The effective population size Ne was estimated at 10532 (95% CI, 931211752). This study also showed that genetically based demographic indices, namely Nb and allelic richness (Ar), can be used as surrogates for the abundance of breeders and recruits, which were both shown to be positively influenced by variation during high (positive) NAO phases. Thus, long-term genetic monitoring of American glass eels at several sites along the North American Atlantic coast would represent a powerful and efficient complement to census monitoring to track demographic fluctuations and better understand their causes.</v>
      </c>
      <c r="C418" s="24" t="str">
        <f>IFERROR(__xludf.DUMMYFUNCTION("""COMPUTED_VALUE"""),"10.1111/mec.12142")</f>
        <v>10.1111/mec.12142</v>
      </c>
      <c r="D418" s="24" t="str">
        <f>IFERROR(__xludf.DUMMYFUNCTION("""COMPUTED_VALUE"""),"shaw et al")</f>
        <v>shaw et al</v>
      </c>
      <c r="E418" s="24" t="str">
        <f>IFERROR(__xludf.DUMMYFUNCTION("""COMPUTED_VALUE"""),"WOS:000316575800002")</f>
        <v>WOS:000316575800002</v>
      </c>
      <c r="F418" s="24" t="str">
        <f>IFERROR(__xludf.DUMMYFUNCTION("""COMPUTED_VALUE"""),"[""ELIGIBLE""]")</f>
        <v>["ELIGIBLE"]</v>
      </c>
    </row>
    <row r="419">
      <c r="A419" s="24" t="str">
        <f>IFERROR(__xludf.DUMMYFUNCTION("""COMPUTED_VALUE"""),"Long-term effective population sizes, temporal stability of genetic composition and potential for local adaptation in anadromous brown trout (Salmo trutta) populations")</f>
        <v>Long-term effective population sizes, temporal stability of genetic composition and potential for local adaptation in anadromous brown trout (Salmo trutta) populations</v>
      </c>
      <c r="B419" s="24" t="str">
        <f>IFERROR(__xludf.DUMMYFUNCTION("""COMPUTED_VALUE"""),"We examined the long-term temporal (1910s to 1990s) genetic variation at eight microsatellite DNA loci in brown trout (Salmo trutta L) collected from five anadromous populations in Denmark to assess the long-term stability of genetic composition and to es"&amp;"timate effective population sizes (N-e). Contemporary and historical samples consisted of tissue and archived scales, respectively. Pairwise Theta(ST) estimates, a hierarchical analysis of molecular variance (AMOVA) and multidimensional scaling analysis o"&amp;"f pairwise genetic distances between samples revealed much closer genetic relationships among temporal samples from the same populations than among samples from different populations. Estimates of N-e, using a likelihood-based implementation of the tempor"&amp;"al method, revealed N-e greater than or equal to 500 in two of three populations for which we have historical data. A third population in a small (3 km) river showed Ne greater than or equal to 300. Assuming a stepping-stone model of gene flow we consider"&amp;"ed the relative roles of gene flow, random genetic drift and selection to assess the possibilities for local adaptation. The requirements for local adaptation were fulfilled, but only adaptations resulting from strong selection were expected to occur at t"&amp;"he level of individual populations. Adaptations resulting from weak selection were more likely to occur on a regional basis, i.e. encompassing several populations. N-e appears to have declined recently in at least one of the studied populations, and the d"&amp;"ocumented recent declines of many other anadromous brown trout populations may affect the persistence of local adaptation.")</f>
        <v>We examined the long-term temporal (1910s to 1990s) genetic variation at eight microsatellite DNA loci in brown trout (Salmo trutta L) collected from five anadromous populations in Denmark to assess the long-term stability of genetic composition and to estimate effective population sizes (N-e). Contemporary and historical samples consisted of tissue and archived scales, respectively. Pairwise Theta(ST) estimates, a hierarchical analysis of molecular variance (AMOVA) and multidimensional scaling analysis of pairwise genetic distances between samples revealed much closer genetic relationships among temporal samples from the same populations than among samples from different populations. Estimates of N-e, using a likelihood-based implementation of the temporal method, revealed N-e greater than or equal to 500 in two of three populations for which we have historical data. A third population in a small (3 km) river showed Ne greater than or equal to 300. Assuming a stepping-stone model of gene flow we considered the relative roles of gene flow, random genetic drift and selection to assess the possibilities for local adaptation. The requirements for local adaptation were fulfilled, but only adaptations resulting from strong selection were expected to occur at the level of individual populations. Adaptations resulting from weak selection were more likely to occur on a regional basis, i.e. encompassing several populations. N-e appears to have declined recently in at least one of the studied populations, and the documented recent declines of many other anadromous brown trout populations may affect the persistence of local adaptation.</v>
      </c>
      <c r="C419" s="24" t="str">
        <f>IFERROR(__xludf.DUMMYFUNCTION("""COMPUTED_VALUE"""),"10.1046/j.1365-294X.2002.01634.x")</f>
        <v>10.1046/j.1365-294X.2002.01634.x</v>
      </c>
      <c r="D419" s="24" t="str">
        <f>IFERROR(__xludf.DUMMYFUNCTION("""COMPUTED_VALUE"""),"shaw et al")</f>
        <v>shaw et al</v>
      </c>
      <c r="E419" s="24" t="str">
        <f>IFERROR(__xludf.DUMMYFUNCTION("""COMPUTED_VALUE"""),"WOS:000179492800007")</f>
        <v>WOS:000179492800007</v>
      </c>
      <c r="F419" s="24" t="str">
        <f>IFERROR(__xludf.DUMMYFUNCTION("""COMPUTED_VALUE"""),"[""ELIGIBLE""]")</f>
        <v>["ELIGIBLE"]</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tr">
        <f>IFERROR(__xludf.DUMMYFUNCTION("IMPORTRANGE(""https://docs.google.com/spreadsheets/d/1CVEktkyD48xR30D0OWfjXFK9AOG3SNmmy7_2mHPpDDE/edit?gid=798933259#gid=798933259"", ""Serving Lables - Screening!A:F"")"),"Article Title")</f>
        <v>Article Title</v>
      </c>
      <c r="B1" s="24" t="str">
        <f>IFERROR(__xludf.DUMMYFUNCTION("""COMPUTED_VALUE"""),"Abstract")</f>
        <v>Abstract</v>
      </c>
      <c r="C1" s="24" t="str">
        <f>IFERROR(__xludf.DUMMYFUNCTION("""COMPUTED_VALUE"""),"DOI")</f>
        <v>DOI</v>
      </c>
      <c r="D1" s="24" t="str">
        <f>IFERROR(__xludf.DUMMYFUNCTION("""COMPUTED_VALUE"""),"source")</f>
        <v>source</v>
      </c>
      <c r="E1" s="24" t="str">
        <f>IFERROR(__xludf.DUMMYFUNCTION("""COMPUTED_VALUE"""),"UT (Unique WOS ID)")</f>
        <v>UT (Unique WOS ID)</v>
      </c>
      <c r="F1" s="24" t="str">
        <f>IFERROR(__xludf.DUMMYFUNCTION("""COMPUTED_VALUE"""),"eligbility")</f>
        <v>eligbility</v>
      </c>
    </row>
    <row r="2">
      <c r="A2" s="24" t="str">
        <f>IFERROR(__xludf.DUMMYFUNCTION("""COMPUTED_VALUE"""),"Diversity and distribution of macroinvertebrates in lentic habitats in massively altered landscapes in south-eastern Australia")</f>
        <v>Diversity and distribution of macroinvertebrates in lentic habitats in massively altered landscapes in south-eastern Australia</v>
      </c>
      <c r="B2" s="24" t="str">
        <f>IFERROR(__xludf.DUMMYFUNCTION("""COMPUTED_VALUE"""),"Aim We investigated whether faunas of lentic macroinvertebrates differed among two landscape types: (1) those that are largely covered in forests (presumed to be in a more pre-human-impact condition) and (2) those that are completely cleared for agricultu"&amp;"ral exploitation (massively altered). Location Five pairs of landscapes (each pair referred to as a region) - one of each landscape type - across a 30,000 km2 region of north-central Victoria, Australia. Methods Each individual waterbody was surveyed thre"&amp;"e times (austral spring 2006, autumn 2007, and spring 2007) for invertebrates. Waterbodies were characterized by measurements of static (e.g. abutting vegetation cover) and labile (e.g. pH) variables. Data were analysed using hierarchical Bayesian models "&amp;"of species richness, alpha- and beta-diversities and functional feeding groups. Assemblage composition was related to landscape and in-waterbody characteristics. Results Neither measured, nor asymptotic estimates of, species richness differed among landsc"&amp;"ape types, notwithstanding consistent differences in in-waterbody habitat characteristics among waterbodies in the two landscape types. There were no discernible differences in patterns of alpha- and beta-diversities at landscape scales relating to landsc"&amp;"ape type. Habitat diversity of waterbodies at the landscape scale did not affect beta-diversity, although distinct waterbodies within landscapes tended to have more distinct faunas. Main conclusions The lentic macroinvertebrate faunas are relatively homog"&amp;"eneous over the entire region, with little differentiation between wooded and cleared landscapes. The regional fauna may be a homogenized subset of native species, possibly arising from the huge numerical predominance of lentic habitats in agricultural la"&amp;"ndscapes producing 'spill-over' effects into forested landscapes. Of taxa more frequently found in one or other landscape type, trophic group diversity was greater in forested landscapes.")</f>
        <v>Aim We investigated whether faunas of lentic macroinvertebrates differed among two landscape types: (1) those that are largely covered in forests (presumed to be in a more pre-human-impact condition) and (2) those that are completely cleared for agricultural exploitation (massively altered). Location Five pairs of landscapes (each pair referred to as a region) - one of each landscape type - across a 30,000 km2 region of north-central Victoria, Australia. Methods Each individual waterbody was surveyed three times (austral spring 2006, autumn 2007, and spring 2007) for invertebrates. Waterbodies were characterized by measurements of static (e.g. abutting vegetation cover) and labile (e.g. pH) variables. Data were analysed using hierarchical Bayesian models of species richness, alpha- and beta-diversities and functional feeding groups. Assemblage composition was related to landscape and in-waterbody characteristics. Results Neither measured, nor asymptotic estimates of, species richness differed among landscape types, notwithstanding consistent differences in in-waterbody habitat characteristics among waterbodies in the two landscape types. There were no discernible differences in patterns of alpha- and beta-diversities at landscape scales relating to landscape type. Habitat diversity of waterbodies at the landscape scale did not affect beta-diversity, although distinct waterbodies within landscapes tended to have more distinct faunas. Main conclusions The lentic macroinvertebrate faunas are relatively homogeneous over the entire region, with little differentiation between wooded and cleared landscapes. The regional fauna may be a homogenized subset of native species, possibly arising from the huge numerical predominance of lentic habitats in agricultural landscapes producing 'spill-over' effects into forested landscapes. Of taxa more frequently found in one or other landscape type, trophic group diversity was greater in forested landscapes.</v>
      </c>
      <c r="C2" s="24" t="str">
        <f>IFERROR(__xludf.DUMMYFUNCTION("""COMPUTED_VALUE"""),"10.1111/j.1472-4642.2010.00685.x")</f>
        <v>10.1111/j.1472-4642.2010.00685.x</v>
      </c>
      <c r="D2" s="24" t="str">
        <f>IFERROR(__xludf.DUMMYFUNCTION("""COMPUTED_VALUE"""),"murphy et al")</f>
        <v>murphy et al</v>
      </c>
      <c r="E2" s="24" t="str">
        <f>IFERROR(__xludf.DUMMYFUNCTION("""COMPUTED_VALUE"""),"WOS:000280973100001")</f>
        <v>WOS:000280973100001</v>
      </c>
      <c r="F2" s="24" t="str">
        <f>IFERROR(__xludf.DUMMYFUNCTION("""COMPUTED_VALUE"""),"[""ELIGIBLE""]")</f>
        <v>["ELIGIBLE"]</v>
      </c>
    </row>
    <row r="3">
      <c r="A3" s="24" t="str">
        <f>IFERROR(__xludf.DUMMYFUNCTION("""COMPUTED_VALUE"""),"Anthropogenic landscape changes and avian diversity at Los Tuxtlas, Mexico")</f>
        <v>Anthropogenic landscape changes and avian diversity at Los Tuxtlas, Mexico</v>
      </c>
      <c r="B3" s="24" t="str">
        <f>IFERROR(__xludf.DUMMYFUNCTION("""COMPUTED_VALUE"""),"Faced with rapid and extensive conversion of tropical rain forests to a landscape consisting of pasture lands, and with the need to preserve the avian diversity of tropical regions, it is imperative to determine how different species have responded to ant"&amp;"hropogenic alterations of their natural habitats. We sampled birds in undisturbed and disturbed forest islands in regenerating forests and in four replicates of each of the following man-made habitats: arboreal agricultural habitats (cacao, coffee, mixed,"&amp;" citrus and allspice), non-arboreal agricultural habitats (corn, jalapeno chili pepper and bananas), live fences and pastures, at Los Tuxtlas, Veracruz, Mexico. We censused 22145 birds representing 226 species. We detected 79% of the species in forest hab"&amp;"itats, 80% in agricultural habitats, 43% in live fences and only 5% in pastures. Isolating distance and continued disturbance by humans of forest fragments were important variables influencing species' richness. Arboreal agricultural habitats and live fen"&amp;"ces were richer in species and in birds than non-arboreal man-made habitats. Economic surveys showed that some of the crops investigated yield higher returns than cattle ranching based on pastures. We discuss the conservation value for birds of agricultur"&amp;"al islands and of live fences as landscape elements that help reduce physical and biotic isolation among remaining configurations of forest fragments in Los Tuxtlas.")</f>
        <v>Faced with rapid and extensive conversion of tropical rain forests to a landscape consisting of pasture lands, and with the need to preserve the avian diversity of tropical regions, it is imperative to determine how different species have responded to anthropogenic alterations of their natural habitats. We sampled birds in undisturbed and disturbed forest islands in regenerating forests and in four replicates of each of the following man-made habitats: arboreal agricultural habitats (cacao, coffee, mixed, citrus and allspice), non-arboreal agricultural habitats (corn, jalapeno chili pepper and bananas), live fences and pastures, at Los Tuxtlas, Veracruz, Mexico. We censused 22145 birds representing 226 species. We detected 79% of the species in forest habitats, 80% in agricultural habitats, 43% in live fences and only 5% in pastures. Isolating distance and continued disturbance by humans of forest fragments were important variables influencing species' richness. Arboreal agricultural habitats and live fences were richer in species and in birds than non-arboreal man-made habitats. Economic surveys showed that some of the crops investigated yield higher returns than cattle ranching based on pastures. We discuss the conservation value for birds of agricultural islands and of live fences as landscape elements that help reduce physical and biotic isolation among remaining configurations of forest fragments in Los Tuxtlas.</v>
      </c>
      <c r="C3" s="24" t="str">
        <f>IFERROR(__xludf.DUMMYFUNCTION("""COMPUTED_VALUE"""),"10.1023/A:1018328930981")</f>
        <v>10.1023/A:1018328930981</v>
      </c>
      <c r="D3" s="24" t="str">
        <f>IFERROR(__xludf.DUMMYFUNCTION("""COMPUTED_VALUE"""),"murphy et al")</f>
        <v>murphy et al</v>
      </c>
      <c r="E3" s="24" t="str">
        <f>IFERROR(__xludf.DUMMYFUNCTION("""COMPUTED_VALUE"""),"WOS:A1997WL15900002")</f>
        <v>WOS:A1997WL15900002</v>
      </c>
      <c r="F3" s="24" t="str">
        <f>IFERROR(__xludf.DUMMYFUNCTION("""COMPUTED_VALUE"""),"[""ELIGIBLE""]")</f>
        <v>["ELIGIBLE"]</v>
      </c>
    </row>
    <row r="4">
      <c r="A4" s="24" t="str">
        <f>IFERROR(__xludf.DUMMYFUNCTION("""COMPUTED_VALUE"""),"Contrasting landscape effects on species diversity and invasion success within a predator community")</f>
        <v>Contrasting landscape effects on species diversity and invasion success within a predator community</v>
      </c>
      <c r="B4" s="24" t="str">
        <f>IFERROR(__xludf.DUMMYFUNCTION("""COMPUTED_VALUE"""),"Aim The role of landscape variation in shaping invasion success remains unclear, particularly for exotic predators. We examined whether native and exotic predators responded similarly or differently to ecological change at the landscape scale. Location Vi"&amp;"neyards and surrounding natural habitat in the Napa Valley, California, USA. Methods We surveyed spider communities in vineyards throughout the Napa Valley and used regression analysis to examine the effects of landscape context (proportion of vineyard mo"&amp;"noculture and proportion of developed land surrounding vineyards) on spider species richness and on numbers and proportions of exotic spiders. We also compared spider composition and dominance of exotic spiders between vineyards and surrounding natural ha"&amp;"bitat using non-metric multidimensional scaling (NMDS). Results The success of the dominant exotic spider Cheiracanthium mildei was contingent on landscape context, and increased with proportions of vineyard and developed land in the surrounding landscape"&amp;". Spider species richness and native spider abundance followed an opposing pattern. Cheiracanthium mildei was relatively unsuccessful near and in oak woodland, the primary type of natural habitat surrounding vineyards. Main Conclusions Results show that a"&amp;"nthropogenic landscape change can have contrasting effects on native and exotic predators and that landscape context can influence the relationship between habitat modification and invasion success. Results suggest that it may be possible to limit the spr"&amp;"ead of invasions by increasing the availability of habitat for native species.")</f>
        <v>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v>
      </c>
      <c r="C4" s="24" t="str">
        <f>IFERROR(__xludf.DUMMYFUNCTION("""COMPUTED_VALUE"""),"10.1111/j.1472-4642.2012.00935.x")</f>
        <v>10.1111/j.1472-4642.2012.00935.x</v>
      </c>
      <c r="D4" s="24" t="str">
        <f>IFERROR(__xludf.DUMMYFUNCTION("""COMPUTED_VALUE"""),"murphy et al")</f>
        <v>murphy et al</v>
      </c>
      <c r="E4" s="24" t="str">
        <f>IFERROR(__xludf.DUMMYFUNCTION("""COMPUTED_VALUE"""),"WOS:000315404100004")</f>
        <v>WOS:000315404100004</v>
      </c>
      <c r="F4" s="24" t="str">
        <f>IFERROR(__xludf.DUMMYFUNCTION("""COMPUTED_VALUE"""),"[""ELIGIBLE""]")</f>
        <v>["ELIGIBLE"]</v>
      </c>
    </row>
    <row r="5">
      <c r="A5" s="24" t="str">
        <f>IFERROR(__xludf.DUMMYFUNCTION("""COMPUTED_VALUE"""),"The impact of land-use change on larval insect communities: Testing the role of habitat elements in conservation")</f>
        <v>The impact of land-use change on larval insect communities: Testing the role of habitat elements in conservation</v>
      </c>
      <c r="B5" s="24" t="str">
        <f>IFERROR(__xludf.DUMMYFUNCTION("""COMPUTED_VALUE"""),"Conservationists have proposed that maintaining key elements of the original land-cover type in modified landscapes may mitigate the detrimental effects of land-cover change on residual species. We tested this hypothesis for aquatic insect communities in "&amp;"tank-forming bromeliads in forested and non-forested habitats in Costa Rica. Bromeliad tanks hold much of the standing water in this region and therefore provide an important resource for insects with aquatic larval stages. We quantified the relative impo"&amp;"rtance of land-use type and the bromeliad-specific local environment on the insect community, and also the effect of land-use type on this local environment. Insect species responded to both land-use type and the local environment, with these variables ex"&amp;"plaining a total of 36% of species densities. The local environment independently explained 19% of insect densities, while land-use type explained 17%, mainly through its modification of the local environment. Local environmental conditions were strongly "&amp;"correlated to land-use type (r(2) = 0.64), with non-forest habitat having a higher average temperature, a greater variation in temperature, and a lower density of bromeliads. Our results indicate that the land-use type in which bromeliads occur influences"&amp;" the relative densities of insects by altering the local environment of bromeliads. Therefore, maintaining bromeliads under land-use conversion will not necessarily maintain the bromeliad insect community of the original forested habitat.")</f>
        <v>Conservationists have proposed that maintaining key elements of the original land-cover type in modified landscapes may mitigate the detrimental effects of land-cover change on residual species. We tested this hypothesis for aquatic insect communities in tank-forming bromeliads in forested and non-forested habitats in Costa Rica. Bromeliad tanks hold much of the standing water in this region and therefore provide an important resource for insects with aquatic larval stages. We quantified the relative importance of land-use type and the bromeliad-specific local environment on the insect community, and also the effect of land-use type on this local environment. Insect species responded to both land-use type and the local environment, with these variables explaining a total of 36% of species densities. The local environment independently explained 19% of insect densities, while land-use type explained 17%, mainly through its modification of the local environment. Local environmental conditions were strongly correlated to land-use type (r(2) = 0.64), with non-forest habitat having a higher average temperature, a greater variation in temperature, and a lower density of bromeliads. Our results indicate that the land-use type in which bromeliads occur influences the relative densities of insects by altering the local environment of bromeliads. Therefore, maintaining bromeliads under land-use conversion will not necessarily maintain the bromeliad insect community of the original forested habitat.</v>
      </c>
      <c r="C5" s="24" t="str">
        <f>IFERROR(__xludf.DUMMYFUNCTION("""COMPUTED_VALUE"""),"10.2980/15-2-3098")</f>
        <v>10.2980/15-2-3098</v>
      </c>
      <c r="D5" s="24" t="str">
        <f>IFERROR(__xludf.DUMMYFUNCTION("""COMPUTED_VALUE"""),"murphy et al")</f>
        <v>murphy et al</v>
      </c>
      <c r="E5" s="24" t="str">
        <f>IFERROR(__xludf.DUMMYFUNCTION("""COMPUTED_VALUE"""),"WOS:000257412900003")</f>
        <v>WOS:000257412900003</v>
      </c>
      <c r="F5" s="24" t="str">
        <f>IFERROR(__xludf.DUMMYFUNCTION("""COMPUTED_VALUE"""),"[""ELIGIBLE""]")</f>
        <v>["ELIGIBLE"]</v>
      </c>
    </row>
    <row r="6">
      <c r="A6" s="24" t="str">
        <f>IFERROR(__xludf.DUMMYFUNCTION("""COMPUTED_VALUE"""),"Experimental warming causes large and rapid species loss, dampened by simulated grazing, on the Tibetan Plateau")</f>
        <v>Experimental warming causes large and rapid species loss, dampened by simulated grazing, on the Tibetan Plateau</v>
      </c>
      <c r="B6" s="24" t="str">
        <f>IFERROR(__xludf.DUMMYFUNCTION("""COMPUTED_VALUE"""),"We investigated the independent and combined effects of experimental warming and grazing on plant species diversity on the north-eastern Tibetan Plateau, a region highly vulnerable to ongoing climate and land use changes. Experimental warming caused a 26-"&amp;"36% decrease in species richness, a response that was generally dampened by experimental grazing. Higher species losses occurred at the drier sites where N was less available. Moreover, we observed an indirect effect of climate change on species richness "&amp;"as mediated by plant-plant interactions. Heat stress and warming-induced litter accumulation are potential explanations for the species' responses to experimental warming. This is the first reported experimental evidence that climate warming could cause d"&amp;"ramatic declines in plant species diversity in high elevation ecosystems over short time frames and supports model predictions of species losses with anthropogenic climate change.")</f>
        <v>We investigated the independent and combined effects of experimental warming and grazing on plant species diversity on the north-eastern Tibetan Plateau, a region highly vulnerable to ongoing climate and land use changes. Experimental warming caused a 26-36% decrease in species richness, a response that was generally dampened by experimental grazing. Higher species losses occurred at the drier sites where N was less available. Moreover, we observed an indirect effect of climate change on species richness as mediated by plant-plant interactions. Heat stress and warming-induced litter accumulation are potential explanations for the species' responses to experimental warming. This is the first reported experimental evidence that climate warming could cause dramatic declines in plant species diversity in high elevation ecosystems over short time frames and supports model predictions of species losses with anthropogenic climate change.</v>
      </c>
      <c r="C6" s="24" t="str">
        <f>IFERROR(__xludf.DUMMYFUNCTION("""COMPUTED_VALUE"""),"10.1111/j.1461-0248.2004.00677.x")</f>
        <v>10.1111/j.1461-0248.2004.00677.x</v>
      </c>
      <c r="D6" s="24" t="str">
        <f>IFERROR(__xludf.DUMMYFUNCTION("""COMPUTED_VALUE"""),"murphy et al")</f>
        <v>murphy et al</v>
      </c>
      <c r="E6" s="24" t="str">
        <f>IFERROR(__xludf.DUMMYFUNCTION("""COMPUTED_VALUE"""),"WOS:000225078000007")</f>
        <v>WOS:000225078000007</v>
      </c>
      <c r="F6" s="24" t="str">
        <f>IFERROR(__xludf.DUMMYFUNCTION("""COMPUTED_VALUE"""),"[""ELIGIBLE""]")</f>
        <v>["ELIGIBLE"]</v>
      </c>
    </row>
    <row r="7">
      <c r="A7" s="24" t="str">
        <f>IFERROR(__xludf.DUMMYFUNCTION("""COMPUTED_VALUE"""),"Understanding the biodiversity consequences of habitat change:: the value of secondary and plantation forests for neotropical dung beetles")</f>
        <v>Understanding the biodiversity consequences of habitat change:: the value of secondary and plantation forests for neotropical dung beetles</v>
      </c>
      <c r="B7" s="24" t="str">
        <f>IFERROR(__xludf.DUMMYFUNCTION("""COMPUTED_VALUE"""),"1. Secondary and plantation forests are becoming increasingly widespread in the tropics. A recent meta-analysis on the impacts of land-use change on tropical forest dung beetles concluded that regenerating forests can be effective in helping to offset spe"&amp;"cies loss following deforestation. However, our understanding of the extent to which these results can be generalized to new locations remains very poor. 2. We attempted to overcome many of the design limitations that characterize previous studies by coll"&amp;"ecting spatially independent dung beetle samples from primary, secondary and Eucalyptus plantation forests in north-east Brazilian Amazonia across a large quasi-experimental landscape that minimized confounding edge and fragmentation effects. 3. We record"&amp;"ed 9203 dung beetles, comprising 85 species. Species richness was significantly higher in primary forest and the majority of species were more abundant there than elsewhere, whereas secondary and plantation sites harboured an impoverished subset of primar"&amp;"y forest species. 4. Our data illustrate the low value of tropical secondary and plantation forests for dung beetles in our study area, and our conclusions are more pessimistic than those of earlier studies. 5. Because of differences in the order of speci"&amp;"es rank-abundance and rank-biomass patterns, re-coding community data from abundance to biomass significantly altered the analytical weight of individual species in determining community patterns. Larger bodied beetles were more prone to local extinctions"&amp;" and abundance declines and this effect was consistent both within and between genera. 6. Synthesis and applications. Our study demonstrates that secondary and plantation forests in a large neotropical landscape host exceptionally impoverished dung beetle"&amp;" communities. Furthermore, the depletion of beetle abundance combined with a reduction in average body mass in converted forests is likely to have detrimental consequences for the maintenance of dung beetle-mediated ecosystem services in these habitats. D"&amp;"ifferences in biogeographical and landscape context, and the influence of common limitations in sampling design, may explain why many other studies have painted a more optimistic picture of the conservation value of anthropogenic habitats. In the absence "&amp;"of further evidence we caution strongly against the claim that forest regeneration schemes on degraded land can effectively offset the loss of species following deforestation, and urge that conservation strategies prioritize the protection of remaining ar"&amp;"eas of primary forest.")</f>
        <v>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v>
      </c>
      <c r="C7" s="24" t="str">
        <f>IFERROR(__xludf.DUMMYFUNCTION("""COMPUTED_VALUE"""),"10.1111/j.1365-2664.2008.01454.x")</f>
        <v>10.1111/j.1365-2664.2008.01454.x</v>
      </c>
      <c r="D7" s="24" t="str">
        <f>IFERROR(__xludf.DUMMYFUNCTION("""COMPUTED_VALUE"""),"murphy et al")</f>
        <v>murphy et al</v>
      </c>
      <c r="E7" s="24" t="str">
        <f>IFERROR(__xludf.DUMMYFUNCTION("""COMPUTED_VALUE"""),"WOS:000255464600016")</f>
        <v>WOS:000255464600016</v>
      </c>
      <c r="F7" s="24" t="str">
        <f>IFERROR(__xludf.DUMMYFUNCTION("""COMPUTED_VALUE"""),"[""ELIGIBLE""]")</f>
        <v>["ELIGIBLE"]</v>
      </c>
    </row>
    <row r="8">
      <c r="A8" s="24" t="str">
        <f>IFERROR(__xludf.DUMMYFUNCTION("""COMPUTED_VALUE"""),"Conversion of the Amazon rainforest to agriculture results in biotic homogenization of soil bacterial communities")</f>
        <v>Conversion of the Amazon rainforest to agriculture results in biotic homogenization of soil bacterial communities</v>
      </c>
      <c r="B8" s="24" t="str">
        <f>IFERROR(__xludf.DUMMYFUNCTION("""COMPUTED_VALUE"""),"The Amazon rainforest is the Earth's largest reservoir of plant and animal diversity, and it has been subjected to especially high rates of land use change, primarily to cattle pasture. This conversion has had a strongly negative effect on biological dive"&amp;"rsity, reducing the number of plant and animal species and homogenizing communities. We report here that microbial biodiversity also responds strongly to conversion of the Amazon rainforest, but in a manner different from plants and animals. Local taxonom"&amp;"ic and phylogenetic diversity of soil bacteria increases after conversion, but communities become more similar across space. This homogenization is driven by the loss of forest soil bacteria with restricted ranges (endemics) and results in a net loss of d"&amp;"iversity. This study shows homogenization of microbial communities in response to human activities. Given that soil microbes represent the majority of biodiversity in terrestrial ecosystems and are intimately involved in ecosystem functions, we argue that"&amp;" microbial biodiversity loss should be taken into account when assessing the impact of land use change in tropical forests.")</f>
        <v>The Amazon rainforest is the Earth's largest reservoir of plant and animal diversity, and it has been subjected to especially high rates of land use change, primarily to cattle pasture. This conversion has had a strongly negative effect on biological diversity, reducing the number of plant and animal species and homogenizing communities. We report here that microbial biodiversity also responds strongly to conversion of the Amazon rainforest, but in a manner different from plants and animals. Local taxonomic and phylogenetic diversity of soil bacteria increases after conversion, but communities become more similar across space. This homogenization is driven by the loss of forest soil bacteria with restricted ranges (endemics) and results in a net loss of diversity. This study shows homogenization of microbial communities in response to human activities. Given that soil microbes represent the majority of biodiversity in terrestrial ecosystems and are intimately involved in ecosystem functions, we argue that microbial biodiversity loss should be taken into account when assessing the impact of land use change in tropical forests.</v>
      </c>
      <c r="C8" s="24" t="str">
        <f>IFERROR(__xludf.DUMMYFUNCTION("""COMPUTED_VALUE"""),"10.1073/pnas.1220608110")</f>
        <v>10.1073/pnas.1220608110</v>
      </c>
      <c r="D8" s="24" t="str">
        <f>IFERROR(__xludf.DUMMYFUNCTION("""COMPUTED_VALUE"""),"murphy et al")</f>
        <v>murphy et al</v>
      </c>
      <c r="E8" s="24" t="str">
        <f>IFERROR(__xludf.DUMMYFUNCTION("""COMPUTED_VALUE"""),"WOS:000313909100047")</f>
        <v>WOS:000313909100047</v>
      </c>
      <c r="F8" s="24" t="str">
        <f>IFERROR(__xludf.DUMMYFUNCTION("""COMPUTED_VALUE"""),"[""ELIGIBLE""]")</f>
        <v>["ELIGIBLE"]</v>
      </c>
    </row>
    <row r="9">
      <c r="A9" s="24" t="str">
        <f>IFERROR(__xludf.DUMMYFUNCTION("""COMPUTED_VALUE"""),"Fragmentation and alteration of seed dispersal processes: An initial evaluation of dung beetles, seed fate, and seedling diversity")</f>
        <v>Fragmentation and alteration of seed dispersal processes: An initial evaluation of dung beetles, seed fate, and seedling diversity</v>
      </c>
      <c r="B9" s="24" t="str">
        <f>IFERROR(__xludf.DUMMYFUNCTION("""COMPUTED_VALUE"""),"Given current accelerated trends of tropical land conversion, forest fragments are being incorporated into many conservation programs. For investing in fragments to be a viable conservation strategy, forest fragments must maintain their ecological integri"&amp;"ty over the long term. Based on fieldwork in 22 forest fragments in the crater lakes region of western Uganda and in the continuous forest of Kibale National Park, we examined (1) seed predation on experimentally dispersed seeds, (2) abundance and composi"&amp;"tion of the dung beetle community that may play a major role in removing seeds from sites of high seed predation, and (3) compared the fragments' seedling community composition to adult tree community composition and the seedling community in continuous f"&amp;"orest. First, the rate of seed removal at experimental stations was lower in forest fragments (85% remaining after 1 day) than at stations in the continuous forest (79% remaining) and the probability of stations being discovered by seed predators was lowe"&amp;"r in fragments (23%) than in the intact forest (41%). Second, there was a 62 percent decline in fragment dung beetle abundance. The magnitude of this decline varied among dung beetle guilds that process dung and seeds in different fashions. The abundance "&amp;"of large rollers that move large seeds away from sites of defecation did not differ, but medium and smaller rollers and burying beetles that process small and medium-sized seeds were less common in the fragments than in the intact forest. Finally, we comp"&amp;"ared the seedling community composition relative to adult tree community composition by identifying all adult trees in each fragment and by sampling the composition of the seedling community. We found some evidence to suggest that there was movement of se"&amp;"eds among forest fragments by large-bodied dispersers, particularly chimpanzees (Pan troglodytes) and hornbills (Ceratogymna subcylindricus).")</f>
        <v>Given current accelerated trends of tropical land conversion, forest fragments are being incorporated into many conservation programs. For investing in fragments to be a viable conservation strategy, forest fragments must maintain their ecological integrity over the long term. Based on fieldwork in 22 forest fragments in the crater lakes region of western Uganda and in the continuous forest of Kibale National Park, we examined (1) seed predation on experimentally dispersed seeds, (2) abundance and composition of the dung beetle community that may play a major role in removing seeds from sites of high seed predation, and (3) compared the fragments' seedling community composition to adult tree community composition and the seedling community in continuous forest. First, the rate of seed removal at experimental stations was lower in forest fragments (85% remaining after 1 day) than at stations in the continuous forest (79% remaining) and the probability of stations being discovered by seed predators was lower in fragments (23%) than in the intact forest (41%). Second, there was a 62 percent decline in fragment dung beetle abundance. The magnitude of this decline varied among dung beetle guilds that process dung and seeds in different fashions. The abundance of large rollers that move large seeds away from sites of defecation did not differ, but medium and smaller rollers and burying beetles that process small and medium-sized seeds were less common in the fragments than in the intact forest. Finally, we compared the seedling community composition relative to adult tree community composition by identifying all adult trees in each fragment and by sampling the composition of the seedling community. We found some evidence to suggest that there was movement of seeds among forest fragments by large-bodied dispersers, particularly chimpanzees (Pan troglodytes) and hornbills (Ceratogymna subcylindricus).</v>
      </c>
      <c r="C9" s="24" t="str">
        <f>IFERROR(__xludf.DUMMYFUNCTION("""COMPUTED_VALUE"""),"10.1646/02149")</f>
        <v>10.1646/02149</v>
      </c>
      <c r="D9" s="24" t="str">
        <f>IFERROR(__xludf.DUMMYFUNCTION("""COMPUTED_VALUE"""),"murphy et al")</f>
        <v>murphy et al</v>
      </c>
      <c r="E9" s="24" t="str">
        <f>IFERROR(__xludf.DUMMYFUNCTION("""COMPUTED_VALUE"""),"WOS:000186644700008")</f>
        <v>WOS:000186644700008</v>
      </c>
      <c r="F9" s="24" t="str">
        <f>IFERROR(__xludf.DUMMYFUNCTION("""COMPUTED_VALUE"""),"[""ELIGIBLE""]")</f>
        <v>["ELIGIBLE"]</v>
      </c>
    </row>
    <row r="10">
      <c r="A10" s="24" t="str">
        <f>IFERROR(__xludf.DUMMYFUNCTION("""COMPUTED_VALUE"""),"Effect of catchment urbanization on ant diversity in remnant riparian corridors")</f>
        <v>Effect of catchment urbanization on ant diversity in remnant riparian corridors</v>
      </c>
      <c r="B10" s="24" t="str">
        <f>IFERROR(__xludf.DUMMYFUNCTION("""COMPUTED_VALUE"""),"The conversion of rural land to residential use is occurring rapidly as the global trend of city expansion continues. The impact of this land use change on riparian biodiversity was investigated by examining ant communities from 12 remnant riparian corrid"&amp;"ors in northwest Sydney, Australia. Ants were sampled from rural and urban catchments using pitfall traps. Data on vegetation floristics, habitat structure and stream water quality were also collected. No significant differences in ant diversity metrics o"&amp;"r assemblage structure were found between urban and rural sites. Similarly, very few environmental variables revealed significant differences between land use types. One exception, however, was the percentage cover of exotic plants, which was related to a"&amp;"nt assemblage structure. Small-leaved and broad-leaved privet (Ligustrum spp.) were highly correlated with total weed cover. The results suggest that ants respond mostly to small-scale habitat characteristics, especially those related to the dominance of "&amp;"exotic plants. As all sites had experienced some level of human impact, it is possible that all the sites have already transgressed an ecological threshold due to the earlier catchment land use change from natural to agricultural use. This apparent sensit"&amp;"ivity may explain the failure to observe any significant differences between the urban and rural catchments examined in this study. It is recommended that managers looking to protect the integrity of riparian invertebrate communities should focus on addre"&amp;"ssing local habitat pressures in human-modified catchments. (C) 2012 Elsevier B.V. All rights reserved.")</f>
        <v>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v>
      </c>
      <c r="C10" s="24" t="str">
        <f>IFERROR(__xludf.DUMMYFUNCTION("""COMPUTED_VALUE"""),"10.1016/j.landurbplan.2012.11.005")</f>
        <v>10.1016/j.landurbplan.2012.11.005</v>
      </c>
      <c r="D10" s="24" t="str">
        <f>IFERROR(__xludf.DUMMYFUNCTION("""COMPUTED_VALUE"""),"murphy et al")</f>
        <v>murphy et al</v>
      </c>
      <c r="E10" s="24" t="str">
        <f>IFERROR(__xludf.DUMMYFUNCTION("""COMPUTED_VALUE"""),"WOS:000314189600016")</f>
        <v>WOS:000314189600016</v>
      </c>
      <c r="F10" s="24" t="str">
        <f>IFERROR(__xludf.DUMMYFUNCTION("""COMPUTED_VALUE"""),"[""ELIGIBLE""]")</f>
        <v>["ELIGIBLE"]</v>
      </c>
    </row>
    <row r="11">
      <c r="A11" s="24" t="str">
        <f>IFERROR(__xludf.DUMMYFUNCTION("""COMPUTED_VALUE"""),"Community structure and composition in response to climate change in a temperate steppe")</f>
        <v>Community structure and composition in response to climate change in a temperate steppe</v>
      </c>
      <c r="B11" s="24" t="str">
        <f>IFERROR(__xludf.DUMMYFUNCTION("""COMPUTED_VALUE"""),"Climate change would have profound influences on community structure and composition, and subsequently has impacts on ecosystem functioning and feedback to climate change. A field experiment with increased temperature and precipitation was conducted to ex"&amp;"amine effects of experimental warming, increased precipitation and their interactions on community structure and composition in a temperate steppe in northern China since April 2005. Increased precipitation significantly stimulated species richness and co"&amp;"verage of plant community. In contrast, experimental warming markedly reduced species richness of grasses and community coverage. Species richness was positively dependent upon soil moisture (SM) across all treatments and years. Redundancy analysis (RDA) "&amp;"illustrated that SM dominated the response of community composition to climate change at the individual level, suggesting indirect effects of climate change on plant community composition via altering water availability. In addition, species interaction a"&amp;"lso mediated the responses of functional group coverage to increased precipitation and temperature. Our observations revealed that both abiotic (soil water availability) and biotic (interspecific interactions) factors play important roles in regulating pl"&amp;"ant community structure and composition in response to climate change in the semiarid steppe. Therefore these factors should be incorporated in model predicting terrestrial vegetation dynamics under climate change.")</f>
        <v>Climate change would have profound influences on community structure and composition, and subsequently has impacts on ecosystem functioning and feedback to climate change. A field experiment with increased temperature and precipitation was conducted to examine effects of experimental warming, increased precipitation and their interactions on community structure and composition in a temperate steppe in northern China since April 2005. Increased precipitation significantly stimulated species richness and coverage of plant community. In contrast, experimental warming markedly reduced species richness of grasses and community coverage. Species richness was positively dependent upon soil moisture (SM) across all treatments and years. Redundancy analysis (RDA) illustrated that SM dominated the response of community composition to climate change at the individual level, suggesting indirect effects of climate change on plant community composition via altering water availability. In addition, species interaction also mediated the responses of functional group coverage to increased precipitation and temperature. Our observations revealed that both abiotic (soil water availability) and biotic (interspecific interactions) factors play important roles in regulating plant community structure and composition in response to climate change in the semiarid steppe. Therefore these factors should be incorporated in model predicting terrestrial vegetation dynamics under climate change.</v>
      </c>
      <c r="C11" s="24" t="str">
        <f>IFERROR(__xludf.DUMMYFUNCTION("""COMPUTED_VALUE"""),"10.1111/j.1365-2486.2010.02253.x")</f>
        <v>10.1111/j.1365-2486.2010.02253.x</v>
      </c>
      <c r="D11" s="24" t="str">
        <f>IFERROR(__xludf.DUMMYFUNCTION("""COMPUTED_VALUE"""),"murphy et al")</f>
        <v>murphy et al</v>
      </c>
      <c r="E11" s="24" t="str">
        <f>IFERROR(__xludf.DUMMYFUNCTION("""COMPUTED_VALUE"""),"WOS:000284851500037")</f>
        <v>WOS:000284851500037</v>
      </c>
      <c r="F11" s="24" t="str">
        <f>IFERROR(__xludf.DUMMYFUNCTION("""COMPUTED_VALUE"""),"[""ELIGIBLE""]")</f>
        <v>["ELIGIBLE"]</v>
      </c>
    </row>
    <row r="12">
      <c r="A12" s="24" t="str">
        <f>IFERROR(__xludf.DUMMYFUNCTION("""COMPUTED_VALUE"""),"Invasive alien goldenrods negatively affect grassland bird communities in Eastern Europe")</f>
        <v>Invasive alien goldenrods negatively affect grassland bird communities in Eastern Europe</v>
      </c>
      <c r="B12" s="24" t="str">
        <f>IFERROR(__xludf.DUMMYFUNCTION("""COMPUTED_VALUE"""),"Invasive alien plants constitute a major threat to local biodiversity. Moreover, their appearance often coincides with land use change. Many endangered groups of organisms suffer from habitat loss, which is often a consequence of the invasion of alien pla"&amp;"nts This paper examines how invasive alien goldenrods Solidago spp affect the richness of endangered grassland bird species and numbers of breeding pairs in abandoned meadows in southern Poland. Meadows invaded by goldenrods (n = 15) had lower bird spedes"&amp;" richness and a lower number of breeding pairs than meadows in which goldenrods were absent (n = 15) Two important factors positively influencing bird species richness were meadow area and shrub density (the latter only in meadows without goldenrods). Mor"&amp;"eover, both the index of potential food density (number of butterflies) and plant species richness were much lower in meadows invaded by goldenrods than in meadows without these plants Urgent action aimed at preventing the invasion of alien goldenrods in "&amp;"abandoned meadows is needed and such measures should involve regular mowing Our results also highlight the fact that land abandonment in Central and Eastern Europe is not necessarily as beneficial for biodiversity as it is commonly believed and it may eve"&amp;"n lead to a decrease in the populations of several bird species in the agricultural landscape. (C) 2009 Elsevier Ltd. All rights reserved.")</f>
        <v>Invasive alien plants constitute a major threat to local biodiversity. Moreover, their appearance often coincides with land use change. Many endangered groups of organisms suffer from habitat loss, which is often a consequence of the invasion of alien plants This paper examines how invasive alien goldenrods Solidago spp affect the richness of endangered grassland bird species and numbers of breeding pairs in abandoned meadows in southern Poland. Meadows invaded by goldenrods (n = 15) had lower bird spedes richness and a lower number of breeding pairs than meadows in which goldenrods were absent (n = 15) Two important factors positively influencing bird species richness were meadow area and shrub density (the latter only in meadows without goldenrods). Moreover, both the index of potential food density (number of butterflies) and plant species richness were much lower in meadows invaded by goldenrods than in meadows without these plants Urgent action aimed at preventing the invasion of alien goldenrods in abandoned meadows is needed and such measures should involve regular mowing Our results also highlight the fact that land abandonment in Central and Eastern Europe is not necessarily as beneficial for biodiversity as it is commonly believed and it may even lead to a decrease in the populations of several bird species in the agricultural landscape. (C) 2009 Elsevier Ltd. All rights reserved.</v>
      </c>
      <c r="C12" s="24" t="str">
        <f>IFERROR(__xludf.DUMMYFUNCTION("""COMPUTED_VALUE"""),"10.1016/j.biocon.2009.12.030")</f>
        <v>10.1016/j.biocon.2009.12.030</v>
      </c>
      <c r="D12" s="24" t="str">
        <f>IFERROR(__xludf.DUMMYFUNCTION("""COMPUTED_VALUE"""),"murphy et al")</f>
        <v>murphy et al</v>
      </c>
      <c r="E12" s="24" t="str">
        <f>IFERROR(__xludf.DUMMYFUNCTION("""COMPUTED_VALUE"""),"WOS:000276425400006")</f>
        <v>WOS:000276425400006</v>
      </c>
      <c r="F12" s="24" t="str">
        <f>IFERROR(__xludf.DUMMYFUNCTION("""COMPUTED_VALUE"""),"[""ELIGIBLE""]")</f>
        <v>["ELIGIBLE"]</v>
      </c>
    </row>
    <row r="13">
      <c r="A13" s="24" t="str">
        <f>IFERROR(__xludf.DUMMYFUNCTION("""COMPUTED_VALUE"""),"The effects of land-use change on arthropod richness and abundance on Santa Maria Island (Azores): unmanaged plantations favour endemic beetles")</f>
        <v>The effects of land-use change on arthropod richness and abundance on Santa Maria Island (Azores): unmanaged plantations favour endemic beetles</v>
      </c>
      <c r="B13" s="24" t="str">
        <f>IFERROR(__xludf.DUMMYFUNCTION("""COMPUTED_VALUE"""),"We study how endemic, native and introduced arthropod species richness, abundance, diversity and community composition vary between four different habitat types (native forest, exotic forest of Cryptomeria japonica, semi-natural pasture and intensive past"&amp;"ure) and how arthropod richness and abundance change with increasing distance from the native forest in adjacent habitat types in Santa Maria Island, the Azores. Arthropods were sampled in four 150 m long transects in each habitat type. Arthropods were id"&amp;"entified to species level and classified as Azorean endemic, single-island endemic (SIE), native, or introduced. The native forest had the highest values for species richness of Azorean endemics, SIEs and natives; and also had highest values of Azorean en"&amp;"demic diversity (Fisher's alpha). In contrast, the intensive pasture had the lowest values for endemic and native species richness and diversity, but the highest values of total arthropod abundance and introduced species richness and diversity. Arthropod "&amp;"community composition was significantly different between the four habitat types. In the semi-natural pasture, the number of SIE species decreased with increasing distance from the native forest, and in the exotic forest the abundance of both Azorean ende"&amp;"mics and SIEs decreased with increasing distance from the native forest. There is a gradient of decreasing arthropod richness and abundance from the native forest to the intensive pasture. Although this study demonstrates the important role of the native "&amp;"forest in arthropod conservation in the Azores, it also shows that unmanaged exotic forests have provided alternative habitat suitable for some native species of forest specialist arthropods, particularly saproxylic beetles.")</f>
        <v>We study how endemic, native and introduced arthropod species richness, abundance, diversity and community composition vary between four different habitat types (native forest, exotic forest of Cryptomeria japonica, semi-natural pasture and intensive pasture) and how arthropod richness and abundance change with increasing distance from the native forest in adjacent habitat types in Santa Maria Island, the Azores. Arthropods were sampled in four 150 m long transects in each habitat type. Arthropods were identified to species level and classified as Azorean endemic, single-island endemic (SIE), native, or introduced. The native forest had the highest values for species richness of Azorean endemics, SIEs and natives; and also had highest values of Azorean endemic diversity (Fisher's alpha). In contrast, the intensive pasture had the lowest values for endemic and native species richness and diversity, but the highest values of total arthropod abundance and introduced species richness and diversity. Arthropod community composition was significantly different between the four habitat types. In the semi-natural pasture, the number of SIE species decreased with increasing distance from the native forest, and in the exotic forest the abundance of both Azorean endemics and SIEs decreased with increasing distance from the native forest. There is a gradient of decreasing arthropod richness and abundance from the native forest to the intensive pasture. Although this study demonstrates the important role of the native forest in arthropod conservation in the Azores, it also shows that unmanaged exotic forests have provided alternative habitat suitable for some native species of forest specialist arthropods, particularly saproxylic beetles.</v>
      </c>
      <c r="C13" s="24" t="str">
        <f>IFERROR(__xludf.DUMMYFUNCTION("""COMPUTED_VALUE"""),"10.1007/s10841-010-9330-2")</f>
        <v>10.1007/s10841-010-9330-2</v>
      </c>
      <c r="D13" s="24" t="str">
        <f>IFERROR(__xludf.DUMMYFUNCTION("""COMPUTED_VALUE"""),"murphy et al")</f>
        <v>murphy et al</v>
      </c>
      <c r="E13" s="24" t="str">
        <f>IFERROR(__xludf.DUMMYFUNCTION("""COMPUTED_VALUE"""),"WOS:000294460300002")</f>
        <v>WOS:000294460300002</v>
      </c>
      <c r="F13" s="24" t="str">
        <f>IFERROR(__xludf.DUMMYFUNCTION("""COMPUTED_VALUE"""),"[""ELIGIBLE""]")</f>
        <v>["ELIGIBLE"]</v>
      </c>
    </row>
    <row r="14">
      <c r="A14" s="24" t="str">
        <f>IFERROR(__xludf.DUMMYFUNCTION("""COMPUTED_VALUE"""),"Responses of primary productivity to increased temperature and phytoplankton diversity")</f>
        <v>Responses of primary productivity to increased temperature and phytoplankton diversity</v>
      </c>
      <c r="B14" s="24" t="str">
        <f>IFERROR(__xludf.DUMMYFUNCTION("""COMPUTED_VALUE"""),"In order to examine the effects of warming and diversity changes on primary productivity, we conducted a meta-analysis on six independent indoor mesocosm experiments with a natural plankton community from the Baltic Sea. Temperature effects on primary pro"&amp;"ductivity changed with light intensity and zooplankton density and analysed pathways between temperature, diversity and productivity, elucidating direct and indirect effects of warming on primary productivity during the spring phytoplankton bloom. Our fin"&amp;"dings indicate that warming directly increased carbon specific primary productivity, which was more pronounced under low grazing pressure. On the other hand, primary productivity per unit water volume did not respond to increased temperature, because of a"&amp;" negative temperature effect on phytoplankton biomass. Moreover, primary productivity response to temperature changes depended on light limitation. Using path analysis, we tested whether temperature effects were direct or mediated by warming effects on ph"&amp;"ytoplankton diversity. Although phytoplankton species richness had a positive impact on both net primary productivity and carbon specific primary productivity - and evenness had a negative effect on net primary productivity both richness and evenness were"&amp;" not affected by temperature. Thus, we suggest that diversity effects on primary productivity depended mainly on other factors than temperature like grazing, sinking or nutrient limitation, which themselves are temperature dependent. (C) 2011 Elsevier B.V"&amp;". All rights reserved.")</f>
        <v>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v>
      </c>
      <c r="C14" s="24" t="str">
        <f>IFERROR(__xludf.DUMMYFUNCTION("""COMPUTED_VALUE"""),"10.1016/j.seares.2011.10.003")</f>
        <v>10.1016/j.seares.2011.10.003</v>
      </c>
      <c r="D14" s="24" t="str">
        <f>IFERROR(__xludf.DUMMYFUNCTION("""COMPUTED_VALUE"""),"murphy et al")</f>
        <v>murphy et al</v>
      </c>
      <c r="E14" s="24" t="str">
        <f>IFERROR(__xludf.DUMMYFUNCTION("""COMPUTED_VALUE"""),"WOS:000307687500011")</f>
        <v>WOS:000307687500011</v>
      </c>
      <c r="F14" s="24" t="str">
        <f>IFERROR(__xludf.DUMMYFUNCTION("""COMPUTED_VALUE"""),"[""ELIGIBLE""]")</f>
        <v>["ELIGIBLE"]</v>
      </c>
    </row>
    <row r="15">
      <c r="A15" s="24" t="str">
        <f>IFERROR(__xludf.DUMMYFUNCTION("""COMPUTED_VALUE"""),"Dung beetle assemblages in primary forest and disturbed habitats in a tropical dry forest landscape in Western Mexico")</f>
        <v>Dung beetle assemblages in primary forest and disturbed habitats in a tropical dry forest landscape in Western Mexico</v>
      </c>
      <c r="B15" s="24" t="str">
        <f>IFERROR(__xludf.DUMMYFUNCTION("""COMPUTED_VALUE"""),"Dung beetles (Scarabaeinae) are conspicuous components in most terrestrial ecosystems, performing important ecological functions and services. Being sensitive to several types of disturbance, they have been successfully used as indicators of habitat chang"&amp;"e. Dung beetle communities in tropical rainforests have been well studied, but considerably less information is available for tropical dry forests. In this study I sampled dung beetles in two undisturbed habitats, deciduous forest and semideciduous forest"&amp;", and two disturbed habitats, secondary forest and open area habitat, in the Chamela-Cuixmala region of western Mexico. Dung beetle species with high indicator value for each habitat were identified. Beetle abundance, observed species richness and estimat"&amp;"ed species richness were similar in the three forest habitats, but significantly lower in the open area habitat. A more detailed analysis of species-specific abundances in the three forest habitats revealed some differences. Transects of one of the undist"&amp;"urbed habitats, the deciduous forest, were more similar to the non-adjacent transects of disturbed secondary forest, than to the adjacent undisturbed semideciduous forest transects. Unlike studies in other tropical sites that have found a decrease in equi"&amp;"tability in Scarabaeinae assemblages between undisturbed forest and disturbed habitat (particularly open habitats), in the Chamela-Cuixmala region all four habitats showed similar low equitability in community structure, with two or three very dominant sp"&amp;"ecies.")</f>
        <v>Dung beetles (Scarabaeinae) are conspicuous components in most terrestrial ecosystems, performing important ecological functions and services. Being sensitive to several types of disturbance, they have been successfully used as indicators of habitat change. Dung beetle communities in tropical rainforests have been well studied, but considerably less information is available for tropical dry forests. In this study I sampled dung beetles in two undisturbed habitats, deciduous forest and semideciduous forest, and two disturbed habitats, secondary forest and open area habitat, in the Chamela-Cuixmala region of western Mexico. Dung beetle species with high indicator value for each habitat were identified. Beetle abundance, observed species richness and estimated species richness were similar in the three forest habitats, but significantly lower in the open area habitat. A more detailed analysis of species-specific abundances in the three forest habitats revealed some differences. Transects of one of the undisturbed habitats, the deciduous forest, were more similar to the non-adjacent transects of disturbed secondary forest, than to the adjacent undisturbed semideciduous forest transects. Unlike studies in other tropical sites that have found a decrease in equitability in Scarabaeinae assemblages between undisturbed forest and disturbed habitat (particularly open habitats), in the Chamela-Cuixmala region all four habitats showed similar low equitability in community structure, with two or three very dominant species.</v>
      </c>
      <c r="C15" s="24" t="str">
        <f>IFERROR(__xludf.DUMMYFUNCTION("""COMPUTED_VALUE"""),"10.1007/s10841-007-9100-y")</f>
        <v>10.1007/s10841-007-9100-y</v>
      </c>
      <c r="D15" s="24" t="str">
        <f>IFERROR(__xludf.DUMMYFUNCTION("""COMPUTED_VALUE"""),"murphy et al")</f>
        <v>murphy et al</v>
      </c>
      <c r="E15" s="24" t="str">
        <f>IFERROR(__xludf.DUMMYFUNCTION("""COMPUTED_VALUE"""),"WOS:000259671900006")</f>
        <v>WOS:000259671900006</v>
      </c>
      <c r="F15" s="24" t="str">
        <f>IFERROR(__xludf.DUMMYFUNCTION("""COMPUTED_VALUE"""),"[""ELIGIBLE""]")</f>
        <v>["ELIGIBLE"]</v>
      </c>
    </row>
    <row r="16">
      <c r="A16" s="24" t="str">
        <f>IFERROR(__xludf.DUMMYFUNCTION("""COMPUTED_VALUE"""),"Traits explain community disassembly and trophic contraction following experimental environmental change")</f>
        <v>Traits explain community disassembly and trophic contraction following experimental environmental change</v>
      </c>
      <c r="B16" s="24" t="str">
        <f>IFERROR(__xludf.DUMMYFUNCTION("""COMPUTED_VALUE"""),"Many ecosystems are currently undergoing dramatic changes in biodiversity due to habitat loss and climate change. Responses to global change at the community level are poorly understood, as are the impacts of community disassembly on ecosystem-level proce"&amp;"sses. Uncertainties remain regarding the patterns of extirpation and persistence under single vs. multiple forms of environmental change. Here, we use a trait-based and food web approach to examine the effects of experimentally changing moisture, temperat"&amp;"ure and habitat openness on a functionally important group of microarthropods associated with a boreal forest floor bryosphere (detrital moss) system. Overall, the outcome of community disassembly was mediated by the correlation between our environmental "&amp;"factors and species traits, particularly body size. Minor increases in summer temperatures maintained greater species richness, whereas drought stress had a significant negative effect on community-level abundance and richness. These effects were reflecte"&amp;"d in modifications to the community-wide body-size spectra. Habitat openness alleviated biodiversity loss in the larger-bodied species of the most abundant taxonomic group, but did not fully mitigate the effects of drought. The most striking result of thi"&amp;"s experiment was an overall contraction of the food web among persistent species under drought stress (i.e. those not extirpated by environmental change). These results suggest that major changes in boreal microarthropod community structure are likely to "&amp;"occur in response to common forms of global change. Moreover, the contraction in trophic structure even amongst tolerant species suggests that ecosystem function within the bryosphere can be altered by environmental change.")</f>
        <v>Many ecosystems are currently undergoing dramatic changes in biodiversity due to habitat loss and climate change. Responses to global change at the community level are poorly understood, as are the impacts of community disassembly on ecosystem-level processes. Uncertainties remain regarding the patterns of extirpation and persistence under single vs. multiple forms of environmental change. Here, we use a trait-based and food web approach to examine the effects of experimentally changing moisture, temperature and habitat openness on a functionally important group of microarthropods associated with a boreal forest floor bryosphere (detrital moss) system. Overall, the outcome of community disassembly was mediated by the correlation between our environmental factors and species traits, particularly body size. Minor increases in summer temperatures maintained greater species richness, whereas drought stress had a significant negative effect on community-level abundance and richness. These effects were reflected in modifications to the community-wide body-size spectra. Habitat openness alleviated biodiversity loss in the larger-bodied species of the most abundant taxonomic group, but did not fully mitigate the effects of drought. The most striking result of this experiment was an overall contraction of the food web among persistent species under drought stress (i.e. those not extirpated by environmental change). These results suggest that major changes in boreal microarthropod community structure are likely to occur in response to common forms of global change. Moreover, the contraction in trophic structure even amongst tolerant species suggests that ecosystem function within the bryosphere can be altered by environmental change.</v>
      </c>
      <c r="C16" s="24" t="str">
        <f>IFERROR(__xludf.DUMMYFUNCTION("""COMPUTED_VALUE"""),"10.1111/j.1365-2486.2012.02725.x")</f>
        <v>10.1111/j.1365-2486.2012.02725.x</v>
      </c>
      <c r="D16" s="24" t="str">
        <f>IFERROR(__xludf.DUMMYFUNCTION("""COMPUTED_VALUE"""),"murphy et al")</f>
        <v>murphy et al</v>
      </c>
      <c r="E16" s="24" t="str">
        <f>IFERROR(__xludf.DUMMYFUNCTION("""COMPUTED_VALUE"""),"WOS:000306228300007")</f>
        <v>WOS:000306228300007</v>
      </c>
      <c r="F16" s="24" t="str">
        <f>IFERROR(__xludf.DUMMYFUNCTION("""COMPUTED_VALUE"""),"[""ELIGIBLE""]")</f>
        <v>["ELIGIBLE"]</v>
      </c>
    </row>
    <row r="17">
      <c r="A17" s="24" t="str">
        <f>IFERROR(__xludf.DUMMYFUNCTION("""COMPUTED_VALUE"""),"Gardening in the desert changes bee communities and pollination network characteristics")</f>
        <v>Gardening in the desert changes bee communities and pollination network characteristics</v>
      </c>
      <c r="B17" s="24" t="str">
        <f>IFERROR(__xludf.DUMMYFUNCTION("""COMPUTED_VALUE"""),"Conversion of natural habitats to human settlements creates an alternative habitat with different bio-physical characteristics such as micro-climatic conditions and resource availability. Deserts are especially sensitive to such effects due to generally l"&amp;"ow nutrient levels and water availability. Gardens in human settlements in the desert are often a main source of alien plant species that provide ample foraging resources year round. These changes in floral composition and availability may alter pollinato"&amp;"r community composition and foraging behaviour, as well as pollination network characteristics. We investigated the effects of desert gardening on pollinator communities and pollination networks in the Jordan Rift Valley (Israel), an arid agro-natural lan"&amp;"dscape south of the Dead Sea. We studied seasonal diversity patterns of plants and wild bees in natural habitats and in gardens in settlements. Wild bees and blooming plants were sampled from February to July in 2007 and in 2008. We constructed plant poll"&amp;"inator networks and compared bee communities between the two habitat types along the season. We found that bee abundance was greater in the gardens, and that rarefied bee species richness was greater in the natural habitat. Bee species richness and abunda"&amp;"nce exhibited contrasting seasonal patterns between habitats. Bee community composition also differed greatly between habitats, and species in the gardens had a generally wider geographical range in comparison to species in the natural habitat. We also fo"&amp;"und a higher level of generalisation of the pollination network in the gardens compared to the natural habitat, which may indicate a response to a disturbed and unstable environment. We conclude that gardening in deserts although promoting overall bee abu"&amp;"ndance, negatively affects species richness and changes community composition and network characteristics, with possible implications on the composition of native flora in the natural habitat surrounding the gardens.")</f>
        <v>Conversion of natural habitats to human settlements creates an alternative habitat with different bio-physical characteristics such as micro-climatic conditions and resource availability. Deserts are especially sensitive to such effects due to generally low nutrient levels and water availability. Gardens in human settlements in the desert are often a main source of alien plant species that provide ample foraging resources year round. These changes in floral composition and availability may alter pollinator community composition and foraging behaviour, as well as pollination network characteristics. We investigated the effects of desert gardening on pollinator communities and pollination networks in the Jordan Rift Valley (Israel), an arid agro-natural landscape south of the Dead Sea. We studied seasonal diversity patterns of plants and wild bees in natural habitats and in gardens in settlements. Wild bees and blooming plants were sampled from February to July in 2007 and in 2008. We constructed plant pollinator networks and compared bee communities between the two habitat types along the season. We found that bee abundance was greater in the gardens, and that rarefied bee species richness was greater in the natural habitat. Bee species richness and abundance exhibited contrasting seasonal patterns between habitats. Bee community composition also differed greatly between habitats, and species in the gardens had a generally wider geographical range in comparison to species in the natural habitat. We also found a higher level of generalisation of the pollination network in the gardens compared to the natural habitat, which may indicate a response to a disturbed and unstable environment. We conclude that gardening in deserts although promoting overall bee abundance, negatively affects species richness and changes community composition and network characteristics, with possible implications on the composition of native flora in the natural habitat surrounding the gardens.</v>
      </c>
      <c r="C17" s="24" t="str">
        <f>IFERROR(__xludf.DUMMYFUNCTION("""COMPUTED_VALUE"""),"10.1016/j.baae.2010.12.003")</f>
        <v>10.1016/j.baae.2010.12.003</v>
      </c>
      <c r="D17" s="24" t="str">
        <f>IFERROR(__xludf.DUMMYFUNCTION("""COMPUTED_VALUE"""),"murphy et al")</f>
        <v>murphy et al</v>
      </c>
      <c r="E17" s="24" t="str">
        <f>IFERROR(__xludf.DUMMYFUNCTION("""COMPUTED_VALUE"""),"WOS:000293312600005")</f>
        <v>WOS:000293312600005</v>
      </c>
      <c r="F17" s="24" t="str">
        <f>IFERROR(__xludf.DUMMYFUNCTION("""COMPUTED_VALUE"""),"[""ELIGIBLE""]")</f>
        <v>["ELIGIBLE"]</v>
      </c>
    </row>
    <row r="18">
      <c r="A18" s="24" t="str">
        <f>IFERROR(__xludf.DUMMYFUNCTION("""COMPUTED_VALUE"""),"Contrasting effects of habitat loss and fragmentation on coral-associated reef fishes")</f>
        <v>Contrasting effects of habitat loss and fragmentation on coral-associated reef fishes</v>
      </c>
      <c r="B18" s="24" t="str">
        <f>IFERROR(__xludf.DUMMYFUNCTION("""COMPUTED_VALUE"""),"Disturbance can result in the fragmentation and/or loss of suitable habitat, both of which can have important consequences for survival, species interactions, and resulting patterns of local diversity. However, effects of habitat loss and fragmentation ar"&amp;"e typically confounded during disturbance events, and previous attempts to determine their relative significance have proved ineffective. Here we experimentally manipulated live coral habitats to examine the potential independent and interactive effects o"&amp;"f habitat loss and fragmentation on survival, abundance, and species richness of recruitment-stage, coral-associated reef fishes. Loss of 75% of live coral from experimental reefs resulted in low survival of a coral-associated damselfish and low abundance"&amp;" and richness of other recruits 16 weeks after habitat manipulations. In contrast, fragmentation had positive effects on damselfish survival and resulted in greater abundance and species richness of other recruits. We hypothesize that spacing of habitat t"&amp;"hrough fragmentation weakens competition within and among species. Comparison of effect sizes over the course of the study period revealed that, in the first six weeks following habitat manipulations, the positive effects of fragmentation were at least fo"&amp;"ur times stronger than the effects of habitat loss. This initial positive effect of fragmentation attenuated considerably after 16 weeks, whereas the negative effects of habitat loss increased in strength over time. There was little indication that the am"&amp;"ount of habitat influenced the magnitude of the habitat fragmentation effect. Numerous studies have reported dramatic declines in coral reef fish abundance and diversity in response to disturbances that cause the loss and fragmentation of coral habitats. "&amp;"Our results suggest that these declines occur as a result of habitat loss, not habitat fragmentation. Positive fragmentation effects may actually buffer against the negative effects of habitat loss and contribute to the resistance of reef fish populations"&amp;" to declines in coral cover.")</f>
        <v>Disturbance can result in the fragmentation and/or loss of suitable habitat, both of which can have important consequences for survival, species interactions, and resulting patterns of local diversity. However, effects of habitat loss and fragmentation are typically confounded during disturbance events, and previous attempts to determine their relative significance have proved ineffective. Here we experimentally manipulated live coral habitats to examine the potential independent and interactive effects of habitat loss and fragmentation on survival, abundance, and species richness of recruitment-stage, coral-associated reef fishes. Loss of 75% of live coral from experimental reefs resulted in low survival of a coral-associated damselfish and low abundance and richness of other recruits 16 weeks after habitat manipulations. In contrast, fragmentation had positive effects on damselfish survival and resulted in greater abundance and species richness of other recruits. We hypothesize that spacing of habitat through fragmentation weakens competition within and among species. Comparison of effect sizes over the course of the study period revealed that, in the first six weeks following habitat manipulations, the positive effects of fragmentation were at least four times stronger than the effects of habitat loss. This initial positive effect of fragmentation attenuated considerably after 16 weeks, whereas the negative effects of habitat loss increased in strength over time. There was little indication that the amount of habitat influenced the magnitude of the habitat fragmentation effect. Numerous studies have reported dramatic declines in coral reef fish abundance and diversity in response to disturbances that cause the loss and fragmentation of coral habitats. Our results suggest that these declines occur as a result of habitat loss, not habitat fragmentation. Positive fragmentation effects may actually buffer against the negative effects of habitat loss and contribute to the resistance of reef fish populations to declines in coral cover.</v>
      </c>
      <c r="C18" s="24" t="str">
        <f>IFERROR(__xludf.DUMMYFUNCTION("""COMPUTED_VALUE"""),"10.1890/10-0627.1")</f>
        <v>10.1890/10-0627.1</v>
      </c>
      <c r="D18" s="24" t="str">
        <f>IFERROR(__xludf.DUMMYFUNCTION("""COMPUTED_VALUE"""),"murphy et al")</f>
        <v>murphy et al</v>
      </c>
      <c r="E18" s="24" t="str">
        <f>IFERROR(__xludf.DUMMYFUNCTION("""COMPUTED_VALUE"""),"WOS:000292814300014")</f>
        <v>WOS:000292814300014</v>
      </c>
      <c r="F18" s="24" t="str">
        <f>IFERROR(__xludf.DUMMYFUNCTION("""COMPUTED_VALUE"""),"[""ELIGIBLE""]")</f>
        <v>["ELIGIBLE"]</v>
      </c>
    </row>
    <row r="19">
      <c r="A19" s="24" t="str">
        <f>IFERROR(__xludf.DUMMYFUNCTION("""COMPUTED_VALUE"""),"Multiple Stressors in Agricultural Streams: A Mesocosm Study of Interactions among Raised Water Temperature, Sediment Addition and Nutrient Enrichment")</f>
        <v>Multiple Stressors in Agricultural Streams: A Mesocosm Study of Interactions among Raised Water Temperature, Sediment Addition and Nutrient Enrichment</v>
      </c>
      <c r="B19" s="24" t="str">
        <f>IFERROR(__xludf.DUMMYFUNCTION("""COMPUTED_VALUE"""),"Changes to land use affect streams through nutrient enrichment, increased inputs of sediment and, where riparian vegetation has been removed, raised water temperature. We manipulated all three stressors in experimental streamside channels for 30 days and "&amp;"determined the individual and pair-wise combined effects on benthic invertebrate and algal communities and on leaf decay, a measure of ecosystem functioning. We added nutrients (phosphorus+nitrogen; high, intermediate, natural) and/or sediment (grain size"&amp;" 0.2 mm; high, intermediate, natural) to 18 channels supplied with water from a nearby stream. Temperature was increased by 1.4 degrees C in half the channels, simulating the loss of upstream and adjacent riparian shade. Sediment affected 93% of all biolo"&amp;"gical response variables (either as an individual effect or via an interaction with another stressor) generally in a negative manner, while nutrient enrichment affected 59% (mostly positive) and raised temperature 59% (mostly positive). More of the algal "&amp;"components of the community responded to stressors acting individually than did invertebrate components, whereas pair-wise stressor interactions were more common in the invertebrate community. Stressors interacted often and in a complex manner, with inter"&amp;"actions between sediment and temperature most common. Thus, the negative impact of high sediment on taxon richness of both algae and invertebrates was stronger at raised temperature, further reducing biodiversity. In addition, the decay rate of leaf mater"&amp;"ial (strength loss) accelerated with nutrient enrichment at ambient but not at raised temperature. A key implication of our findings for resource managers is that the removal of riparian shading from streams already subjected to high sediment inputs, or l"&amp;"and-use changes that increase erosion or nutrient runoff in a landscape without riparian buffers, may have unexpected effects on stream health. We highlight the likely importance of intact or restored buffer strips, both in reducing sediment input and in "&amp;"maintaining cooler water temperatures.")</f>
        <v>Changes to land use affect streams through nutrient enrichment, increased inputs of sediment and, where riparian vegetation has been removed, raised water temperature. We manipulated all three stressors in experimental streamside channels for 30 days and determined the individual and pair-wise combined effects on benthic invertebrate and algal communities and on leaf decay, a measure of ecosystem functioning. We added nutrients (phosphorus+nitrogen; high, intermediate, natural) and/or sediment (grain size 0.2 mm; high, intermediate, natural) to 18 channels supplied with water from a nearby stream. Temperature was increased by 1.4 degrees C in half the channels, simulating the loss of upstream and adjacent riparian shade. Sediment affected 93% of all biological response variables (either as an individual effect or via an interaction with another stressor) generally in a negative manner, while nutrient enrichment affected 59% (mostly positive) and raised temperature 59% (mostly positive). More of the algal components of the community responded to stressors acting individually than did invertebrate components, whereas pair-wise stressor interactions were more common in the invertebrate community. Stressors interacted often and in a complex manner, with interactions between sediment and temperature most common. Thus, the negative impact of high sediment on taxon richness of both algae and invertebrates was stronger at raised temperature, further reducing biodiversity. In addition, the decay rate of leaf material (strength loss) accelerated with nutrient enrichment at ambient but not at raised temperature. A key implication of our findings for resource managers is that the removal of riparian shading from streams already subjected to high sediment inputs, or land-use changes that increase erosion or nutrient runoff in a landscape without riparian buffers, may have unexpected effects on stream health. We highlight the likely importance of intact or restored buffer strips, both in reducing sediment input and in maintaining cooler water temperatures.</v>
      </c>
      <c r="C19" s="24" t="str">
        <f>IFERROR(__xludf.DUMMYFUNCTION("""COMPUTED_VALUE"""),"10.1371/journal.pone.0049873")</f>
        <v>10.1371/journal.pone.0049873</v>
      </c>
      <c r="D19" s="24" t="str">
        <f>IFERROR(__xludf.DUMMYFUNCTION("""COMPUTED_VALUE"""),"murphy et al")</f>
        <v>murphy et al</v>
      </c>
      <c r="E19" s="24" t="str">
        <f>IFERROR(__xludf.DUMMYFUNCTION("""COMPUTED_VALUE"""),"WOS:000311821000133")</f>
        <v>WOS:000311821000133</v>
      </c>
      <c r="F19" s="24" t="str">
        <f>IFERROR(__xludf.DUMMYFUNCTION("""COMPUTED_VALUE"""),"[""ELIGIBLE""]")</f>
        <v>["ELIGIBLE"]</v>
      </c>
    </row>
    <row r="20">
      <c r="A20" s="24" t="str">
        <f>IFERROR(__xludf.DUMMYFUNCTION("""COMPUTED_VALUE"""),"Experimental warming causes rapid loss of plant diversity in New England salt marshes")</f>
        <v>Experimental warming causes rapid loss of plant diversity in New England salt marshes</v>
      </c>
      <c r="B20" s="24" t="str">
        <f>IFERROR(__xludf.DUMMYFUNCTION("""COMPUTED_VALUE"""),"Anthropogenic climate change is predicted to cause widespread biodiversity loss due to shifts in species' distributions, but these predictions rarely incorporate ecological associations such as zonation. Here, we predict the decline of a diverse assemblag"&amp;"e of mid-latitude salt marsh plants, based on an ecosystem warming experiment. In New England salt marshes, a guild of halophytic forbs occupies stressful, waterlogged pannes. At three sites, experimental warming of &lt; 4 degrees C led to diversity declines"&amp;" in pannes and rapid takeover by a competitive dominant, Spartina patens. In Rhode Island, near their southern range limit, pannes were more sensitive to warming than farther north, and panne area also declined in control plots over the three-season exper"&amp;"iment. These results suggest that warming will rapidly reduce plant diversity in New England salt marshes by eliminating a high diversity zone. Biodiversity in zoned ecosystems may be more affected by climate-driven shifts in zonation than by individual s"&amp;"pecies' distribution shifts.")</f>
        <v>Anthropogenic climate change is predicted to cause widespread biodiversity loss due to shifts in species' distributions, but these predictions rarely incorporate ecological associations such as zonation. Here, we predict the decline of a diverse assemblage of mid-latitude salt marsh plants, based on an ecosystem warming experiment. In New England salt marshes, a guild of halophytic forbs occupies stressful, waterlogged pannes. At three sites, experimental warming of &lt; 4 degrees C led to diversity declines in pannes and rapid takeover by a competitive dominant, Spartina patens. In Rhode Island, near their southern range limit, pannes were more sensitive to warming than farther north, and panne area also declined in control plots over the three-season experiment. These results suggest that warming will rapidly reduce plant diversity in New England salt marshes by eliminating a high diversity zone. Biodiversity in zoned ecosystems may be more affected by climate-driven shifts in zonation than by individual species' distribution shifts.</v>
      </c>
      <c r="C20" s="24" t="str">
        <f>IFERROR(__xludf.DUMMYFUNCTION("""COMPUTED_VALUE"""),"10.1111/j.1461-0248.2009.01337.x")</f>
        <v>10.1111/j.1461-0248.2009.01337.x</v>
      </c>
      <c r="D20" s="24" t="str">
        <f>IFERROR(__xludf.DUMMYFUNCTION("""COMPUTED_VALUE"""),"murphy et al")</f>
        <v>murphy et al</v>
      </c>
      <c r="E20" s="24" t="str">
        <f>IFERROR(__xludf.DUMMYFUNCTION("""COMPUTED_VALUE"""),"WOS:000267660600013")</f>
        <v>WOS:000267660600013</v>
      </c>
      <c r="F20" s="24" t="str">
        <f>IFERROR(__xludf.DUMMYFUNCTION("""COMPUTED_VALUE"""),"[""ELIGIBLE""]")</f>
        <v>["ELIGIBLE"]</v>
      </c>
    </row>
    <row r="21">
      <c r="A21" s="24" t="str">
        <f>IFERROR(__xludf.DUMMYFUNCTION("""COMPUTED_VALUE"""),"Effect of simulated environmental change on alpine soil arthropods")</f>
        <v>Effect of simulated environmental change on alpine soil arthropods</v>
      </c>
      <c r="B21" s="24" t="str">
        <f>IFERROR(__xludf.DUMMYFUNCTION("""COMPUTED_VALUE"""),"The effects of environmental change on soil animal communities are poorly known. Norwegian mountains are subject to both atmospheric nitrogen deposition and increased temperature. In a nutrient poor alpine Dryas heath in south Norway, soil arthropods were"&amp;" studied after 4 years of simulated environmental change by warming and/or nutrient addition. Warming alone only affected three low-density Collembola species, while nutrient addition, with or without warming, greatly changed the dominance hierarchy of th"&amp;"e microarthropod community. Certain Collembola species with a short (1 year) life cycle and predatory Gamasina mites increased markedly in density. These groups may have been favored by increased litter production, as plant biomass and litter producing gr"&amp;"aminoids and forbs increased significantly in plots with nutrient addition and nutrient addition combined with warming. Microarthropods with a longer life cycle, such as Oribatida and certain Collembola, were generally unaffected by nutrient addition and "&amp;"probably need more time to respond. The number of Oribatida taxa was, however, reduced in plots with nutrient addition, both with and without warming. A ground-living species of Coccoidea (Homoptera) declined in plots with nutrient addition and warming co"&amp;"mpared with only warming, probably due to reduced cover of its host plant Dryas. The density of Diptera larvae (Sciaridae and Chironomidae) was unaffected by the treatments. Our results show that increased nutrient availability in nutrient poor alpine soi"&amp;"ls may have large but different effects on different taxa of soil animals. Species with short life cycles reacted first. Nutrient addition and nutrient addition combined with warming resulted in several effects below ground on microarthropods as previousl"&amp;"y shown above ground on plants: Increased biomass, high dominance of a few rapid-growing species, contrasting responses of closely related species, and a reduction in species numbers. These short-term responses may have profound long-term effects in this "&amp;"alpine ecosystem.")</f>
        <v>The effects of environmental change on soil animal communities are poorly known. Norwegian mountains are subject to both atmospheric nitrogen deposition and increased temperature. In a nutrient poor alpine Dryas heath in south Norway, soil arthropods were studied after 4 years of simulated environmental change by warming and/or nutrient addition. Warming alone only affected three low-density Collembola species, while nutrient addition, with or without warming, greatly changed the dominance hierarchy of the microarthropod community. Certain Collembola species with a short (1 year) life cycle and predatory Gamasina mites increased markedly in density. These groups may have been favored by increased litter production, as plant biomass and litter producing graminoids and forbs increased significantly in plots with nutrient addition and nutrient addition combined with warming. Microarthropods with a longer life cycle, such as Oribatida and certain Collembola, were generally unaffected by nutrient addition and probably need more time to respond. The number of Oribatida taxa was, however, reduced in plots with nutrient addition, both with and without warming. A ground-living species of Coccoidea (Homoptera) declined in plots with nutrient addition and warming compared with only warming, probably due to reduced cover of its host plant Dryas. The density of Diptera larvae (Sciaridae and Chironomidae) was unaffected by the treatments. Our results show that increased nutrient availability in nutrient poor alpine soils may have large but different effects on different taxa of soil animals. Species with short life cycles reacted first. Nutrient addition and nutrient addition combined with warming resulted in several effects below ground on microarthropods as previously shown above ground on plants: Increased biomass, high dominance of a few rapid-growing species, contrasting responses of closely related species, and a reduction in species numbers. These short-term responses may have profound long-term effects in this alpine ecosystem.</v>
      </c>
      <c r="C21" s="24" t="str">
        <f>IFERROR(__xludf.DUMMYFUNCTION("""COMPUTED_VALUE"""),"10.1111/j.1365-2486.2009.01926.x")</f>
        <v>10.1111/j.1365-2486.2009.01926.x</v>
      </c>
      <c r="D21" s="24" t="str">
        <f>IFERROR(__xludf.DUMMYFUNCTION("""COMPUTED_VALUE"""),"murphy et al")</f>
        <v>murphy et al</v>
      </c>
      <c r="E21" s="24" t="str">
        <f>IFERROR(__xludf.DUMMYFUNCTION("""COMPUTED_VALUE"""),"WOS:000271710300014")</f>
        <v>WOS:000271710300014</v>
      </c>
      <c r="F21" s="24" t="str">
        <f>IFERROR(__xludf.DUMMYFUNCTION("""COMPUTED_VALUE"""),"[""ELIGIBLE""]")</f>
        <v>["ELIGIBLE"]</v>
      </c>
    </row>
    <row r="22">
      <c r="A22" s="24" t="str">
        <f>IFERROR(__xludf.DUMMYFUNCTION("""COMPUTED_VALUE"""),"Macroinvertebrate diversity in fragmented Alpine streams: implications for freshwater conservation")</f>
        <v>Macroinvertebrate diversity in fragmented Alpine streams: implications for freshwater conservation</v>
      </c>
      <c r="B22" s="24" t="str">
        <f>IFERROR(__xludf.DUMMYFUNCTION("""COMPUTED_VALUE"""),"Lakes and reservoirs disrupt the longitudinal connectivity of streams, considerably affecting benthic macroinvertebrate assemblages and diversity. Changes in assemblage composition within fragments can result from habitat alteration and reduced dispersal "&amp;"between fragments. We investigated the effects of habitat fragmentation in 10 Alpine streams, examining 69 taxa of benthic macroinvertebrates from 22 sites in fragmented and freeflowing streams. Total taxon richness (alpha-diversity) ranged from 6 to 27 i"&amp;"n individual sites, and total richness was not significantly affected by fragmentation. However, Ephemeroptera and Diptera (excluding Simuliidae) richness was significantly reduced in stream fragments. Beta-diversity indicated a high degree of taxon turno"&amp;"ver among sites within streams, but was not significantly different between fragmented and unfragmented streams. Characterizing the biological, physiological, and ecological traits of Ephemeroptera showed that communities in reservoir-fragmented streams h"&amp;"ad a higher affinity for fine sediments, increased temperatures, and reduced current velocity. Taxon assemblages in fragments were not nested subsets of unfragmented site assemblages. Thus, species turnover and species replacement in fragments is common, "&amp;"suggesting that most taxa are able to freely disperse among fragments. We suggest that habitat alteration was the primary cause of changes in assemblage structure in these streams. Consequently, habitat-based conservation is likely to be successful in mai"&amp;"ntaining populations of all but the weakest dispersers.")</f>
        <v>Lakes and reservoirs disrupt the longitudinal connectivity of streams, considerably affecting benthic macroinvertebrate assemblages and diversity. Changes in assemblage composition within fragments can result from habitat alteration and reduced dispersal between fragments. We investigated the effects of habitat fragmentation in 10 Alpine streams, examining 69 taxa of benthic macroinvertebrates from 22 sites in fragmented and freeflowing streams. Total taxon richness (alpha-diversity) ranged from 6 to 27 in individual sites, and total richness was not significantly affected by fragmentation. However, Ephemeroptera and Diptera (excluding Simuliidae) richness was significantly reduced in stream fragments. Beta-diversity indicated a high degree of taxon turnover among sites within streams, but was not significantly different between fragmented and unfragmented streams. Characterizing the biological, physiological, and ecological traits of Ephemeroptera showed that communities in reservoir-fragmented streams had a higher affinity for fine sediments, increased temperatures, and reduced current velocity. Taxon assemblages in fragments were not nested subsets of unfragmented site assemblages. Thus, species turnover and species replacement in fragments is common, suggesting that most taxa are able to freely disperse among fragments. We suggest that habitat alteration was the primary cause of changes in assemblage structure in these streams. Consequently, habitat-based conservation is likely to be successful in maintaining populations of all but the weakest dispersers.</v>
      </c>
      <c r="C22" s="24" t="str">
        <f>IFERROR(__xludf.DUMMYFUNCTION("""COMPUTED_VALUE"""),"10.1007/s00027-005-0787-0")</f>
        <v>10.1007/s00027-005-0787-0</v>
      </c>
      <c r="D22" s="24" t="str">
        <f>IFERROR(__xludf.DUMMYFUNCTION("""COMPUTED_VALUE"""),"murphy et al")</f>
        <v>murphy et al</v>
      </c>
      <c r="E22" s="24" t="str">
        <f>IFERROR(__xludf.DUMMYFUNCTION("""COMPUTED_VALUE"""),"WOS:000233867700006")</f>
        <v>WOS:000233867700006</v>
      </c>
      <c r="F22" s="24" t="str">
        <f>IFERROR(__xludf.DUMMYFUNCTION("""COMPUTED_VALUE"""),"[""ELIGIBLE""]")</f>
        <v>["ELIGIBLE"]</v>
      </c>
    </row>
    <row r="23">
      <c r="A23" s="24" t="str">
        <f>IFERROR(__xludf.DUMMYFUNCTION("""COMPUTED_VALUE"""),"Impacts of a simulated heat wave on composition of a marine community")</f>
        <v>Impacts of a simulated heat wave on composition of a marine community</v>
      </c>
      <c r="B23" s="24" t="str">
        <f>IFERROR(__xludf.DUMMYFUNCTION("""COMPUTED_VALUE"""),"Extreme events, such as heat waves, are predicted to increase in frequency, duration, and severity as a consequence of climate change. However, global change research generally focuses on increases in mean temperatures and fails to address the potential i"&amp;"mpacts of increasingly severe heat waves. In addition, climate change may interact with another primary threat to biodiversity, non-native species invasions. We assessed the impacts of a short-term heat wave on the marine epibenthic fouling community of B"&amp;"odega Harbor, California, USA, by exposing experimental mesocosms to a simulated heat wave in the laboratory and then monitoring community development in the field. We hypothesized that (1) juveniles would be more susceptible to heat waves than adults, (2"&amp;") native species would be more susceptible than non-native species, and (3) non-native species would recover more quickly than native species. We observed no effect of the heat wave on juvenile species richness, either initially or during the recovery per"&amp;"iod, relative to communities at ambient seawater temperatures. In contrast, total adult species richness initially declined in response to the heat wave. Adult community composition also changed in heat-wave treatments, with non-natives representing the m"&amp;"ajority of species and occupying more cover than native species. The reduction in native richness associated with the heat wave persisted through the recovery period, whereas invasive richness was actually higher on heat-wave versus ambient plates at 95 d"&amp;"ays. Heat waves have the potential to alter the composition of this community because of species-, taxon-, and/or origin-specific responses; for example, non-native bryozoans displayed greater resistance than native and non-native tunicates. Recovery from"&amp;" the heat wave occurred via growth of resistant individuals and larval recruitment. Our study highlights the importance of considering species' and community responses to heat waves, and not just mean predicted temperature increases, to evaluate the conse"&amp;"quences of climate change.")</f>
        <v>Extreme events, such as heat waves, are predicted to increase in frequency, duration, and severity as a consequence of climate change. However, global change research generally focuses on increases in mean temperatures and fails to address the potential impacts of increasingly severe heat waves. In addition, climate change may interact with another primary threat to biodiversity, non-native species invasions. We assessed the impacts of a short-term heat wave on the marine epibenthic fouling community of Bodega Harbor, California, USA, by exposing experimental mesocosms to a simulated heat wave in the laboratory and then monitoring community development in the field. We hypothesized that (1) juveniles would be more susceptible to heat waves than adults, (2) native species would be more susceptible than non-native species, and (3) non-native species would recover more quickly than native species. We observed no effect of the heat wave on juvenile species richness, either initially or during the recovery period, relative to communities at ambient seawater temperatures. In contrast, total adult species richness initially declined in response to the heat wave. Adult community composition also changed in heat-wave treatments, with non-natives representing the majority of species and occupying more cover than native species. The reduction in native richness associated with the heat wave persisted through the recovery period, whereas invasive richness was actually higher on heat-wave versus ambient plates at 95 days. Heat waves have the potential to alter the composition of this community because of species-, taxon-, and/or origin-specific responses; for example, non-native bryozoans displayed greater resistance than native and non-native tunicates. Recovery from the heat wave occurred via growth of resistant individuals and larval recruitment. Our study highlights the importance of considering species' and community responses to heat waves, and not just mean predicted temperature increases, to evaluate the consequences of climate change.</v>
      </c>
      <c r="C23" s="24" t="str">
        <f>IFERROR(__xludf.DUMMYFUNCTION("""COMPUTED_VALUE"""),"10.1111/j.1600-0706.2010.18663.x")</f>
        <v>10.1111/j.1600-0706.2010.18663.x</v>
      </c>
      <c r="D23" s="24" t="str">
        <f>IFERROR(__xludf.DUMMYFUNCTION("""COMPUTED_VALUE"""),"murphy et al")</f>
        <v>murphy et al</v>
      </c>
      <c r="E23" s="24" t="str">
        <f>IFERROR(__xludf.DUMMYFUNCTION("""COMPUTED_VALUE"""),"WOS:000284371000007")</f>
        <v>WOS:000284371000007</v>
      </c>
      <c r="F23" s="24" t="str">
        <f>IFERROR(__xludf.DUMMYFUNCTION("""COMPUTED_VALUE"""),"[""ELIGIBLE""]")</f>
        <v>["ELIGIBLE"]</v>
      </c>
    </row>
    <row r="24">
      <c r="A24" s="24" t="str">
        <f>IFERROR(__xludf.DUMMYFUNCTION("""COMPUTED_VALUE"""),"Variable sensitivity of plant communities in Iceland to experimental warming")</f>
        <v>Variable sensitivity of plant communities in Iceland to experimental warming</v>
      </c>
      <c r="B24" s="24" t="str">
        <f>IFERROR(__xludf.DUMMYFUNCTION("""COMPUTED_VALUE"""),"Facing an increased threat of rapid climate change in cold-climate regions, it is important to understand the sensitivity of plant communities both in terms of degree and direction of community change. We studied responses to 3-5 years of moderate experim"&amp;"ental warming by open-top chambers in two widespread but contrasting tundra communities in Iceland. In a species-poor and nutrient-deficient moss heath, dominated by Racomitrium lanuginosum, mean daily air temperatures at surface were 1-2 degrees C higher"&amp;" in the warmed plots than the controls whereas soil temperatures tended to be lower in the warmed plots throughout the season. In a species-rich dwarf shrub heath on relatively rich soils at a cooler site, dominated by Betula nana and R. lanuginosum, temp"&amp;"erature changes were in the same direction although more moderate. In the moss heath, there were no detectable community changes while significant changes were detected in the dwarf shrub heath: the abundance of deciduous and evergreen dwarf shrubs signif"&amp;"icantly increased (&gt; 50%), bryophytes decreased (18%) and canopy height increased (100%). Contrary to some other studies of tundra communities, we detected no changes in species richness or other diversity measures in either community and the abundance of"&amp;" lichens did not change. It is concluded that the sensitivity of Icelandic tundra communities to climate warming varies greatly depending on initial conditions in terms of species diversity, dominant species, soil and climatic conditions as well as land-u"&amp;"se history.")</f>
        <v>Facing an increased threat of rapid climate change in cold-climate regions, it is important to understand the sensitivity of plant communities both in terms of degree and direction of community change. We studied responses to 3-5 years of moderate experimental warming by open-top chambers in two widespread but contrasting tundra communities in Iceland. In a species-poor and nutrient-deficient moss heath, dominated by Racomitrium lanuginosum, mean daily air temperatures at surface were 1-2 degrees C higher in the warmed plots than the controls whereas soil temperatures tended to be lower in the warmed plots throughout the season. In a species-rich dwarf shrub heath on relatively rich soils at a cooler site, dominated by Betula nana and R. lanuginosum, temperature changes were in the same direction although more moderate. In the moss heath, there were no detectable community changes while significant changes were detected in the dwarf shrub heath: the abundance of deciduous and evergreen dwarf shrubs significantly increased (&gt; 50%), bryophytes decreased (18%) and canopy height increased (100%). Contrary to some other studies of tundra communities, we detected no changes in species richness or other diversity measures in either community and the abundance of lichens did not change. It is concluded that the sensitivity of Icelandic tundra communities to climate warming varies greatly depending on initial conditions in terms of species diversity, dominant species, soil and climatic conditions as well as land-use history.</v>
      </c>
      <c r="C24" s="24" t="str">
        <f>IFERROR(__xludf.DUMMYFUNCTION("""COMPUTED_VALUE"""),"10.1111/j.1365-2486.2005.00928.x")</f>
        <v>10.1111/j.1365-2486.2005.00928.x</v>
      </c>
      <c r="D24" s="24" t="str">
        <f>IFERROR(__xludf.DUMMYFUNCTION("""COMPUTED_VALUE"""),"murphy et al")</f>
        <v>murphy et al</v>
      </c>
      <c r="E24" s="24" t="str">
        <f>IFERROR(__xludf.DUMMYFUNCTION("""COMPUTED_VALUE"""),"WOS:000228179500003")</f>
        <v>WOS:000228179500003</v>
      </c>
      <c r="F24" s="24" t="str">
        <f>IFERROR(__xludf.DUMMYFUNCTION("""COMPUTED_VALUE"""),"[""ELIGIBLE""]")</f>
        <v>["ELIGIBLE"]</v>
      </c>
    </row>
    <row r="25">
      <c r="A25" s="24" t="str">
        <f>IFERROR(__xludf.DUMMYFUNCTION("""COMPUTED_VALUE"""),"Sensitivity of three grassland communities to simulated extreme temperature and rainfall events")</f>
        <v>Sensitivity of three grassland communities to simulated extreme temperature and rainfall events</v>
      </c>
      <c r="B25" s="24" t="str">
        <f>IFERROR(__xludf.DUMMYFUNCTION("""COMPUTED_VALUE"""),"Three grassland communities in New Zealand with differing climates and proportions of C3 and C4 species were subjected to one-off extreme heating (eight hours at 52.5 degrees C) and rainfall (the equivalent of 100 mm) events. A novel experimental techniqu"&amp;"e using portable computer-controlled chambers simulated the extreme heating events. The productive, moist C3/C4 community was the most sensitive to the extreme events in terms of short-term community composition compared with a dry C3/C4 community or an e"&amp;"xclusively C3 community. An extreme heating event caused the greatest change to plant community species abundance by favouring the expansion of C4 species relative to C3 species, shifting C4 species abundance from 43% up to 84% at the productive, moist si"&amp;"te, This was observed both in the presence and absence of added water. In the absence of C4 species, heating reduced community productivity by over 60%. The short-term shifts in the abundance of C3 and C4 species in response to the single extreme climatic"&amp;" events did not have persistent effects on community structure or on soil nitrogen one year later. There was no consistent relationship between diversity and stability of biomass production of these plant communities, and species functional identity was t"&amp;"he most effective explanation for the observed shifts in biomass production. The presence of C4 species resulted in an increased stability of productivity after extreme climatic events, but resulted in greater overall. shifts in community composition. The"&amp;" presence of C4 species may buffer grassland community productivity against an increased frequency of extreme heating events associated with future global climate change.")</f>
        <v>Three grassland communities in New Zealand with differing climates and proportions of C3 and C4 species were subjected to one-off extreme heating (eight hours at 52.5 degrees C) and rainfall (the equivalent of 100 mm) events. A novel experimental technique using portable computer-controlled chambers simulated the extreme heating events. The productive, moist C3/C4 community was the most sensitive to the extreme events in terms of short-term community composition compared with a dry C3/C4 community or an exclusively C3 community. An extreme heating event caused the greatest change to plant community species abundance by favouring the expansion of C4 species relative to C3 species, shifting C4 species abundance from 43% up to 84% at the productive, moist site, This was observed both in the presence and absence of added water. In the absence of C4 species, heating reduced community productivity by over 60%. The short-term shifts in the abundance of C3 and C4 species in response to the single extreme climatic events did not have persistent effects on community structure or on soil nitrogen one year later. There was no consistent relationship between diversity and stability of biomass production of these plant communities, and species functional identity was the most effective explanation for the observed shifts in biomass production. The presence of C4 species resulted in an increased stability of productivity after extreme climatic events, but resulted in greater overall. shifts in community composition. The presence of C4 species may buffer grassland community productivity against an increased frequency of extreme heating events associated with future global climate change.</v>
      </c>
      <c r="C25" s="24" t="str">
        <f>IFERROR(__xludf.DUMMYFUNCTION("""COMPUTED_VALUE"""),"10.1046/j.1365-2486.2000.00344.x")</f>
        <v>10.1046/j.1365-2486.2000.00344.x</v>
      </c>
      <c r="D25" s="24" t="str">
        <f>IFERROR(__xludf.DUMMYFUNCTION("""COMPUTED_VALUE"""),"murphy et al")</f>
        <v>murphy et al</v>
      </c>
      <c r="E25" s="24" t="str">
        <f>IFERROR(__xludf.DUMMYFUNCTION("""COMPUTED_VALUE"""),"WOS:000088808000007")</f>
        <v>WOS:000088808000007</v>
      </c>
      <c r="F25" s="24" t="str">
        <f>IFERROR(__xludf.DUMMYFUNCTION("""COMPUTED_VALUE"""),"[""ELIGIBLE""]")</f>
        <v>["ELIGIBLE"]</v>
      </c>
    </row>
    <row r="26">
      <c r="A26" s="24" t="str">
        <f>IFERROR(__xludf.DUMMYFUNCTION("""COMPUTED_VALUE"""),"Elevated air temperature alters an old-field insect community in a multifactor climate change experiment")</f>
        <v>Elevated air temperature alters an old-field insect community in a multifactor climate change experiment</v>
      </c>
      <c r="B26" s="24" t="str">
        <f>IFERROR(__xludf.DUMMYFUNCTION("""COMPUTED_VALUE"""),"To address how multiple, interacting climate drivers may affect plant-insect community associations, we sampled insects that naturally colonized a constructed old-field plant community grown for over 2 years under simultaneous CO2, temperature, and water "&amp;"manipulation. Insects were sampled using a combination of sticky traps and vacuum sampling, identified to morphospecies and the insect community with respect to abundance, richness, and evenness quantified. Individuals were assigned to four broad feeding "&amp;"guilds in order to examine potential trophic level effects. Although there were occasional effects of CO2 and water treatment, the effects of warming on the insect community were large and consistent. Warming significantly increased Order Thysanoptera abu"&amp;"ndance and reduced overall morphospecies richness and evenness. Nonmetric multidimensional scaling found that only temperature affected insect community composition, while a Sorensen similarity index showed less correspondence in the insect community betw"&amp;"een temperature treatments compared with CO2 or soil water treatments. Within the herbivore guild, elevated temperature significantly reduced richness and evenness. Corresponding reductions of diversity measures at higher trophic levels (i.e. parasitoids)"&amp;", along with the finding that herbivore richness was a significant predictor of parasitoid richness, suggest trophic-level effects within the insect community. When the most abundant species were considered in temperature treatments, a small number of spe"&amp;"cies increased in abundance at elevated temperature, while others declined compared with ambient temperature. Effects of temperature in the dominant insects demonstrated that treatment effects were limited to a relatively small number of morphospecies. Ob"&amp;"served effects of elevated CO2 concentration on whole-community foliar N concentration did not result in any effect on herbivores, which are probably the most susceptible guild to changes in plant nutritional quality. These results demonstrate that climat"&amp;"ic warming may alter certain insect communities via effects on insect species most responsive to a higher temperature, contributing to a change in community structure.")</f>
        <v>To address how multiple, interacting climate drivers may affect plant-insect community associations, we sampled insects that naturally colonized a constructed old-field plant community grown for over 2 years under simultaneous CO2, temperature, and water manipulation. Insects were sampled using a combination of sticky traps and vacuum sampling, identified to morphospecies and the insect community with respect to abundance, richness, and evenness quantified. Individuals were assigned to four broad feeding guilds in order to examine potential trophic level effects. Although there were occasional effects of CO2 and water treatment, the effects of warming on the insect community were large and consistent. Warming significantly increased Order Thysanoptera abundance and reduced overall morphospecies richness and evenness. Nonmetric multidimensional scaling found that only temperature affected insect community composition, while a Sorensen similarity index showed less correspondence in the insect community between temperature treatments compared with CO2 or soil water treatments. Within the herbivore guild, elevated temperature significantly reduced richness and evenness. Corresponding reductions of diversity measures at higher trophic levels (i.e. parasitoids), along with the finding that herbivore richness was a significant predictor of parasitoid richness, suggest trophic-level effects within the insect community. When the most abundant species were considered in temperature treatments, a small number of species increased in abundance at elevated temperature, while others declined compared with ambient temperature. Effects of temperature in the dominant insects demonstrated that treatment effects were limited to a relatively small number of morphospecies. Observed effects of elevated CO2 concentration on whole-community foliar N concentration did not result in any effect on herbivores, which are probably the most susceptible guild to changes in plant nutritional quality. These results demonstrate that climatic warming may alter certain insect communities via effects on insect species most responsive to a higher temperature, contributing to a change in community structure.</v>
      </c>
      <c r="C26" s="24" t="str">
        <f>IFERROR(__xludf.DUMMYFUNCTION("""COMPUTED_VALUE"""),"10.1111/j.1365-2486.2008.01721.x")</f>
        <v>10.1111/j.1365-2486.2008.01721.x</v>
      </c>
      <c r="D26" s="24" t="str">
        <f>IFERROR(__xludf.DUMMYFUNCTION("""COMPUTED_VALUE"""),"murphy et al")</f>
        <v>murphy et al</v>
      </c>
      <c r="E26" s="24" t="str">
        <f>IFERROR(__xludf.DUMMYFUNCTION("""COMPUTED_VALUE"""),"WOS:000263752300013")</f>
        <v>WOS:000263752300013</v>
      </c>
      <c r="F26" s="24" t="str">
        <f>IFERROR(__xludf.DUMMYFUNCTION("""COMPUTED_VALUE"""),"[""ELIGIBLE""]")</f>
        <v>["ELIGIBLE"]</v>
      </c>
    </row>
    <row r="27">
      <c r="A27" s="24" t="str">
        <f>IFERROR(__xludf.DUMMYFUNCTION("""COMPUTED_VALUE"""),"Seagrass habitat disturbance:: how loss and fragmentation of eelgrass Zostera marina influences epifaunal abundance and diversity")</f>
        <v>Seagrass habitat disturbance:: how loss and fragmentation of eelgrass Zostera marina influences epifaunal abundance and diversity</v>
      </c>
      <c r="B27" s="24" t="str">
        <f>IFERROR(__xludf.DUMMYFUNCTION("""COMPUTED_VALUE"""),"Seagrass habitats commonly display evidence of anthropogenic disturbances such as propeller scars, mooring and anchor damage, trampling, and plant harvesting. These physical disturbances may lead to habitat loss and fragmentation, yet effects of this habi"&amp;"tat removal on seagrass epifaunal communities are not well understood. We investigated how the degree of eelgrass Zostera marina L. loss influenced the abundance, diversity, and community composition of epifauna within experimental seagrass plots in San D"&amp;"iego Bay, California, USA. We established replicate small (4 m(2)) and large (16 m(2)) plots within existing eelgrass habitat, and removed all aboveground and belowground plant material within randomly chosen cells to establish 4 to 6 levels of eelgrass c"&amp;"learing. We then sampled for epifauna up to 8 wk after eelgrass harvesting. We found no correlations between seagrass loss and epifaunal species richness, total epifaunal density or epifaunal diversity in small plots. In large plots, however, plots with 9"&amp;"0% habitat removal had significantly lower epifaunal species richness and total epifaunal density than plots with 0, 10 or 50% habitat removal, suggesting that beyond a threshold level of eelgrass disturbance, species richness and abundance rapidly declin"&amp;"e. Multivariate ordinations revealed that the 90% removal plots also had significantly different species composition than plots with less habitat loss. Our results support previous theoretical models predicting threshold levels of habitat loss for faunal "&amp;"communities and broaden our understanding of the response of marine epifauna to seagrass habitat degradation.")</f>
        <v>Seagrass habitats commonly display evidence of anthropogenic disturbances such as propeller scars, mooring and anchor damage, trampling, and plant harvesting. These physical disturbances may lead to habitat loss and fragmentation, yet effects of this habitat removal on seagrass epifaunal communities are not well understood. We investigated how the degree of eelgrass Zostera marina L. loss influenced the abundance, diversity, and community composition of epifauna within experimental seagrass plots in San Diego Bay, California, USA. We established replicate small (4 m(2)) and large (16 m(2)) plots within existing eelgrass habitat, and removed all aboveground and belowground plant material within randomly chosen cells to establish 4 to 6 levels of eelgrass clearing. We then sampled for epifauna up to 8 wk after eelgrass harvesting. We found no correlations between seagrass loss and epifaunal species richness, total epifaunal density or epifaunal diversity in small plots. In large plots, however, plots with 90% habitat removal had significantly lower epifaunal species richness and total epifaunal density than plots with 0, 10 or 50% habitat removal, suggesting that beyond a threshold level of eelgrass disturbance, species richness and abundance rapidly decline. Multivariate ordinations revealed that the 90% removal plots also had significantly different species composition than plots with less habitat loss. Our results support previous theoretical models predicting threshold levels of habitat loss for faunal communities and broaden our understanding of the response of marine epifauna to seagrass habitat degradation.</v>
      </c>
      <c r="C27" s="24" t="str">
        <f>IFERROR(__xludf.DUMMYFUNCTION("""COMPUTED_VALUE"""),"10.3354/meps326133")</f>
        <v>10.3354/meps326133</v>
      </c>
      <c r="D27" s="24" t="str">
        <f>IFERROR(__xludf.DUMMYFUNCTION("""COMPUTED_VALUE"""),"murphy et al")</f>
        <v>murphy et al</v>
      </c>
      <c r="E27" s="24" t="str">
        <f>IFERROR(__xludf.DUMMYFUNCTION("""COMPUTED_VALUE"""),"WOS:000243104300011")</f>
        <v>WOS:000243104300011</v>
      </c>
      <c r="F27" s="24" t="str">
        <f>IFERROR(__xludf.DUMMYFUNCTION("""COMPUTED_VALUE"""),"[""ELIGIBLE""]")</f>
        <v>["ELIGIBLE"]</v>
      </c>
    </row>
    <row r="28">
      <c r="A28" s="24" t="str">
        <f>IFERROR(__xludf.DUMMYFUNCTION("""COMPUTED_VALUE"""),"Experimental drought and warming decrease diversity and slow down post-fire succession in a Mediterranean shrubland")</f>
        <v>Experimental drought and warming decrease diversity and slow down post-fire succession in a Mediterranean shrubland</v>
      </c>
      <c r="B28" s="24" t="str">
        <f>IFERROR(__xludf.DUMMYFUNCTION("""COMPUTED_VALUE"""),"Plant community recovery (species richness, diversity and composition) of a post-fire Mediterranean shrubland was monitored over a seven year period (1998-2005) under experimental drought and warming that simulated the environmental conditions forecast fo"&amp;"r this area in the coming decades. Species richness and Shannon's index were positively correlated with accumulated precipitation in the growing season and both variables were negatively affected by reduced water availability in drought plots. The relativ"&amp;"e abundance of the different species in both treatments was linearly correlated with their relative abundance in control plots. Moreover, we found species-specific responses to treatments. Drought and warming treatment reduced the competitive ability of t"&amp;"he obligate seeder tree Pinus halepensis against native resprouter shrubs and consequently, the transformation from shrub to pine tree dominated vegetation was slowed down. Conversely, the water use strategy of Globularia alypum may allow this species to "&amp;"maintain a dominant position in drought plots. Therefore, future drier and warmer conditions in Mediterranean areas may severely affect plant community recovery after a disturbance, due to the existence of both abundance-dependent and species-specific res"&amp;"ponses that may change inter-specific competitive relationships.")</f>
        <v>Plant community recovery (species richness, diversity and composition) of a post-fire Mediterranean shrubland was monitored over a seven year period (1998-2005) under experimental drought and warming that simulated the environmental conditions forecast for this area in the coming decades. Species richness and Shannon's index were positively correlated with accumulated precipitation in the growing season and both variables were negatively affected by reduced water availability in drought plots. The relative abundance of the different species in both treatments was linearly correlated with their relative abundance in control plots. Moreover, we found species-specific responses to treatments. Drought and warming treatment reduced the competitive ability of the obligate seeder tree Pinus halepensis against native resprouter shrubs and consequently, the transformation from shrub to pine tree dominated vegetation was slowed down. Conversely, the water use strategy of Globularia alypum may allow this species to maintain a dominant position in drought plots. Therefore, future drier and warmer conditions in Mediterranean areas may severely affect plant community recovery after a disturbance, due to the existence of both abundance-dependent and species-specific responses that may change inter-specific competitive relationships.</v>
      </c>
      <c r="C28" s="24" t="str">
        <f>IFERROR(__xludf.DUMMYFUNCTION("""COMPUTED_VALUE"""),"10.1111/j.1600-0587.2009.05738.x")</f>
        <v>10.1111/j.1600-0587.2009.05738.x</v>
      </c>
      <c r="D28" s="24" t="str">
        <f>IFERROR(__xludf.DUMMYFUNCTION("""COMPUTED_VALUE"""),"murphy et al")</f>
        <v>murphy et al</v>
      </c>
      <c r="E28" s="24" t="str">
        <f>IFERROR(__xludf.DUMMYFUNCTION("""COMPUTED_VALUE"""),"WOS:000269700700007")</f>
        <v>WOS:000269700700007</v>
      </c>
      <c r="F28" s="24" t="str">
        <f>IFERROR(__xludf.DUMMYFUNCTION("""COMPUTED_VALUE"""),"[""ELIGIBLE""]")</f>
        <v>["ELIGIBLE"]</v>
      </c>
    </row>
    <row r="29">
      <c r="A29" s="24" t="str">
        <f>IFERROR(__xludf.DUMMYFUNCTION("""COMPUTED_VALUE"""),"Temperature mediates competitive exclusion and diversity in benthic microalgae under different N:P stoichiometry")</f>
        <v>Temperature mediates competitive exclusion and diversity in benthic microalgae under different N:P stoichiometry</v>
      </c>
      <c r="B29" s="24" t="str">
        <f>IFERROR(__xludf.DUMMYFUNCTION("""COMPUTED_VALUE"""),"The dependence of competitive interactions on abiotic conditions is attracting increasing interest in the face of globally rising temperatures and altered biogeochemical cycles of major nutrients. In a microcosm experiment involving a natural inoculum of "&amp;"benthic microalgae, temperature and nutrient supply ratios were manipulated in order to test three main hypotheses: (1) temperature and nutrient supply ratios determine species composition and diversity of the assemblage, (2) the identity of the dominatin"&amp;"g species depends on nutrient supply and temperature, and (3) higher temperature leads to faster competitive exclusion and thus more rapid decline in species richness. Over a period of 7 weeks, algal biomass reached an equilibrium carrying capacity, with "&amp;"was higher at colder temperatures and intermediate N:P supply ratios (N:P = 16). Initial growth rate increased with temperature and under high P-supply. Species richness in the stationary phase of the experiment decreased with increasing temperature, refl"&amp;"ecting a higher extinction rate in the warmer treatments, which were also characterized by higher dominance of single species. Thus, increasing temperature both altered the identity of the dominating species and accelerated competitive displacement. This "&amp;"experiment thus indicates that warming might influence outcome and temporal dynamics in species interactions, and thereby eventually local diversity.")</f>
        <v>The dependence of competitive interactions on abiotic conditions is attracting increasing interest in the face of globally rising temperatures and altered biogeochemical cycles of major nutrients. In a microcosm experiment involving a natural inoculum of benthic microalgae, temperature and nutrient supply ratios were manipulated in order to test three main hypotheses: (1) temperature and nutrient supply ratios determine species composition and diversity of the assemblage, (2) the identity of the dominating species depends on nutrient supply and temperature, and (3) higher temperature leads to faster competitive exclusion and thus more rapid decline in species richness. Over a period of 7 weeks, algal biomass reached an equilibrium carrying capacity, with was higher at colder temperatures and intermediate N:P supply ratios (N:P = 16). Initial growth rate increased with temperature and under high P-supply. Species richness in the stationary phase of the experiment decreased with increasing temperature, reflecting a higher extinction rate in the warmer treatments, which were also characterized by higher dominance of single species. Thus, increasing temperature both altered the identity of the dominating species and accelerated competitive displacement. This experiment thus indicates that warming might influence outcome and temporal dynamics in species interactions, and thereby eventually local diversity.</v>
      </c>
      <c r="C29" s="24" t="str">
        <f>IFERROR(__xludf.DUMMYFUNCTION("""COMPUTED_VALUE"""),"10.1007/s11284-011-0810-y")</f>
        <v>10.1007/s11284-011-0810-y</v>
      </c>
      <c r="D29" s="24" t="str">
        <f>IFERROR(__xludf.DUMMYFUNCTION("""COMPUTED_VALUE"""),"murphy et al")</f>
        <v>murphy et al</v>
      </c>
      <c r="E29" s="24" t="str">
        <f>IFERROR(__xludf.DUMMYFUNCTION("""COMPUTED_VALUE"""),"WOS:000290538900007")</f>
        <v>WOS:000290538900007</v>
      </c>
      <c r="F29" s="24" t="str">
        <f>IFERROR(__xludf.DUMMYFUNCTION("""COMPUTED_VALUE"""),"[""ELIGIBLE""]")</f>
        <v>["ELIGIBLE"]</v>
      </c>
    </row>
    <row r="30">
      <c r="A30" s="24" t="str">
        <f>IFERROR(__xludf.DUMMYFUNCTION("""COMPUTED_VALUE"""),"Experimental evidence of reduced diversity of seedlings due to climate modification in a Mediterranean-type community")</f>
        <v>Experimental evidence of reduced diversity of seedlings due to climate modification in a Mediterranean-type community</v>
      </c>
      <c r="B30" s="24" t="str">
        <f>IFERROR(__xludf.DUMMYFUNCTION("""COMPUTED_VALUE"""),"We are still lacking in experimental evidence of the effects of climate change on the richness of plant species under field conditions. We report a decrease in the species richness of recruited seedlings in a Mediterranean shrubland in experimentally indu"&amp;"ced drought and warming over 4 consecutive years. Drought decreased the number of emerging seedlings and their respective species richness. Warming also decreased seedling species richness, but it did not affect the number of emerging seedlings. Species t"&amp;"hat produce fewer recruits are more likely to disappear in drier or warmer scenarios. However, when the effect of induced climate treatment was greatest, the more abundant species in control stands were not necessarily the ones least affected by treatment"&amp;"; in other words, species-idiosyncratic responses may occur. These results show that demographic processes are sensitive to minor climate changes, with probable consequences on the diversity and structure of the future plant communities.")</f>
        <v>We are still lacking in experimental evidence of the effects of climate change on the richness of plant species under field conditions. We report a decrease in the species richness of recruited seedlings in a Mediterranean shrubland in experimentally induced drought and warming over 4 consecutive years. Drought decreased the number of emerging seedlings and their respective species richness. Warming also decreased seedling species richness, but it did not affect the number of emerging seedlings. Species that produce fewer recruits are more likely to disappear in drier or warmer scenarios. However, when the effect of induced climate treatment was greatest, the more abundant species in control stands were not necessarily the ones least affected by treatment; in other words, species-idiosyncratic responses may occur. These results show that demographic processes are sensitive to minor climate changes, with probable consequences on the diversity and structure of the future plant communities.</v>
      </c>
      <c r="C30" s="24" t="str">
        <f>IFERROR(__xludf.DUMMYFUNCTION("""COMPUTED_VALUE"""),"10.1111/j.1365-2486.2004.00725.x")</f>
        <v>10.1111/j.1365-2486.2004.00725.x</v>
      </c>
      <c r="D30" s="24" t="str">
        <f>IFERROR(__xludf.DUMMYFUNCTION("""COMPUTED_VALUE"""),"murphy et al")</f>
        <v>murphy et al</v>
      </c>
      <c r="E30" s="24" t="str">
        <f>IFERROR(__xludf.DUMMYFUNCTION("""COMPUTED_VALUE"""),"WOS:000189025600010")</f>
        <v>WOS:000189025600010</v>
      </c>
      <c r="F30" s="24" t="str">
        <f>IFERROR(__xludf.DUMMYFUNCTION("""COMPUTED_VALUE"""),"[""ELIGIBLE""]")</f>
        <v>["ELIGIBLE"]</v>
      </c>
    </row>
    <row r="31">
      <c r="A31" s="24" t="str">
        <f>IFERROR(__xludf.DUMMYFUNCTION("""COMPUTED_VALUE"""),"Seasonal Exposure to Drought and Air Warming Affects Soil Collembola and Mites")</f>
        <v>Seasonal Exposure to Drought and Air Warming Affects Soil Collembola and Mites</v>
      </c>
      <c r="B31" s="24" t="str">
        <f>IFERROR(__xludf.DUMMYFUNCTION("""COMPUTED_VALUE"""),"Global environmental changes affect not only the aboveground but also the belowground components of ecosystems. The effects of seasonal drought and air warming on the genus level richness of Collembola, and on the abundance and biomass of the community of"&amp;" Collembola and mites were studied in an acidic and a calcareous forest soil in a model oak-ecosystem experiment (the Querco experiment) at the Swiss Federal Research Institute WSL in Birmensdorf. The experiment included four climate treatments: control, "&amp;"drought with a 60% reduction in rainfall, air warming with a seasonal temperature increase of 1.4 degrees C, and air warming + drought. Soil water content was greatly reduced by drought. Soil surface temperature was slightly increased by both the air warm"&amp;"ing and the drought treatment. Soil mesofauna samples were taken at the end of the first experimental year. Drought was found to increase the abundance of the microarthropod fauna, but reduce the biomass of the community. The percentage of small mites (bo"&amp;"dy length &lt;= 0.20 mm) increased, but the percentage of large mites (body length &gt;0.40 mm) decreased under drought. Air warming had only minor effects on the fauna. All climate treatments significantly reduced the richness of Collembola and the biomass of "&amp;"Collembola and mites in acidic soil, but not in calcareous soil. Drought appeared to have a negative impact on soil microarthropod fauna, but the effects of climate change on soil fauna may vary with the soil type.")</f>
        <v>Global environmental changes affect not only the aboveground but also the belowground components of ecosystems. The effects of seasonal drought and air warming on the genus level richness of Collembola, and on the abundance and biomass of the community of Collembola and mites were studied in an acidic and a calcareous forest soil in a model oak-ecosystem experiment (the Querco experiment) at the Swiss Federal Research Institute WSL in Birmensdorf. The experiment included four climate treatments: control, drought with a 60% reduction in rainfall, air warming with a seasonal temperature increase of 1.4 degrees C, and air warming + drought. Soil water content was greatly reduced by drought. Soil surface temperature was slightly increased by both the air warming and the drought treatment. Soil mesofauna samples were taken at the end of the first experimental year. Drought was found to increase the abundance of the microarthropod fauna, but reduce the biomass of the community. The percentage of small mites (body length &lt;= 0.20 mm) increased, but the percentage of large mites (body length &gt;0.40 mm) decreased under drought. Air warming had only minor effects on the fauna. All climate treatments significantly reduced the richness of Collembola and the biomass of Collembola and mites in acidic soil, but not in calcareous soil. Drought appeared to have a negative impact on soil microarthropod fauna, but the effects of climate change on soil fauna may vary with the soil type.</v>
      </c>
      <c r="C31" s="24" t="str">
        <f>IFERROR(__xludf.DUMMYFUNCTION("""COMPUTED_VALUE"""),"10.1371/journal.pone.0043102")</f>
        <v>10.1371/journal.pone.0043102</v>
      </c>
      <c r="D31" s="24" t="str">
        <f>IFERROR(__xludf.DUMMYFUNCTION("""COMPUTED_VALUE"""),"murphy et al")</f>
        <v>murphy et al</v>
      </c>
      <c r="E31" s="24" t="str">
        <f>IFERROR(__xludf.DUMMYFUNCTION("""COMPUTED_VALUE"""),"WOS:000307823600048")</f>
        <v>WOS:000307823600048</v>
      </c>
      <c r="F31" s="24" t="str">
        <f>IFERROR(__xludf.DUMMYFUNCTION("""COMPUTED_VALUE"""),"[""ELIGIBLE""]")</f>
        <v>["ELIGIBLE"]</v>
      </c>
    </row>
    <row r="32">
      <c r="A32" s="24" t="str">
        <f>IFERROR(__xludf.DUMMYFUNCTION("""COMPUTED_VALUE"""),"Effects of long-term nutrient fertilisation and irrigation on the microarthropod community in a boreal Norway spruce stand")</f>
        <v>Effects of long-term nutrient fertilisation and irrigation on the microarthropod community in a boreal Norway spruce stand</v>
      </c>
      <c r="B32" s="24" t="str">
        <f>IFERROR(__xludf.DUMMYFUNCTION("""COMPUTED_VALUE"""),"Intensive nutrient fertilisation of forests has been suggested as a method to increase production of biofuels as a replacement for fossil fuels. We used a field experiment in a Norway spruce, Picea abies (L.) Karst., stand in northern Sweden to examine po"&amp;"ssible long-term effects of forest fertilisation on soil fauna (Oribatida, Mesostigmata, Collembola, predatory macroarthropods). Fertilisers had been applied annually for a period of 13 years, both in solid and liquid form, and N was added as ammonium nit"&amp;"rate (75-100 kg N ha(-1) per year). For comparison, control plots and plots receiving only irrigation were included. An autumn sampling showed soil fauna decreases in Plots receiving fertiliser in solid form, but increases in plots receiving liquid fertil"&amp;"iser. Clear shifts in community composition following both fertilisation methods were seen in Oribatida and Collembola, but species number and diversity were not significantly affected. This was probably due to increases in tolerant species that balanced "&amp;"decreases in other species. Liquid fertilisation had less negative effects on many species than fertilisation in solid form. Irrigation alone did not affect faunal abundances and had no effect on community composition of Oribatida and Collembola. The stud"&amp;"y indicates that intensive forest fertilisation will cause large shifts in soil microarthropod communities, but that species richness may remain unaffected. The risk of species loss will probably depend upon the size of the areas used for this purpose. (C"&amp;") 2003 Elsevier B.V. All rights reserved.")</f>
        <v>Intensive nutrient fertilisation of forests has been suggested as a method to increase production of biofuels as a replacement for fossil fuels. We used a field experiment in a Norway spruce, Picea abies (L.) Karst., stand in northern Sweden to examine possible long-term effects of forest fertilisation on soil fauna (Oribatida, Mesostigmata, Collembola, predatory macroarthropods). Fertilisers had been applied annually for a period of 13 years, both in solid and liquid form, and N was added as ammonium nitrate (75-100 kg N ha(-1) per year). For comparison, control plots and plots receiving only irrigation were included. An autumn sampling showed soil fauna decreases in Plots receiving fertiliser in solid form, but increases in plots receiving liquid fertiliser. Clear shifts in community composition following both fertilisation methods were seen in Oribatida and Collembola, but species number and diversity were not significantly affected. This was probably due to increases in tolerant species that balanced decreases in other species. Liquid fertilisation had less negative effects on many species than fertilisation in solid form. Irrigation alone did not affect faunal abundances and had no effect on community composition of Oribatida and Collembola. The study indicates that intensive forest fertilisation will cause large shifts in soil microarthropod communities, but that species richness may remain unaffected. The risk of species loss will probably depend upon the size of the areas used for this purpose. (C) 2003 Elsevier B.V. All rights reserved.</v>
      </c>
      <c r="C32" s="24" t="str">
        <f>IFERROR(__xludf.DUMMYFUNCTION("""COMPUTED_VALUE"""),"10.1016/j.foreco.2003.07.012")</f>
        <v>10.1016/j.foreco.2003.07.012</v>
      </c>
      <c r="D32" s="24" t="str">
        <f>IFERROR(__xludf.DUMMYFUNCTION("""COMPUTED_VALUE"""),"murphy et al")</f>
        <v>murphy et al</v>
      </c>
      <c r="E32" s="24" t="str">
        <f>IFERROR(__xludf.DUMMYFUNCTION("""COMPUTED_VALUE"""),"WOS:000188294900011")</f>
        <v>WOS:000188294900011</v>
      </c>
      <c r="F32" s="24" t="str">
        <f>IFERROR(__xludf.DUMMYFUNCTION("""COMPUTED_VALUE"""),"[""ELIGIBLE""]")</f>
        <v>["ELIGIBLE"]</v>
      </c>
    </row>
    <row r="33">
      <c r="A33" s="24" t="str">
        <f>IFERROR(__xludf.DUMMYFUNCTION("""COMPUTED_VALUE"""),"Plant diversity and insect herbivores: effects of environmental change in contrasting model systems")</f>
        <v>Plant diversity and insect herbivores: effects of environmental change in contrasting model systems</v>
      </c>
      <c r="B33" s="24" t="str">
        <f>IFERROR(__xludf.DUMMYFUNCTION("""COMPUTED_VALUE"""),"There is increasing concern over the potential impact of anthropogenic factors (e.g. increasing nutrient inputs, global climate change) on the rate of loss of diversity in ecosystems. Such losses may affect ecosystem processes. In addition, a change in di"&amp;"versity of one group of organisms may influence the diversity of species of the next trophic level. We examined the extent to which plant species richness influences that of insect herbivores in two systems: a long-term field experiment on heather moorlan"&amp;"d and a model community in the Ecotron controlled environment facility. We examined the response of these two plant communities to environmental change, specifically increased levels of nutrients, grazing and atmospheric CO2. We measured the indirect effe"&amp;"cts of changes in these factors on insect herbivores, both above- and below-ground. In the moorland system, grazing was the largest influence on plant community structure. The community was dominated by one species, Calluna vnlgaris, and loss of cover und"&amp;"er heavy grazing allowed competing species to invade. However, grazing regime was not a major influence on the species richness of the insect herbivore community. Site was more important: there were a greater number of Hemiptera species on sites with more"&amp;" mineral soils than on peat sites, possibly because a greater variety of grass and herb species was present on the former sites. In the Ecotron, below-ground factors were also important drivers of community change: elevated CO, increased carbon availabili"&amp;"ty in the soil and there were simultaneous changes in the community composition of soil biota. Above-ground., some plant species increased in abundance and others decreased, leading to interaction-specific effects on the insect herbivores. In two very dif"&amp;"ferent studies of the effects of environmental change on the interactions between plants and their herbivores, several similar conclusions can be drawn: (1) effects are likely to be site- and interaction-specific; (2) outcomes are likely to be strongly de"&amp;"pendent on the initial state and the dominant species of the plant community; and (3) indirect effects, often mediated by below-ground factors, may have a bigger influence on insect-plant interactions than more direct effects of above-ground factors.")</f>
        <v>There is increasing concern over the potential impact of anthropogenic factors (e.g. increasing nutrient inputs, global climate change) on the rate of loss of diversity in ecosystems. Such losses may affect ecosystem processes. In addition, a change in diversity of one group of organisms may influence the diversity of species of the next trophic level. We examined the extent to which plant species richness influences that of insect herbivores in two systems: a long-term field experiment on heather moorland and a model community in the Ecotron controlled environment facility. We examined the response of these two plant communities to environmental change, specifically increased levels of nutrients, grazing and atmospheric CO2. We measured the indirect effects of changes in these factors on insect herbivores, both above- and below-ground. In the moorland system, grazing was the largest influence on plant community structure. The community was dominated by one species, Calluna vnlgaris, and loss of cover under heavy grazing allowed competing species to invade. However, grazing regime was not a major influence on the species richness of the insect herbivore community. Site was more important: there were a greater number of Hemiptera species on sites with more mineral soils than on peat sites, possibly because a greater variety of grass and herb species was present on the former sites. In the Ecotron, below-ground factors were also important drivers of community change: elevated CO, increased carbon availability in the soil and there were simultaneous changes in the community composition of soil biota. Above-ground., some plant species increased in abundance and others decreased, leading to interaction-specific effects on the insect herbivores. In two very different studies of the effects of environmental change on the interactions between plants and their herbivores, several similar conclusions can be drawn: (1) effects are likely to be site- and interaction-specific; (2) outcomes are likely to be strongly dependent on the initial state and the dominant species of the plant community; and (3) indirect effects, often mediated by below-ground factors, may have a bigger influence on insect-plant interactions than more direct effects of above-ground factors.</v>
      </c>
      <c r="C33" s="24" t="str">
        <f>IFERROR(__xludf.DUMMYFUNCTION("""COMPUTED_VALUE"""),"10.1034/j.1600-0706.2003.12566.x")</f>
        <v>10.1034/j.1600-0706.2003.12566.x</v>
      </c>
      <c r="D33" s="24" t="str">
        <f>IFERROR(__xludf.DUMMYFUNCTION("""COMPUTED_VALUE"""),"murphy et al")</f>
        <v>murphy et al</v>
      </c>
      <c r="E33" s="24" t="str">
        <f>IFERROR(__xludf.DUMMYFUNCTION("""COMPUTED_VALUE"""),"WOS:000182106600002")</f>
        <v>WOS:000182106600002</v>
      </c>
      <c r="F33" s="24" t="str">
        <f>IFERROR(__xludf.DUMMYFUNCTION("""COMPUTED_VALUE"""),"[""ELIGIBLE""]")</f>
        <v>["ELIGIBLE"]</v>
      </c>
    </row>
    <row r="34">
      <c r="A34" s="24" t="str">
        <f>IFERROR(__xludf.DUMMYFUNCTION("""COMPUTED_VALUE"""),"Responses of a subarctic dwarf shrub heath community to simulated environmental change")</f>
        <v>Responses of a subarctic dwarf shrub heath community to simulated environmental change</v>
      </c>
      <c r="B34" s="24" t="str">
        <f>IFERROR(__xludf.DUMMYFUNCTION("""COMPUTED_VALUE"""),"1 A dwarf shrub heath in subarctic Sweden was subjected to factorial manipulation of air temperature, water and nutrient supply for 5 years. The responses of the vegetation to the perturbations were then assessed by point intercept (quadrat) analysis foll"&amp;"owed by determination of above-ground biomass. 2 Nineteen vascular and 23 non-vascular species (or species groups) were recorded and the most dramatic response was that of the grass Calamagrostis lapponica to nutrient addition, with abundance being stimul"&amp;"ated by a factor of more than 18 compared with plots not subjected to nutrient addition. Calamagrostis lapponica did not show any significant responses to temperature or water alone but there was a synergistic interaction between all three variables. 3 Th"&amp;"e abundance of the dominant dwarf shrubs (Empetrum hermaphroditum, Vaccinium vitis-idaea, V. myrtillus and V. uliginosum) was unaffected by the perturbations but elevated temperature stimulated the biomass of V. uliginosum by 125% and total shrub biomass "&amp;"by 16%. The low ratio of current year's growth to standing biomass may have concealed other responses of the dwarf shrub group to the perturbations. 4 The response of the non-vascular flora to the perturbations was either neutral or negative, with lichens"&amp;" showing the most dramatic responses. Lichen biomass on temperature- and nutrient-amended plots was 56% and 18%, respectively, of that on unperturbed plots. Nutrients also exerted a negative effect on the biomass of bryophytes, and the combined biomass of"&amp;" lichens and bryophytes on nutrient-treated plots was almost a third of that on plots which did not receive additional nutrients. 5 Total above-ground biomass was not affected by the perturbations but the total number of interceptions determined by point "&amp;"quadrat analysis was greater on the elevated temperature and nutrient-treated plots. Point quadrat analysis also revealed an accumulation of litter and standing dead material in response to the nutrient and temperature perturbations, both singly and in co"&amp;"mbination, suggesting a faster turnover of plant material. 6 Both temperature and nutrients increased canopy height and also interacted synergistically such that together they resulted in a mean canopy height of 14.9 cm compared with 8.0 cm in plots subje"&amp;"cted to neither perturbation. 7 Nutrient addition lowered species richness by 17.7%, mainly through its impact on the mosses and lichens. 8 In general, nutrient addition elicited the greatest response, followed by temperature, with water exerting little m"&amp;"easurable influence. There were a number of important interactions that were often synergistic, and some involved water. 9 Species' responses were highly individualistic and changes in the community were mediated through the response of a small number of "&amp;"key species already present in the community, with no invasion of new species. In the short term at least, floristic diversity may decline as understorey species become less abundant and immigration by new species is inhibited by the dominance of clonal a"&amp;"ngiosperms.")</f>
        <v>1 A dwarf shrub heath in subarctic Sweden was subjected to factorial manipulation of air temperature, water and nutrient supply for 5 years. The responses of the vegetation to the perturbations were then assessed by point intercept (quadrat) analysis followed by determination of above-ground biomass. 2 Nineteen vascular and 23 non-vascular species (or species groups) were recorded and the most dramatic response was that of the grass Calamagrostis lapponica to nutrient addition, with abundance being stimulated by a factor of more than 18 compared with plots not subjected to nutrient addition. Calamagrostis lapponica did not show any significant responses to temperature or water alone but there was a synergistic interaction between all three variables. 3 The abundance of the dominant dwarf shrubs (Empetrum hermaphroditum, Vaccinium vitis-idaea, V. myrtillus and V. uliginosum) was unaffected by the perturbations but elevated temperature stimulated the biomass of V. uliginosum by 125% and total shrub biomass by 16%. The low ratio of current year's growth to standing biomass may have concealed other responses of the dwarf shrub group to the perturbations. 4 The response of the non-vascular flora to the perturbations was either neutral or negative, with lichens showing the most dramatic responses. Lichen biomass on temperature- and nutrient-amended plots was 56% and 18%, respectively, of that on unperturbed plots. Nutrients also exerted a negative effect on the biomass of bryophytes, and the combined biomass of lichens and bryophytes on nutrient-treated plots was almost a third of that on plots which did not receive additional nutrients. 5 Total above-ground biomass was not affected by the perturbations but the total number of interceptions determined by point quadrat analysis was greater on the elevated temperature and nutrient-treated plots. Point quadrat analysis also revealed an accumulation of litter and standing dead material in response to the nutrient and temperature perturbations, both singly and in combination, suggesting a faster turnover of plant material. 6 Both temperature and nutrients increased canopy height and also interacted synergistically such that together they resulted in a mean canopy height of 14.9 cm compared with 8.0 cm in plots subjected to neither perturbation. 7 Nutrient addition lowered species richness by 17.7%, mainly through its impact on the mosses and lichens. 8 In general, nutrient addition elicited the greatest response, followed by temperature, with water exerting little measurable influence. There were a number of important interactions that were often synergistic, and some involved water. 9 Species' responses were highly individualistic and changes in the community were mediated through the response of a small number of key species already present in the community, with no invasion of new species. In the short term at least, floristic diversity may decline as understorey species become less abundant and immigration by new species is inhibited by the dominance of clonal angiosperms.</v>
      </c>
      <c r="C34" s="24" t="str">
        <f>IFERROR(__xludf.DUMMYFUNCTION("""COMPUTED_VALUE"""),"10.1046/j.1365-2745.1998.00261.x")</f>
        <v>10.1046/j.1365-2745.1998.00261.x</v>
      </c>
      <c r="D34" s="24" t="str">
        <f>IFERROR(__xludf.DUMMYFUNCTION("""COMPUTED_VALUE"""),"murphy et al")</f>
        <v>murphy et al</v>
      </c>
      <c r="E34" s="24" t="str">
        <f>IFERROR(__xludf.DUMMYFUNCTION("""COMPUTED_VALUE"""),"WOS:000073764500011")</f>
        <v>WOS:000073764500011</v>
      </c>
      <c r="F34" s="24" t="str">
        <f>IFERROR(__xludf.DUMMYFUNCTION("""COMPUTED_VALUE"""),"[""ELIGIBLE""]")</f>
        <v>["ELIGIBLE"]</v>
      </c>
    </row>
    <row r="35">
      <c r="A35" s="24" t="str">
        <f>IFERROR(__xludf.DUMMYFUNCTION("""COMPUTED_VALUE"""),"Fish Responses to Experimental Fragmentation of Seagrass Habitat")</f>
        <v>Fish Responses to Experimental Fragmentation of Seagrass Habitat</v>
      </c>
      <c r="B35" s="24" t="str">
        <f>IFERROR(__xludf.DUMMYFUNCTION("""COMPUTED_VALUE"""),"Understanding the consequences of habitat fragmentation has come mostly from comparisons of patchy and continuous habitats. Because fragmentation is a process, it is most accurately studied by actively fragmenting large patches into multiple smaller patch"&amp;"es. We fragmented artificial seagrass habitats and evaluated the impacts of fragmentation on fish abundance and species richness over time (1 day, 1 week, 1 month). Fish assemblages were compared among 4 treatments: control (single, continuous 9-m(2) patc"&amp;"hes); fragmented (single, continuous 9-m(2) patches fragmented to 4 discrete 1-m(2) patches); prefragmented/patchy (4 discrete 1-m(2) patches with the same arrangement as fragmented); and disturbance control (fragmented then immediately restored to contin"&amp;"uous 9-m(2) patches). Patchy seagrass had lower species richness than actively fragmented seagrass (up to 39% fewer species after 1 week), but species richness in fragmented treatments was similar to controls. Total fish abundance did not vary among treat"&amp;"ments and therefore was unaffected by fragmentation, patchiness, or disturbance caused during fragmentation. Patterns in species richness and abundance were consistent 1 day, 1 week, and 1 month after fragmentation. The expected decrease in fish abundance"&amp;" from reduced total seagrass area in fragmented and patchy seagrass appeared to be offset by greater fish density per unit area of seagrass. If fish prefer to live at edges, then the effects of seagrass habitat loss on fish abundance may have been offset "&amp;"by the increase (25%) in seagrass perimeter in fragmented and patchy treatments. Possibly there is some threshold of seagrass patch connectivity below which fish abundances cannot be maintained. The immediate responses of fish to experimental habitat frag"&amp;"mentation provided insights beyond those possible from comparisons of continuous and historically patchy habitat.")</f>
        <v>Understanding the consequences of habitat fragmentation has come mostly from comparisons of patchy and continuous habitats. Because fragmentation is a process, it is most accurately studied by actively fragmenting large patches into multiple smaller patches. We fragmented artificial seagrass habitats and evaluated the impacts of fragmentation on fish abundance and species richness over time (1 day, 1 week, 1 month). Fish assemblages were compared among 4 treatments: control (single, continuous 9-m(2) patches); fragmented (single, continuous 9-m(2) patches fragmented to 4 discrete 1-m(2) patches); prefragmented/patchy (4 discrete 1-m(2) patches with the same arrangement as fragmented); and disturbance control (fragmented then immediately restored to continuous 9-m(2) patches). Patchy seagrass had lower species richness than actively fragmented seagrass (up to 39% fewer species after 1 week), but species richness in fragmented treatments was similar to controls. Total fish abundance did not vary among treatments and therefore was unaffected by fragmentation, patchiness, or disturbance caused during fragmentation. Patterns in species richness and abundance were consistent 1 day, 1 week, and 1 month after fragmentation. The expected decrease in fish abundance from reduced total seagrass area in fragmented and patchy seagrass appeared to be offset by greater fish density per unit area of seagrass. If fish prefer to live at edges, then the effects of seagrass habitat loss on fish abundance may have been offset by the increase (25%) in seagrass perimeter in fragmented and patchy treatments. Possibly there is some threshold of seagrass patch connectivity below which fish abundances cannot be maintained. The immediate responses of fish to experimental habitat fragmentation provided insights beyond those possible from comparisons of continuous and historically patchy habitat.</v>
      </c>
      <c r="C35" s="24" t="str">
        <f>IFERROR(__xludf.DUMMYFUNCTION("""COMPUTED_VALUE"""),"10.1111/j.1523-1739.2008.01130.x")</f>
        <v>10.1111/j.1523-1739.2008.01130.x</v>
      </c>
      <c r="D35" s="24" t="str">
        <f>IFERROR(__xludf.DUMMYFUNCTION("""COMPUTED_VALUE"""),"murphy et al")</f>
        <v>murphy et al</v>
      </c>
      <c r="E35" s="24" t="str">
        <f>IFERROR(__xludf.DUMMYFUNCTION("""COMPUTED_VALUE"""),"WOS:000266071200019")</f>
        <v>WOS:000266071200019</v>
      </c>
      <c r="F35" s="24" t="str">
        <f>IFERROR(__xludf.DUMMYFUNCTION("""COMPUTED_VALUE"""),"[""ELIGIBLE""]")</f>
        <v>["ELIGIBLE"]</v>
      </c>
    </row>
    <row r="36">
      <c r="A36" s="24" t="str">
        <f>IFERROR(__xludf.DUMMYFUNCTION("""COMPUTED_VALUE"""),"Effects of anthropogenic activities on lizard communities in northern Madagascar")</f>
        <v>Effects of anthropogenic activities on lizard communities in northern Madagascar</v>
      </c>
      <c r="B36" s="24" t="str">
        <f>IFERROR(__xludf.DUMMYFUNCTION("""COMPUTED_VALUE"""),"Madagascar is a biodiversity hotspot threatened by habitat loss, which is detrimental to the future survival of forest-dwelling herpetofauna. For conservation purposes, it is essential to determine how species respond to different types of anthropogenic h"&amp;"abitat alteration. We conducted standardized field surveys (a variation of visual encounter survey) to assess species richness, abundance and diversity among forest, clear-cut and orchard habitat types in Montagne des Francais, north Madagascar. Forest si"&amp;"tes proved to be very different from clear-cut and orchard sites with regards to habitat structure. Lizard species richness, abundance and diversity were significantly lower in clear-cut sites, with only 11% of the observed forest diversity recorded. This"&amp;" shift in species occurrence suggests that lizards are particularly sensitive to this type of habitat alteration. Orchard cultivation did not affect lizard species richness to the same extent, as 56% of the observed forest diversity was recorded in this h"&amp;"abitat type. Furthermore lizard abundance was significantly higher in orchard habitat. These observations indicate that although anthropogenic activity can have an adverse effect on the lizard fauna of a given site, it will seldom lead to a total loss of "&amp;"diversity as species typical of pristine forest (specialists) are replaced by species adapted to secondary habitats (often generalists). Our results support the contention that anthropogenic habitat alteration can have a strong negative influence on lizar"&amp;"d communities. Researchers should continue to identify which species may be lost or become more vulnerable in future (as a result of population decline) in response to anthropogenic habitat alteration.")</f>
        <v>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v>
      </c>
      <c r="C36" s="24" t="str">
        <f>IFERROR(__xludf.DUMMYFUNCTION("""COMPUTED_VALUE"""),"10.1111/j.1469-1795.2011.00459.x")</f>
        <v>10.1111/j.1469-1795.2011.00459.x</v>
      </c>
      <c r="D36" s="24" t="str">
        <f>IFERROR(__xludf.DUMMYFUNCTION("""COMPUTED_VALUE"""),"murphy et al")</f>
        <v>murphy et al</v>
      </c>
      <c r="E36" s="24" t="str">
        <f>IFERROR(__xludf.DUMMYFUNCTION("""COMPUTED_VALUE"""),"WOS:000296894900012")</f>
        <v>WOS:000296894900012</v>
      </c>
      <c r="F36" s="24" t="str">
        <f>IFERROR(__xludf.DUMMYFUNCTION("""COMPUTED_VALUE"""),"[""ELIGIBLE""]")</f>
        <v>["ELIGIBLE"]</v>
      </c>
    </row>
    <row r="37">
      <c r="A37" s="24" t="str">
        <f>IFERROR(__xludf.DUMMYFUNCTION("""COMPUTED_VALUE"""),"Patterns in fish assemblages 25 years after major seagrass loss")</f>
        <v>Patterns in fish assemblages 25 years after major seagrass loss</v>
      </c>
      <c r="B37" s="24" t="str">
        <f>IFERROR(__xludf.DUMMYFUNCTION("""COMPUTED_VALUE"""),"Inferences about the effects of habitat loss may be derived from comparisons of different places when pre-impact data are unavailable. We compared the fish faunas of sandy substrata off beaches with and without seagrass in Cockburn Sound (Western Australi"&amp;"a), a bay where &gt;3000 ha of seagrass was lost from the 1950s to the 1970s, and for which there are no pre-impact data. Numbers of species and individuals varied considerably in space and time, and this variation obscured patterns that might have been asso"&amp;"ciated with the presence or absence of seagrass. Multivariate tests indicated some significant differences in species composition between beaches with and without seagrass; however, patterns among species were complex. Catches were strongly influenced by "&amp;"depth and the quantity of drifting vegetation. In general, fewer species were captured at shallower beaches. Hauls with a lot of drift captured more species, more individuals and higher biomasses of fishes that eat invertebrates and are associated with pl"&amp;"ants. When widespread seagrass loss occurs, resultant decreases in the supply of drift are likely to negatively affect densities of some fauna. We can make no firm conclusions about the effects of seagrass loss in Cockburn Sound, but suggest that declines"&amp;" in the production of drift have caused changes in fish assemblages.")</f>
        <v>Inferences about the effects of habitat loss may be derived from comparisons of different places when pre-impact data are unavailable. We compared the fish faunas of sandy substrata off beaches with and without seagrass in Cockburn Sound (Western Australia), a bay where &gt;3000 ha of seagrass was lost from the 1950s to the 1970s, and for which there are no pre-impact data. Numbers of species and individuals varied considerably in space and time, and this variation obscured patterns that might have been associated with the presence or absence of seagrass. Multivariate tests indicated some significant differences in species composition between beaches with and without seagrass; however, patterns among species were complex. Catches were strongly influenced by depth and the quantity of drifting vegetation. In general, fewer species were captured at shallower beaches. Hauls with a lot of drift captured more species, more individuals and higher biomasses of fishes that eat invertebrates and are associated with plants. When widespread seagrass loss occurs, resultant decreases in the supply of drift are likely to negatively affect densities of some fauna. We can make no firm conclusions about the effects of seagrass loss in Cockburn Sound, but suggest that declines in the production of drift have caused changes in fish assemblages.</v>
      </c>
      <c r="C37" s="24" t="str">
        <f>IFERROR(__xludf.DUMMYFUNCTION("""COMPUTED_VALUE"""),"10.3354/meps247225")</f>
        <v>10.3354/meps247225</v>
      </c>
      <c r="D37" s="24" t="str">
        <f>IFERROR(__xludf.DUMMYFUNCTION("""COMPUTED_VALUE"""),"murphy et al")</f>
        <v>murphy et al</v>
      </c>
      <c r="E37" s="24" t="str">
        <f>IFERROR(__xludf.DUMMYFUNCTION("""COMPUTED_VALUE"""),"WOS:000181318700020")</f>
        <v>WOS:000181318700020</v>
      </c>
      <c r="F37" s="24" t="str">
        <f>IFERROR(__xludf.DUMMYFUNCTION("""COMPUTED_VALUE"""),"[""ELIGIBLE""]")</f>
        <v>["ELIGIBLE"]</v>
      </c>
    </row>
    <row r="38">
      <c r="A38" s="24" t="str">
        <f>IFERROR(__xludf.DUMMYFUNCTION("""COMPUTED_VALUE"""),"Direct versus indirect effects of habitat fragmentation on community patterns in experimental landscapes")</f>
        <v>Direct versus indirect effects of habitat fragmentation on community patterns in experimental landscapes</v>
      </c>
      <c r="B38" s="24" t="str">
        <f>IFERROR(__xludf.DUMMYFUNCTION("""COMPUTED_VALUE"""),"Habitat area and fragmentation are confounded in many ecological studies investigating fragmentation effects. We thus devised an innovative experiment founded on fractal neutral landscape models to disentangle the relative effects of habitat area and frag"&amp;"mentation on arthropod community patterns in red clover (Trifolium pratense). The conventional approach in experimental fragmentation studies is to adjust patch size and isolation to create different landscape patterns. We instead use fractal distribution"&amp;"s to adjust the overall amount and fragmentation of habitat independently at the scale of the entire landscape, producing different patch properties. Although habitat area ultimately had a greater effect on arthropod abundance and diversity in this system"&amp;", we found that fragmentation had a significant effect in clover landscapes with a parts per thousand currency sign40 % habitat. Landscapes at these lower habitat levels were dominated by edge cells, which had fewer arthropods and lower richness than inte"&amp;"rior cells. Fragmentation per se did not have a direct effect on local-scale diversity, however, as demonstrated by the lack of a broader landscape effect (in terms of total habitat area and fragmentation) on arthropods within habitat cells. Fragmentation"&amp;"-through the creation of edge habitat-thus had a strong indirect effect on morphospecies richness and abundance at the local scale. Although it has been suggested that fragmentation should be important at low habitat levels (a parts per thousand currency "&amp;"sign20-30 %), we show that fragmentation per se is significant only at intermediate (40 %) levels of habitat, where edge effects were neither too great (as at lower levels of habitat) nor too weak (as at higher levels of habitat).")</f>
        <v>Habitat area and fragmentation are confounded in many ecological studies investigating fragmentation effects. We thus devised an innovative experiment founded on fractal neutral landscape models to disentangle the relative effects of habitat area and fragmentation on arthropod community patterns in red clover (Trifolium pratense). The conventional approach in experimental fragmentation studies is to adjust patch size and isolation to create different landscape patterns. We instead use fractal distributions to adjust the overall amount and fragmentation of habitat independently at the scale of the entire landscape, producing different patch properties. Although habitat area ultimately had a greater effect on arthropod abundance and diversity in this system, we found that fragmentation had a significant effect in clover landscapes with a parts per thousand currency sign40 % habitat. Landscapes at these lower habitat levels were dominated by edge cells, which had fewer arthropods and lower richness than interior cells. Fragmentation per se did not have a direct effect on local-scale diversity, however, as demonstrated by the lack of a broader landscape effect (in terms of total habitat area and fragmentation) on arthropods within habitat cells. Fragmentation-through the creation of edge habitat-thus had a strong indirect effect on morphospecies richness and abundance at the local scale. Although it has been suggested that fragmentation should be important at low habitat levels (a parts per thousand currency sign20-30 %), we show that fragmentation per se is significant only at intermediate (40 %) levels of habitat, where edge effects were neither too great (as at lower levels of habitat) nor too weak (as at higher levels of habitat).</v>
      </c>
      <c r="C38" s="24" t="str">
        <f>IFERROR(__xludf.DUMMYFUNCTION("""COMPUTED_VALUE"""),"10.1007/s00442-012-2325-9")</f>
        <v>10.1007/s00442-012-2325-9</v>
      </c>
      <c r="D38" s="24" t="str">
        <f>IFERROR(__xludf.DUMMYFUNCTION("""COMPUTED_VALUE"""),"murphy et al")</f>
        <v>murphy et al</v>
      </c>
      <c r="E38" s="24" t="str">
        <f>IFERROR(__xludf.DUMMYFUNCTION("""COMPUTED_VALUE"""),"WOS:000308662100022")</f>
        <v>WOS:000308662100022</v>
      </c>
      <c r="F38" s="24" t="str">
        <f>IFERROR(__xludf.DUMMYFUNCTION("""COMPUTED_VALUE"""),"[""ELIGIBLE""]")</f>
        <v>["ELIGIBLE"]</v>
      </c>
    </row>
    <row r="39">
      <c r="A39" s="24" t="str">
        <f>IFERROR(__xludf.DUMMYFUNCTION("""COMPUTED_VALUE"""),"Comparing bird assemblages in large and small fragments of the Atlantic Forest hotspots")</f>
        <v>Comparing bird assemblages in large and small fragments of the Atlantic Forest hotspots</v>
      </c>
      <c r="B39" s="24" t="str">
        <f>IFERROR(__xludf.DUMMYFUNCTION("""COMPUTED_VALUE"""),"The Atlantic Forest (AF) is one of the five most threatened and megadiverse world hotspots. It is arguably the most devastated and highly threatened ecosystem on the planet. The vast scope of habitat loss and extreme fragmentation in the AF hotspots has l"&amp;"eft intact very few extensive and continuous forested fragments. We compared bird assemblages between small (&lt; 100 ha) and large (&gt; 6,000 ha) forest remnants, in one of the largest AF remnants in Argentina. We performed 84 point-counts of birds in four la"&amp;"rge fragments (LF) and 67 points in 25 small fragments (SF). We recorded 4,527 bird individuals belonging to 173 species; 2,632 belonging to 153 species in LF and 1,897 in 124 species in SF. Small fragments suffered a significant loss of bird richness, ma"&amp;"inly forest dependent species, but the birds abundance did not decrease, due to an increase in abundance of forest independent and semi-dependent bird species (edge and non forest species) that benefit from forest fragmentation. The bird guilds of frugivo"&amp;"res, undestory, terrestrial and midstory insectivores, nectarivores and raptors, and the endemic species of AF were area sensitive, decreasing significantly in richness and abundance in the SF. Terrestrial granivores were the only guild positively affecte"&amp;"d by forest fragmentation, containing mainly edge species, which forage in open areas or borders including crops. Our first observations on fragmentation effects on bird assemblages in the southernmost Argentinean Atlantic Forests did not validate the hyp"&amp;"othesis on pre-adaptation to human disturbances in the bird communities of AF. On the contrary, we observed that forest dependent, endemic and several sensitive bird guilds were strongly affected by fragmentation, putting in evidence the vulnerability to "&amp;"the fragmentation process and the necessity to conserve large remnants to avoid reduction of the high biodiversity of AF birds.")</f>
        <v>The Atlantic Forest (AF) is one of the five most threatened and megadiverse world hotspots. It is arguably the most devastated and highly threatened ecosystem on the planet. The vast scope of habitat loss and extreme fragmentation in the AF hotspots has left intact very few extensive and continuous forested fragments. We compared bird assemblages between small (&lt; 100 ha) and large (&gt; 6,000 ha) forest remnants, in one of the largest AF remnants in Argentina. We performed 84 point-counts of birds in four large fragments (LF) and 67 points in 25 small fragments (SF). We recorded 4,527 bird individuals belonging to 173 species; 2,632 belonging to 153 species in LF and 1,897 in 124 species in SF. Small fragments suffered a significant loss of bird richness, mainly forest dependent species, but the birds abundance did not decrease, due to an increase in abundance of forest independent and semi-dependent bird species (edge and non forest species) that benefit from forest fragmentation. The bird guilds of frugivores, undestory, terrestrial and midstory insectivores, nectarivores and raptors, and the endemic species of AF were area sensitive, decreasing significantly in richness and abundance in the SF. Terrestrial granivores were the only guild positively affected by forest fragmentation, containing mainly edge species, which forage in open areas or borders including crops. Our first observations on fragmentation effects on bird assemblages in the southernmost Argentinean Atlantic Forests did not validate the hypothesis on pre-adaptation to human disturbances in the bird communities of AF. On the contrary, we observed that forest dependent, endemic and several sensitive bird guilds were strongly affected by fragmentation, putting in evidence the vulnerability to the fragmentation process and the necessity to conserve large remnants to avoid reduction of the high biodiversity of AF birds.</v>
      </c>
      <c r="C39" s="24" t="str">
        <f>IFERROR(__xludf.DUMMYFUNCTION("""COMPUTED_VALUE"""),"10.1007/s10531-007-9309-9")</f>
        <v>10.1007/s10531-007-9309-9</v>
      </c>
      <c r="D39" s="24" t="str">
        <f>IFERROR(__xludf.DUMMYFUNCTION("""COMPUTED_VALUE"""),"murphy et al")</f>
        <v>murphy et al</v>
      </c>
      <c r="E39" s="24" t="str">
        <f>IFERROR(__xludf.DUMMYFUNCTION("""COMPUTED_VALUE"""),"WOS:000255998100018")</f>
        <v>WOS:000255998100018</v>
      </c>
      <c r="F39" s="24" t="str">
        <f>IFERROR(__xludf.DUMMYFUNCTION("""COMPUTED_VALUE"""),"[""ELIGIBLE""]")</f>
        <v>["ELIGIBLE"]</v>
      </c>
    </row>
    <row r="40">
      <c r="A40" s="24" t="str">
        <f>IFERROR(__xludf.DUMMYFUNCTION("""COMPUTED_VALUE"""),"Effects of habitat fragmentation on carabid beetles: experimental evidence")</f>
        <v>Effects of habitat fragmentation on carabid beetles: experimental evidence</v>
      </c>
      <c r="B40" s="24" t="str">
        <f>IFERROR(__xludf.DUMMYFUNCTION("""COMPUTED_VALUE"""),"1. We tested for effects of habitat fragmentation in a controlled, replicated, field experiment, in south-eastern Australia. Our experimental subjects were eight carabid beetle species, and the carabid assemblage (45 species). Monitoring was by pitfall tr"&amp;"apping in forest remnants and in adjacent continuous-forest controls. Remnants were of three sizes (0.25, 0.875, 3.062 ha.). Monitoring commenced 2 years prior to habitat fragmentation. Here we present results for 6 years after habitat fragmentation (4 ye"&amp;"ars for species richness). 2. We tested four hypotheses. Hypothesis one: habitat fragmentation reduces species richness in the remaining remnants. Carabid species richness was not different in habitat remnants compared to continuous forest, neither was ca"&amp;"rabid richness different for remnants of different sizes, or at monitoring sites close to remnant edges compared to sites in remnant interiors. 3. Hypothesis two. populations decline as a result of habitat fragmentation. Two species of eight were complete"&amp;"ly isolated on remnants and both declined in abundance on remnants compared to control plots in continuous forest. The other six species responded in various ways, which included relative increases and decreases in abundance and no change, but as they wer"&amp;"e not completely isolated on remnants, their responses could not be explained by isolation. 4. Hypothesis three: remaining subpopulations decline further on smaller habitat remnants than on larger remnants. Three species responded to remnant size; one was"&amp;" most abundant in small remnants, the second was most abundant in large remnants, and the third was equally abundant in small and large remnants and less abundant in medium-sized remnants. 5. Hypothesis four: populations near to remnant edges decline furt"&amp;"her than populations in remnant interiors. Two species were more likely to occur in remnant interiors than at edges, whereas three species were equally likely to occur in remnant interiors and at edges. 6. The effects of habitat fragmentation may be the c"&amp;"onsequence of: (i) isolation; and (ii) habitat modification. In this study, we were able to consider effects of isolation for two carabid species. We tested only one aspect of the habitat modification hypothesis, edge effects. We discuss the possibility t"&amp;"hat other aspects of habitat modification in remnants may explain some of our results and suggest that this is where future research be directed.")</f>
        <v>1. We tested for effects of habitat fragmentation in a controlled, replicated, field experiment, in south-eastern Australia. Our experimental subjects were eight carabid beetle species, and the carabid assemblage (45 species). Monitoring was by pitfall trapping in forest remnants and in adjacent continuous-forest controls. Remnants were of three sizes (0.25, 0.875, 3.062 ha.). Monitoring commenced 2 years prior to habitat fragmentation. Here we present results for 6 years after habitat fragmentation (4 years for species richness). 2. We tested four hypotheses. Hypothesis one: habitat fragmentation reduces species richness in the remaining remnants. Carabid species richness was not different in habitat remnants compared to continuous forest, neither was carabid richness different for remnants of different sizes, or at monitoring sites close to remnant edges compared to sites in remnant interiors. 3. Hypothesis two. populations decline as a result of habitat fragmentation. Two species of eight were completely isolated on remnants and both declined in abundance on remnants compared to control plots in continuous forest. The other six species responded in various ways, which included relative increases and decreases in abundance and no change, but as they were not completely isolated on remnants, their responses could not be explained by isolation. 4. Hypothesis three: remaining subpopulations decline further on smaller habitat remnants than on larger remnants. Three species responded to remnant size; one was most abundant in small remnants, the second was most abundant in large remnants, and the third was equally abundant in small and large remnants and less abundant in medium-sized remnants. 5. Hypothesis four: populations near to remnant edges decline further than populations in remnant interiors. Two species were more likely to occur in remnant interiors than at edges, whereas three species were equally likely to occur in remnant interiors and at edges. 6. The effects of habitat fragmentation may be the consequence of: (i) isolation; and (ii) habitat modification. In this study, we were able to consider effects of isolation for two carabid species. We tested only one aspect of the habitat modification hypothesis, edge effects. We discuss the possibility that other aspects of habitat modification in remnants may explain some of our results and suggest that this is where future research be directed.</v>
      </c>
      <c r="C40" s="24" t="str">
        <f>IFERROR(__xludf.DUMMYFUNCTION("""COMPUTED_VALUE"""),"10.1046/j.1365-2656.1998.00210.x")</f>
        <v>10.1046/j.1365-2656.1998.00210.x</v>
      </c>
      <c r="D40" s="24" t="str">
        <f>IFERROR(__xludf.DUMMYFUNCTION("""COMPUTED_VALUE"""),"murphy et al")</f>
        <v>murphy et al</v>
      </c>
      <c r="E40" s="24" t="str">
        <f>IFERROR(__xludf.DUMMYFUNCTION("""COMPUTED_VALUE"""),"WOS:000074031000012")</f>
        <v>WOS:000074031000012</v>
      </c>
      <c r="F40" s="24" t="str">
        <f>IFERROR(__xludf.DUMMYFUNCTION("""COMPUTED_VALUE"""),"[""ELIGIBLE""]")</f>
        <v>["ELIGIBLE"]</v>
      </c>
    </row>
    <row r="41">
      <c r="A41" s="24" t="str">
        <f>IFERROR(__xludf.DUMMYFUNCTION("""COMPUTED_VALUE"""),"Assessing urban impacts on water quality, benthic communities and fish in streams of the Andes Mountains, Patagonia (Argentina)")</f>
        <v>Assessing urban impacts on water quality, benthic communities and fish in streams of the Andes Mountains, Patagonia (Argentina)</v>
      </c>
      <c r="B41" s="24" t="str">
        <f>IFERROR(__xludf.DUMMYFUNCTION("""COMPUTED_VALUE"""),"Communities of aquatic macroinvertebrates, fish density and biomass, and environmental variables were investigated in three Patagonian mountain rivers affected by urbanization. The rivers Las Minas, Esquel and Carbon that flow through the towns of Cholila"&amp;", Esquel and Corcovado, respectively (northwest Chubut, Argentina) were selected to assess the degree of impairment. A reference site and an urban site were established on each river. Water quality variables including conductivity, major nutrients, total "&amp;"suspended solids (TSS) and dissolved oxygen, habitat conditions and quality of riparian ecosystems were investigated in autumn, winter, spring and summer 2005-2006. Macroinvertebrates were sampled concurrently in three riffles and three pools at each site"&amp;". Invertebrate species richness, EPT richness, the Shannon-Weaver diversity index, % EPT density, and the BMPS index were lower at urban sites, whereas % collectors increased. The most impaired site was below Esquel, the largest town. Senzilloides panguip"&amp;"ulli (Plecoptera), Polypedilum and Rheotanytarsus species (Diptera: Chironomidae), Nais communis (Oligochaeta) and Meridialaris chiloeensis (Ephemeroptera) dominated assemblages at reference and moderately impaired sites in summer, whereas the strongly po"&amp;"lluted reach below Esquel had low flow in summer and a community dominated by Limnodrilus spp. (Oligochaeta), Helobdella spp. (Hirudinea), and two Hyallela species (Amphipoda). Canonical correspondence analysis indicated that ammonia, conductivity and TSS"&amp;" were important variables structuring invertebrate assemblages. In contrast, fish density and biomass varied in a non-systematic manner among sites. Overall, urbanization resulted in varying degrees of habitat degradation, sedimentation and nutrient enric"&amp;"hment that were reflected by the macroinvertebrate assemblages, which can be used effectively to monitor the effects of urban communities on Patagonian mountain streams.")</f>
        <v>Communities of aquatic macroinvertebrates, fish density and biomass, and environmental variables were investigated in three Patagonian mountain rivers affected by urbanization. The rivers Las Minas, Esquel and Carbon that flow through the towns of Cholila, Esquel and Corcovado, respectively (northwest Chubut, Argentina) were selected to assess the degree of impairment. A reference site and an urban site were established on each river. Water quality variables including conductivity, major nutrients, total suspended solids (TSS) and dissolved oxygen, habitat conditions and quality of riparian ecosystems were investigated in autumn, winter, spring and summer 2005-2006. Macroinvertebrates were sampled concurrently in three riffles and three pools at each site. Invertebrate species richness, EPT richness, the Shannon-Weaver diversity index, % EPT density, and the BMPS index were lower at urban sites, whereas % collectors increased. The most impaired site was below Esquel, the largest town. Senzilloides panguipulli (Plecoptera), Polypedilum and Rheotanytarsus species (Diptera: Chironomidae), Nais communis (Oligochaeta) and Meridialaris chiloeensis (Ephemeroptera) dominated assemblages at reference and moderately impaired sites in summer, whereas the strongly polluted reach below Esquel had low flow in summer and a community dominated by Limnodrilus spp. (Oligochaeta), Helobdella spp. (Hirudinea), and two Hyallela species (Amphipoda). Canonical correspondence analysis indicated that ammonia, conductivity and TSS were important variables structuring invertebrate assemblages. In contrast, fish density and biomass varied in a non-systematic manner among sites. Overall, urbanization resulted in varying degrees of habitat degradation, sedimentation and nutrient enrichment that were reflected by the macroinvertebrate assemblages, which can be used effectively to monitor the effects of urban communities on Patagonian mountain streams.</v>
      </c>
      <c r="C41" s="24" t="str">
        <f>IFERROR(__xludf.DUMMYFUNCTION("""COMPUTED_VALUE"""),"10.1007/s11270-008-9701-4")</f>
        <v>10.1007/s11270-008-9701-4</v>
      </c>
      <c r="D41" s="24" t="str">
        <f>IFERROR(__xludf.DUMMYFUNCTION("""COMPUTED_VALUE"""),"murphy et al")</f>
        <v>murphy et al</v>
      </c>
      <c r="E41" s="24" t="str">
        <f>IFERROR(__xludf.DUMMYFUNCTION("""COMPUTED_VALUE"""),"WOS:000259143200010")</f>
        <v>WOS:000259143200010</v>
      </c>
      <c r="F41" s="24" t="str">
        <f>IFERROR(__xludf.DUMMYFUNCTION("""COMPUTED_VALUE"""),"[""ELIGIBLE""]")</f>
        <v>["ELIGIBLE"]</v>
      </c>
    </row>
    <row r="42">
      <c r="A42" s="24" t="str">
        <f>IFERROR(__xludf.DUMMYFUNCTION("""COMPUTED_VALUE"""),"Comparison of Medusahead-Invaded and Noninvaded Wyoming Big Sagebrush Steppe in Southeastern Oregon")</f>
        <v>Comparison of Medusahead-Invaded and Noninvaded Wyoming Big Sagebrush Steppe in Southeastern Oregon</v>
      </c>
      <c r="B42" s="24" t="str">
        <f>IFERROR(__xludf.DUMMYFUNCTION("""COMPUTED_VALUE"""),"Medusahead (Taeniatherum caput-medusae [L.] Nevski) is an exotic, annual grass invading sagebrush steppe rangelands in the western United States. Medusahead invasion has been demonstrated to reduce livestock forage, but otherwise information comparing veg"&amp;"etation characteristics of medusahead-invaded to noninvaded sagebrush steppe communities is limited. This lack of knowledge makes it difficult to determine the cost-benefit ratio of controlling and preventing medusahead invasion. To estimate the impact of"&amp;" medusahead invasion, vegetation characteristics were compared between invaded and noninvaded Wyoming big sagebrush (Artemisia tridentate subsp. wyomingensis [Beetle &amp; A. Young] S.L. Welsh) steppe communities that had similar soils, topography, climate, a"&amp;"nd management. Noninvaded plant communities had greater cover and density of all native herbaceous functional groups compared to medusahead-invaded communities (P &lt; 0.01). Large perennial grass cover was 15-fold greater in the noninvaded compared to invad"&amp;"ed plant communities. Sagebrush cover and density were greater in the noninvaded compared to the medushahead-invaded communities (P &lt; 0.01). Biomass production of all native herbaceous functional groups Was higher in noninvaded compared to invaded plant c"&amp;"ommunities (P &lt; 0.02). Perennial and annual forb biomass production was 1.9- and 45-fold more, respectively, in the noninvaded than invaded communities. Species richness and diversity were greater in the noninvaded than invaded plant communities (P &lt; 0.01"&amp;"). The results Of this Study suggest that medusahead invasion substantially alters vegetation characteristics Of sagebrush steppe plant communities, and thereby diminishes wildlife habitat, forage production, and ecosystem functions. Because of the broad "&amp;"negative influence of medusahead invasion, greater efforts Should be directed at preventing its continued expansion.")</f>
        <v>Medusahead (Taeniatherum caput-medusae [L.] Nevski) is an exotic, annual grass invading sagebrush steppe rangelands in the western United States. Medusahead invasion has been demonstrated to reduce livestock forage, but otherwise information comparing vegetation characteristics of medusahead-invaded to noninvaded sagebrush steppe communities is limited. This lack of knowledge makes it difficult to determine the cost-benefit ratio of controlling and preventing medusahead invasion. To estimate the impact of medusahead invasion, vegetation characteristics were compared between invaded and noninvaded Wyoming big sagebrush (Artemisia tridentate subsp. wyomingensis [Beetle &amp; A. Young] S.L. Welsh) steppe communities that had similar soils, topography, climate, and management. Noninvaded plant communities had greater cover and density of all native herbaceous functional groups compared to medusahead-invaded communities (P &lt; 0.01). Large perennial grass cover was 15-fold greater in the noninvaded compared to invaded plant communities. Sagebrush cover and density were greater in the noninvaded compared to the medushahead-invaded communities (P &lt; 0.01). Biomass production of all native herbaceous functional groups Was higher in noninvaded compared to invaded plant communities (P &lt; 0.02). Perennial and annual forb biomass production was 1.9- and 45-fold more, respectively, in the noninvaded than invaded communities. Species richness and diversity were greater in the noninvaded than invaded plant communities (P &lt; 0.01). The results Of this Study suggest that medusahead invasion substantially alters vegetation characteristics Of sagebrush steppe plant communities, and thereby diminishes wildlife habitat, forage production, and ecosystem functions. Because of the broad negative influence of medusahead invasion, greater efforts Should be directed at preventing its continued expansion.</v>
      </c>
      <c r="C42" s="24" t="str">
        <f>IFERROR(__xludf.DUMMYFUNCTION("""COMPUTED_VALUE"""),"10.2111/08-005.1")</f>
        <v>10.2111/08-005.1</v>
      </c>
      <c r="D42" s="24" t="str">
        <f>IFERROR(__xludf.DUMMYFUNCTION("""COMPUTED_VALUE"""),"murphy et al")</f>
        <v>murphy et al</v>
      </c>
      <c r="E42" s="24" t="str">
        <f>IFERROR(__xludf.DUMMYFUNCTION("""COMPUTED_VALUE"""),"WOS:000261067700007")</f>
        <v>WOS:000261067700007</v>
      </c>
      <c r="F42" s="24" t="str">
        <f>IFERROR(__xludf.DUMMYFUNCTION("""COMPUTED_VALUE"""),"[""ELIGIBLE""]")</f>
        <v>["ELIGIBLE"]</v>
      </c>
    </row>
    <row r="43">
      <c r="A43" s="24" t="str">
        <f>IFERROR(__xludf.DUMMYFUNCTION("""COMPUTED_VALUE"""),"Assessing impacts of introduced aquaculture species on native fish communities: Nile tilapia and major carps in SE Asian freshwaters")</f>
        <v>Assessing impacts of introduced aquaculture species on native fish communities: Nile tilapia and major carps in SE Asian freshwaters</v>
      </c>
      <c r="B43" s="24" t="str">
        <f>IFERROR(__xludf.DUMMYFUNCTION("""COMPUTED_VALUE"""),"Herbivorous or omnivorous tilapia and carp species form the backbone of tropical inland aquaculture and fisheries enhancement and have been introduced widely outside their natural ranges. Perceptions of their impact on native fish faunas vary widely, but "&amp;"there have been few rigorous assessments. To quantify the impact of tilapia and carp stocking on native fish communities in freshwater wetlands of the Mekong region, we conducted observational and experimental impact-control studies replicated at the wetl"&amp;"and level, at a total of 46 sites in Lao PDR. The studies were designed as paired comparisons of wetlands where the nonnative species (Nile tilapia Oreochromis niloticus, mrigal Cirrhinus cirrhosus, rohu Labeo rohita and bighead carp Hypophthalmichthys no"&amp;"bilis) were stocked in substantial numbers with similar wetlands where the species were absent. Stocking of these non-native species was associated with significant increases in total fish biomass, by 180% in the observational study and by 49% in the expe"&amp;"riment. Native fish biomass was not affected by stocking of the non-native species. No significant impacts on native fish species richness, diversity indices, species composition or feeding guild composition were detected, except for moderately negative e"&amp;"ffects on Simpson diversity and equitability in the observational study. In the experiment, no effect had a point estimate exceeding -14%, or a 95% confidence limit exceeding -35% of the non-impacted value. Use of these non-native tilapia and carp species"&amp;" in fisheries enhancement in mainland SE Asia supported substantial increases in harvestable biomass while having only mild impacts on native fish communities. Escapes of the same species from pond and cage aquaculture facilities are likely to result in l"&amp;"ower biomass in the wild and have lower impacts than enhancement stocking. We encourage building on our results through a systematic and stakeholder-participatory evaluation of the significance and acceptability of benefits and risks associated with the u"&amp;"se of these non-native species. This evaluation should be extended to the relative benefits and risks of replacing non-native species with native ones in aquaculture and enhancement, considering that risks associated with using the current set of non-nati"&amp;"ve species are increasingly well known and appear mild-to-moderate, whilst ecological and genetic risks of releasing domesticated types of native species are poorly known. (C) 2009 Elsevier B.V. All rights reserved.")</f>
        <v>Herbivorous or omnivorous tilapia and carp species form the backbone of tropical inland aquaculture and fisheries enhancement and have been introduced widely outside their natural ranges. Perceptions of their impact on native fish faunas vary widely, but there have been few rigorous assessments. To quantify the impact of tilapia and carp stocking on native fish communities in freshwater wetlands of the Mekong region, we conducted observational and experimental impact-control studies replicated at the wetland level, at a total of 46 sites in Lao PDR. The studies were designed as paired comparisons of wetlands where the nonnative species (Nile tilapia Oreochromis niloticus, mrigal Cirrhinus cirrhosus, rohu Labeo rohita and bighead carp Hypophthalmichthys nobilis) were stocked in substantial numbers with similar wetlands where the species were absent. Stocking of these non-native species was associated with significant increases in total fish biomass, by 180% in the observational study and by 49% in the experiment. Native fish biomass was not affected by stocking of the non-native species. No significant impacts on native fish species richness, diversity indices, species composition or feeding guild composition were detected, except for moderately negative effects on Simpson diversity and equitability in the observational study. In the experiment, no effect had a point estimate exceeding -14%, or a 95% confidence limit exceeding -35% of the non-impacted value. Use of these non-native tilapia and carp species in fisheries enhancement in mainland SE Asia supported substantial increases in harvestable biomass while having only mild impacts on native fish communities. Escapes of the same species from pond and cage aquaculture facilities are likely to result in lower biomass in the wild and have lower impacts than enhancement stocking. We encourage building on our results through a systematic and stakeholder-participatory evaluation of the significance and acceptability of benefits and risks associated with the use of these non-native species. This evaluation should be extended to the relative benefits and risks of replacing non-native species with native ones in aquaculture and enhancement, considering that risks associated with using the current set of non-native species are increasingly well known and appear mild-to-moderate, whilst ecological and genetic risks of releasing domesticated types of native species are poorly known. (C) 2009 Elsevier B.V. All rights reserved.</v>
      </c>
      <c r="C43" s="24" t="str">
        <f>IFERROR(__xludf.DUMMYFUNCTION("""COMPUTED_VALUE"""),"10.1016/j.aquaculture.2009.11.022")</f>
        <v>10.1016/j.aquaculture.2009.11.022</v>
      </c>
      <c r="D43" s="24" t="str">
        <f>IFERROR(__xludf.DUMMYFUNCTION("""COMPUTED_VALUE"""),"murphy et al")</f>
        <v>murphy et al</v>
      </c>
      <c r="E43" s="24" t="str">
        <f>IFERROR(__xludf.DUMMYFUNCTION("""COMPUTED_VALUE"""),"WOS:000275033500012")</f>
        <v>WOS:000275033500012</v>
      </c>
      <c r="F43" s="24" t="str">
        <f>IFERROR(__xludf.DUMMYFUNCTION("""COMPUTED_VALUE"""),"[""ELIGIBLE""]")</f>
        <v>["ELIGIBLE"]</v>
      </c>
    </row>
    <row r="44">
      <c r="A44" s="24" t="str">
        <f>IFERROR(__xludf.DUMMYFUNCTION("""COMPUTED_VALUE"""),"Effects of habitat fragmentation and degradation on flocks of African ant-following birds")</f>
        <v>Effects of habitat fragmentation and degradation on flocks of African ant-following birds</v>
      </c>
      <c r="B44" s="24" t="str">
        <f>IFERROR(__xludf.DUMMYFUNCTION("""COMPUTED_VALUE"""),"Tropical rain forests are rapidly cleared, fragmented, and degraded in sub-Saharan Africa; however, little is known about the response of species and even of key ecological groups to these processes. One of the most intriguing (but often neglected) ecolog"&amp;"ical phenomena in African rain forests is the interaction between swarm-raiding army ants and ant-following birds. Similar to their well-known Neotropical representatives, ant-following birds in Africa track the massive swarm raids of army ants and feed o"&amp;"n arthropods flushed by the ants. In this study we analyzed the effect of habitat fragmentation and degradation of a mid-altitude Congo-Guinean rain forest in western Kenya on the structure of ant-following bird flocks. Significant numbers of swarm raids "&amp;"were located in all forest fragments and in both undegraded and degraded forest. Fifty-six different species of birds followed army ant raids, forming bird flocks of one to 15 species. We quantitatively differentiated the bird community into five species "&amp;"of specialized ant-followers and 51 species of opportunistic ant-followers. Species richness and size of bird blocks decreased with decreasing size of forest fragments and was higher in undegraded than in degraded habitat. This was caused by the decrease "&amp;"of the species richness and number of specialized ant-followers at swarms, while the group of opportunistic ant-followers was affected little by habitat fragmentation and degradation. The composition of bird flocks was more variable in small fragments and"&amp;" degraded forest, compared to undegraded habitat in large fragments. The effect of habitat fragmentation on flock structure was best explained by the strong decline of the abundance of specialized ant-followers in small forest fragments. To conserve the a"&amp;"ssociation of army ants and ant-following birds in its natural state, vast areas of unfragmented and undegraded tropical rain forest are necessary.")</f>
        <v>Tropical rain forests are rapidly cleared, fragmented, and degraded in sub-Saharan Africa; however, little is known about the response of species and even of key ecological groups to these processes. One of the most intriguing (but often neglected) ecological phenomena in African rain forests is the interaction between swarm-raiding army ants and ant-following birds. Similar to their well-known Neotropical representatives, ant-following birds in Africa track the massive swarm raids of army ants and feed on arthropods flushed by the ants. In this study we analyzed the effect of habitat fragmentation and degradation of a mid-altitude Congo-Guinean rain forest in western Kenya on the structure of ant-following bird flocks. Significant numbers of swarm raids were located in all forest fragments and in both undegraded and degraded forest. Fifty-six different species of birds followed army ant raids, forming bird flocks of one to 15 species. We quantitatively differentiated the bird community into five species of specialized ant-followers and 51 species of opportunistic ant-followers. Species richness and size of bird blocks decreased with decreasing size of forest fragments and was higher in undegraded than in degraded habitat. This was caused by the decrease of the species richness and number of specialized ant-followers at swarms, while the group of opportunistic ant-followers was affected little by habitat fragmentation and degradation. The composition of bird flocks was more variable in small fragments and degraded forest, compared to undegraded habitat in large fragments. The effect of habitat fragmentation on flock structure was best explained by the strong decline of the abundance of specialized ant-followers in small forest fragments. To conserve the association of army ants and ant-following birds in its natural state, vast areas of unfragmented and undegraded tropical rain forest are necessary.</v>
      </c>
      <c r="C44" s="24" t="str">
        <f>IFERROR(__xludf.DUMMYFUNCTION("""COMPUTED_VALUE"""),"10.1890/07-1295.1")</f>
        <v>10.1890/07-1295.1</v>
      </c>
      <c r="D44" s="24" t="str">
        <f>IFERROR(__xludf.DUMMYFUNCTION("""COMPUTED_VALUE"""),"murphy et al")</f>
        <v>murphy et al</v>
      </c>
      <c r="E44" s="24" t="str">
        <f>IFERROR(__xludf.DUMMYFUNCTION("""COMPUTED_VALUE"""),"WOS:000256243200004")</f>
        <v>WOS:000256243200004</v>
      </c>
      <c r="F44" s="24" t="str">
        <f>IFERROR(__xludf.DUMMYFUNCTION("""COMPUTED_VALUE"""),"[""ELIGIBLE""]")</f>
        <v>["ELIGIBLE"]</v>
      </c>
    </row>
    <row r="45">
      <c r="A45" s="24" t="str">
        <f>IFERROR(__xludf.DUMMYFUNCTION("""COMPUTED_VALUE"""),"Impacts of a woody invader vary in different vegetation communities")</f>
        <v>Impacts of a woody invader vary in different vegetation communities</v>
      </c>
      <c r="B45" s="24" t="str">
        <f>IFERROR(__xludf.DUMMYFUNCTION("""COMPUTED_VALUE"""),"The impact of an exotic species in natural systems may be dependent not only on invader attributes but also on characteristics of the invaded community. We examined impacts of the invader bitou bush, Chrysanthemoides monilifera ssp. rotundata, in fore and"&amp;" hind dune communities of coastal New South Wales, Australia. We compared invader impacts on vegetation structure, richness of both native and exotic growth forms and community variability in fore and hind dunes. We found that impacts of bitou invasion we"&amp;"re context specific: in fore dune shrublands, functionally distinct graminoid, herb and climber rather than shrub growth forms had significantly reduced species richness following bitou invasion. However, in forested hind dunes, the functionally similar n"&amp;"ative shrub growth form had significantly reduced species richness following bitou invasion. Density of vegetation structure increased at the shrub level in both fore and hind dune invaded communities compared with non-invaded communities. Fore dune groun"&amp;"d-level vegetation density declined at invaded sites compared with non-invaded sites, reflecting significant reductions in herb and graminoid species richness. Hind dune canopy-level vegetation density was reduced at invaded compared with non-invaded site"&amp;"s. Bitou bush invasion also affected fore dune community variability with significant increases in variability of species abundances observed in invaded compared with non-invaded sites. In contrast, variability among all hind dune sites was similar. The r"&amp;"esults suggest that effects of bitou bush invasion are mediated by the vegetation community. When bitou bush becomes abundant, community structure and functioning may be compromised.")</f>
        <v>The impact of an exotic species in natural systems may be dependent not only on invader attributes but also on characteristics of the invaded community. We examined impacts of the invader bitou bush, Chrysanthemoides monilifera ssp. rotundata, in fore and hind dune communities of coastal New South Wales, Australia. We compared invader impacts on vegetation structure, richness of both native and exotic growth forms and community variability in fore and hind dunes. We found that impacts of bitou invasion were context specific: in fore dune shrublands, functionally distinct graminoid, herb and climber rather than shrub growth forms had significantly reduced species richness following bitou invasion. However, in forested hind dunes, the functionally similar native shrub growth form had significantly reduced species richness following bitou invasion. Density of vegetation structure increased at the shrub level in both fore and hind dune invaded communities compared with non-invaded communities. Fore dune ground-level vegetation density declined at invaded sites compared with non-invaded sites, reflecting significant reductions in herb and graminoid species richness. Hind dune canopy-level vegetation density was reduced at invaded compared with non-invaded sites. Bitou bush invasion also affected fore dune community variability with significant increases in variability of species abundances observed in invaded compared with non-invaded sites. In contrast, variability among all hind dune sites was similar. The results suggest that effects of bitou bush invasion are mediated by the vegetation community. When bitou bush becomes abundant, community structure and functioning may be compromised.</v>
      </c>
      <c r="C45" s="24" t="str">
        <f>IFERROR(__xludf.DUMMYFUNCTION("""COMPUTED_VALUE"""),"10.1111/j.1472-4642.2008.00493.x")</f>
        <v>10.1111/j.1472-4642.2008.00493.x</v>
      </c>
      <c r="D45" s="24" t="str">
        <f>IFERROR(__xludf.DUMMYFUNCTION("""COMPUTED_VALUE"""),"murphy et al")</f>
        <v>murphy et al</v>
      </c>
      <c r="E45" s="24" t="str">
        <f>IFERROR(__xludf.DUMMYFUNCTION("""COMPUTED_VALUE"""),"WOS:000258376800011")</f>
        <v>WOS:000258376800011</v>
      </c>
      <c r="F45" s="24" t="str">
        <f>IFERROR(__xludf.DUMMYFUNCTION("""COMPUTED_VALUE"""),"[""ELIGIBLE""]")</f>
        <v>["ELIGIBLE"]</v>
      </c>
    </row>
    <row r="46">
      <c r="A46" s="24" t="str">
        <f>IFERROR(__xludf.DUMMYFUNCTION("""COMPUTED_VALUE"""),"Effects of habitat-modifying invasive macroalgae on epiphytic algal communities")</f>
        <v>Effects of habitat-modifying invasive macroalgae on epiphytic algal communities</v>
      </c>
      <c r="B46" s="24" t="str">
        <f>IFERROR(__xludf.DUMMYFUNCTION("""COMPUTED_VALUE"""),"Although invasive species can negatively impact communities via processes such as resource competition, they may also add new resources that facilitate the distribution and/or abundance of other organisms. In rocky intertidal systems, many benthic macroal"&amp;"gae compete for primary substrate, while providing secondary substrata to which sessile organisms can attach. Using field surveys and laboratory experiments, we investigated algal host-epiphyte dynamics in a New England rocky intertidal system. First, we "&amp;"compared the composition, abundance, richness, and diversity of epiphytes on 2 invasive macroalgal species, Codium fragile ssp. tomentosoides and Grateloupia turuturu, to 2 native macroalgal species, Chondrus crispus and Fucus vesiculosus. We found signif"&amp;"icant differences among epiphyte communities, as all macroalgal hosts supported different assemblages of species. While epiphyte richness and diversity were generally low on F. vesiculosus and G. turuturu year-round, they were low on C. crispus during the"&amp;" winter only, In contrast, epiphyte richness and diversity on C. fragile remained high throughout the year, suggesting that C. fragile plays an important role for supporting epiphytes during the cooler months. Second, we examined the relationship between "&amp;"epiphytes and a common herbivorous snail, Lacuna vincta. The abundance of juvenile L. vincta was positively correlated with 1 of the 2 most common epiphyte species, Neosiphonia harveyi. However, L. vincta showed a significant consumption preference for th"&amp;"e other abundant epiphyte, Ceramium virgatum, in laboratory assays. Our results suggest that epiphyte facilitation by these invasive algal hosts is not only seasonally important for maintaining species richness and diversity, but may also provide both foo"&amp;"d and habitat for higher trophic levels.")</f>
        <v>Although invasive species can negatively impact communities via processes such as resource competition, they may also add new resources that facilitate the distribution and/or abundance of other organisms. In rocky intertidal systems, many benthic macroalgae compete for primary substrate, while providing secondary substrata to which sessile organisms can attach. Using field surveys and laboratory experiments, we investigated algal host-epiphyte dynamics in a New England rocky intertidal system. First, we compared the composition, abundance, richness, and diversity of epiphytes on 2 invasive macroalgal species, Codium fragile ssp. tomentosoides and Grateloupia turuturu, to 2 native macroalgal species, Chondrus crispus and Fucus vesiculosus. We found significant differences among epiphyte communities, as all macroalgal hosts supported different assemblages of species. While epiphyte richness and diversity were generally low on F. vesiculosus and G. turuturu year-round, they were low on C. crispus during the winter only, In contrast, epiphyte richness and diversity on C. fragile remained high throughout the year, suggesting that C. fragile plays an important role for supporting epiphytes during the cooler months. Second, we examined the relationship between epiphytes and a common herbivorous snail, Lacuna vincta. The abundance of juvenile L. vincta was positively correlated with 1 of the 2 most common epiphyte species, Neosiphonia harveyi. However, L. vincta showed a significant consumption preference for the other abundant epiphyte, Ceramium virgatum, in laboratory assays. Our results suggest that epiphyte facilitation by these invasive algal hosts is not only seasonally important for maintaining species richness and diversity, but may also provide both food and habitat for higher trophic levels.</v>
      </c>
      <c r="C46" s="24" t="str">
        <f>IFERROR(__xludf.DUMMYFUNCTION("""COMPUTED_VALUE"""),"10.3354/meps08391")</f>
        <v>10.3354/meps08391</v>
      </c>
      <c r="D46" s="24" t="str">
        <f>IFERROR(__xludf.DUMMYFUNCTION("""COMPUTED_VALUE"""),"murphy et al")</f>
        <v>murphy et al</v>
      </c>
      <c r="E46" s="24" t="str">
        <f>IFERROR(__xludf.DUMMYFUNCTION("""COMPUTED_VALUE"""),"WOS:000275528300008")</f>
        <v>WOS:000275528300008</v>
      </c>
      <c r="F46" s="24" t="str">
        <f>IFERROR(__xludf.DUMMYFUNCTION("""COMPUTED_VALUE"""),"[""ELIGIBLE""]")</f>
        <v>["ELIGIBLE"]</v>
      </c>
    </row>
    <row r="47">
      <c r="A47" s="24" t="str">
        <f>IFERROR(__xludf.DUMMYFUNCTION("""COMPUTED_VALUE"""),"Higher abundance and diversity in faunal assemblages with the invasion of Codium fragile ssp fragile in eelgrass meadows")</f>
        <v>Higher abundance and diversity in faunal assemblages with the invasion of Codium fragile ssp fragile in eelgrass meadows</v>
      </c>
      <c r="B47" s="24" t="str">
        <f>IFERROR(__xludf.DUMMYFUNCTION("""COMPUTED_VALUE"""),"The present study examined how species-specific attributes of the invasive alga Codium fragile ssp. fragile (hereafter Codium) and eelgrass Zostera marina influenced faunal assemblages associated with eelgrass ecosystems in iles de la Madeleine, eastern C"&amp;"anada. Direct association of species with Codium (&lt; 1 m) was evaluated and compared to eelgrass faunal assemblages from invaded beds. Potential neighborhood effects (ca. 10 m) were assessed by comparing invertebrates associated with eelgrass in invaded an"&amp;"d non-invaded beds. The influence of Codium on more mobile species was evaluated by comparing fish assemblages associated with macrophytes in invaded and non-invaded beds. In addition, species-area relationships for low mobility species associated with Co"&amp;"dium were contrasted between beds where Codium or eelgrass was the dominant structuring macrophyte. Codium had distinct invertebrate species assemblages, as there was a greater abundance and diversity of invertebrates associated with Codium than with eelg"&amp;"rass, and multivariate assemblage structure differed between macrophyte types. In contrast, no neighborhood patterns were observed as invertebrate assemblages associated with eelgrass did not differ between invaded and non-invaded beds, suggesting that th"&amp;"e mechanisms that account for differences between the invertebrate assemblages are a function of the macrophyte's nature and operate at small spatial scales. Fish community structure differed between invaded and non-invaded beds, largely due to a greater "&amp;"abundance of 2 fishes, Apeltes quadracus and Tautogolabrus adspersus, in invaded beds. Epifaunal abundance and species richness were positively correlated with Codium thallus biomass, and the abundance relative to biomass correlation was greatest where Co"&amp;"dium was the dominant macrophyte. Experimental manipulation of thallus structure to create straight or branched Codium fronds with similar surface area showed that associated invertebrate and gastropod abundance was not influenced by this factor and indic"&amp;"ated that factors other than macrostructure complexity influenced the presence of epifauna on the introduced alga. Overall, the present study suggests that the invasion of eelgrass beds by Codium increases faunal density and diversity. However, longer-ter"&amp;"m effects of Codium invasion in this and other eelgrass ecosystems require further assessment, as the severity of the invasion effects on faunal communities likely depends on the interaction between Codium and eelgrass.")</f>
        <v>The present study examined how species-specific attributes of the invasive alga Codium fragile ssp. fragile (hereafter Codium) and eelgrass Zostera marina influenced faunal assemblages associated with eelgrass ecosystems in iles de la Madeleine, eastern Canada. Direct association of species with Codium (&lt; 1 m) was evaluated and compared to eelgrass faunal assemblages from invaded beds. Potential neighborhood effects (ca. 10 m) were assessed by comparing invertebrates associated with eelgrass in invaded and non-invaded beds. The influence of Codium on more mobile species was evaluated by comparing fish assemblages associated with macrophytes in invaded and non-invaded beds. In addition, species-area relationships for low mobility species associated with Codium were contrasted between beds where Codium or eelgrass was the dominant structuring macrophyte. Codium had distinct invertebrate species assemblages, as there was a greater abundance and diversity of invertebrates associated with Codium than with eelgrass, and multivariate assemblage structure differed between macrophyte types. In contrast, no neighborhood patterns were observed as invertebrate assemblages associated with eelgrass did not differ between invaded and non-invaded beds, suggesting that the mechanisms that account for differences between the invertebrate assemblages are a function of the macrophyte's nature and operate at small spatial scales. Fish community structure differed between invaded and non-invaded beds, largely due to a greater abundance of 2 fishes, Apeltes quadracus and Tautogolabrus adspersus, in invaded beds. Epifaunal abundance and species richness were positively correlated with Codium thallus biomass, and the abundance relative to biomass correlation was greatest where Codium was the dominant macrophyte. Experimental manipulation of thallus structure to create straight or branched Codium fronds with similar surface area showed that associated invertebrate and gastropod abundance was not influenced by this factor and indicated that factors other than macrostructure complexity influenced the presence of epifauna on the introduced alga. Overall, the present study suggests that the invasion of eelgrass beds by Codium increases faunal density and diversity. However, longer-term effects of Codium invasion in this and other eelgrass ecosystems require further assessment, as the severity of the invasion effects on faunal communities likely depends on the interaction between Codium and eelgrass.</v>
      </c>
      <c r="C47" s="24" t="str">
        <f>IFERROR(__xludf.DUMMYFUNCTION("""COMPUTED_VALUE"""),"10.3354/meps08961")</f>
        <v>10.3354/meps08961</v>
      </c>
      <c r="D47" s="24" t="str">
        <f>IFERROR(__xludf.DUMMYFUNCTION("""COMPUTED_VALUE"""),"murphy et al")</f>
        <v>murphy et al</v>
      </c>
      <c r="E47" s="24" t="str">
        <f>IFERROR(__xludf.DUMMYFUNCTION("""COMPUTED_VALUE"""),"WOS:000287966400009")</f>
        <v>WOS:000287966400009</v>
      </c>
      <c r="F47" s="24" t="str">
        <f>IFERROR(__xludf.DUMMYFUNCTION("""COMPUTED_VALUE"""),"[""ELIGIBLE""]")</f>
        <v>["ELIGIBLE"]</v>
      </c>
    </row>
    <row r="48">
      <c r="A48" s="24" t="str">
        <f>IFERROR(__xludf.DUMMYFUNCTION("""COMPUTED_VALUE"""),"Community-level consequences of a plant invasion: Effects on three habitats in coastal California")</f>
        <v>Community-level consequences of a plant invasion: Effects on three habitats in coastal California</v>
      </c>
      <c r="B48" s="24" t="str">
        <f>IFERROR(__xludf.DUMMYFUNCTION("""COMPUTED_VALUE"""),"Biological invasion by normative species is a global phenomenon that has the capacity to dramatically alter native communities. However, surprisingly few studies have quantified the effects of exotic plant species on the communities they invade, or have c"&amp;"onsidered how these effects vary among habitat types or seasons. Here, we used both comparative and experimental field studies to investigate the influence of Cape ivy (Delairea odorata; Asteraceae), an invasive evergreen vine native to South Africa, on t"&amp;"hree habitat types in coastal regions of northern California (coastal scrub, willow riparian, and alder riparian). In the comparative study, plots invaded by Cape ivy contained 36% fewer native plant species and 37% fewer normative taxa, and this pattern "&amp;"persisted across habitat types and seasons. The richness of grass and forb species was lower in invaded plots, whereas fern and shrub richness did not vary among zones. Native species richness was significantly lower with increasing cover of Cape ivy, but"&amp;" this was not the case for normative species. In addition, invasion by Cape ivy was associated with a 31% decrease in species diversity as well as an 88% decrease in the abundance of native seedlings and a 92% decrease in normative seedlings compared to u"&amp;"ninvaded areas. After 2 yr, a Cape-ivy reduction experiment yielded similar results, with a 10% increase in the richness of native species compared to control plots, and a 43% increase in the richness of normative taxa. Forb species richness increased sig"&amp;"nificantly when Cape-ivy cover was reduced, whereas shrub richness decreased slightly and no effects were detected for ferns and grasses. We also found that Cape-ivy reduction led to a 32% increase in plant species diversity, an 86% increase in the abunda"&amp;"nce of native seedlings, and an 85% increase for normative seedlings. In all cases, the effects of Cape-ivy reduction were consistent across habitat types. Collectively, our results indicate that this invader has significantly changed the composition of t"&amp;"hree different habitat types, and its control should be a major priority. However, our data also indicate that Cape ivy had negative effects on the richness of both native and normative plant species. Such findings suggest that a consequence of removing C"&amp;"ape ivy from invaded areas may be to facilitate the proliferation of other normative species.")</f>
        <v>Biological invasion by normative species is a global phenomenon that has the capacity to dramatically alter native communities. However, surprisingly few studies have quantified the effects of exotic plant species on the communities they invade, or have considered how these effects vary among habitat types or seasons. Here, we used both comparative and experimental field studies to investigate the influence of Cape ivy (Delairea odorata; Asteraceae), an invasive evergreen vine native to South Africa, on three habitat types in coastal regions of northern California (coastal scrub, willow riparian, and alder riparian). In the comparative study, plots invaded by Cape ivy contained 36% fewer native plant species and 37% fewer normative taxa, and this pattern persisted across habitat types and seasons. The richness of grass and forb species was lower in invaded plots, whereas fern and shrub richness did not vary among zones. Native species richness was significantly lower with increasing cover of Cape ivy, but this was not the case for normative species. In addition, invasion by Cape ivy was associated with a 31% decrease in species diversity as well as an 88% decrease in the abundance of native seedlings and a 92% decrease in normative seedlings compared to uninvaded areas. After 2 yr, a Cape-ivy reduction experiment yielded similar results, with a 10% increase in the richness of native species compared to control plots, and a 43% increase in the richness of normative taxa. Forb species richness increased significantly when Cape-ivy cover was reduced, whereas shrub richness decreased slightly and no effects were detected for ferns and grasses. We also found that Cape-ivy reduction led to a 32% increase in plant species diversity, an 86% increase in the abundance of native seedlings, and an 85% increase for normative seedlings. In all cases, the effects of Cape-ivy reduction were consistent across habitat types. Collectively, our results indicate that this invader has significantly changed the composition of three different habitat types, and its control should be a major priority. However, our data also indicate that Cape ivy had negative effects on the richness of both native and normative plant species. Such findings suggest that a consequence of removing Cape ivy from invaded areas may be to facilitate the proliferation of other normative species.</v>
      </c>
      <c r="C48" s="24" t="str">
        <f>IFERROR(__xludf.DUMMYFUNCTION("""COMPUTED_VALUE"""),"10.2307/3099982")</f>
        <v>10.2307/3099982</v>
      </c>
      <c r="D48" s="24" t="str">
        <f>IFERROR(__xludf.DUMMYFUNCTION("""COMPUTED_VALUE"""),"murphy et al")</f>
        <v>murphy et al</v>
      </c>
      <c r="E48" s="24" t="str">
        <f>IFERROR(__xludf.DUMMYFUNCTION("""COMPUTED_VALUE"""),"WOS:000179198600015")</f>
        <v>WOS:000179198600015</v>
      </c>
      <c r="F48" s="24" t="str">
        <f>IFERROR(__xludf.DUMMYFUNCTION("""COMPUTED_VALUE"""),"[""ELIGIBLE""]")</f>
        <v>["ELIGIBLE"]</v>
      </c>
    </row>
    <row r="49">
      <c r="A49" s="24" t="str">
        <f>IFERROR(__xludf.DUMMYFUNCTION("""COMPUTED_VALUE"""),"Is there a relationship between herbaceous species richness and buffel grass (Cenchrus ciliaris)?")</f>
        <v>Is there a relationship between herbaceous species richness and buffel grass (Cenchrus ciliaris)?</v>
      </c>
      <c r="B49" s="24" t="str">
        <f>IFERROR(__xludf.DUMMYFUNCTION("""COMPUTED_VALUE"""),"Cenchrus ciliaris L. (buffel grass) (Poaceae) is recognized as one of Australia's most serious environmental weeds. This introduced grass has been associated with loss of native species and alteration of fire regimes. However, it is also highly valued as "&amp;"a pasture species for arid and semiarid zones and its weed status is highly controversial. Quantitative studies are needed to determine its ecological effects. The relationship between C. ciliaris and herbaceous species richness was investigated in two st"&amp;"udies at a range of scales up to 64 m(2) in open woodlands in the Dalrymple Shire, north-eastern Queensland. In the first study, the herbaceous species composition of sites with and without C. ciliaris were compared. Cenchrus ciliaris-dominated sites had "&amp;"fewer herbaceous species than non-C. ciliaris sites at all scales investigated and this pattern was found for the major plant groups (perennial grasses, legumes and other forbs) present. In the second study, the relationship between varying levels of C. c"&amp;"iliaris biomass and species richness was investigated. The relationship between varying levels of a dominant native grass, Bothriochloa ewartiana (Domin) C.E. Hubb. (Poaceae), and species richness was also determined for comparison with the C. ciliaris bi"&amp;"omass-richness relationship. In this study, species richness was negatively associated with increasing C. ciliaris biomass at some scales and it appeared that C. ciliaris had a greater effect on richness than B. ewartiana. The negative association between"&amp;" C. ciliaris and species richness is consistent with the view that invasion by C. ciliaris poses a threat to biodiversity. However, the precise cause of the relationship has yet to be determined.")</f>
        <v>Cenchrus ciliaris L. (buffel grass) (Poaceae) is recognized as one of Australia's most serious environmental weeds. This introduced grass has been associated with loss of native species and alteration of fire regimes. However, it is also highly valued as a pasture species for arid and semiarid zones and its weed status is highly controversial. Quantitative studies are needed to determine its ecological effects. The relationship between C. ciliaris and herbaceous species richness was investigated in two studies at a range of scales up to 64 m(2) in open woodlands in the Dalrymple Shire, north-eastern Queensland. In the first study, the herbaceous species composition of sites with and without C. ciliaris were compared. Cenchrus ciliaris-dominated sites had fewer herbaceous species than non-C. ciliaris sites at all scales investigated and this pattern was found for the major plant groups (perennial grasses, legumes and other forbs) present. In the second study, the relationship between varying levels of C. ciliaris biomass and species richness was investigated. The relationship between varying levels of a dominant native grass, Bothriochloa ewartiana (Domin) C.E. Hubb. (Poaceae), and species richness was also determined for comparison with the C. ciliaris biomass-richness relationship. In this study, species richness was negatively associated with increasing C. ciliaris biomass at some scales and it appeared that C. ciliaris had a greater effect on richness than B. ewartiana. The negative association between C. ciliaris and species richness is consistent with the view that invasion by C. ciliaris poses a threat to biodiversity. However, the precise cause of the relationship has yet to be determined.</v>
      </c>
      <c r="C49" s="24" t="str">
        <f>IFERROR(__xludf.DUMMYFUNCTION("""COMPUTED_VALUE"""),"10.1111/j.1442-9993.2005.01465.x")</f>
        <v>10.1111/j.1442-9993.2005.01465.x</v>
      </c>
      <c r="D49" s="24" t="str">
        <f>IFERROR(__xludf.DUMMYFUNCTION("""COMPUTED_VALUE"""),"murphy et al")</f>
        <v>murphy et al</v>
      </c>
      <c r="E49" s="24" t="str">
        <f>IFERROR(__xludf.DUMMYFUNCTION("""COMPUTED_VALUE"""),"WOS:000230600700003")</f>
        <v>WOS:000230600700003</v>
      </c>
      <c r="F49" s="24" t="str">
        <f>IFERROR(__xludf.DUMMYFUNCTION("""COMPUTED_VALUE"""),"[""ELIGIBLE""]")</f>
        <v>["ELIGIBLE"]</v>
      </c>
    </row>
    <row r="50">
      <c r="A50" s="24" t="str">
        <f>IFERROR(__xludf.DUMMYFUNCTION("""COMPUTED_VALUE"""),"Consequences of invasion by the alien plant Mimulus guttatus on the-species composition and soil properties of riparian plant communities in Scotland")</f>
        <v>Consequences of invasion by the alien plant Mimulus guttatus on the-species composition and soil properties of riparian plant communities in Scotland</v>
      </c>
      <c r="B50" s="24" t="str">
        <f>IFERROR(__xludf.DUMMYFUNCTION("""COMPUTED_VALUE"""),"Invasive plant species are widely recognised to have severe ecological impacts in a wide range of ecosystems throughout the world, yet there are few experimental studies measuring community-level effects of invasive plant species. Thus most evidence is fr"&amp;"om correlative studies, and as such often cannot easily disentangle cause and effect. Through a combination of an addition and removal experiment and a correlative approach (multi-site comparisons), this study aimed to quantify the effects of a widespread"&amp;" invasive species, Mimulus guttatus, on species richness and soil properties of riparian plant communities. The marked negative association between Mimulus cover and plant species richness identified through correlative multi-site comparisons was consiste"&amp;"nt with experimental removal studies which indicate Mimulus significantly alters the structure of riparian plant communities. Total C and N and soil moisture were marginally higher in invaded than in uninvaded disturbed sediment plots. Following Mimulus r"&amp;"emoval, there was an increase in the occurrence and abundance of another non-native species, Claytonia sibirica, as well as germination and establishment of Mimulus seedlings. This highlights that, although removal increased richness, bringing the plant c"&amp;"ommunity closer structurally to uninvaded vegetation, the application of removal as a management tool needs to be undertaken with caution, as it may create opportunities for other invaders. The impact of Mimulus appeared restricted to disturbed sediment c"&amp;"ommunities, as addition experiments into herb-grass communities were relatively unsuccessful in establishing Mimulus. These patterns were consistent with the distribution of the species in riparian plant communities. The addition experiments highlight tha"&amp;"t, as well as competition from the resident vegetation community, mollusc herbivory Further hinders the establishment of Mimulus. Many manipulation studies have removed invasive plant species from heavily invaded communities, and it is often thought that "&amp;"invasive species usually affect plant community structure only where their cover is high. This study is unique in demonstrating impacts where cover of the invasive plant is relatively low. (C) 2008 Rubel Foundation, ETH Zurich. Published by Elsevier GmbH."&amp;" All rights reserved.")</f>
        <v>Invasive plant species are widely recognised to have severe ecological impacts in a wide range of ecosystems throughout the world, yet there are few experimental studies measuring community-level effects of invasive plant species. Thus most evidence is from correlative studies, and as such often cannot easily disentangle cause and effect. Through a combination of an addition and removal experiment and a correlative approach (multi-site comparisons), this study aimed to quantify the effects of a widespread invasive species, Mimulus guttatus, on species richness and soil properties of riparian plant communities. The marked negative association between Mimulus cover and plant species richness identified through correlative multi-site comparisons was consistent with experimental removal studies which indicate Mimulus significantly alters the structure of riparian plant communities. Total C and N and soil moisture were marginally higher in invaded than in uninvaded disturbed sediment plots. Following Mimulus removal, there was an increase in the occurrence and abundance of another non-native species, Claytonia sibirica, as well as germination and establishment of Mimulus seedlings. This highlights that, although removal increased richness, bringing the plant community closer structurally to uninvaded vegetation, the application of removal as a management tool needs to be undertaken with caution, as it may create opportunities for other invaders. The impact of Mimulus appeared restricted to disturbed sediment communities, as addition experiments into herb-grass communities were relatively unsuccessful in establishing Mimulus. These patterns were consistent with the distribution of the species in riparian plant communities. The addition experiments highlight that, as well as competition from the resident vegetation community, mollusc herbivory Further hinders the establishment of Mimulus. Many manipulation studies have removed invasive plant species from heavily invaded communities, and it is often thought that invasive species usually affect plant community structure only where their cover is high. This study is unique in demonstrating impacts where cover of the invasive plant is relatively low. (C) 2008 Rubel Foundation, ETH Zurich. Published by Elsevier GmbH. All rights reserved.</v>
      </c>
      <c r="C50" s="24" t="str">
        <f>IFERROR(__xludf.DUMMYFUNCTION("""COMPUTED_VALUE"""),"10.1016/j.ppees.2008.04.001")</f>
        <v>10.1016/j.ppees.2008.04.001</v>
      </c>
      <c r="D50" s="24" t="str">
        <f>IFERROR(__xludf.DUMMYFUNCTION("""COMPUTED_VALUE"""),"murphy et al")</f>
        <v>murphy et al</v>
      </c>
      <c r="E50" s="24" t="str">
        <f>IFERROR(__xludf.DUMMYFUNCTION("""COMPUTED_VALUE"""),"WOS:000262357600002")</f>
        <v>WOS:000262357600002</v>
      </c>
      <c r="F50" s="24" t="str">
        <f>IFERROR(__xludf.DUMMYFUNCTION("""COMPUTED_VALUE"""),"[""ELIGIBLE""]")</f>
        <v>["ELIGIBLE"]</v>
      </c>
    </row>
    <row r="51">
      <c r="A51" s="24" t="str">
        <f>IFERROR(__xludf.DUMMYFUNCTION("""COMPUTED_VALUE"""),"Experimental introduction of the alien plant Hieracium lepidulum reveals no significant impact on montane plant communities in New Zealand")</f>
        <v>Experimental introduction of the alien plant Hieracium lepidulum reveals no significant impact on montane plant communities in New Zealand</v>
      </c>
      <c r="B51" s="24" t="str">
        <f>IFERROR(__xludf.DUMMYFUNCTION("""COMPUTED_VALUE"""),"Aim There is debate over whether alien plants necessarily alter the communities they invade or can coexist with native species without discernable impacts. We followed the fate of montane plant communities in response to the experimental sowing of the ali"&amp;"en weed Hieracium lepidulum, looking for changes in plant community composition and structure over 6 years. Location Craigieburn Range, New Zealand. Methods We used a replicated randomised block design, with 30 x 30 cm plots (n = 756) subdivided into 5 x "&amp;"5 cm cells to examine and compare the effects of H. lepidulum at 0.09 m2 (plot) and 0.0025 m2 (cell) scales. Plots were sown with between 0 and 15,625 H. lepidulum seeds in 2003, forming gradients of invader density and cover. Measurements comprised commu"&amp;"nity richness, evenness and diversity along with H. lepidulum density and cover at both scales. The relationships between the invader and local community attributes were modelled using hierarchical mixed-effect models. Results Plant communities differed i"&amp;"n the extent to which they became invaded, with H. lepidulum cover in the plots ranging from 0% to 52%, with a mean of only 1.89%. Plot species richness increased from 2003 to 2009, with a component of this increase (+0.002 species per year) associated wi"&amp;"th increasing H. lepidulum density. Other relationships between the plant community and H. lepidulum were generally non-significant. Main conclusions In these montane plant communities, it appears H. lepidulum coexists with the native community with no me"&amp;"asurable negative effects after 6 years on species richness, evenness or diversity, even where density and cover of the invader are highest. We suggest H. lepidulum has persisted preferentially at those sites with abiotic conditions sufficient to support "&amp;"a species-rich assemblage.")</f>
        <v>Aim There is debate over whether alien plants necessarily alter the communities they invade or can coexist with native species without discernable impacts. We followed the fate of montane plant communities in response to the experimental sowing of the alien weed Hieracium lepidulum, looking for changes in plant community composition and structure over 6 years. Location Craigieburn Range, New Zealand. Methods We used a replicated randomised block design, with 30 x 30 cm plots (n = 756) subdivided into 5 x 5 cm cells to examine and compare the effects of H. lepidulum at 0.09 m2 (plot) and 0.0025 m2 (cell) scales. Plots were sown with between 0 and 15,625 H. lepidulum seeds in 2003, forming gradients of invader density and cover. Measurements comprised community richness, evenness and diversity along with H. lepidulum density and cover at both scales. The relationships between the invader and local community attributes were modelled using hierarchical mixed-effect models. Results Plant communities differed in the extent to which they became invaded, with H. lepidulum cover in the plots ranging from 0% to 52%, with a mean of only 1.89%. Plot species richness increased from 2003 to 2009, with a component of this increase (+0.002 species per year) associated with increasing H. lepidulum density. Other relationships between the plant community and H. lepidulum were generally non-significant. Main conclusions In these montane plant communities, it appears H. lepidulum coexists with the native community with no measurable negative effects after 6 years on species richness, evenness or diversity, even where density and cover of the invader are highest. We suggest H. lepidulum has persisted preferentially at those sites with abiotic conditions sufficient to support a species-rich assemblage.</v>
      </c>
      <c r="C51" s="24" t="str">
        <f>IFERROR(__xludf.DUMMYFUNCTION("""COMPUTED_VALUE"""),"10.1111/j.1472-4642.2010.00684.x")</f>
        <v>10.1111/j.1472-4642.2010.00684.x</v>
      </c>
      <c r="D51" s="24" t="str">
        <f>IFERROR(__xludf.DUMMYFUNCTION("""COMPUTED_VALUE"""),"murphy et al")</f>
        <v>murphy et al</v>
      </c>
      <c r="E51" s="24" t="str">
        <f>IFERROR(__xludf.DUMMYFUNCTION("""COMPUTED_VALUE"""),"WOS:000280973100010")</f>
        <v>WOS:000280973100010</v>
      </c>
      <c r="F51" s="24" t="str">
        <f>IFERROR(__xludf.DUMMYFUNCTION("""COMPUTED_VALUE"""),"[""ELIGIBLE""]")</f>
        <v>["ELIGIBLE"]</v>
      </c>
    </row>
    <row r="52">
      <c r="A52" s="24" t="str">
        <f>IFERROR(__xludf.DUMMYFUNCTION("""COMPUTED_VALUE"""),"Willow (Salix x rubens) invasion of the riparian zone in south-eastern Australia: reduced abundance and altered composition of terrestrial arthropods")</f>
        <v>Willow (Salix x rubens) invasion of the riparian zone in south-eastern Australia: reduced abundance and altered composition of terrestrial arthropods</v>
      </c>
      <c r="B52" s="24" t="str">
        <f>IFERROR(__xludf.DUMMYFUNCTION("""COMPUTED_VALUE"""),"This study investigated the impact of invasion by an alien hybrid willow (the white-crack willow, Salix x rubens) on the abundance and diversity of terrestrial arthropods along the lower Tarago River in south-eastern Australia in spring and summer. Canopy"&amp;" arthropods were sampled by branch clippings, flying insects by sticky traps, and arthropod stream inputs by floating pan traps in willow-invaded and uninvaded river sections. Willow-invaded river sections had a significantly lower abundance and diversity"&amp;" of canopy arthropods, but the abundance and diversity of flying insects did not differ between willow-invaded and native sections. Overall input of terrestrial arthropods was lower in willow-invaded sections but this depended on sampling date. In general"&amp;", differences in arthropod abundance between willow-invaded and native river sections were greater in spring than summer, which may reflect seasonal changes in resource availability in native river sections. Morphospecies composition also differed signifi"&amp;"cantly between willow-invaded and native sections. These changes in abundance, diversity, and composition of terrestrial arthropods following plant invasion of the riparian zone may indirectly alter in-stream food webs and have important effects on higher"&amp;"-order consumers in the riparian zone.")</f>
        <v>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v>
      </c>
      <c r="C52" s="24" t="str">
        <f>IFERROR(__xludf.DUMMYFUNCTION("""COMPUTED_VALUE"""),"10.1111/j.1366-9516.2004.00104.x")</f>
        <v>10.1111/j.1366-9516.2004.00104.x</v>
      </c>
      <c r="D52" s="24" t="str">
        <f>IFERROR(__xludf.DUMMYFUNCTION("""COMPUTED_VALUE"""),"murphy et al")</f>
        <v>murphy et al</v>
      </c>
      <c r="E52" s="24" t="str">
        <f>IFERROR(__xludf.DUMMYFUNCTION("""COMPUTED_VALUE"""),"WOS:000223744500018")</f>
        <v>WOS:000223744500018</v>
      </c>
      <c r="F52" s="24" t="str">
        <f>IFERROR(__xludf.DUMMYFUNCTION("""COMPUTED_VALUE"""),"[""ELIGIBLE""]")</f>
        <v>["ELIGIBLE"]</v>
      </c>
    </row>
    <row r="53">
      <c r="A53" s="24" t="str">
        <f>IFERROR(__xludf.DUMMYFUNCTION("""COMPUTED_VALUE"""),"Long-term ecosystem impacts of an introduced grass in the northern Great Plains")</f>
        <v>Long-term ecosystem impacts of an introduced grass in the northern Great Plains</v>
      </c>
      <c r="B53" s="24" t="str">
        <f>IFERROR(__xludf.DUMMYFUNCTION("""COMPUTED_VALUE"""),"Introduced plants can have negative effects on native species and diversity, but their impacts on ecosystem function are less apparent. At the northern edge of the Great Plains, we examined five stands in each of undisturbed prairie, successional prairie "&amp;"(fields abandoned for similar to 50 yr that had undergone succession to native grasses), and abandoned fields of similar age planted with Agropyron cristatum, a C-3 perennial tussock grass introduced from northern Asia. We attributed differences between s"&amp;"uccessional prairie and A. cristatum stands to the introduced species and not to cultivation. A. cristatum fields contained few native species, resulting in significantly lower species richness and diversity. Growth forms most similar to A. cristatum, i.e"&amp;"., C-3 grasses, were most likely to be excluded. Soils under A. cristatum had significantly less available N, total N, and total C than soils under successional prairie. A. cristatum fields had significantly higher shoot mass than successional prairie, bu"&amp;"t root:shoot ratios in A. cristatum fields were less than half those under successional prairie, because root mass was significantly higher under native grasses. C:N ratios did not vary significantly between A. cristatum and native grasses, suggesting tha"&amp;"t the lower N and C content of soils under A. cristatum was not caused by differences in nutrient concentrations. Instead, the relatively low root mass of the introduced grass was probably responsible for decreased rates of N and C addition to the soil. B"&amp;"ecause total C was 25% less in soils under A. cristatum than under successional prairie, the planting of A. cristatum over millions of hectares of the Great Plains may have left 3.3-4.8 X 10(14) g of C in the atmosphere that would otherwise have been stor"&amp;"ed as soil organic matter by native grasses. In contrast to the large effects of A. cristatum, almost no significant differences were found between undisturbed and successional prairie. Thus, the identity of the species dominating after disturbance played"&amp;" a larger long-term role in determining ecosystem function than did the disturbance itself. The results suggest that the effects of this introduced species extend beyond the displacement of native species and the reduction of diversity, and include the al"&amp;"teration of pools and flows of energy and nutrients in the prairie ecosystem.")</f>
        <v>Introduced plants can have negative effects on native species and diversity, but their impacts on ecosystem function are less apparent. At the northern edge of the Great Plains, we examined five stands in each of undisturbed prairie, successional prairie (fields abandoned for similar to 50 yr that had undergone succession to native grasses), and abandoned fields of similar age planted with Agropyron cristatum, a C-3 perennial tussock grass introduced from northern Asia. We attributed differences between successional prairie and A. cristatum stands to the introduced species and not to cultivation. A. cristatum fields contained few native species, resulting in significantly lower species richness and diversity. Growth forms most similar to A. cristatum, i.e., C-3 grasses, were most likely to be excluded. Soils under A. cristatum had significantly less available N, total N, and total C than soils under successional prairie. A. cristatum fields had significantly higher shoot mass than successional prairie, but root:shoot ratios in A. cristatum fields were less than half those under successional prairie, because root mass was significantly higher under native grasses. C:N ratios did not vary significantly between A. cristatum and native grasses, suggesting that the lower N and C content of soils under A. cristatum was not caused by differences in nutrient concentrations. Instead, the relatively low root mass of the introduced grass was probably responsible for decreased rates of N and C addition to the soil. Because total C was 25% less in soils under A. cristatum than under successional prairie, the planting of A. cristatum over millions of hectares of the Great Plains may have left 3.3-4.8 X 10(14) g of C in the atmosphere that would otherwise have been stored as soil organic matter by native grasses. In contrast to the large effects of A. cristatum, almost no significant differences were found between undisturbed and successional prairie. Thus, the identity of the species dominating after disturbance played a larger long-term role in determining ecosystem function than did the disturbance itself. The results suggest that the effects of this introduced species extend beyond the displacement of native species and the reduction of diversity, and include the alteration of pools and flows of energy and nutrients in the prairie ecosystem.</v>
      </c>
      <c r="C53" s="24" t="str">
        <f>IFERROR(__xludf.DUMMYFUNCTION("""COMPUTED_VALUE"""),"10.1890/0012-9658(1999)080[2397:LTEIOA]2.0.CO;2")</f>
        <v>10.1890/0012-9658(1999)080[2397:LTEIOA]2.0.CO;2</v>
      </c>
      <c r="D53" s="24" t="str">
        <f>IFERROR(__xludf.DUMMYFUNCTION("""COMPUTED_VALUE"""),"murphy et al")</f>
        <v>murphy et al</v>
      </c>
      <c r="E53" s="24" t="str">
        <f>IFERROR(__xludf.DUMMYFUNCTION("""COMPUTED_VALUE"""),"WOS:000083009400022")</f>
        <v>WOS:000083009400022</v>
      </c>
      <c r="F53" s="24" t="str">
        <f>IFERROR(__xludf.DUMMYFUNCTION("""COMPUTED_VALUE"""),"[""ELIGIBLE""]")</f>
        <v>["ELIGIBLE"]</v>
      </c>
    </row>
    <row r="54">
      <c r="A54" s="24" t="str">
        <f>IFERROR(__xludf.DUMMYFUNCTION("""COMPUTED_VALUE"""),"Compositional and functional stability of arthropod communities in the face of ant invasions")</f>
        <v>Compositional and functional stability of arthropod communities in the face of ant invasions</v>
      </c>
      <c r="B54" s="24" t="str">
        <f>IFERROR(__xludf.DUMMYFUNCTION("""COMPUTED_VALUE"""),"There is a general consensus that the diversity of a biotic community can have an influence on its stability, but the strength, ubiquity, and relative importance of this effect is less clear. In the context of biological invasions, diversity has usually b"&amp;"een studied in terms of its effect on a community's invasibility, but diversity may also influence stability by affecting the magnitude of compositional or functional changes experienced by a community upon invasion. We examined the impacts of invasive an"&amp;"ts on arthropod communities at five natural area sites in the Hawaiian Islands, and assessed whether differences among sites in community diversity and density variables were related to measures of stability. Ant invasion was usually associated with signi"&amp;"ficant changes in overall community composition, as measured by Bray-Curtis distances, particularly among endemic subsets of the communities. Changes in mean species richness were also strong at three of the five sites. Among sites, diversity was negative"&amp;"ly related to stability as measured by resistance to overall compositional change, but this effect could not be separated from the strong negative effect of invasive ant density on compositional stability. When compositional stability was measured as prop"&amp;"ortional change in richness, the best predictor of stability among endemic community subsets was endemic richness, with richer communities losing proportionately more species than species-poor communities. This effect was highly significant even after con"&amp;"trolling for differences in invasive ant density and suggested that communities that had already lost many endemic species were resistant to further species loss upon ant invasion, while more intact communities remained vulnerable to species loss. Communi"&amp;"ties underwent strong but idiosyncratic functional shifts in association with ant invasion, both in terms of trophic structure and total arthropod biomass. There were no apparent relationships, however, between functional stability and community diversity"&amp;" or density measures. Instead, invasive ant density was the best among-site predictor of the magnitude of functional change. Overall, diversity appeared to be a poor predictor of stability in the face of ant invasion in these communities, possibly because"&amp;" any actual diversity effects were overshadowed by community-specific factors and variation in the magnitude of the ant-mediated perturbation.")</f>
        <v>There is a general consensus that the diversity of a biotic community can have an influence on its stability, but the strength, ubiquity, and relative importance of this effect is less clear. In the context of biological invasions, diversity has usually been studied in terms of its effect on a community's invasibility, but diversity may also influence stability by affecting the magnitude of compositional or functional changes experienced by a community upon invasion. We examined the impacts of invasive ants on arthropod communities at five natural area sites in the Hawaiian Islands, and assessed whether differences among sites in community diversity and density variables were related to measures of stability. Ant invasion was usually associated with significant changes in overall community composition, as measured by Bray-Curtis distances, particularly among endemic subsets of the communities. Changes in mean species richness were also strong at three of the five sites. Among sites, diversity was negatively related to stability as measured by resistance to overall compositional change, but this effect could not be separated from the strong negative effect of invasive ant density on compositional stability. When compositional stability was measured as proportional change in richness, the best predictor of stability among endemic community subsets was endemic richness, with richer communities losing proportionately more species than species-poor communities. This effect was highly significant even after controlling for differences in invasive ant density and suggested that communities that had already lost many endemic species were resistant to further species loss upon ant invasion, while more intact communities remained vulnerable to species loss. Communities underwent strong but idiosyncratic functional shifts in association with ant invasion, both in terms of trophic structure and total arthropod biomass. There were no apparent relationships, however, between functional stability and community diversity or density measures. Instead, invasive ant density was the best among-site predictor of the magnitude of functional change. Overall, diversity appeared to be a poor predictor of stability in the face of ant invasion in these communities, possibly because any actual diversity effects were overshadowed by community-specific factors and variation in the magnitude of the ant-mediated perturbation.</v>
      </c>
      <c r="C54" s="24" t="str">
        <f>IFERROR(__xludf.DUMMYFUNCTION("""COMPUTED_VALUE"""),"10.1890/07-1293.1")</f>
        <v>10.1890/07-1293.1</v>
      </c>
      <c r="D54" s="24" t="str">
        <f>IFERROR(__xludf.DUMMYFUNCTION("""COMPUTED_VALUE"""),"murphy et al")</f>
        <v>murphy et al</v>
      </c>
      <c r="E54" s="24" t="str">
        <f>IFERROR(__xludf.DUMMYFUNCTION("""COMPUTED_VALUE"""),"WOS:000258413600018")</f>
        <v>WOS:000258413600018</v>
      </c>
      <c r="F54" s="24" t="str">
        <f>IFERROR(__xludf.DUMMYFUNCTION("""COMPUTED_VALUE"""),"[""ELIGIBLE""]")</f>
        <v>["ELIGIBLE"]</v>
      </c>
    </row>
    <row r="55">
      <c r="A55" s="24" t="str">
        <f>IFERROR(__xludf.DUMMYFUNCTION("""COMPUTED_VALUE"""),"Native Fish and Anuran Assemblages Differ between Impoundments with and without Non-Native Centrarchids and Bullfrogs")</f>
        <v>Native Fish and Anuran Assemblages Differ between Impoundments with and without Non-Native Centrarchids and Bullfrogs</v>
      </c>
      <c r="B55" s="24" t="str">
        <f>IFERROR(__xludf.DUMMYFUNCTION("""COMPUTED_VALUE"""),"Centrarchids (sunfish and bass species) and Bullfrogs (Lithobates catesbelanus) have been introduced Into aquatic systems around the world and have the potential to negatively Impact native fish and anurans. We surveyed fish and anuran assemblages from 26"&amp;" Impoundments in the New Jersey Pinelands, USA. We excluded non-native species and used ordination analysis to generate four native-species community gradients based on native-fish and anuran presence-absence and abundance data. All four community gradien"&amp;"ts paralleled an Increase In the percentage of upstream-altered land (development and upland agriculture) and an Increase In either non-native-centrarchid richness or abundance. Based on presence-absence and abundance data, native-fish and native-anuran a"&amp;"ssemblages, Including restricted species (those generally limited to the Pinelands region) and widespread species (those widely distributed In New Jersey), differed between Impoundments with and without non-native centrarchids. Compared to widespread spec"&amp;"ies, the greatest differences between Impoundment types were found for restricted species. Three non-native-frog species, Including Bullfrogs, were associated with degraded Impoundments that supported non-native fish. Our results demonstrate that watershe"&amp;"d conditions and native fish and anuran assemblages differ between Impoundments with and without non-native centrarchids, and suggest that some restricted species may be especially vulnerable to Impacts from watershed disturbance and non-native species. O"&amp;"ur findings support the Idea that the environmental resistance associated with Intact water-quality conditions may help prevent the Invasion of non-native fish and anurans. We recommend that land-use activities that degrade water quality and reduce Invasi"&amp;"on resistance be avoided in unaltered watersheds to conserve native-fish and native-anuran community Integrity.")</f>
        <v>Centrarchids (sunfish and bass species) and Bullfrogs (Lithobates catesbelanus) have been introduced Into aquatic systems around the world and have the potential to negatively Impact native fish and anurans. We surveyed fish and anuran assemblages from 26 Impoundments in the New Jersey Pinelands, USA. We excluded non-native species and used ordination analysis to generate four native-species community gradients based on native-fish and anuran presence-absence and abundance data. All four community gradients paralleled an Increase In the percentage of upstream-altered land (development and upland agriculture) and an Increase In either non-native-centrarchid richness or abundance. Based on presence-absence and abundance data, native-fish and native-anuran assemblages, Including restricted species (those generally limited to the Pinelands region) and widespread species (those widely distributed In New Jersey), differed between Impoundments with and without non-native centrarchids. Compared to widespread species, the greatest differences between Impoundment types were found for restricted species. Three non-native-frog species, Including Bullfrogs, were associated with degraded Impoundments that supported non-native fish. Our results demonstrate that watershed conditions and native fish and anuran assemblages differ between Impoundments with and without non-native centrarchids, and suggest that some restricted species may be especially vulnerable to Impacts from watershed disturbance and non-native species. Our findings support the Idea that the environmental resistance associated with Intact water-quality conditions may help prevent the Invasion of non-native fish and anurans. We recommend that land-use activities that degrade water quality and reduce Invasion resistance be avoided in unaltered watersheds to conserve native-fish and native-anuran community Integrity.</v>
      </c>
      <c r="C55" s="24" t="str">
        <f>IFERROR(__xludf.DUMMYFUNCTION("""COMPUTED_VALUE"""),"10.1643/CE-07-089")</f>
        <v>10.1643/CE-07-089</v>
      </c>
      <c r="D55" s="24" t="str">
        <f>IFERROR(__xludf.DUMMYFUNCTION("""COMPUTED_VALUE"""),"murphy et al")</f>
        <v>murphy et al</v>
      </c>
      <c r="E55" s="24" t="str">
        <f>IFERROR(__xludf.DUMMYFUNCTION("""COMPUTED_VALUE"""),"WOS:000262061200026")</f>
        <v>WOS:000262061200026</v>
      </c>
      <c r="F55" s="24" t="str">
        <f>IFERROR(__xludf.DUMMYFUNCTION("""COMPUTED_VALUE"""),"[""ELIGIBLE""]")</f>
        <v>["ELIGIBLE"]</v>
      </c>
    </row>
    <row r="56">
      <c r="A56" s="24" t="str">
        <f>IFERROR(__xludf.DUMMYFUNCTION("""COMPUTED_VALUE"""),"Replacement of littoral native vegetation with the ponded pasture grass Hymenachne amplexicaulis:: effects on plant, macroinvertebrate and fish biodiversity of backwaters in the Fitzroy River, Central Queensland, Australia")</f>
        <v>Replacement of littoral native vegetation with the ponded pasture grass Hymenachne amplexicaulis:: effects on plant, macroinvertebrate and fish biodiversity of backwaters in the Fitzroy River, Central Queensland, Australia</v>
      </c>
      <c r="B56" s="24" t="str">
        <f>IFERROR(__xludf.DUMMYFUNCTION("""COMPUTED_VALUE"""),"Changes in plant and macroinvertebrate communities were found following replacement of extensive zones of floating-attached/submergent native vegetation within Fitzroy River backwaters by the major environmental weed Hymenachne amplexicaulis (Poaceae). Im"&amp;"pacts of H. amplexicaulis on native littoral flora and fauna (macroinvertebrates and fish) were assessed by comparing three sites previously supporting native vegetation and now invaded by H. amplexicaulis with nearby stands of native backwater vegetation"&amp;". Plant biomass of Hymenachne plant beds was 30-fold greater than native plant beds, whereas plant species diversity (richness) was significantly less. Macroinvertebrate communities of Hymenachne beds were significantly lower in abundance of insect orders"&amp;" Ephemeroptera, Hemiptera and Odonata, while Coleoptera were more abundant in Hymenachne beds. Non-metric multidimensional scaling ordination of macroinvertebrate family abundance and composition data showed that Hymenachne plant beds had a different asse"&amp;"mblage to that in native plant beds. In common with other studies of weed invasions, an increased abundance of some vertebrate fauna was observed (in this case an introduced fish species Xiphophorus maculatus comprised 75% of fish captured in Hymenachne b"&amp;"eds compared with 0% in native plant beds). Change in vegetation structure was implicated as an important factor influencing macroinvertebrate and fish faunal composition, and with potential to impact on waterbird habitat values of wetlands.")</f>
        <v>Changes in plant and macroinvertebrate communities were found following replacement of extensive zones of floating-attached/submergent native vegetation within Fitzroy River backwaters by the major environmental weed Hymenachne amplexicaulis (Poaceae). Impacts of H. amplexicaulis on native littoral flora and fauna (macroinvertebrates and fish) were assessed by comparing three sites previously supporting native vegetation and now invaded by H. amplexicaulis with nearby stands of native backwater vegetation. Plant biomass of Hymenachne plant beds was 30-fold greater than native plant beds, whereas plant species diversity (richness) was significantly less. Macroinvertebrate communities of Hymenachne beds were significantly lower in abundance of insect orders Ephemeroptera, Hemiptera and Odonata, while Coleoptera were more abundant in Hymenachne beds. Non-metric multidimensional scaling ordination of macroinvertebrate family abundance and composition data showed that Hymenachne plant beds had a different assemblage to that in native plant beds. In common with other studies of weed invasions, an increased abundance of some vertebrate fauna was observed (in this case an introduced fish species Xiphophorus maculatus comprised 75% of fish captured in Hymenachne beds compared with 0% in native plant beds). Change in vegetation structure was implicated as an important factor influencing macroinvertebrate and fish faunal composition, and with potential to impact on waterbird habitat values of wetlands.</v>
      </c>
      <c r="C56" s="24" t="str">
        <f>IFERROR(__xludf.DUMMYFUNCTION("""COMPUTED_VALUE"""),"10.1071/MF01042")</f>
        <v>10.1071/MF01042</v>
      </c>
      <c r="D56" s="24" t="str">
        <f>IFERROR(__xludf.DUMMYFUNCTION("""COMPUTED_VALUE"""),"murphy et al")</f>
        <v>murphy et al</v>
      </c>
      <c r="E56" s="24" t="str">
        <f>IFERROR(__xludf.DUMMYFUNCTION("""COMPUTED_VALUE"""),"WOS:000180748100010")</f>
        <v>WOS:000180748100010</v>
      </c>
      <c r="F56" s="24" t="str">
        <f>IFERROR(__xludf.DUMMYFUNCTION("""COMPUTED_VALUE"""),"[""ELIGIBLE""]")</f>
        <v>["ELIGIBLE"]</v>
      </c>
    </row>
    <row r="57">
      <c r="A57" s="24" t="str">
        <f>IFERROR(__xludf.DUMMYFUNCTION("""COMPUTED_VALUE"""),"Biodiversity and ecosystem function of tropical forest dung beetles under contrasting logging regimes")</f>
        <v>Biodiversity and ecosystem function of tropical forest dung beetles under contrasting logging regimes</v>
      </c>
      <c r="B57" s="24" t="str">
        <f>IFERROR(__xludf.DUMMYFUNCTION("""COMPUTED_VALUE"""),"A key challenge for tropical conservation biologists is to assess how forest management practices affect biodiversity and associated ecosystem functions. Dung beetles (Scarabaeidae: Scarabaeinae) provide an ideal focal guild for such studies. We compared "&amp;"dung beetle assemblages and experimentally assessed rates of dung removal and seed burial in undisturbed forest, low-intensity selectively logged forest under sustainable forest management, and high-intensity logged forest, not under sustainable managemen"&amp;"t in Malaysian Borneo. In total, 7923 individuals from 39 species of dung beetle were collected. There were no significant differences in abundance, biomass or diversity across sites. Species richness was significantly lower in the high-intensity logged s"&amp;"ites. Beta diversity was low: of 35 species recorded in undisturbed forest sites, 32 were also captured in low-intensity sites and 29 in high-intensity sites. The environmental and vegetation variables measured had little influence on species composition."&amp;" An average of 63-99% of dung was removed over 24 h. Mean dung and seed removal were significantly lower in the high-intensity logged sites. Dung removal rates were significantly and positively correlated with dung beetle species richness, but not with du"&amp;"ng beetle biomass or abundance. However, the biomass of large-bodied, nocturnal dung beetles was positively correlated with dung removal. In contrast to previous studies, dung beetle biomass and abundance were not correlated with species richness, indicat"&amp;"ive of density compensation. Overall, dung beetle communities and associated ecosystem functions were robust to low-intensity but not high-intensity selective logging. These differences may be related to changes in the abundance and biomass of particular "&amp;"dung beetle species or guilds rather than community-wide measures of abundance and biomass, highlighting the need to move beyond simplistic biodiversity-ecosystem functioning correlations to understand the functional consequences of habitat modification i"&amp;"n high-diversity ecosystems. (C) 2010 Elsevier Ltd. All rights reserved.")</f>
        <v>A key challenge for tropical conservation biologists is to assess how forest management practices affect biodiversity and associated ecosystem functions. Dung beetles (Scarabaeidae: Scarabaeinae) provide an ideal focal guild for such studies. We compared dung beetle assemblages and experimentally assessed rates of dung removal and seed burial in undisturbed forest, low-intensity selectively logged forest under sustainable forest management, and high-intensity logged forest, not under sustainable management in Malaysian Borneo. In total, 7923 individuals from 39 species of dung beetle were collected. There were no significant differences in abundance, biomass or diversity across sites. Species richness was significantly lower in the high-intensity logged sites. Beta diversity was low: of 35 species recorded in undisturbed forest sites, 32 were also captured in low-intensity sites and 29 in high-intensity sites. The environmental and vegetation variables measured had little influence on species composition. An average of 63-99% of dung was removed over 24 h. Mean dung and seed removal were significantly lower in the high-intensity logged sites. Dung removal rates were significantly and positively correlated with dung beetle species richness, but not with dung beetle biomass or abundance. However, the biomass of large-bodied, nocturnal dung beetles was positively correlated with dung removal. In contrast to previous studies, dung beetle biomass and abundance were not correlated with species richness, indicative of density compensation. Overall, dung beetle communities and associated ecosystem functions were robust to low-intensity but not high-intensity selective logging. These differences may be related to changes in the abundance and biomass of particular dung beetle species or guilds rather than community-wide measures of abundance and biomass, highlighting the need to move beyond simplistic biodiversity-ecosystem functioning correlations to understand the functional consequences of habitat modification in high-diversity ecosystems. (C) 2010 Elsevier Ltd. All rights reserved.</v>
      </c>
      <c r="C57" s="24" t="str">
        <f>IFERROR(__xludf.DUMMYFUNCTION("""COMPUTED_VALUE"""),"10.1016/j.biocon.2010.08.011")</f>
        <v>10.1016/j.biocon.2010.08.011</v>
      </c>
      <c r="D57" s="24" t="str">
        <f>IFERROR(__xludf.DUMMYFUNCTION("""COMPUTED_VALUE"""),"murphy et al")</f>
        <v>murphy et al</v>
      </c>
      <c r="E57" s="24" t="str">
        <f>IFERROR(__xludf.DUMMYFUNCTION("""COMPUTED_VALUE"""),"WOS:000287168100017")</f>
        <v>WOS:000287168100017</v>
      </c>
      <c r="F57" s="24" t="str">
        <f>IFERROR(__xludf.DUMMYFUNCTION("""COMPUTED_VALUE"""),"[""ELIGIBLE""]")</f>
        <v>["ELIGIBLE"]</v>
      </c>
    </row>
    <row r="58">
      <c r="A58" s="24" t="str">
        <f>IFERROR(__xludf.DUMMYFUNCTION("""COMPUTED_VALUE"""),"Exotic invasive knotweeds (Fallopia spp.) negatively affect native plant and invertebrate assemblages in European riparian habitats")</f>
        <v>Exotic invasive knotweeds (Fallopia spp.) negatively affect native plant and invertebrate assemblages in European riparian habitats</v>
      </c>
      <c r="B58" s="24" t="str">
        <f>IFERROR(__xludf.DUMMYFUNCTION("""COMPUTED_VALUE"""),"Invasive plants are, simply by occupying a large amount of space in invaded habitats, expected to impose a significant impact on the native vegetation and their associated food webs. However, little is known about the impact of invasive plants both on nat"&amp;"ive vegetation and on different invertebrate feeding guilds at the habitat level. Yet, studies addressing multiple trophic levels, e.g. plant species, herbivores, predators and detrivores, are likely to yield additional insight into how and under which co"&amp;"nditions invasive weeds alter ecosystem structures and processes. We set out to assess whether plant species richness and invertebrate assemblages in European riparian habitats invaded by exotic knotweeds (Fallopia spp.) differed from those found in nativ"&amp;"e grassland- or bush-dominated riparian habitats, which are both potentially threatened by knotweed invasion. Our findings suggest that riparian habitats invaded by knotweeds support lower numbers of plant species and lower overall abundance and morphospe"&amp;"cies richness of invertebrates, compared to native grassland-dominated and bush-dominated habitats. Total invertebrate abundance and morphospecies richness in Fallopia-invaded riparian habitats were correlated with native plant species richness, suggestin"&amp;"g that there is a link between the replacement of native plant species by exotic Fallopia species and the reduction in overall invertebrate abundance and morphospecies richness. Moreover, biomass of invertebrates sampled in grassland and bush-dominated ha"&amp;"bitats was almost twice as high as that in Fallopia-invaded habitats. Large-scale invasion by exotic Fallopia species is therefore likely to seriously affect biodiversity and reduce the quality of riparian ecosystems for amphibians, reptiles, birds and ma"&amp;"mmals whose diets are largely composed of arthropods. (c) 2007 Elsevier Ltd. All rights reserved.")</f>
        <v>Invasive plants are, simply by occupying a large amount of space in invaded habitats, expected to impose a significant impact on the native vegetation and their associated food webs. However, little is known about the impact of invasive plants both on native vegetation and on different invertebrate feeding guilds at the habitat level. Yet, studies addressing multiple trophic levels, e.g. plant species, herbivores, predators and detrivores, are likely to yield additional insight into how and under which conditions invasive weeds alter ecosystem structures and processes. We set out to assess whether plant species richness and invertebrate assemblages in European riparian habitats invaded by exotic knotweeds (Fallopia spp.) differed from those found in native grassland- or bush-dominated riparian habitats, which are both potentially threatened by knotweed invasion. Our findings suggest that riparian habitats invaded by knotweeds support lower numbers of plant species and lower overall abundance and morphospecies richness of invertebrates, compared to native grassland-dominated and bush-dominated habitats. Total invertebrate abundance and morphospecies richness in Fallopia-invaded riparian habitats were correlated with native plant species richness, suggesting that there is a link between the replacement of native plant species by exotic Fallopia species and the reduction in overall invertebrate abundance and morphospecies richness. Moreover, biomass of invertebrates sampled in grassland and bush-dominated habitats was almost twice as high as that in Fallopia-invaded habitats. Large-scale invasion by exotic Fallopia species is therefore likely to seriously affect biodiversity and reduce the quality of riparian ecosystems for amphibians, reptiles, birds and mammals whose diets are largely composed of arthropods. (c) 2007 Elsevier Ltd. All rights reserved.</v>
      </c>
      <c r="C58" s="24" t="str">
        <f>IFERROR(__xludf.DUMMYFUNCTION("""COMPUTED_VALUE"""),"10.1016/j.biocon.2007.12.009")</f>
        <v>10.1016/j.biocon.2007.12.009</v>
      </c>
      <c r="D58" s="24" t="str">
        <f>IFERROR(__xludf.DUMMYFUNCTION("""COMPUTED_VALUE"""),"murphy et al")</f>
        <v>murphy et al</v>
      </c>
      <c r="E58" s="24" t="str">
        <f>IFERROR(__xludf.DUMMYFUNCTION("""COMPUTED_VALUE"""),"WOS:000254729500006")</f>
        <v>WOS:000254729500006</v>
      </c>
      <c r="F58" s="24" t="str">
        <f>IFERROR(__xludf.DUMMYFUNCTION("""COMPUTED_VALUE"""),"[""ELIGIBLE""]")</f>
        <v>["ELIGIBLE"]</v>
      </c>
    </row>
    <row r="59">
      <c r="A59" s="24" t="str">
        <f>IFERROR(__xludf.DUMMYFUNCTION("""COMPUTED_VALUE"""),"Flora and lepidoptera fauna adversely affected by invasive Lupinus polyphyllus along road verges")</f>
        <v>Flora and lepidoptera fauna adversely affected by invasive Lupinus polyphyllus along road verges</v>
      </c>
      <c r="B59" s="24" t="str">
        <f>IFERROR(__xludf.DUMMYFUNCTION("""COMPUTED_VALUE"""),"An increasing number of invasive species are changing ecosystems around the world. Road verges have commonly become the first footholds of non-native species in the new environments. Regularly mown road verges also offer habitats for meadow flora and faun"&amp;"a, which in Europe have suffered from the radical decline of semi-natural biotopes due to the agricultural modernization. We studied impacts of an invasive plant Lupinus polyphyllus on the plant and Lepidoptera species composition along road verges. The p"&amp;"lant species composition was studied on 15 sites (with 1 m(2) quadrats) and butterflies and diurnal moths along 15 transects (with weekly censuses) in SE Finland, each site and transect representing equally lupine invaded verge and an adjacent non-lupine "&amp;"verge. The species richness and diversity of flora and the cover and species richness of low growing (&lt; 20 cm) species, in particular, was lower in lupine verges compared to non-lupine verges. Also, the abundance of butterflies was lower in lupine verges."&amp;" As the lupine cover approached 100%, fewer butterflies were observed in lupine transects compared to the adjacent non-lupine transects and a higher proportion of individuals were flying. our results suggest that the changes in plant species assemblages a"&amp;"nd lower plant species richness in lupine invaded areas had bottom-up effects on higher trophic levels. Further studies on the control of lupine are urgently needed, but meanwhile we suggest regular mowing before the lupines have shed their seeds, togethe"&amp;"r with the removal of the cuttings, to be the best management option. (c) 2006 Elsevier Ltd. All rights reserved.")</f>
        <v>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v>
      </c>
      <c r="C59" s="24" t="str">
        <f>IFERROR(__xludf.DUMMYFUNCTION("""COMPUTED_VALUE"""),"10.1016/j.biocon.2006.06.015")</f>
        <v>10.1016/j.biocon.2006.06.015</v>
      </c>
      <c r="D59" s="24" t="str">
        <f>IFERROR(__xludf.DUMMYFUNCTION("""COMPUTED_VALUE"""),"murphy et al")</f>
        <v>murphy et al</v>
      </c>
      <c r="E59" s="24" t="str">
        <f>IFERROR(__xludf.DUMMYFUNCTION("""COMPUTED_VALUE"""),"WOS:000242797500011")</f>
        <v>WOS:000242797500011</v>
      </c>
      <c r="F59" s="24" t="str">
        <f>IFERROR(__xludf.DUMMYFUNCTION("""COMPUTED_VALUE"""),"[""ELIGIBLE""]")</f>
        <v>["ELIGIBLE"]</v>
      </c>
    </row>
    <row r="60">
      <c r="A60" s="24" t="str">
        <f>IFERROR(__xludf.DUMMYFUNCTION("""COMPUTED_VALUE"""),"Predicted levels of future ocean acidification and temperature rise could alter community structure and biodiversity in marine benthic communities")</f>
        <v>Predicted levels of future ocean acidification and temperature rise could alter community structure and biodiversity in marine benthic communities</v>
      </c>
      <c r="B60" s="24" t="str">
        <f>IFERROR(__xludf.DUMMYFUNCTION("""COMPUTED_VALUE"""),"A mesocosm experiment was conducted to quantify the effects of reduced pH and elevated temperature on an intact marine invertebrate community. Standardised faunal communities, collected from the extreme low intertidal zone using artificial substrate units"&amp;", were exposed to one of eight nominal treatments (four pH levels: 8.0, 7.7, 7.3 and 6.7, crossed with two temperature levels: 12 and 16 degrees C). After 60 days exposure communities showed significant changes in structure and lower diversity in response"&amp;" to reduced pH. The response to temperature was more complex. At higher pH levels (8.0 and 7.7) elevated temperature treatments contained higher species abundances and diversity than the lower temperature treatments. In contrast, at lower pH levels (7.3 a"&amp;"nd 6.7), elevated temperature treatments had lower species abundances and diversity than lower temperature treatments. The species losses responsible for these changes in community structure and diversity were not randomly distributed across the different"&amp;" phyla examined. Molluscs showed the greatest reduction in abundance and diversity in response to low pH and elevated temperature, whilst annelid abundance and diversity was mostly unaffected by low pH and was higher at the elevated temperature. The arthr"&amp;"opod response was between these two extremes with moderately reduced abundance and diversity at low pH and elevated temperature. Nematode abundance increased in response to low pH and elevated temperature, probably due to the reduction of ecological const"&amp;"raints, such as predation and competition, caused by a decrease in macrofaunal abundance. This community-based mesocosm study supports previous suggestions, based on observations of direct physiological impacts, that ocean acidification induced changes in"&amp;" marine biodiversity will be driven by differential vulnerability within and between different taxonomical groups. This study also illustrates the importance of considering indirect effects that occur within multispecies assemblages when attempting to pre"&amp;"dict the consequences of ocean acidification and global warming on marine communities.")</f>
        <v>A mesocosm experiment was conducted to quantify the effects of reduced pH and elevated temperature on an intact marine invertebrate community. Standardised faunal communities, collected from the extreme low intertidal zone using artificial substrate units, were exposed to one of eight nominal treatments (four pH levels: 8.0, 7.7, 7.3 and 6.7, crossed with two temperature levels: 12 and 16 degrees C). After 60 days exposure communities showed significant changes in structure and lower diversity in response to reduced pH. The response to temperature was more complex. At higher pH levels (8.0 and 7.7) elevated temperature treatments contained higher species abundances and diversity than the lower temperature treatments. In contrast, at lower pH levels (7.3 and 6.7), elevated temperature treatments had lower species abundances and diversity than lower temperature treatments. The species losses responsible for these changes in community structure and diversity were not randomly distributed across the different phyla examined. Molluscs showed the greatest reduction in abundance and diversity in response to low pH and elevated temperature, whilst annelid abundance and diversity was mostly unaffected by low pH and was higher at the elevated temperature. The arthropod response was between these two extremes with moderately reduced abundance and diversity at low pH and elevated temperature. Nematode abundance increased in response to low pH and elevated temperature, probably due to the reduction of ecological constraints, such as predation and competition, caused by a decrease in macrofaunal abundance. This community-based mesocosm study supports previous suggestions, based on observations of direct physiological impacts, that ocean acidification induced changes in marine biodiversity will be driven by differential vulnerability within and between different taxonomical groups. This study also illustrates the importance of considering indirect effects that occur within multispecies assemblages when attempting to predict the consequences of ocean acidification and global warming on marine communities.</v>
      </c>
      <c r="C60" s="24" t="str">
        <f>IFERROR(__xludf.DUMMYFUNCTION("""COMPUTED_VALUE"""),"10.1111/j.1600-0706.2010.19469.x")</f>
        <v>10.1111/j.1600-0706.2010.19469.x</v>
      </c>
      <c r="D60" s="24" t="str">
        <f>IFERROR(__xludf.DUMMYFUNCTION("""COMPUTED_VALUE"""),"murphy et al")</f>
        <v>murphy et al</v>
      </c>
      <c r="E60" s="24" t="str">
        <f>IFERROR(__xludf.DUMMYFUNCTION("""COMPUTED_VALUE"""),"WOS:000289740200003")</f>
        <v>WOS:000289740200003</v>
      </c>
      <c r="F60" s="24" t="str">
        <f>IFERROR(__xludf.DUMMYFUNCTION("""COMPUTED_VALUE"""),"[""ELIGIBLE""]")</f>
        <v>["ELIGIBLE"]</v>
      </c>
    </row>
    <row r="61">
      <c r="A61" s="24" t="str">
        <f>IFERROR(__xludf.DUMMYFUNCTION("""COMPUTED_VALUE"""),"Impact of Prunus serotina invasion on understory functional diversity in a European temperate forest")</f>
        <v>Impact of Prunus serotina invasion on understory functional diversity in a European temperate forest</v>
      </c>
      <c r="B61" s="24" t="str">
        <f>IFERROR(__xludf.DUMMYFUNCTION("""COMPUTED_VALUE"""),"We investigated the relationships between the overstory dominance of Prunus serotina, and the functional diversity of the understory plant communities, in a managed European forest. Vegetation, habitat characteristics and disturbance history were surveyed"&amp;" in 32 invaded stands vs. 32 paired uninvaded stands, after a random stratification. Community specialization and functional diversity indices were compared and a RLQ analysis was run to link species traits to environmental variables. The herb layer of in"&amp;"vaded stands exhibited significantly more specialist species and a lower trait diversity compared to uninvaded stands, with respect of species richness and vegetation cover. Light arrival to the forest floor and soil properties explained most of the varia"&amp;"tion in the RLQ analysis, but 20% of the variation strongly correlated with P. serotina dominance and associated disturbances. Traits characterizing shade-tolerant, short-living ruderals and shade-avoiders (vernal geophytes) were significantly associated "&amp;"to invaded stands, while those associated to light-demanding graminoids characterized uninvaded stands. The establishment of functionally close species (seedlings and saplings of native woody species) tended to be lower in invaded stands. We concluded tha"&amp;"t the invader was becoming the new ecosystem engineer, first by inducing trait convergence and community specialization, thus promoting traits that enable species to capture resources in the new environment it was creating, and second by reducing the grai"&amp;"n of local heterogeneities.")</f>
        <v>We investigated the relationships between the overstory dominance of Prunus serotina, and the functional diversity of the understory plant communities, in a managed European forest. Vegetation, habitat characteristics and disturbance history were surveyed in 32 invaded stands vs. 32 paired uninvaded stands, after a random stratification. Community specialization and functional diversity indices were compared and a RLQ analysis was run to link species traits to environmental variables. The herb layer of invaded stands exhibited significantly more specialist species and a lower trait diversity compared to uninvaded stands, with respect of species richness and vegetation cover. Light arrival to the forest floor and soil properties explained most of the variation in the RLQ analysis, but 20% of the variation strongly correlated with P. serotina dominance and associated disturbances. Traits characterizing shade-tolerant, short-living ruderals and shade-avoiders (vernal geophytes) were significantly associated to invaded stands, while those associated to light-demanding graminoids characterized uninvaded stands. The establishment of functionally close species (seedlings and saplings of native woody species) tended to be lower in invaded stands. We concluded that the invader was becoming the new ecosystem engineer, first by inducing trait convergence and community specialization, thus promoting traits that enable species to capture resources in the new environment it was creating, and second by reducing the grain of local heterogeneities.</v>
      </c>
      <c r="C61" s="24" t="str">
        <f>IFERROR(__xludf.DUMMYFUNCTION("""COMPUTED_VALUE"""),"10.1007/s10530-009-9599-9")</f>
        <v>10.1007/s10530-009-9599-9</v>
      </c>
      <c r="D61" s="24" t="str">
        <f>IFERROR(__xludf.DUMMYFUNCTION("""COMPUTED_VALUE"""),"murphy et al")</f>
        <v>murphy et al</v>
      </c>
      <c r="E61" s="24" t="str">
        <f>IFERROR(__xludf.DUMMYFUNCTION("""COMPUTED_VALUE"""),"WOS:000277410800042")</f>
        <v>WOS:000277410800042</v>
      </c>
      <c r="F61" s="24" t="str">
        <f>IFERROR(__xludf.DUMMYFUNCTION("""COMPUTED_VALUE"""),"[""ELIGIBLE""]")</f>
        <v>["ELIGIBLE"]</v>
      </c>
    </row>
    <row r="62">
      <c r="A62" s="24" t="str">
        <f>IFERROR(__xludf.DUMMYFUNCTION("""COMPUTED_VALUE"""),"Effects of elevated nitrogen and exotic plant invasion on soil seed bank composition in Joshua Tree National Park")</f>
        <v>Effects of elevated nitrogen and exotic plant invasion on soil seed bank composition in Joshua Tree National Park</v>
      </c>
      <c r="B62" s="24" t="str">
        <f>IFERROR(__xludf.DUMMYFUNCTION("""COMPUTED_VALUE"""),"We investigated the effects of exotic species invasion and 3 years of nitrogen (N) fertilization on the soil seed bank in Joshua Tree National Park, California, USA at four sites along an N deposition gradient. We compared seed bank composition and densit"&amp;"y in control (no N added) and fertilized (30 kg N ha(-1) year(-1)) plots to determine if the seed bank would reflect aboveground changes due to N fertilization. Soil samples were collected and germinated in a greenhouse over 2 years. In the field, invasiv"&amp;"e species cover responded positively to N fertilization. However, we did not observe increased seed density of exotic invasive species in fertilized plots. While no significant differences were detected between treatments within sites, exotic invasive gra"&amp;"ss seeds overwhelmed the seed bank at all sites. Significant differences between sites were found, which may be due to differences in level of invasion, historic N deposition, and soil surface roughness. Sites experiencing low N deposition had the highest"&amp;" seed bank species richness for both control and fertilized treatments. Aboveground plant density did not correlate well with seed bank density, possibly due to the inherent patchiness of soil seed banks and differential ability of species to form seed ba"&amp;"nks. This seed bank study provided insight into site-specific impacts on native versus invasive species composition of soil seed banks, as well as magnitude of invasion and restoration potential at invaded sites.")</f>
        <v>We investigated the effects of exotic species invasion and 3 years of nitrogen (N) fertilization on the soil seed bank in Joshua Tree National Park, California, USA at four sites along an N deposition gradient. We compared seed bank composition and density in control (no N added) and fertilized (30 kg N ha(-1) year(-1)) plots to determine if the seed bank would reflect aboveground changes due to N fertilization. Soil samples were collected and germinated in a greenhouse over 2 years. In the field, invasive species cover responded positively to N fertilization. However, we did not observe increased seed density of exotic invasive species in fertilized plots. While no significant differences were detected between treatments within sites, exotic invasive grass seeds overwhelmed the seed bank at all sites. Significant differences between sites were found, which may be due to differences in level of invasion, historic N deposition, and soil surface roughness. Sites experiencing low N deposition had the highest seed bank species richness for both control and fertilized treatments. Aboveground plant density did not correlate well with seed bank density, possibly due to the inherent patchiness of soil seed banks and differential ability of species to form seed banks. This seed bank study provided insight into site-specific impacts on native versus invasive species composition of soil seed banks, as well as magnitude of invasion and restoration potential at invaded sites.</v>
      </c>
      <c r="C62" s="24" t="str">
        <f>IFERROR(__xludf.DUMMYFUNCTION("""COMPUTED_VALUE"""),"10.1007/s11258-012-0085-6")</f>
        <v>10.1007/s11258-012-0085-6</v>
      </c>
      <c r="D62" s="24" t="str">
        <f>IFERROR(__xludf.DUMMYFUNCTION("""COMPUTED_VALUE"""),"murphy et al")</f>
        <v>murphy et al</v>
      </c>
      <c r="E62" s="24" t="str">
        <f>IFERROR(__xludf.DUMMYFUNCTION("""COMPUTED_VALUE"""),"WOS:000306694200007")</f>
        <v>WOS:000306694200007</v>
      </c>
      <c r="F62" s="24" t="str">
        <f>IFERROR(__xludf.DUMMYFUNCTION("""COMPUTED_VALUE"""),"[""ELIGIBLE""]")</f>
        <v>["ELIGIBLE"]</v>
      </c>
    </row>
    <row r="63">
      <c r="A63" s="24" t="str">
        <f>IFERROR(__xludf.DUMMYFUNCTION("""COMPUTED_VALUE"""),"Effects of non-native plants on the native insect community of Delaware")</f>
        <v>Effects of non-native plants on the native insect community of Delaware</v>
      </c>
      <c r="B63" s="24" t="str">
        <f>IFERROR(__xludf.DUMMYFUNCTION("""COMPUTED_VALUE"""),"Due to the lack of a co-evolutionary history, the novel defenses presented by introduced plants may be insurmountable to many native insects. Accordingly, non-native plants are expected to support less insect biomass than native plants. Further, native in"&amp;"sect specialists may be more affected by introduced plants than native generalist herbivores, resulting in decreased insect diversity on non-native plants due to the loss of specialists. To test these hypotheses, we used a common garden experiment to comp"&amp;"are native insect biomass, species richness, and the proportion of native specialist to native generalist insects supported by 45 species of woody plants. Plants were classified into three groupings, with 10 replicates of each species: 15 species native t"&amp;"o Delaware (Natives), 15 non-native species that were congeneric with a member of the Native group (Non-native Congeners), and 15 non-native species that did not have a congener present in the United States (Aliens). Native herbivorous insects were sample"&amp;"d in May, June, and July of 2004 and 2005. Overall, insect biomass was greater on Natives than Non-native Congeners and Aliens, but insect biomass varied unpredictably between congeneric pair members. Counter to expectations, Aliens held more insect bioma"&amp;"ss than did Non-native Congeners. There was no difference in species richness or the number of specialist and generalist species collected among the three plant groupings in either year, although our protocol was biased against sampling specialists. If th"&amp;"ese results generalize to other studies, loss of native insect biomass due to introduced plants may negatively affect higher trophic levels of the ecosystem.")</f>
        <v>Due to the lack of a co-evolutionary history, the novel defenses presented by introduced plants may be insurmountable to many native insects. Accordingly, non-native plants are expected to support less insect biomass than native plants. Further, native insect specialists may be more affected by introduced plants than native generalist herbivores, resulting in decreased insect diversity on non-native plants due to the loss of specialists. To test these hypotheses, we used a common garden experiment to compare native insect biomass, species richness, and the proportion of native specialist to native generalist insects supported by 45 species of woody plants. Plants were classified into three groupings, with 10 replicates of each species: 15 species native to Delaware (Natives), 15 non-native species that were congeneric with a member of the Native group (Non-native Congeners), and 15 non-native species that did not have a congener present in the United States (Aliens). Native herbivorous insects were sampled in May, June, and July of 2004 and 2005. Overall, insect biomass was greater on Natives than Non-native Congeners and Aliens, but insect biomass varied unpredictably between congeneric pair members. Counter to expectations, Aliens held more insect biomass than did Non-native Congeners. There was no difference in species richness or the number of specialist and generalist species collected among the three plant groupings in either year, although our protocol was biased against sampling specialists. If these results generalize to other studies, loss of native insect biomass due to introduced plants may negatively affect higher trophic levels of the ecosystem.</v>
      </c>
      <c r="C63" s="24" t="str">
        <f>IFERROR(__xludf.DUMMYFUNCTION("""COMPUTED_VALUE"""),"10.1007/s10530-007-9193-y")</f>
        <v>10.1007/s10530-007-9193-y</v>
      </c>
      <c r="D63" s="24" t="str">
        <f>IFERROR(__xludf.DUMMYFUNCTION("""COMPUTED_VALUE"""),"murphy et al")</f>
        <v>murphy et al</v>
      </c>
      <c r="E63" s="24" t="str">
        <f>IFERROR(__xludf.DUMMYFUNCTION("""COMPUTED_VALUE"""),"WOS:000258704400021")</f>
        <v>WOS:000258704400021</v>
      </c>
      <c r="F63" s="24" t="str">
        <f>IFERROR(__xludf.DUMMYFUNCTION("""COMPUTED_VALUE"""),"[""ELIGIBLE""]")</f>
        <v>["ELIGIBLE"]</v>
      </c>
    </row>
    <row r="64">
      <c r="A64" s="24" t="str">
        <f>IFERROR(__xludf.DUMMYFUNCTION("""COMPUTED_VALUE"""),"Contrasting effects of invasive plants in plant-pollinator networks")</f>
        <v>Contrasting effects of invasive plants in plant-pollinator networks</v>
      </c>
      <c r="B64" s="24" t="str">
        <f>IFERROR(__xludf.DUMMYFUNCTION("""COMPUTED_VALUE"""),"The structural organization of mutualism networks, typified by interspecific positive interactions, is important to maintain community diversity. However, there is little information available about the effect of introduced species on the structure of suc"&amp;"h networks. We compared uninvaded and invaded ecological communities, to examine how two species of invasive plants with large and showy flowers (Carpobrotus affine acinaciformis and Opuntia stricta) affect the structure of Mediterranean plant-pollinator "&amp;"networks. To attribute differences in pollination to the direct presence of the invasive species, areas were surveyed that contained similar native plant species cover, diversity and floral composition, with or without the invaders. Both invasive plant sp"&amp;"ecies received significantly more pollinator visits than any native species and invaders interacted strongly with pollinators. Overall, the pollinator community richness was similar in invaded and uninvaded plots, and only a few generalist pollinators vis"&amp;"ited invasive species exclusively. Invasive plants acted as pollination super generalists. The two species studied were visited by 43% and 31% of the total insect taxa in the community, respectively, suggesting they play a central role in the plant-pollin"&amp;"ator networks. Carpobrotus and Opuntia had contrasting effects on pollinator visitation rates to native plants: Carpobrotus facilitated the visit of pollinators to native species, whereas Opuntia competed for pollinators with native species, increasing th"&amp;"e nestedness of the plant-pollinator network. These results indicate that the introduction of a new species to a community can have important consequences for the structure of the plant-pollinator network.")</f>
        <v>The structural organization of mutualism networks, typified by interspecific positive interactions, is important to maintain community diversity. However, there is little information available about the effect of introduced species on the structure of such networks. We compared uninvaded and invaded ecological communities, to examine how two species of invasive plants with large and showy flowers (Carpobrotus affine acinaciformis and Opuntia stricta) affect the structure of Mediterranean plant-pollinator networks. To attribute differences in pollination to the direct presence of the invasive species, areas were surveyed that contained similar native plant species cover, diversity and floral composition, with or without the invaders. Both invasive plant species received significantly more pollinator visits than any native species and invaders interacted strongly with pollinators. Overall, the pollinator community richness was similar in invaded and uninvaded plots, and only a few generalist pollinators visited invasive species exclusively. Invasive plants acted as pollination super generalists. The two species studied were visited by 43% and 31% of the total insect taxa in the community, respectively, suggesting they play a central role in the plant-pollinator networks. Carpobrotus and Opuntia had contrasting effects on pollinator visitation rates to native plants: Carpobrotus facilitated the visit of pollinators to native species, whereas Opuntia competed for pollinators with native species, increasing the nestedness of the plant-pollinator network. These results indicate that the introduction of a new species to a community can have important consequences for the structure of the plant-pollinator network.</v>
      </c>
      <c r="C64" s="24" t="str">
        <f>IFERROR(__xludf.DUMMYFUNCTION("""COMPUTED_VALUE"""),"10.1007/s00442-007-0946-1")</f>
        <v>10.1007/s00442-007-0946-1</v>
      </c>
      <c r="D64" s="24" t="str">
        <f>IFERROR(__xludf.DUMMYFUNCTION("""COMPUTED_VALUE"""),"murphy et al")</f>
        <v>murphy et al</v>
      </c>
      <c r="E64" s="24" t="str">
        <f>IFERROR(__xludf.DUMMYFUNCTION("""COMPUTED_VALUE"""),"WOS:000254238700010")</f>
        <v>WOS:000254238700010</v>
      </c>
      <c r="F64" s="24" t="str">
        <f>IFERROR(__xludf.DUMMYFUNCTION("""COMPUTED_VALUE"""),"[""ELIGIBLE""]")</f>
        <v>["ELIGIBLE"]</v>
      </c>
    </row>
    <row r="65">
      <c r="A65" s="24" t="str">
        <f>IFERROR(__xludf.DUMMYFUNCTION("""COMPUTED_VALUE"""),"Impact of Parthenium hysterophorus L. invasion on plant species composition and soil properties of grassland communities in Nepal")</f>
        <v>Impact of Parthenium hysterophorus L. invasion on plant species composition and soil properties of grassland communities in Nepal</v>
      </c>
      <c r="B65" s="24" t="str">
        <f>IFERROR(__xludf.DUMMYFUNCTION("""COMPUTED_VALUE"""),"Parthenium hysterophorus (Asteraceae) is a noxious plant that is considered one of the most invasive species in the world. We studied changes in the composition of plant species and soil properties related to the invasion of P. hysterophorus in three gras"&amp;"sland communities of central Nepal. We collected vegetation and soil data along transects that were established in densely invaded to non-invaded areas within homogenous grassland stands. We found significant differences between invaded, transitional and "&amp;"non-invaded plots in species composition and soil properties. There were fewer species in non-invaded than transitional and invaded plots. By P. hysterophorus invasion both native and non-native species were supported or replaced, respectively. The concen"&amp;"trations of soil nitrogen and organic matter were significantly higher in transitional and invaded plots than in non-invaded plots. Soil pH, phosphorus and potassium were highest in the invaded plots, lowest in the non-invaded and intermediate in the tran"&amp;"sitional plots. Due to changes in above-ground vegetation and below-ground soil nutrient contents, P. hysterophorus invasion is likely to have an overall negative effect on the functioning of the entire ecosystem. Therefore, management of noxious P. hyste"&amp;"rophorus is necessary to prevent future problems. (C) 2010 Elsevier GmbH. All rights reserved.")</f>
        <v>Parthenium hysterophorus (Asteraceae) is a noxious plant that is considered one of the most invasive species in the world. We studied changes in the composition of plant species and soil properties related to the invasion of P. hysterophorus in three grassland communities of central Nepal. We collected vegetation and soil data along transects that were established in densely invaded to non-invaded areas within homogenous grassland stands. We found significant differences between invaded, transitional and non-invaded plots in species composition and soil properties. There were fewer species in non-invaded than transitional and invaded plots. By P. hysterophorus invasion both native and non-native species were supported or replaced, respectively. The concentrations of soil nitrogen and organic matter were significantly higher in transitional and invaded plots than in non-invaded plots. Soil pH, phosphorus and potassium were highest in the invaded plots, lowest in the non-invaded and intermediate in the transitional plots. Due to changes in above-ground vegetation and below-ground soil nutrient contents, P. hysterophorus invasion is likely to have an overall negative effect on the functioning of the entire ecosystem. Therefore, management of noxious P. hysterophorus is necessary to prevent future problems. (C) 2010 Elsevier GmbH. All rights reserved.</v>
      </c>
      <c r="C65" s="24" t="str">
        <f>IFERROR(__xludf.DUMMYFUNCTION("""COMPUTED_VALUE"""),"10.1016/j.flora.2010.09.004")</f>
        <v>10.1016/j.flora.2010.09.004</v>
      </c>
      <c r="D65" s="24" t="str">
        <f>IFERROR(__xludf.DUMMYFUNCTION("""COMPUTED_VALUE"""),"murphy et al")</f>
        <v>murphy et al</v>
      </c>
      <c r="E65" s="24" t="str">
        <f>IFERROR(__xludf.DUMMYFUNCTION("""COMPUTED_VALUE"""),"WOS:000289708300008")</f>
        <v>WOS:000289708300008</v>
      </c>
      <c r="F65" s="24" t="str">
        <f>IFERROR(__xludf.DUMMYFUNCTION("""COMPUTED_VALUE"""),"[""ELIGIBLE""]")</f>
        <v>["ELIGIBLE"]</v>
      </c>
    </row>
    <row r="66">
      <c r="A66" s="24" t="str">
        <f>IFERROR(__xludf.DUMMYFUNCTION("""COMPUTED_VALUE"""),"Fertilization with nitrogen and phosphorus increases abundance of non-native species in Hawaiian montane forests")</f>
        <v>Fertilization with nitrogen and phosphorus increases abundance of non-native species in Hawaiian montane forests</v>
      </c>
      <c r="B66" s="24" t="str">
        <f>IFERROR(__xludf.DUMMYFUNCTION("""COMPUTED_VALUE"""),"We examined the effects of fertilization on the diversity, abundance, and cover of the understory plant community of two montane wet forests in Hawaii. One site occupies a young substrate, where aboveground tree growth is limited by nitrogen (N), while th"&amp;"e other site is on an older substrate, where aboveground tree growth is limited by phosphorus (P). Both sites contained an on-going, long-term factorial fertilization experiment in which plots were fertilized semi-annually with N, P, or N and P in combina"&amp;"tion. In each fertilization treatment, we measured density of species greater than or equal to0.5 m tall and percent cover of species &lt;0.5 m tall. Fertilization with N reduced species richness at the young, N-limited site, but none of the nutrient additio"&amp;"ns altered species richness at the older, P-limited site. Species diversity and evenness were not affected by fertilization at either site. At the site with low N availability, plots fertilized with NP had higher densities of the non-native ginger Hedychi"&amp;"um gardnerianum, and at the site with low P-availability, densities of the exotic shrub Rubus argutus were higher in P- and NP-fertilized plots. Other effects included declines in moss cover with fertilization at both sites, and reduced abundance of nativ"&amp;"e seedlings in response to N and NP addition at the N-limited site. Continued long-term fertilization could lead to greater dominance of non-native species by encouraging their growth at the expense of native species, which may suffer decreased recruitmen"&amp;"t as fertilization and increased abundance of the non-native species may reduce suitable substrates for seedling establishment.")</f>
        <v>We examined the effects of fertilization on the diversity, abundance, and cover of the understory plant community of two montane wet forests in Hawaii. One site occupies a young substrate, where aboveground tree growth is limited by nitrogen (N), while the other site is on an older substrate, where aboveground tree growth is limited by phosphorus (P). Both sites contained an on-going, long-term factorial fertilization experiment in which plots were fertilized semi-annually with N, P, or N and P in combination. In each fertilization treatment, we measured density of species greater than or equal to0.5 m tall and percent cover of species &lt;0.5 m tall. Fertilization with N reduced species richness at the young, N-limited site, but none of the nutrient additions altered species richness at the older, P-limited site. Species diversity and evenness were not affected by fertilization at either site. At the site with low N availability, plots fertilized with NP had higher densities of the non-native ginger Hedychium gardnerianum, and at the site with low P-availability, densities of the exotic shrub Rubus argutus were higher in P- and NP-fertilized plots. Other effects included declines in moss cover with fertilization at both sites, and reduced abundance of native seedlings in response to N and NP addition at the N-limited site. Continued long-term fertilization could lead to greater dominance of non-native species by encouraging their growth at the expense of native species, which may suffer decreased recruitment as fertilization and increased abundance of the non-native species may reduce suitable substrates for seedling establishment.</v>
      </c>
      <c r="C66" s="24" t="str">
        <f>IFERROR(__xludf.DUMMYFUNCTION("""COMPUTED_VALUE"""),"10.1023/A:1020332824836")</f>
        <v>10.1023/A:1020332824836</v>
      </c>
      <c r="D66" s="24" t="str">
        <f>IFERROR(__xludf.DUMMYFUNCTION("""COMPUTED_VALUE"""),"murphy et al")</f>
        <v>murphy et al</v>
      </c>
      <c r="E66" s="24" t="str">
        <f>IFERROR(__xludf.DUMMYFUNCTION("""COMPUTED_VALUE"""),"WOS:000178213200007")</f>
        <v>WOS:000178213200007</v>
      </c>
      <c r="F66" s="24" t="str">
        <f>IFERROR(__xludf.DUMMYFUNCTION("""COMPUTED_VALUE"""),"[""ELIGIBLE""]")</f>
        <v>["ELIGIBLE"]</v>
      </c>
    </row>
    <row r="67">
      <c r="A67" s="24" t="str">
        <f>IFERROR(__xludf.DUMMYFUNCTION("""COMPUTED_VALUE"""),"Species groups occupying different trophic levels respond differently to the invasion of semi-natural vegetation by Solidago canadensis")</f>
        <v>Species groups occupying different trophic levels respond differently to the invasion of semi-natural vegetation by Solidago canadensis</v>
      </c>
      <c r="B67" s="24" t="str">
        <f>IFERROR(__xludf.DUMMYFUNCTION("""COMPUTED_VALUE"""),"We studied the impact of the invasive plant species Solidago canadensis on the species richness of vascular plants and the abundance, species richness and diversity of butterflies, hoverflies and carabid beetles in herbaceous semi-natural habitats near Lj"&amp;"ubljana, Slovenia. The species groups were sampled in sites dominated by S. canadensis and paired nearby sites covered by semi-natural vegetation. Plant species richness and species richness, abundance and diversity of butterfly species were lower in plot"&amp;"s dominated by S. canadensis. Hoverfly abundance, diversity and species richness were negatively affected only in July just before the onset of flowering of S. canadensis, but tended to be positively affected in August during the height of flowering of S."&amp;" canadensis. Only the abundance of carabid beetles was reduced in plots dominated by S. canadensis. The responses of the insect groups seem largely driven by the effects of Solidago on the availability of essential resources like food or larval host plant"&amp;"s. Our results suggest that insect species that are closely related to plant species composition are more vulnerable to the effects of invasive plant species than those that are loosely or only indirectly related to plant species composition. (c) 2007 Els"&amp;"evier Ltd. All rights reserved.")</f>
        <v>We studied the impact of the invasive plant species Solidago canadensis on the species richness of vascular plants and the abundance, species richness and diversity of butterflies, hoverflies and carabid beetles in herbaceous semi-natural habitats near Ljubljana, Slovenia. The species groups were sampled in sites dominated by S. canadensis and paired nearby sites covered by semi-natural vegetation. Plant species richness and species richness, abundance and diversity of butterfly species were lower in plots dominated by S. canadensis. Hoverfly abundance, diversity and species richness were negatively affected only in July just before the onset of flowering of S. canadensis, but tended to be positively affected in August during the height of flowering of S. canadensis. Only the abundance of carabid beetles was reduced in plots dominated by S. canadensis. The responses of the insect groups seem largely driven by the effects of Solidago on the availability of essential resources like food or larval host plants. Our results suggest that insect species that are closely related to plant species composition are more vulnerable to the effects of invasive plant species than those that are loosely or only indirectly related to plant species composition. (c) 2007 Elsevier Ltd. All rights reserved.</v>
      </c>
      <c r="C67" s="24" t="str">
        <f>IFERROR(__xludf.DUMMYFUNCTION("""COMPUTED_VALUE"""),"10.1016/j.biocon.2007.01.005")</f>
        <v>10.1016/j.biocon.2007.01.005</v>
      </c>
      <c r="D67" s="24" t="str">
        <f>IFERROR(__xludf.DUMMYFUNCTION("""COMPUTED_VALUE"""),"murphy et al")</f>
        <v>murphy et al</v>
      </c>
      <c r="E67" s="24" t="str">
        <f>IFERROR(__xludf.DUMMYFUNCTION("""COMPUTED_VALUE"""),"WOS:000247228800011")</f>
        <v>WOS:000247228800011</v>
      </c>
      <c r="F67" s="24" t="str">
        <f>IFERROR(__xludf.DUMMYFUNCTION("""COMPUTED_VALUE"""),"[""ELIGIBLE""]")</f>
        <v>["ELIGIBLE"]</v>
      </c>
    </row>
    <row r="68">
      <c r="A68" s="24" t="str">
        <f>IFERROR(__xludf.DUMMYFUNCTION("""COMPUTED_VALUE"""),"Richness and species composition of arboreal arthropods affected by nutrients and predators: a press experiment")</f>
        <v>Richness and species composition of arboreal arthropods affected by nutrients and predators: a press experiment</v>
      </c>
      <c r="B68" s="24" t="str">
        <f>IFERROR(__xludf.DUMMYFUNCTION("""COMPUTED_VALUE"""),"A longstanding goal for ecologists is to understand the processes that maintain biological diversity in communities, yet few studies have investigated the combined effects of predators and resources on biodiversity in natural ecosystems. We fertilized nut"&amp;"rient limited plots and excluded insectivorous birds in a randomized block design, and examined the impacts on arthropods associated with the dominant tree in the Hawaiian Islands, Metrosideros polymorpha (Myrtaceae). After 33 months, the species load (pe"&amp;"r foliage mass) of herbivores and carnivores increased with fertilization, but rarified richness (standardized to abundance) did not change. Fertilization depressed species richness of arboreal detritivores, and carnivore richness dropped in caged, unfert"&amp;"ilized plots, both because of the increased dominance of common, introduced species with treatments. Herbivore species abundance distributions were more equitable than other trophic levels following treatments, and fertilization added specialized native s"&amp;"pecies without changing relativized species richness. Overall, bird removal and nutrient addition treatments on arthropod richness acted largely independently, but with countervailing influences that obscured distinct top-down and bottom-up effects on dif"&amp;"ferent trophic levels. This study demonstrates that species composition, biological invasions, and the individuality of species traits may complicate efforts to predict the interactive effects of resources and predation on species diversity in food webs.")</f>
        <v>A longstanding goal for ecologists is to understand the processes that maintain biological diversity in communities, yet few studies have investigated the combined effects of predators and resources on biodiversity in natural ecosystems. We fertilized nutrient limited plots and excluded insectivorous birds in a randomized block design, and examined the impacts on arthropods associated with the dominant tree in the Hawaiian Islands, Metrosideros polymorpha (Myrtaceae). After 33 months, the species load (per foliage mass) of herbivores and carnivores increased with fertilization, but rarified richness (standardized to abundance) did not change. Fertilization depressed species richness of arboreal detritivores, and carnivore richness dropped in caged, unfertilized plots, both because of the increased dominance of common, introduced species with treatments. Herbivore species abundance distributions were more equitable than other trophic levels following treatments, and fertilization added specialized native species without changing relativized species richness. Overall, bird removal and nutrient addition treatments on arthropod richness acted largely independently, but with countervailing influences that obscured distinct top-down and bottom-up effects on different trophic levels. This study demonstrates that species composition, biological invasions, and the individuality of species traits may complicate efforts to predict the interactive effects of resources and predation on species diversity in food webs.</v>
      </c>
      <c r="C68" s="24" t="str">
        <f>IFERROR(__xludf.DUMMYFUNCTION("""COMPUTED_VALUE"""),"10.1007/s00442-005-0337-4")</f>
        <v>10.1007/s00442-005-0337-4</v>
      </c>
      <c r="D68" s="24" t="str">
        <f>IFERROR(__xludf.DUMMYFUNCTION("""COMPUTED_VALUE"""),"murphy et al")</f>
        <v>murphy et al</v>
      </c>
      <c r="E68" s="24" t="str">
        <f>IFERROR(__xludf.DUMMYFUNCTION("""COMPUTED_VALUE"""),"WOS:000236207900016")</f>
        <v>WOS:000236207900016</v>
      </c>
      <c r="F68" s="24" t="str">
        <f>IFERROR(__xludf.DUMMYFUNCTION("""COMPUTED_VALUE"""),"[""ELIGIBLE""]")</f>
        <v>["ELIGIBLE"]</v>
      </c>
    </row>
    <row r="69">
      <c r="A69" s="24" t="str">
        <f>IFERROR(__xludf.DUMMYFUNCTION("""COMPUTED_VALUE"""),"Small-sized Fish Assemblages Do not Differ Between a Native and a Recently Established Non-indigenous Macrophyte in a Neotropical Ecosystem")</f>
        <v>Small-sized Fish Assemblages Do not Differ Between a Native and a Recently Established Non-indigenous Macrophyte in a Neotropical Ecosystem</v>
      </c>
      <c r="B69" s="24" t="str">
        <f>IFERROR(__xludf.DUMMYFUNCTION("""COMPUTED_VALUE"""),"Hydrilla verticillata recently invaded a protected area in the Upper Parana River floodplain. In a rare opportunity, when this non-indigenous species co-occurred with the native Egeria najas in a secondary channel of the river, we assessed its effects on "&amp;"assemblage of small-sized fish. Traps were used to catch fish inside macrophyte patches in periods of low and high water. We assessed fish abundance, biomass, diversity, richness and the community composition (using a DCA). The number of fish species did "&amp;"not differ between plants. Fish abundance and biomass were significantly higher during the low water period but plant species did not affect these attributes. Similarly, fish assemblage composition differed only between seasons. Our results indicate that "&amp;"the oscillations in the water level had a greater effect on the small-sized fish assemblage than the presence of the non-indigenous macrophyte. In addition, H. verticillata favors small fish assemblages such as the native does; however, we contend that ou"&amp;"r conclusions are valid only for habitats scarcely colonized by native plant species. The invasion of other habitats colonized by a high diversity of native species of macrophytes, which are key for small-sized fish, is a matter of concern.")</f>
        <v>Hydrilla verticillata recently invaded a protected area in the Upper Parana River floodplain. In a rare opportunity, when this non-indigenous species co-occurred with the native Egeria najas in a secondary channel of the river, we assessed its effects on assemblage of small-sized fish. Traps were used to catch fish inside macrophyte patches in periods of low and high water. We assessed fish abundance, biomass, diversity, richness and the community composition (using a DCA). The number of fish species did not differ between plants. Fish abundance and biomass were significantly higher during the low water period but plant species did not affect these attributes. Similarly, fish assemblage composition differed only between seasons. Our results indicate that the oscillations in the water level had a greater effect on the small-sized fish assemblage than the presence of the non-indigenous macrophyte. In addition, H. verticillata favors small fish assemblages such as the native does; however, we contend that our conclusions are valid only for habitats scarcely colonized by native plant species. The invasion of other habitats colonized by a high diversity of native species of macrophytes, which are key for small-sized fish, is a matter of concern.</v>
      </c>
      <c r="C69" s="24" t="str">
        <f>IFERROR(__xludf.DUMMYFUNCTION("""COMPUTED_VALUE"""),"10.4322/natcon.2011.007")</f>
        <v>10.4322/natcon.2011.007</v>
      </c>
      <c r="D69" s="24" t="str">
        <f>IFERROR(__xludf.DUMMYFUNCTION("""COMPUTED_VALUE"""),"murphy et al")</f>
        <v>murphy et al</v>
      </c>
      <c r="E69" s="24" t="str">
        <f>IFERROR(__xludf.DUMMYFUNCTION("""COMPUTED_VALUE"""),"WOS:000293259300007")</f>
        <v>WOS:000293259300007</v>
      </c>
      <c r="F69" s="24" t="str">
        <f>IFERROR(__xludf.DUMMYFUNCTION("""COMPUTED_VALUE"""),"[""ELIGIBLE""]")</f>
        <v>["ELIGIBLE"]</v>
      </c>
    </row>
    <row r="70">
      <c r="A70" s="24" t="str">
        <f>IFERROR(__xludf.DUMMYFUNCTION("""COMPUTED_VALUE"""),"Non-native grass invasion alters native plant composition in experimental communities")</f>
        <v>Non-native grass invasion alters native plant composition in experimental communities</v>
      </c>
      <c r="B70" s="24" t="str">
        <f>IFERROR(__xludf.DUMMYFUNCTION("""COMPUTED_VALUE"""),"Invasions of non-native species are considered to have significant impacts on native species, but few studies have quantified the direct effects of invasions on native community structure and composition. Many studies on the effects of invasions fail to d"&amp;"istinguish between (1) differential responses of native and non-native species to environmental conditions, and (2) direct impacts of invasions on native communities. In particular, invasions may alter community assembly following disturbance and prevent "&amp;"recolonization of native species. To determine if invasions directly impact native communities, we established 32 experimental plots (27.5 m(2)) and seeded them with 12 native species. Then, we added seed of a non-native invasive grass (Microstegium vimin"&amp;"eum) to half of the plots and compared native plant community responses between control and invaded plots. Invasion reduced native biomass by 46, 64, and 58%, respectively, over three growing seasons. After the second year of the experiment, invaded plots"&amp;" had 43% lower species richness and 38% lower diversity as calculated from the Shannon index. Nonmetric multidimensional scaling ordination showed a significant divergence in composition between invaded and control plots. Further, there was a strong negat"&amp;"ive relationship between invader and native plant biomass, signifying that native plants are more strongly suppressed in densely invaded areas. Our results show that a non-native invasive plant inhibits native species establishment and growth following di"&amp;"sturbance and that native species do not gain competitive dominance after multiple growing seasons. Thus, plant invaders can alter the structure of native plant communities and reduce the success of restoration efforts.")</f>
        <v>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v>
      </c>
      <c r="C70" s="24" t="str">
        <f>IFERROR(__xludf.DUMMYFUNCTION("""COMPUTED_VALUE"""),"10.1007/s10530-009-9546-9")</f>
        <v>10.1007/s10530-009-9546-9</v>
      </c>
      <c r="D70" s="24" t="str">
        <f>IFERROR(__xludf.DUMMYFUNCTION("""COMPUTED_VALUE"""),"murphy et al")</f>
        <v>murphy et al</v>
      </c>
      <c r="E70" s="24" t="str">
        <f>IFERROR(__xludf.DUMMYFUNCTION("""COMPUTED_VALUE"""),"WOS:000276509400029")</f>
        <v>WOS:000276509400029</v>
      </c>
      <c r="F70" s="24" t="str">
        <f>IFERROR(__xludf.DUMMYFUNCTION("""COMPUTED_VALUE"""),"[""ELIGIBLE""]")</f>
        <v>["ELIGIBLE"]</v>
      </c>
    </row>
    <row r="71">
      <c r="A71" s="24" t="str">
        <f>IFERROR(__xludf.DUMMYFUNCTION("""COMPUTED_VALUE"""),"Invasive Salix fragilis alters benthic invertebrate communities and litter decomposition in northern Patagonian streams")</f>
        <v>Invasive Salix fragilis alters benthic invertebrate communities and litter decomposition in northern Patagonian streams</v>
      </c>
      <c r="B71" s="24" t="str">
        <f>IFERROR(__xludf.DUMMYFUNCTION("""COMPUTED_VALUE"""),"Invasion by exotic trees into riparian areas has the potential to impact aquatic systems. We examined the effects of the exotic Salix fragilis (crack willow) on the structure and functioning of small streams in northern Patagonian Andes via a field survey"&amp;" of benthic invertebrates and leaf litter and an in situ experiment. We compared leaf decomposition of the native Ochetophila trinervis (chacay) and S. fragilis in reaches dominated by native vegetation versus reaches dominated by crack willow. We hypothe"&amp;"sized that S. fragilis affects the quality of leaf litter entering the streams, changing the aquatic biota composition and litter decomposition. Our study showed that crack willow leaves decomposed slower than chacay, likely related to leaf properties (i."&amp;"e., leaf toughness). Benthic leaf litter mass was similar between the two riparian vegetation types, though in stream reaches dominated by crack willow, leaves of this species represented 82% of the total leaf litter. Benthic invertebrate abundance and di"&amp;"versity were similar between reaches but species composition differed. Our study found little evidence for strong impacts of crack willow on those small streams. Further studies on other aspects of ecosystem functioning, such as primary production, would "&amp;"enhance our understanding of the impacts of crack willow on Patagonian streams.")</f>
        <v>Invasion by exotic trees into riparian areas has the potential to impact aquatic systems. We examined the effects of the exotic Salix fragilis (crack willow) on the structure and functioning of small streams in northern Patagonian Andes via a field survey of benthic invertebrates and leaf litter and an in situ experiment. We compared leaf decomposition of the native Ochetophila trinervis (chacay) and S. fragilis in reaches dominated by native vegetation versus reaches dominated by crack willow. We hypothesized that S. fragilis affects the quality of leaf litter entering the streams, changing the aquatic biota composition and litter decomposition. Our study showed that crack willow leaves decomposed slower than chacay, likely related to leaf properties (i.e., leaf toughness). Benthic leaf litter mass was similar between the two riparian vegetation types, though in stream reaches dominated by crack willow, leaves of this species represented 82% of the total leaf litter. Benthic invertebrate abundance and diversity were similar between reaches but species composition differed. Our study found little evidence for strong impacts of crack willow on those small streams. Further studies on other aspects of ecosystem functioning, such as primary production, would enhance our understanding of the impacts of crack willow on Patagonian streams.</v>
      </c>
      <c r="C71" s="24" t="str">
        <f>IFERROR(__xludf.DUMMYFUNCTION("""COMPUTED_VALUE"""),"10.1007/s10750-012-1270-2")</f>
        <v>10.1007/s10750-012-1270-2</v>
      </c>
      <c r="D71" s="24" t="str">
        <f>IFERROR(__xludf.DUMMYFUNCTION("""COMPUTED_VALUE"""),"murphy et al")</f>
        <v>murphy et al</v>
      </c>
      <c r="E71" s="24" t="str">
        <f>IFERROR(__xludf.DUMMYFUNCTION("""COMPUTED_VALUE"""),"WOS:000312339100014")</f>
        <v>WOS:000312339100014</v>
      </c>
      <c r="F71" s="24" t="str">
        <f>IFERROR(__xludf.DUMMYFUNCTION("""COMPUTED_VALUE"""),"[""ELIGIBLE""]")</f>
        <v>["ELIGIBLE"]</v>
      </c>
    </row>
    <row r="72">
      <c r="A72" s="24" t="str">
        <f>IFERROR(__xludf.DUMMYFUNCTION("""COMPUTED_VALUE"""),"Using plant functional types to compare vegetation structure of alien-invaded and uninvaded Acacia nilotica savannas")</f>
        <v>Using plant functional types to compare vegetation structure of alien-invaded and uninvaded Acacia nilotica savannas</v>
      </c>
      <c r="B72" s="24" t="str">
        <f>IFERROR(__xludf.DUMMYFUNCTION("""COMPUTED_VALUE"""),"Four plant functional types (PFTs) were used to compare the vegetation structure of an alien-invaded Acacia nilotica savanna with one of negligible invasions. Heights, canopy covers and species richness of three native PFTs (woody plants, grasses and herb"&amp;"s) and one alien PFT (woody plants) were measured in 14, 1-m(2) quadrats sampled in a stratified-random pattern in a 400-m(2) plot demarcated in each savanna. In the uninvaded plot, mean heights of native PFTs were stratified. In the invaded plot, the mea"&amp;"n height of aliens extended into the native woody stratum with the lower range of native woody PFT heights reduced to the grass stratum. Discriminant analysis of canopy covers and species richness of the four PFTs revealed significant differences in compo"&amp;"sition between plots with the alien PFT being the most important variable correlated with these differences. Univariate analysis confirmed the dominance of alien woody plants in the invaded plot but also showed significant reductions in the canopy covers "&amp;"and species richness of native herbs and grasses compared to those in the uninvaded plot. These results suggest that PFTs can rapidly measure small-scale, spatial differences in the physiognomy, composition and species richness of A. nilotica savannas whe"&amp;"n invaded by alien woody plants. (C) 2009 SAAB. Published by Elsevier B.V. All rights reserved.")</f>
        <v>Four plant functional types (PFTs) were used to compare the vegetation structure of an alien-invaded Acacia nilotica savanna with one of negligible invasions. Heights, canopy covers and species richness of three native PFTs (woody plants, grasses and herbs) and one alien PFT (woody plants) were measured in 14, 1-m(2) quadrats sampled in a stratified-random pattern in a 400-m(2) plot demarcated in each savanna. In the uninvaded plot, mean heights of native PFTs were stratified. In the invaded plot, the mean height of aliens extended into the native woody stratum with the lower range of native woody PFT heights reduced to the grass stratum. Discriminant analysis of canopy covers and species richness of the four PFTs revealed significant differences in composition between plots with the alien PFT being the most important variable correlated with these differences. Univariate analysis confirmed the dominance of alien woody plants in the invaded plot but also showed significant reductions in the canopy covers and species richness of native herbs and grasses compared to those in the uninvaded plot. These results suggest that PFTs can rapidly measure small-scale, spatial differences in the physiognomy, composition and species richness of A. nilotica savannas when invaded by alien woody plants. (C) 2009 SAAB. Published by Elsevier B.V. All rights reserved.</v>
      </c>
      <c r="C72" s="24" t="str">
        <f>IFERROR(__xludf.DUMMYFUNCTION("""COMPUTED_VALUE"""),"10.1016/j.sajb.2009.12.004")</f>
        <v>10.1016/j.sajb.2009.12.004</v>
      </c>
      <c r="D72" s="24" t="str">
        <f>IFERROR(__xludf.DUMMYFUNCTION("""COMPUTED_VALUE"""),"murphy et al")</f>
        <v>murphy et al</v>
      </c>
      <c r="E72" s="24" t="str">
        <f>IFERROR(__xludf.DUMMYFUNCTION("""COMPUTED_VALUE"""),"WOS:000277902300023")</f>
        <v>WOS:000277902300023</v>
      </c>
      <c r="F72" s="24" t="str">
        <f>IFERROR(__xludf.DUMMYFUNCTION("""COMPUTED_VALUE"""),"[""ELIGIBLE""]")</f>
        <v>["ELIGIBLE"]</v>
      </c>
    </row>
    <row r="73">
      <c r="A73" s="24" t="str">
        <f>IFERROR(__xludf.DUMMYFUNCTION("""COMPUTED_VALUE"""),"Long-Term Nitrogen Addition Leads to Loss of Species Richness Due to Litter Accumulation and Soil Acidification in a Temperate Steppe")</f>
        <v>Long-Term Nitrogen Addition Leads to Loss of Species Richness Due to Litter Accumulation and Soil Acidification in a Temperate Steppe</v>
      </c>
      <c r="B73" s="24" t="str">
        <f>IFERROR(__xludf.DUMMYFUNCTION("""COMPUTED_VALUE"""),"Background: Although community structure and species richness are known to respond to nitrogen fertilization dramatically, little is known about the mechanisms underlying specific species replacement and richness loss. In an experiment in semiarid tempera"&amp;"te steppe of China, manipulative N addition with five treatments was conducted to evaluate the effect of N addition on the community structure and species richness. Methodology/Principal Findings: Species richness and biomass of community in each plot wer"&amp;"e investigated in a randomly selected quadrat. Root element, available and total phosphorus (AP, TP) in rhizospheric soil, and soil moisture, pH, AP, TP and inorganic N in the soil were measured. The relationship between species richness and the measured "&amp;"factors was analyzed using bivariate correlations and stepwise multiple linear regressions. The two dominant species, a shrub Artemisia frigida and a grass Stipa krylovii, responded differently to N addition such that the former was gradually replaced by "&amp;"the latter. S. krylovii and A. frigida had highly-branched fibrous and un-branched tap root systems, respectively. S. krylovii had higher height than A. frigida in both control and N added plots. These differences may contribute to the observed species re"&amp;"placement. In addition, the analysis on root element and AP contents in rhizospheric soil suggests that different calcium acquisition strategies, and phosphorus and sodium responses of the two species may account for the replacement. Species richness was "&amp;"significantly reduced along the five N addition levels. Our results revealed a significant relationship between species richness and soil pH, litter amount, soil moisture, AP concentration and inorganic N concentration. Conclusions/Significance: Our resul"&amp;"ts indicate that litter accumulation and soil acidification accounted for 52.3% and 43.3% of the variation in species richness, respectively. These findings would advance our knowledge on the changes in species richness in semiarid temperate steppe of nor"&amp;"thern China under N deposition scenario.")</f>
        <v>Background: Although community structure and species richness are known to respond to nitrogen fertilization dramatically, little is known about the mechanisms underlying specific species replacement and richness loss. In an experiment in semiarid temperate steppe of China, manipulative N addition with five treatments was conducted to evaluate the effect of N addition on the community structure and species richness. Methodology/Principal Findings: Species richness and biomass of community in each plot were investigated in a randomly selected quadrat. Root element, available and total phosphorus (AP, TP) in rhizospheric soil, and soil moisture, pH, AP, TP and inorganic N in the soil were measured. The relationship between species richness and the measured factors was analyzed using bivariate correlations and stepwise multiple linear regressions. The two dominant species, a shrub Artemisia frigida and a grass Stipa krylovii, responded differently to N addition such that the former was gradually replaced by the latter. S. krylovii and A. frigida had highly-branched fibrous and un-branched tap root systems, respectively. S. krylovii had higher height than A. frigida in both control and N added plots. These differences may contribute to the observed species replacement. In addition, the analysis on root element and AP contents in rhizospheric soil suggests that different calcium acquisition strategies, and phosphorus and sodium responses of the two species may account for the replacement. Species richness was significantly reduced along the five N addition levels. Our results revealed a significant relationship between species richness and soil pH, litter amount, soil moisture, AP concentration and inorganic N concentration. Conclusions/Significance: Our results indicate that litter accumulation and soil acidification accounted for 52.3% and 43.3% of the variation in species richness, respectively. These findings would advance our knowledge on the changes in species richness in semiarid temperate steppe of northern China under N deposition scenario.</v>
      </c>
      <c r="C73" s="24" t="str">
        <f>IFERROR(__xludf.DUMMYFUNCTION("""COMPUTED_VALUE"""),"10.1371/journal.pone.0047369")</f>
        <v>10.1371/journal.pone.0047369</v>
      </c>
      <c r="D73" s="24" t="str">
        <f>IFERROR(__xludf.DUMMYFUNCTION("""COMPUTED_VALUE"""),"murphy et al")</f>
        <v>murphy et al</v>
      </c>
      <c r="E73" s="24" t="str">
        <f>IFERROR(__xludf.DUMMYFUNCTION("""COMPUTED_VALUE"""),"WOS:000309809500045")</f>
        <v>WOS:000309809500045</v>
      </c>
      <c r="F73" s="24" t="str">
        <f>IFERROR(__xludf.DUMMYFUNCTION("""COMPUTED_VALUE"""),"[""ELIGIBLE""]")</f>
        <v>["ELIGIBLE"]</v>
      </c>
    </row>
    <row r="74">
      <c r="A74" s="24" t="str">
        <f>IFERROR(__xludf.DUMMYFUNCTION("""COMPUTED_VALUE"""),"Are soil mite assemblages structured by the identity of native and invasive alien grasses?")</f>
        <v>Are soil mite assemblages structured by the identity of native and invasive alien grasses?</v>
      </c>
      <c r="B74" s="24" t="str">
        <f>IFERROR(__xludf.DUMMYFUNCTION("""COMPUTED_VALUE"""),"Associations between plants and animals in aboveground communities are often predictable and specific. This has been exploited for the purposes of estimating the diversity of animal species based on the diversity of plant species. The introduction of inva"&amp;"sive alien plants into an ecosystem can result in dramatic changes in both the native plant and animal assemblages. Few data exist at the species level to determine whether belowground animal assemblages share the same degree of association to plants. The"&amp;" hypotheses that soil mites (Acari) form assemblages specifically associated with different native grass species in an unmanipulated natural ecosystem and that invasive alien grasses will impact soil mite assemblage composition in this setting were tested"&amp;". Soil mites sampled beneath five native and two invasive alien species of grasses at the Konza Prairie Biological Station, Kansas, USA, were similarly abundant, species rich, diverse, and taxonomically distinct. No mite species had affinities for a speci"&amp;"fic grass species. There was no evidence from analysis of similarity, canonical correspondence analysis, or a nonparametric assemblage analysis that the assemblage composition of soil mites was specific to grass species. Results suggest that soil mite ass"&amp;"emblages were more related to characteristics of the plant assemblage as a whole or prevailing soil conditions. The most recent invasive alien grass did not support a successionally younger mite fauna, based on the ratio of mesostigmatid to oribatid mites"&amp;", and neither of the two invasive grasses influenced mite assemblage structure, possibly because they had not yet substantially altered the soil environment. Our results suggest that extrapolations of soil mite diversity based on assumptions of plant spec"&amp;"ificity would be invalid.")</f>
        <v>Associations between plants and animals in aboveground communities are often predictable and specific. This has been exploited for the purposes of estimating the diversity of animal species based on the diversity of plant species. The introduction of invasive alien plants into an ecosystem can result in dramatic changes in both the native plant and animal assemblages. Few data exist at the species level to determine whether belowground animal assemblages share the same degree of association to plants. The hypotheses that soil mites (Acari) form assemblages specifically associated with different native grass species in an unmanipulated natural ecosystem and that invasive alien grasses will impact soil mite assemblage composition in this setting were tested. Soil mites sampled beneath five native and two invasive alien species of grasses at the Konza Prairie Biological Station, Kansas, USA, were similarly abundant, species rich, diverse, and taxonomically distinct. No mite species had affinities for a specific grass species. There was no evidence from analysis of similarity, canonical correspondence analysis, or a nonparametric assemblage analysis that the assemblage composition of soil mites was specific to grass species. Results suggest that soil mite assemblages were more related to characteristics of the plant assemblage as a whole or prevailing soil conditions. The most recent invasive alien grass did not support a successionally younger mite fauna, based on the ratio of mesostigmatid to oribatid mites, and neither of the two invasive grasses influenced mite assemblage structure, possibly because they had not yet substantially altered the soil environment. Our results suggest that extrapolations of soil mite diversity based on assumptions of plant specificity would be invalid.</v>
      </c>
      <c r="C74" s="24" t="str">
        <f>IFERROR(__xludf.DUMMYFUNCTION("""COMPUTED_VALUE"""),"10.1890/0012-9658(2006)87[1314:ASMASB]2.0.CO;2")</f>
        <v>10.1890/0012-9658(2006)87[1314:ASMASB]2.0.CO;2</v>
      </c>
      <c r="D74" s="24" t="str">
        <f>IFERROR(__xludf.DUMMYFUNCTION("""COMPUTED_VALUE"""),"murphy et al")</f>
        <v>murphy et al</v>
      </c>
      <c r="E74" s="24" t="str">
        <f>IFERROR(__xludf.DUMMYFUNCTION("""COMPUTED_VALUE"""),"WOS:000237552400026")</f>
        <v>WOS:000237552400026</v>
      </c>
      <c r="F74" s="24" t="str">
        <f>IFERROR(__xludf.DUMMYFUNCTION("""COMPUTED_VALUE"""),"[""ELIGIBLE""]")</f>
        <v>["ELIGIBLE"]</v>
      </c>
    </row>
    <row r="75">
      <c r="A75" s="24" t="str">
        <f>IFERROR(__xludf.DUMMYFUNCTION("""COMPUTED_VALUE"""),"Soil biota can change after exotic plant invasion: does this affect ecosystem processes?")</f>
        <v>Soil biota can change after exotic plant invasion: does this affect ecosystem processes?</v>
      </c>
      <c r="B75" s="24" t="str">
        <f>IFERROR(__xludf.DUMMYFUNCTION("""COMPUTED_VALUE"""),"Invasion of the exotic annual grass Bromus tectorum into stands of the native perennial grass Hilaria jamesii significantly reduced the abundance of soil biota, especially microarthropods and nematodes. Effects of invasion on active and total bacterial an"&amp;"d fungal biomass were variable, although populations generally increased after 50+ years of invasion. The invasion of Bromus also resulted in a decrease in richness and a species shift in plants, microarthropods, fungi, and nematodes. However, despite the"&amp;" depauperate soil fauna at the invaded sites, no effects were seen on cellulose decomposition rates, nitrogen mineralization rates, or vascular plant growth. When Hilaria was planted into soils from riot-invaded, recently invaded, and historically invaded"&amp;" sites (all currently or once dominated by Hilaria), germination and survivorship were not affected. In contrast, aboveground Hilaria biomass was significantly. greater in recently invaded soils than in the other two soils. We attributed the Hilaria respo"&amp;"nse to differences in soil nutrients present before the invasion, especially soil nitrogen, phosphorus, and potassium, as these nutrients were elevated in the soils that produced the greatest Hilaria biomass. Our data suggest that it is not soil biotic ri"&amp;"chness per se that determines soil process rates or plant productivity, but instead that either (1) the presence of a few critical soil food web taxa can keep ecosystem function high, (2) nutrient loss is very slow in this ecosystem, and/or (3) these proc"&amp;"esses are microbially driven. However, the presence of Bromus may reduce key soil nutrients over time and thus may eventually suppress native plant success.")</f>
        <v>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v>
      </c>
      <c r="C75" s="24" t="str">
        <f>IFERROR(__xludf.DUMMYFUNCTION("""COMPUTED_VALUE"""),"10.1890/05-0333")</f>
        <v>10.1890/05-0333</v>
      </c>
      <c r="D75" s="24" t="str">
        <f>IFERROR(__xludf.DUMMYFUNCTION("""COMPUTED_VALUE"""),"murphy et al")</f>
        <v>murphy et al</v>
      </c>
      <c r="E75" s="24" t="str">
        <f>IFERROR(__xludf.DUMMYFUNCTION("""COMPUTED_VALUE"""),"WOS:000233419600017")</f>
        <v>WOS:000233419600017</v>
      </c>
      <c r="F75" s="24" t="str">
        <f>IFERROR(__xludf.DUMMYFUNCTION("""COMPUTED_VALUE"""),"[""ELIGIBLE""]")</f>
        <v>["ELIGIBLE"]</v>
      </c>
    </row>
    <row r="76">
      <c r="A76" s="24" t="str">
        <f>IFERROR(__xludf.DUMMYFUNCTION("""COMPUTED_VALUE"""),"Effects of nutrient addition and acidification on plant species diversity and seed germination in heathland")</f>
        <v>Effects of nutrient addition and acidification on plant species diversity and seed germination in heathland</v>
      </c>
      <c r="B76" s="24" t="str">
        <f>IFERROR(__xludf.DUMMYFUNCTION("""COMPUTED_VALUE"""),"1. The atmospheric deposition of sulphur and nitrogen compounds in the Netherlands has been responsible for decreasing plant species diversity in heathland. To unravel the relative importance of nitrogen compounds on soil acidification and eutrophication,"&amp;" and hence on the vegetation, we carried out a factorial addition experiment and a germination experiment in heathland on nutrient-poor sandy soil. 2. We changed nutrient availability and acidity independently in eight different treatments that, respectiv"&amp;"ely, added nutrients or carbon in various combinations (N, P, glucose) or added acidifying or neutralizing compounds. One treatment also involved adding Al. Additions occurred five times per year during 5 years, in an area from which sods had been removed"&amp;" before the experiment began. The same design was used for the germination experiment, but the treatments were applied for 2 years. 3. Our results showed that acidification was the most important factor in reducing species diversity. In addition, the germ"&amp;"ination of several heathland species was significantly reduced in plots with a pH below 5, and germination was very poor in plots where Al had been added. 4. The number of plant species declined particularly with increasing Al in the upper soil horizons. "&amp;"We conclude that this relationship is responsible for the influence of acidification on plant species richness in heathland. 5. The influence of nutrient availability on species composition in heathland was subsidiary to acidity, but nutrient availability"&amp;" influenced species composition in an independent way. The growth of the three dominant species (Molinia caerulea, Calluna vulgaris and Erica tetralix) was limited by different nutrients. Erica tetralix was limited by N, Calluna vulgaris by P and Molinia "&amp;"caerulea by both N and P. We argue that increased N availability will change the relative availability of N and P, which can decrease species diversity. 6. Together these results show how factorial experiments can elucidate the complex ecological effects "&amp;"arising from sulphur and nitrogen deposition, revealing different mechanisms that change species richness and community composition.")</f>
        <v>1. The atmospheric deposition of sulphur and nitrogen compounds in the Netherlands has been responsible for decreasing plant species diversity in heathland. To unravel the relative importance of nitrogen compounds on soil acidification and eutrophication, and hence on the vegetation, we carried out a factorial addition experiment and a germination experiment in heathland on nutrient-poor sandy soil. 2. We changed nutrient availability and acidity independently in eight different treatments that, respectively, added nutrients or carbon in various combinations (N, P, glucose) or added acidifying or neutralizing compounds. One treatment also involved adding Al. Additions occurred five times per year during 5 years, in an area from which sods had been removed before the experiment began. The same design was used for the germination experiment, but the treatments were applied for 2 years. 3. Our results showed that acidification was the most important factor in reducing species diversity. In addition, the germination of several heathland species was significantly reduced in plots with a pH below 5, and germination was very poor in plots where Al had been added. 4. The number of plant species declined particularly with increasing Al in the upper soil horizons. We conclude that this relationship is responsible for the influence of acidification on plant species richness in heathland. 5. The influence of nutrient availability on species composition in heathland was subsidiary to acidity, but nutrient availability influenced species composition in an independent way. The growth of the three dominant species (Molinia caerulea, Calluna vulgaris and Erica tetralix) was limited by different nutrients. Erica tetralix was limited by N, Calluna vulgaris by P and Molinia caerulea by both N and P. We argue that increased N availability will change the relative availability of N and P, which can decrease species diversity. 6. Together these results show how factorial experiments can elucidate the complex ecological effects arising from sulphur and nitrogen deposition, revealing different mechanisms that change species richness and community composition.</v>
      </c>
      <c r="C76" s="24" t="str">
        <f>IFERROR(__xludf.DUMMYFUNCTION("""COMPUTED_VALUE"""),"10.1046/j.1365-2664.2002.00768.x")</f>
        <v>10.1046/j.1365-2664.2002.00768.x</v>
      </c>
      <c r="D76" s="24" t="str">
        <f>IFERROR(__xludf.DUMMYFUNCTION("""COMPUTED_VALUE"""),"murphy et al")</f>
        <v>murphy et al</v>
      </c>
      <c r="E76" s="24" t="str">
        <f>IFERROR(__xludf.DUMMYFUNCTION("""COMPUTED_VALUE"""),"WOS:000179578800008")</f>
        <v>WOS:000179578800008</v>
      </c>
      <c r="F76" s="24" t="str">
        <f>IFERROR(__xludf.DUMMYFUNCTION("""COMPUTED_VALUE"""),"[""ELIGIBLE""]")</f>
        <v>["ELIGIBLE"]</v>
      </c>
    </row>
    <row r="77">
      <c r="A77" s="24" t="str">
        <f>IFERROR(__xludf.DUMMYFUNCTION("""COMPUTED_VALUE"""),"What is the impact of Impatiens glandulifera on species diversity of invaded riparian vegetation?")</f>
        <v>What is the impact of Impatiens glandulifera on species diversity of invaded riparian vegetation?</v>
      </c>
      <c r="B77" s="24" t="str">
        <f>IFERROR(__xludf.DUMMYFUNCTION("""COMPUTED_VALUE"""),"Effect of invasion by Impatiens glandulifera (Balsaminaceae) on the community characteristics and species composition of invaded riparian communities was studied at six rivers in the Czech Republic. Two approaches were used: space for time substitution ap"&amp;"proach, i.e., comparing invaded and uninvaded sites under the same habitat conditions, and removal of the invader from experimental plots. Differences in the number of species, Shannon diversity index H' and evennes J were compared between invaded and uni"&amp;"nvaded plots. Uninvaded plots of the comparative study harboured by 0.23 more species per 16 m(2), and had higher value of H' and J, calculated with species covers as importance values; however only the difference in J was marginally significant (p = 0.04"&amp;"). Other effects were not significant, indicating that once I. glandulifera is removed, communities recover without any consequences for species diversity. Multivariate analysis did not reveal any effect of invasion on the species composition in terms of "&amp;"species presence but their cover hierarchies changed after the invasion, as I. glandulifera became dominant at the expense of tall native nitrophilous dominants. It is concluded that I. glandulifera exerts negligible effect on the characteristics of invad"&amp;"ed riparian communities, hence it does not represent threat to the plant diversity of invaded areas. This makes it very different from other Central European invasive aliens of a similar performance. (c) 2006 Elsevier Ltd. All rights reserved.")</f>
        <v>Effect of invasion by Impatiens glandulifera (Balsaminaceae) on the community characteristics and species composition of invaded riparian communities was studied at six rivers in the Czech Republic. Two approaches were used: space for time substitution approach, i.e., comparing invaded and uninvaded sites under the same habitat conditions, and removal of the invader from experimental plots. Differences in the number of species, Shannon diversity index H' and evennes J were compared between invaded and uninvaded plots. Uninvaded plots of the comparative study harboured by 0.23 more species per 16 m(2), and had higher value of H' and J, calculated with species covers as importance values; however only the difference in J was marginally significant (p = 0.04). Other effects were not significant, indicating that once I. glandulifera is removed, communities recover without any consequences for species diversity. Multivariate analysis did not reveal any effect of invasion on the species composition in terms of species presence but their cover hierarchies changed after the invasion, as I. glandulifera became dominant at the expense of tall native nitrophilous dominants. It is concluded that I. glandulifera exerts negligible effect on the characteristics of invaded riparian communities, hence it does not represent threat to the plant diversity of invaded areas. This makes it very different from other Central European invasive aliens of a similar performance. (c) 2006 Elsevier Ltd. All rights reserved.</v>
      </c>
      <c r="C77" s="24" t="str">
        <f>IFERROR(__xludf.DUMMYFUNCTION("""COMPUTED_VALUE"""),"10.1016/j.biocon.2006.03.025")</f>
        <v>10.1016/j.biocon.2006.03.025</v>
      </c>
      <c r="D77" s="24" t="str">
        <f>IFERROR(__xludf.DUMMYFUNCTION("""COMPUTED_VALUE"""),"murphy et al")</f>
        <v>murphy et al</v>
      </c>
      <c r="E77" s="24" t="str">
        <f>IFERROR(__xludf.DUMMYFUNCTION("""COMPUTED_VALUE"""),"WOS:000240480900001")</f>
        <v>WOS:000240480900001</v>
      </c>
      <c r="F77" s="24" t="str">
        <f>IFERROR(__xludf.DUMMYFUNCTION("""COMPUTED_VALUE"""),"[""ELIGIBLE""]")</f>
        <v>["ELIGIBLE"]</v>
      </c>
    </row>
    <row r="78">
      <c r="A78" s="24" t="str">
        <f>IFERROR(__xludf.DUMMYFUNCTION("""COMPUTED_VALUE"""),"Relationship between the presence of House Sparrows (Passer domesticus) and Neotropical bird community structure and diversity")</f>
        <v>Relationship between the presence of House Sparrows (Passer domesticus) and Neotropical bird community structure and diversity</v>
      </c>
      <c r="B78" s="24" t="str">
        <f>IFERROR(__xludf.DUMMYFUNCTION("""COMPUTED_VALUE"""),"Invasive exotic species pose an important threat to biodiversity worldwide. However, there is little information on the effects that specific exotic bird species have on native biota. The House Sparrow is an excellent ecological model to evaluate the effe"&amp;"ct that an invasive exotic species has on native bird communities. Our study describes the relationship of the presence and abundance of House Sparrows with the structure, diversity, and composition of native bird communities in West Mexico. We used two a"&amp;"pproaches to compare House Sparrow invaded and non-invaded bird communities: (1) at a small geographic-scale that allowed us to evaluate shifts in avian communities with presence of the House Sparrow under similar environmental conditions; and (2) at the "&amp;"landscape-level to evaluate the effect of this species under a scenario of greater environmental heterogeneity. Results from both approaches show that areas invaded by House Sparrows have heavily-dominated avian communities with low species richness, whil"&amp;"e non-invaded areas exhibit highly-even and species-rich bird communities. Species turnover analysis indicates that the decrease in the number of bird species in House Sparrow invaded areas is caused by species loss, rather than a shift in species composi"&amp;"tion. Our results indicate that the invasion of an area by the House Sparrow, through synergistic interactions with human activities, determines the composition, structure, and diversity of native bird communities.")</f>
        <v>Invasive exotic species pose an important threat to biodiversity worldwide. However, there is little information on the effects that specific exotic bird species have on native biota. The House Sparrow is an excellent ecological model to evaluate the effect that an invasive exotic species has on native bird communities. Our study describes the relationship of the presence and abundance of House Sparrows with the structure, diversity, and composition of native bird communities in West Mexico. We used two approaches to compare House Sparrow invaded and non-invaded bird communities: (1) at a small geographic-scale that allowed us to evaluate shifts in avian communities with presence of the House Sparrow under similar environmental conditions; and (2) at the landscape-level to evaluate the effect of this species under a scenario of greater environmental heterogeneity. Results from both approaches show that areas invaded by House Sparrows have heavily-dominated avian communities with low species richness, while non-invaded areas exhibit highly-even and species-rich bird communities. Species turnover analysis indicates that the decrease in the number of bird species in House Sparrow invaded areas is caused by species loss, rather than a shift in species composition. Our results indicate that the invasion of an area by the House Sparrow, through synergistic interactions with human activities, determines the composition, structure, and diversity of native bird communities.</v>
      </c>
      <c r="C78" s="24" t="str">
        <f>IFERROR(__xludf.DUMMYFUNCTION("""COMPUTED_VALUE"""),"10.1007/s10530-009-9432-5")</f>
        <v>10.1007/s10530-009-9432-5</v>
      </c>
      <c r="D78" s="24" t="str">
        <f>IFERROR(__xludf.DUMMYFUNCTION("""COMPUTED_VALUE"""),"murphy et al")</f>
        <v>murphy et al</v>
      </c>
      <c r="E78" s="24" t="str">
        <f>IFERROR(__xludf.DUMMYFUNCTION("""COMPUTED_VALUE"""),"WOS:000272847900008")</f>
        <v>WOS:000272847900008</v>
      </c>
      <c r="F78" s="24" t="str">
        <f>IFERROR(__xludf.DUMMYFUNCTION("""COMPUTED_VALUE"""),"[""ELIGIBLE""]")</f>
        <v>["ELIGIBLE"]</v>
      </c>
    </row>
    <row r="79">
      <c r="A79" s="24" t="str">
        <f>IFERROR(__xludf.DUMMYFUNCTION("""COMPUTED_VALUE"""),"Native plant community composition and genetic diversity associated with long-term weed invasions")</f>
        <v>Native plant community composition and genetic diversity associated with long-term weed invasions</v>
      </c>
      <c r="B79" s="24" t="str">
        <f>IFERROR(__xludf.DUMMYFUNCTION("""COMPUTED_VALUE"""),"Many studies have assessed genetic changes in exotic plant species in their native and introduced ranges, but none have focused on genetic variation in native plant species in response to exotic invasion. We examine characteristics of native plant communi"&amp;"ties within and outside old (&gt;25 year) invasions of Acroptilon repens (Russian knapweed) and Cardaria draba (hoary cress). We also document genetic variability of 4 native grass populations (Hesperostipa comata [needle and thread], Achnatherun lujmenoides"&amp;" [Indian ricegrass], Sporobolus airoides [alkali sacaton], and Poa secunda [Sandberg bluegrass]) front 2 areas: adjacent to and within weed invasions. Native plant species richness and diversity did not differ between invaded and noninvaded areas. Inter-s"&amp;"imple sequence repeat (ISSR) analysis of individual native perennial grasses of each of the 4 species suggests that populations exposed to long-term coexistence with exotics may differ front adjacent noninvaded populations. We suggest that future research"&amp;" efforts should focus on intraspecific diversity of native plant species to identify possible candidates for restoration following weed control.")</f>
        <v>Many studies have assessed genetic changes in exotic plant species in their native and introduced ranges, but none have focused on genetic variation in native plant species in response to exotic invasion. We examine characteristics of native plant communities within and outside old (&gt;25 year) invasions of Acroptilon repens (Russian knapweed) and Cardaria draba (hoary cress). We also document genetic variability of 4 native grass populations (Hesperostipa comata [needle and thread], Achnatherun lujmenoides [Indian ricegrass], Sporobolus airoides [alkali sacaton], and Poa secunda [Sandberg bluegrass]) front 2 areas: adjacent to and within weed invasions. Native plant species richness and diversity did not differ between invaded and noninvaded areas. Inter-simple sequence repeat (ISSR) analysis of individual native perennial grasses of each of the 4 species suggests that populations exposed to long-term coexistence with exotics may differ front adjacent noninvaded populations. We suggest that future research efforts should focus on intraspecific diversity of native plant species to identify possible candidates for restoration following weed control.</v>
      </c>
      <c r="C79" s="24" t="str">
        <f>IFERROR(__xludf.DUMMYFUNCTION("""COMPUTED_VALUE"""),"")</f>
        <v/>
      </c>
      <c r="D79" s="24" t="str">
        <f>IFERROR(__xludf.DUMMYFUNCTION("""COMPUTED_VALUE"""),"murphy et al")</f>
        <v>murphy et al</v>
      </c>
      <c r="E79" s="24" t="str">
        <f>IFERROR(__xludf.DUMMYFUNCTION("""COMPUTED_VALUE"""),"WOS:000224952700011")</f>
        <v>WOS:000224952700011</v>
      </c>
      <c r="F79" s="24" t="str">
        <f>IFERROR(__xludf.DUMMYFUNCTION("""COMPUTED_VALUE"""),"[""ELIGIBLE""]")</f>
        <v>["ELIGIBLE"]</v>
      </c>
    </row>
    <row r="80">
      <c r="A80" s="24" t="str">
        <f>IFERROR(__xludf.DUMMYFUNCTION("""COMPUTED_VALUE"""),"Ecological impacts of the invasive grass Sorghum halepense on native tallgrass prairie")</f>
        <v>Ecological impacts of the invasive grass Sorghum halepense on native tallgrass prairie</v>
      </c>
      <c r="B80" s="24" t="str">
        <f>IFERROR(__xludf.DUMMYFUNCTION("""COMPUTED_VALUE"""),"Invasive plants frequently have competitive advantages over native species. These advantages have been characterized in systems in which the invading species has already become well established. Surprisingly, invader impacts on native communities currentl"&amp;"y undergoing invasion are lacking from most ecological studies. In this work we document and quantify shifting patterns in plant community structure in a native ecosystem (remnant tallgrass prairie) undergoing invasion by the invasive exotic Sorghum halep"&amp;"ense (Johnsongrass). Further, we use manipulative field and greenhouse studies to quantify impacts of potential allelochemicals contained in whole-plant S. halepense leachates on growth of the dominant native grass, Schizachyrium scoparium (Little Blueste"&amp;"m), and tested the inhibitory effects of the potential soil legacy of S. halepense on the native grass in the greenhouse. Plant diversity indices revealed three distinct plant communities within the remnant prairie: a native community, a densely S. halepe"&amp;"nse invaded area, and a transitional zone between the two. Dominance of the native grass, determined by relative percent cover, significantly declined with increased S. halepense invasion via rhizomatous growth. Annual global positioning system monitoring"&amp;" of the S. halepense invasion front was used to quantify advancement into native prairie, documented at an average rate of 0.45 m year(-1). In the manipulative field and greenhouse studies, native S. scoparium treated with invasive S. halepense leachate h"&amp;"ad significantly less biomass and fewer inflorescences than control plants. These findings indicate the prolific clonal growth in conjunction with the plant chemistry of S. halepense play a significant role in displacement of the native grass.")</f>
        <v>Invasive plants frequently have competitive advantages over native species. These advantages have been characterized in systems in which the invading species has already become well established. Surprisingly, invader impacts on native communities currently undergoing invasion are lacking from most ecological studies. In this work we document and quantify shifting patterns in plant community structure in a native ecosystem (remnant tallgrass prairie) undergoing invasion by the invasive exotic Sorghum halepense (Johnsongrass). Further, we use manipulative field and greenhouse studies to quantify impacts of potential allelochemicals contained in whole-plant S. halepense leachates on growth of the dominant native grass, Schizachyrium scoparium (Little Bluestem), and tested the inhibitory effects of the potential soil legacy of S. halepense on the native grass in the greenhouse. Plant diversity indices revealed three distinct plant communities within the remnant prairie: a native community, a densely S. halepense invaded area, and a transitional zone between the two. Dominance of the native grass, determined by relative percent cover, significantly declined with increased S. halepense invasion via rhizomatous growth. Annual global positioning system monitoring of the S. halepense invasion front was used to quantify advancement into native prairie, documented at an average rate of 0.45 m year(-1). In the manipulative field and greenhouse studies, native S. scoparium treated with invasive S. halepense leachate had significantly less biomass and fewer inflorescences than control plants. These findings indicate the prolific clonal growth in conjunction with the plant chemistry of S. halepense play a significant role in displacement of the native grass.</v>
      </c>
      <c r="C80" s="24" t="str">
        <f>IFERROR(__xludf.DUMMYFUNCTION("""COMPUTED_VALUE"""),"10.1007/s10530-012-0289-7")</f>
        <v>10.1007/s10530-012-0289-7</v>
      </c>
      <c r="D80" s="24" t="str">
        <f>IFERROR(__xludf.DUMMYFUNCTION("""COMPUTED_VALUE"""),"murphy et al")</f>
        <v>murphy et al</v>
      </c>
      <c r="E80" s="24" t="str">
        <f>IFERROR(__xludf.DUMMYFUNCTION("""COMPUTED_VALUE"""),"WOS:000313030500010")</f>
        <v>WOS:000313030500010</v>
      </c>
      <c r="F80" s="24" t="str">
        <f>IFERROR(__xludf.DUMMYFUNCTION("""COMPUTED_VALUE"""),"[""ELIGIBLE""]")</f>
        <v>["ELIGIBLE"]</v>
      </c>
    </row>
    <row r="81">
      <c r="A81" s="24" t="str">
        <f>IFERROR(__xludf.DUMMYFUNCTION("""COMPUTED_VALUE"""),"Plant invasion impacts on arthropod abundance, diversity and feeding consistent across environmental and geographic gradients")</f>
        <v>Plant invasion impacts on arthropod abundance, diversity and feeding consistent across environmental and geographic gradients</v>
      </c>
      <c r="B81" s="24" t="str">
        <f>IFERROR(__xludf.DUMMYFUNCTION("""COMPUTED_VALUE"""),"Exotic plant invasion not only changes native plant communities, it also alters associated arthropod community diversity and structure. These impacts often are contradictory and context-specific by study location. M. vimineum is an Asian grass currently i"&amp;"nvading the eastern United States that generally escapes herbivory. The invasion impacts on arthropod communities are mixed, and the effects on arthropod food webs are largely unknown. Because M. vimineum has a unique delta C-13 value, its carbon flow can"&amp;" be resolved from native plants in recipient food webs. We investigate arthropod communities at M. vimineum-invaded sites along a 100-km geographic and environmental gradient in the southeastern U.S. We investigate M. vimineum impacts on arthropod abundan"&amp;"ce and diversity, how M. vimineum-derived carbon contributes to arthropod biomass and how environmental variation modifies invasion effects on arthropod communities. We find that M. vimineum invasion corresponds with increased arthropod diversity and abun"&amp;"dance, but reduced evenness. Herbivore damage to leaves is equivalent between native species and M. vimineum, but the type of herbivore damage is not the same between the native and invader plants. We also find that herbivores derive 37 % of their biomass"&amp;"-carbon from the exotic plant but predators almost none (4 %). Detritivores derive exotic carbon (9 %) proportional to M. vimineum in the litter layer. Whereas exotic plant impacts on arthropod communities often seem idiosyncratic by site, we find no cont"&amp;"ext-dependent invasion effects of M. vimineum by study location. The consistency suggests that the impacts may be broadly generalizable, at least within well-established parts of the invasion range.")</f>
        <v>Exotic plant invasion not only changes native plant communities, it also alters associated arthropod community diversity and structure. These impacts often are contradictory and context-specific by study location. M. vimineum is an Asian grass currently invading the eastern United States that generally escapes herbivory. The invasion impacts on arthropod communities are mixed, and the effects on arthropod food webs are largely unknown. Because M. vimineum has a unique delta C-13 value, its carbon flow can be resolved from native plants in recipient food webs. We investigate arthropod communities at M. vimineum-invaded sites along a 100-km geographic and environmental gradient in the southeastern U.S. We investigate M. vimineum impacts on arthropod abundance and diversity, how M. vimineum-derived carbon contributes to arthropod biomass and how environmental variation modifies invasion effects on arthropod communities. We find that M. vimineum invasion corresponds with increased arthropod diversity and abundance, but reduced evenness. Herbivore damage to leaves is equivalent between native species and M. vimineum, but the type of herbivore damage is not the same between the native and invader plants. We also find that herbivores derive 37 % of their biomass-carbon from the exotic plant but predators almost none (4 %). Detritivores derive exotic carbon (9 %) proportional to M. vimineum in the litter layer. Whereas exotic plant impacts on arthropod communities often seem idiosyncratic by site, we find no context-dependent invasion effects of M. vimineum by study location. The consistency suggests that the impacts may be broadly generalizable, at least within well-established parts of the invasion range.</v>
      </c>
      <c r="C81" s="24" t="str">
        <f>IFERROR(__xludf.DUMMYFUNCTION("""COMPUTED_VALUE"""),"10.1007/s10530-012-0258-1")</f>
        <v>10.1007/s10530-012-0258-1</v>
      </c>
      <c r="D81" s="24" t="str">
        <f>IFERROR(__xludf.DUMMYFUNCTION("""COMPUTED_VALUE"""),"murphy et al")</f>
        <v>murphy et al</v>
      </c>
      <c r="E81" s="24" t="str">
        <f>IFERROR(__xludf.DUMMYFUNCTION("""COMPUTED_VALUE"""),"WOS:000310464500014")</f>
        <v>WOS:000310464500014</v>
      </c>
      <c r="F81" s="24" t="str">
        <f>IFERROR(__xludf.DUMMYFUNCTION("""COMPUTED_VALUE"""),"[""ELIGIBLE""]")</f>
        <v>["ELIGIBLE"]</v>
      </c>
    </row>
    <row r="82">
      <c r="A82" s="24" t="str">
        <f>IFERROR(__xludf.DUMMYFUNCTION("""COMPUTED_VALUE"""),"Experimental plant invasion reduces arthropod abundance and richness across multiple trophic levels")</f>
        <v>Experimental plant invasion reduces arthropod abundance and richness across multiple trophic levels</v>
      </c>
      <c r="B82" s="24" t="str">
        <f>IFERROR(__xludf.DUMMYFUNCTION("""COMPUTED_VALUE"""),"Plant invasions are known to have negative impacts on native plant communities, yet their influence on higher trophic levels has not been well documented. Past studies investigating the effects of invasive plants on herbivores and carnivores have been lar"&amp;"gely observational in nature and thus lack the ability to tease apart whether differences are a cause or consequence of the invasion. In addition, understanding how plant traits and plant species compositions change in invaded habitats may increase our ab"&amp;"ility to predict when and where invasive plants will have effects that cascade to animals. To assess effects on arthropods, we experimentally introduced a non-native plant (Microstegium vimineum, Japanese stiltgrass) in a community re-assembly experiment."&amp;" We also investigated possible mechanisms through which the invader could affect associated arthropods, including changes in native plant species richness, above-ground plant biomass, light availability and vegetation height. In experimentally invaded plo"&amp;"ts, arthropod abundance was reduced by 39%, and species richness declined by 19%. Carnivores experienced greater reductions in abundance than herbivores (61% vs 31% reduction). Arthropod composition significantly diverged between experimentally invaded an"&amp;"d control plots, and particular species belonging to the abundant families Aphididae (aphids), Formicidae (ants) and Phalacridae (shining flower beetles) contributed the most to compositional differences. Among the mechanisms we investigated, only the red"&amp;"uction in native plant species richness caused by invasion was strongly correlated with total arthropod abundance and richness. In sum, our results demonstrate negative impacts of M. vimineum invasion on higher trophic levels and suggest that these effect"&amp;"s occur, in part, indirectly through invader-mediated reductions in the richness of the native plant community. The particularly strong response of carnivores suggests that plant invasion could reduce top-down control of herbivorous species for native pla"&amp;"nts.")</f>
        <v>Plant invasions are known to have negative impacts on native plant communities, yet their influence on higher trophic levels has not been well documented. Past studies investigating the effects of invasive plants on herbivores and carnivores have been largely observational in nature and thus lack the ability to tease apart whether differences are a cause or consequence of the invasion. In addition, understanding how plant traits and plant species compositions change in invaded habitats may increase our ability to predict when and where invasive plants will have effects that cascade to animals. To assess effects on arthropods, we experimentally introduced a non-native plant (Microstegium vimineum, Japanese stiltgrass) in a community re-assembly experiment. We also investigated possible mechanisms through which the invader could affect associated arthropods, including changes in native plant species richness, above-ground plant biomass, light availability and vegetation height. In experimentally invaded plots, arthropod abundance was reduced by 39%, and species richness declined by 19%. Carnivores experienced greater reductions in abundance than herbivores (61% vs 31% reduction). Arthropod composition significantly diverged between experimentally invaded and control plots, and particular species belonging to the abundant families Aphididae (aphids), Formicidae (ants) and Phalacridae (shining flower beetles) contributed the most to compositional differences. Among the mechanisms we investigated, only the reduction in native plant species richness caused by invasion was strongly correlated with total arthropod abundance and richness. In sum, our results demonstrate negative impacts of M. vimineum invasion on higher trophic levels and suggest that these effects occur, in part, indirectly through invader-mediated reductions in the richness of the native plant community. The particularly strong response of carnivores suggests that plant invasion could reduce top-down control of herbivorous species for native plants.</v>
      </c>
      <c r="C82" s="24" t="str">
        <f>IFERROR(__xludf.DUMMYFUNCTION("""COMPUTED_VALUE"""),"10.1111/j.1600-0706.2010.18382.x")</f>
        <v>10.1111/j.1600-0706.2010.18382.x</v>
      </c>
      <c r="D82" s="24" t="str">
        <f>IFERROR(__xludf.DUMMYFUNCTION("""COMPUTED_VALUE"""),"murphy et al")</f>
        <v>murphy et al</v>
      </c>
      <c r="E82" s="24" t="str">
        <f>IFERROR(__xludf.DUMMYFUNCTION("""COMPUTED_VALUE"""),"WOS:000281833700003")</f>
        <v>WOS:000281833700003</v>
      </c>
      <c r="F82" s="24" t="str">
        <f>IFERROR(__xludf.DUMMYFUNCTION("""COMPUTED_VALUE"""),"[""ELIGIBLE""]")</f>
        <v>["ELIGIBLE"]</v>
      </c>
    </row>
    <row r="83">
      <c r="A83" s="24" t="str">
        <f>IFERROR(__xludf.DUMMYFUNCTION("""COMPUTED_VALUE"""),"Comparison of plant diversity in protected and communal lands in the Bushbuckridge lowveld savanna, South Africa")</f>
        <v>Comparison of plant diversity in protected and communal lands in the Bushbuckridge lowveld savanna, South Africa</v>
      </c>
      <c r="B83" s="24" t="str">
        <f>IFERROR(__xludf.DUMMYFUNCTION("""COMPUTED_VALUE"""),"Patterns of higher plant species richness and beta diversity were assessed using standard Modified-Whittaker plots in relation to landuse, slope position and mean annual rainfall across a rainfall gradient in the savanna areas of the Bushbuckridge lowveld"&amp;", South Africa. In particular, comparison of communal areas with adjacent protected areas was important in showing the impacts of potential changes in landuse within an overarching catchment management plan. Although most of the protected areas considered"&amp;" preservation of biodiversity as their primary goal, they were characterised by significantly fewer plant species than the adjacent, highly utilised, communal lands, at both the plot and point scale. Slope position also had a significant effect on plant s"&amp;"pecies richness, with eutrophic bottomlands having c. 30% more species than the dystrophic toplands. This adds weight to the need for greater public awareness for the judicious use and management of the sensitive bottomlands, which fringe the primary drai"&amp;"nage lines that are vital for sustained supplies of good quality surface water in this semi-arid environment. The total number of species increased with increasing mean annual rainfall across the rainfall gradient. This suggests that, if the catchment man"&amp;"agement plan aims to identify additional areas for conservation, the higher rainfall areas should be the first to be assessed. Species turnover was greater along the rainfall gradient than the catenal gradient between toplands and bottomlands. (C) 2000 El"&amp;"sevier Science ltd. All rights reserved.")</f>
        <v>Patterns of higher plant species richness and beta diversity were assessed using standard Modified-Whittaker plots in relation to landuse, slope position and mean annual rainfall across a rainfall gradient in the savanna areas of the Bushbuckridge lowveld, South Africa. In particular, comparison of communal areas with adjacent protected areas was important in showing the impacts of potential changes in landuse within an overarching catchment management plan. Although most of the protected areas considered preservation of biodiversity as their primary goal, they were characterised by significantly fewer plant species than the adjacent, highly utilised, communal lands, at both the plot and point scale. Slope position also had a significant effect on plant species richness, with eutrophic bottomlands having c. 30% more species than the dystrophic toplands. This adds weight to the need for greater public awareness for the judicious use and management of the sensitive bottomlands, which fringe the primary drainage lines that are vital for sustained supplies of good quality surface water in this semi-arid environment. The total number of species increased with increasing mean annual rainfall across the rainfall gradient. This suggests that, if the catchment management plan aims to identify additional areas for conservation, the higher rainfall areas should be the first to be assessed. Species turnover was greater along the rainfall gradient than the catenal gradient between toplands and bottomlands. (C) 2000 Elsevier Science ltd. All rights reserved.</v>
      </c>
      <c r="C83" s="24" t="str">
        <f>IFERROR(__xludf.DUMMYFUNCTION("""COMPUTED_VALUE"""),"10.1016/S0006-3207(00)00001-X")</f>
        <v>10.1016/S0006-3207(00)00001-X</v>
      </c>
      <c r="D83" s="24" t="str">
        <f>IFERROR(__xludf.DUMMYFUNCTION("""COMPUTED_VALUE"""),"murphy et al")</f>
        <v>murphy et al</v>
      </c>
      <c r="E83" s="24" t="str">
        <f>IFERROR(__xludf.DUMMYFUNCTION("""COMPUTED_VALUE"""),"WOS:000087218600002")</f>
        <v>WOS:000087218600002</v>
      </c>
      <c r="F83" s="24" t="str">
        <f>IFERROR(__xludf.DUMMYFUNCTION("""COMPUTED_VALUE"""),"[""ELIGIBLE""]")</f>
        <v>["ELIGIBLE"]</v>
      </c>
    </row>
    <row r="84">
      <c r="A84" s="24" t="str">
        <f>IFERROR(__xludf.DUMMYFUNCTION("""COMPUTED_VALUE"""),"Multi-scale impacts of crested wheatgrass invasion in mixed-grass prairie")</f>
        <v>Multi-scale impacts of crested wheatgrass invasion in mixed-grass prairie</v>
      </c>
      <c r="B84" s="24" t="str">
        <f>IFERROR(__xludf.DUMMYFUNCTION("""COMPUTED_VALUE"""),"Most of North America's northern Great Plains have been cultivated for crop production, leaving remnants of natural mixed-grass prairie fragmented and threatened by alien plant invasions. The region's most widespread alien perennial forage crop, crested w"&amp;"heatgrass (Agropyron cristatum sensu amplo), has invaded native grassland and raised concerns regarding its ecological impact. To evaluate impacts at multiple scales of organization, adjacent invaded and uninvaded mixed-grass prairie were sampled at eight"&amp;" widely separated locations. At the population level, native C-3 mid-grasses and forbs were less abundant in invaded grasslands, while native C-3 and C-4 short-grass abundance was not different. At community and landscape levels, diversity was lower in in"&amp;"vaded grasslands largely because of lower forb species richness and cover, and crested wheatgrass dominance of both cover (14% basal cover) and seed-bank (404 seeds m(-2)). At the ecosystem level, both vegetation and litter biomass were greater in invaded"&amp;" grasslands, however, below ground organic matter (roots and litter), soil organic carbon, total nitrogen and phosphorus were not different. Crested wheatgrass invasion of mixed-grass prairie was associated with lower diversity within and among plant comm"&amp;"unities, and appears to simplify the composition of mixed-grass prairie landscapes. Hypotheses for crested wheatgrass dominance and persistence following invasion are suggested.")</f>
        <v>Most of North America's northern Great Plains have been cultivated for crop production, leaving remnants of natural mixed-grass prairie fragmented and threatened by alien plant invasions. The region's most widespread alien perennial forage crop, crested wheatgrass (Agropyron cristatum sensu amplo), has invaded native grassland and raised concerns regarding its ecological impact. To evaluate impacts at multiple scales of organization, adjacent invaded and uninvaded mixed-grass prairie were sampled at eight widely separated locations. At the population level, native C-3 mid-grasses and forbs were less abundant in invaded grasslands, while native C-3 and C-4 short-grass abundance was not different. At community and landscape levels, diversity was lower in invaded grasslands largely because of lower forb species richness and cover, and crested wheatgrass dominance of both cover (14% basal cover) and seed-bank (404 seeds m(-2)). At the ecosystem level, both vegetation and litter biomass were greater in invaded grasslands, however, below ground organic matter (roots and litter), soil organic carbon, total nitrogen and phosphorus were not different. Crested wheatgrass invasion of mixed-grass prairie was associated with lower diversity within and among plant communities, and appears to simplify the composition of mixed-grass prairie landscapes. Hypotheses for crested wheatgrass dominance and persistence following invasion are suggested.</v>
      </c>
      <c r="C84" s="24" t="str">
        <f>IFERROR(__xludf.DUMMYFUNCTION("""COMPUTED_VALUE"""),"10.1007/s10530-004-6669-x")</f>
        <v>10.1007/s10530-004-6669-x</v>
      </c>
      <c r="D84" s="24" t="str">
        <f>IFERROR(__xludf.DUMMYFUNCTION("""COMPUTED_VALUE"""),"murphy et al")</f>
        <v>murphy et al</v>
      </c>
      <c r="E84" s="24" t="str">
        <f>IFERROR(__xludf.DUMMYFUNCTION("""COMPUTED_VALUE"""),"WOS:000231804500009")</f>
        <v>WOS:000231804500009</v>
      </c>
      <c r="F84" s="24" t="str">
        <f>IFERROR(__xludf.DUMMYFUNCTION("""COMPUTED_VALUE"""),"[""ELIGIBLE""]")</f>
        <v>["ELIGIBLE"]</v>
      </c>
    </row>
    <row r="85">
      <c r="A85" s="24" t="str">
        <f>IFERROR(__xludf.DUMMYFUNCTION("""COMPUTED_VALUE"""),"Nitrogen availability alters macrofungal basidiomycete community structure in optimally fertilized loblolly pine forests")</f>
        <v>Nitrogen availability alters macrofungal basidiomycete community structure in optimally fertilized loblolly pine forests</v>
      </c>
      <c r="B85" s="24" t="str">
        <f>IFERROR(__xludf.DUMMYFUNCTION("""COMPUTED_VALUE"""),"We investigated the effect of an optimal nutrition strategy designed to maximize loblolly pine (Pinus taeda) growth on the rank abundance structure and diversity of associated basidiomycete communities. We conducted both small- and large-scale below-groun"&amp;"d surveys 10 years after the initiation of optimal nutrition, and used TRFLP of selectively PCR-amplified nrDNA ITS to determine the distribution and abundance of macrofungal basidiomycete species in c. 200 soil samples collected from optimally fertilized"&amp;" and unfertilized treatments at the SETRES loblolly pine experimental site, North Carolina, USA. Our results indicated an increased relative abundance of Tylopilus and Thelephora spp. on optimally fertilized stands. Our results also suggested improved myc"&amp;"elial growth of several species, possibly caused by increased connectivity in the forest floor as a result of increased plant growth. In addition, our results suggest a trend towards reduced basidiomycete diversity, and that large-scale application of opt"&amp;"imal nutrition may need to be sensitive to increased nitrate availability.")</f>
        <v>We investigated the effect of an optimal nutrition strategy designed to maximize loblolly pine (Pinus taeda) growth on the rank abundance structure and diversity of associated basidiomycete communities. We conducted both small- and large-scale below-ground surveys 10 years after the initiation of optimal nutrition, and used TRFLP of selectively PCR-amplified nrDNA ITS to determine the distribution and abundance of macrofungal basidiomycete species in c. 200 soil samples collected from optimally fertilized and unfertilized treatments at the SETRES loblolly pine experimental site, North Carolina, USA. Our results indicated an increased relative abundance of Tylopilus and Thelephora spp. on optimally fertilized stands. Our results also suggested improved mycelial growth of several species, possibly caused by increased connectivity in the forest floor as a result of increased plant growth. In addition, our results suggest a trend towards reduced basidiomycete diversity, and that large-scale application of optimal nutrition may need to be sensitive to increased nitrate availability.</v>
      </c>
      <c r="C85" s="24" t="str">
        <f>IFERROR(__xludf.DUMMYFUNCTION("""COMPUTED_VALUE"""),"10.1111/j.1469-8137.2004.01074.x")</f>
        <v>10.1111/j.1469-8137.2004.01074.x</v>
      </c>
      <c r="D85" s="24" t="str">
        <f>IFERROR(__xludf.DUMMYFUNCTION("""COMPUTED_VALUE"""),"murphy et al")</f>
        <v>murphy et al</v>
      </c>
      <c r="E85" s="24" t="str">
        <f>IFERROR(__xludf.DUMMYFUNCTION("""COMPUTED_VALUE"""),"WOS:000221913500017")</f>
        <v>WOS:000221913500017</v>
      </c>
      <c r="F85" s="24" t="str">
        <f>IFERROR(__xludf.DUMMYFUNCTION("""COMPUTED_VALUE"""),"[""ELIGIBLE""]")</f>
        <v>["ELIGIBLE"]</v>
      </c>
    </row>
    <row r="86">
      <c r="A86" s="24" t="str">
        <f>IFERROR(__xludf.DUMMYFUNCTION("""COMPUTED_VALUE"""),"Invasive shrub alters native forest amphibian communities")</f>
        <v>Invasive shrub alters native forest amphibian communities</v>
      </c>
      <c r="B86" s="24" t="str">
        <f>IFERROR(__xludf.DUMMYFUNCTION("""COMPUTED_VALUE"""),"Although invasive plants can have transformative effects on native plant communities, studies of the consequences of plant invasion for native fauna are generally restricted to primary consumers. Here we investigate whether an invasive shrub, Lonicera maa"&amp;"ckii, impacts native amphibians and evaluate evidence for the role of invasive plant-induced alteration of forest understory microclimate as a mechanism driving amphibian responses to L maackii invasion. We sampled amphibian communities in forest plots wi"&amp;"th high or low density of L. maackii, and monitored microclimate (temperature and humidity at ground level) in the same forest plots. Amphibian species richness and evenness were lower in invaded plots. Invasion also resulted in shifts in amphibian specie"&amp;"s composition. Mean daily maximum temperature and mean daily temperature were lower in invaded plots, and counts of the Green frog Litho bates clamitans were marginally negatively related to mean daily temperature. Our work illustrates how an invasive eco"&amp;"system engineer may affect native organisms with which it shares no trophic connection, and suggests that changes in microclimate may be one mechanism by which alien plants affect communities where they invade. (C) 2011 Elsevier Ltd. All rights reserved.")</f>
        <v>Although invasive plants can have transformative effects on native plant communities, studies of the consequences of plant invasion for native fauna are generally restricted to primary consumers. Here we investigate whether an invasive shrub, Lonicera maackii, impacts native amphibians and evaluate evidence for the role of invasive plant-induced alteration of forest understory microclimate as a mechanism driving amphibian responses to L maackii invasion. We sampled amphibian communities in forest plots with high or low density of L. maackii, and monitored microclimate (temperature and humidity at ground level) in the same forest plots. Amphibian species richness and evenness were lower in invaded plots. Invasion also resulted in shifts in amphibian species composition. Mean daily maximum temperature and mean daily temperature were lower in invaded plots, and counts of the Green frog Litho bates clamitans were marginally negatively related to mean daily temperature. Our work illustrates how an invasive ecosystem engineer may affect native organisms with which it shares no trophic connection, and suggests that changes in microclimate may be one mechanism by which alien plants affect communities where they invade. (C) 2011 Elsevier Ltd. All rights reserved.</v>
      </c>
      <c r="C86" s="24" t="str">
        <f>IFERROR(__xludf.DUMMYFUNCTION("""COMPUTED_VALUE"""),"10.1016/j.biocon.2011.07.005")</f>
        <v>10.1016/j.biocon.2011.07.005</v>
      </c>
      <c r="D86" s="24" t="str">
        <f>IFERROR(__xludf.DUMMYFUNCTION("""COMPUTED_VALUE"""),"murphy et al")</f>
        <v>murphy et al</v>
      </c>
      <c r="E86" s="24" t="str">
        <f>IFERROR(__xludf.DUMMYFUNCTION("""COMPUTED_VALUE"""),"WOS:000295442900006")</f>
        <v>WOS:000295442900006</v>
      </c>
      <c r="F86" s="24" t="str">
        <f>IFERROR(__xludf.DUMMYFUNCTION("""COMPUTED_VALUE"""),"[""ELIGIBLE""]")</f>
        <v>["ELIGIBLE"]</v>
      </c>
    </row>
    <row r="87">
      <c r="A87" s="24" t="str">
        <f>IFERROR(__xludf.DUMMYFUNCTION("""COMPUTED_VALUE"""),"Interactive effects of nitrogen deposition, fire and grazing on diversity and composition of low-alpine prostrate Calluna vulgaris heathland")</f>
        <v>Interactive effects of nitrogen deposition, fire and grazing on diversity and composition of low-alpine prostrate Calluna vulgaris heathland</v>
      </c>
      <c r="B87" s="24" t="str">
        <f>IFERROR(__xludf.DUMMYFUNCTION("""COMPUTED_VALUE"""),"1. Low-alpine heathlands world-wide have high biodiversity value but are increasingly impacted by the effects of nitrogen deposition as well as fire and grazing. We conducted a 5-year fertilization experiment to examine the interactive effects of these th"&amp;"ree factors on vegetation diversity and species composition. 2. Factorial combinations of nitrogen addition (0, 10, 20 and 50 kg N ha(-1) year(-1)), burning (burned once or not burned) and grazing (annual clipping, 0% or 12% of current year shoots removed"&amp;") were applied to internationally important prostrate Calluna-Cladonia heathland in the Cairngorm Mountains, Scotland. Species diversity (higher plants, mosses and lichens) and percentage cover were recorded annually. 3. Fire had a large effect on vegetat"&amp;"ion diversity and composition, but both were quick to recover. Species richness recovered within 4 years and vegetation composition was predicted to recover within 7 years. Vegetation composition appeared resilient to the effects of disturbance and there "&amp;"was little invasion by graminoids. 4. Nitrogen deposition interacted with fire. Burned plots showed no significant effect of nitrogen treatment on species diversity, while the diversity of unburned plots was significantly reduced only 1 year after treatme"&amp;"nt with 50 kg N ha(-1) year(-1). After 5 years, significant diversity reductions were seen in the 10 kg N ha(-1) year(-1) treatment. Impacts of nitrogen on species richness were primarily through reductions in lichen diversity. 5. Severe winter browning o"&amp;"f Calluna vulgaris in plots receiving 50 kg N ha(-1) year(-1) followed early snowfall in 2002-03. This interaction affected only Calluna vulgaris and may have the potential to trigger species composition changes by reducing the dominance of this species. "&amp;"6. Synthesis and applications. Although resilient to small-scale fires, species richness of low-alpine heaths is reduced by exposure to low levels of nitrogen deposition (background + 10 kg N ha(-1) year(-1)). The lichen component of the vegetation is mos"&amp;"t sensitive to additional nitrogen, although higher plants can be affected via interactions with climate. These data support the current critical load of nitrogen for this community of 5-15 kg N ha(-1) year(-1) and suggest that lichen diversity could be a"&amp;" useful indicator of nitrogen deposition impacts in alpine habitats. Effective conservation of biodiversity in low-alpine heathland will require action at national and international levels to reduce nitrogen deposition in the many areas where the critical"&amp;" load is currently exceeded.")</f>
        <v>1. Low-alpine heathlands world-wide have high biodiversity value but are increasingly impacted by the effects of nitrogen deposition as well as fire and grazing. We conducted a 5-year fertilization experiment to examine the interactive effects of these three factors on vegetation diversity and species composition. 2. Factorial combinations of nitrogen addition (0, 10, 20 and 50 kg N ha(-1) year(-1)), burning (burned once or not burned) and grazing (annual clipping, 0% or 12% of current year shoots removed) were applied to internationally important prostrate Calluna-Cladonia heathland in the Cairngorm Mountains, Scotland. Species diversity (higher plants, mosses and lichens) and percentage cover were recorded annually. 3. Fire had a large effect on vegetation diversity and composition, but both were quick to recover. Species richness recovered within 4 years and vegetation composition was predicted to recover within 7 years. Vegetation composition appeared resilient to the effects of disturbance and there was little invasion by graminoids. 4. Nitrogen deposition interacted with fire. Burned plots showed no significant effect of nitrogen treatment on species diversity, while the diversity of unburned plots was significantly reduced only 1 year after treatment with 50 kg N ha(-1) year(-1). After 5 years, significant diversity reductions were seen in the 10 kg N ha(-1) year(-1) treatment. Impacts of nitrogen on species richness were primarily through reductions in lichen diversity. 5. Severe winter browning of Calluna vulgaris in plots receiving 50 kg N ha(-1) year(-1) followed early snowfall in 2002-03. This interaction affected only Calluna vulgaris and may have the potential to trigger species composition changes by reducing the dominance of this species. 6. Synthesis and applications. Although resilient to small-scale fires, species richness of low-alpine heaths is reduced by exposure to low levels of nitrogen deposition (background + 10 kg N ha(-1) year(-1)). The lichen component of the vegetation is most sensitive to additional nitrogen, although higher plants can be affected via interactions with climate. These data support the current critical load of nitrogen for this community of 5-15 kg N ha(-1) year(-1) and suggest that lichen diversity could be a useful indicator of nitrogen deposition impacts in alpine habitats. Effective conservation of biodiversity in low-alpine heathland will require action at national and international levels to reduce nitrogen deposition in the many areas where the critical load is currently exceeded.</v>
      </c>
      <c r="C87" s="24" t="str">
        <f>IFERROR(__xludf.DUMMYFUNCTION("""COMPUTED_VALUE"""),"10.1111/j.1365-2664.2006.01251.x")</f>
        <v>10.1111/j.1365-2664.2006.01251.x</v>
      </c>
      <c r="D87" s="24" t="str">
        <f>IFERROR(__xludf.DUMMYFUNCTION("""COMPUTED_VALUE"""),"murphy et al")</f>
        <v>murphy et al</v>
      </c>
      <c r="E87" s="24" t="str">
        <f>IFERROR(__xludf.DUMMYFUNCTION("""COMPUTED_VALUE"""),"WOS:000243023600014")</f>
        <v>WOS:000243023600014</v>
      </c>
      <c r="F87" s="24" t="str">
        <f>IFERROR(__xludf.DUMMYFUNCTION("""COMPUTED_VALUE"""),"[""ELIGIBLE""]")</f>
        <v>["ELIGIBLE"]</v>
      </c>
    </row>
    <row r="88">
      <c r="A88" s="24" t="str">
        <f>IFERROR(__xludf.DUMMYFUNCTION("""COMPUTED_VALUE"""),"Refugia and local controls: Benthic invertebrate dynamics in Lower Green Bay, Lake Michigan following zebra mussel invasion")</f>
        <v>Refugia and local controls: Benthic invertebrate dynamics in Lower Green Bay, Lake Michigan following zebra mussel invasion</v>
      </c>
      <c r="B88" s="24" t="str">
        <f>IFERROR(__xludf.DUMMYFUNCTION("""COMPUTED_VALUE"""),"In many aquatic ecosystems benthic invertebrate abundance has increased following zebra mussel (Dreissena polymorpha) invasion. We examine the impact of zebra mussel density on the abundance and distribution of benthic invertebrates and postulate refuge f"&amp;"rom predation as a mechanism for the increases we found in some taxa. Benthic invertebrates in zebra mussel druses and in adjacent sediment samples were surveyed at sites in six locations representing various trophic conditions in lower Green Bay. Mean in"&amp;"vertebrate density and taxa richness were significantly higher in the druses than in the adjacent sediment. Species diversity in the druses was inversely correlated to turbidity over the study area. Sediment samples were dominated by oligochaetes and chir"&amp;"onomids. Amphipods were the most abundant taxa in most, but not all, of the druse samples. Other taxa present included leeches, hydra, mayflies, and caddisflies. The effectiveness of druses as refuge from predation for amphipods was investigated under lab"&amp;"oratory conditions with various predators (perch, round goby, and rusty crayfish). In mesocosms, predation losses averaged 75% lower where zebra mussels were present. In the absence of mussels, predation loss to perch and round goby was 100% and 66% to cr"&amp;"ayfish. We conclude that the increased abundance of other invertebrates in druses in lower Green Bay may be due to increased refugia, however the assemblage composition at any given site varies with local conditions.")</f>
        <v>In many aquatic ecosystems benthic invertebrate abundance has increased following zebra mussel (Dreissena polymorpha) invasion. We examine the impact of zebra mussel density on the abundance and distribution of benthic invertebrates and postulate refuge from predation as a mechanism for the increases we found in some taxa. Benthic invertebrates in zebra mussel druses and in adjacent sediment samples were surveyed at sites in six locations representing various trophic conditions in lower Green Bay. Mean invertebrate density and taxa richness were significantly higher in the druses than in the adjacent sediment. Species diversity in the druses was inversely correlated to turbidity over the study area. Sediment samples were dominated by oligochaetes and chironomids. Amphipods were the most abundant taxa in most, but not all, of the druse samples. Other taxa present included leeches, hydra, mayflies, and caddisflies. The effectiveness of druses as refuge from predation for amphipods was investigated under laboratory conditions with various predators (perch, round goby, and rusty crayfish). In mesocosms, predation losses averaged 75% lower where zebra mussels were present. In the absence of mussels, predation loss to perch and round goby was 100% and 66% to crayfish. We conclude that the increased abundance of other invertebrates in druses in lower Green Bay may be due to increased refugia, however the assemblage composition at any given site varies with local conditions.</v>
      </c>
      <c r="C88" s="24" t="str">
        <f>IFERROR(__xludf.DUMMYFUNCTION("""COMPUTED_VALUE"""),"10.1016/S0380-1330(04)70356-1")</f>
        <v>10.1016/S0380-1330(04)70356-1</v>
      </c>
      <c r="D88" s="24" t="str">
        <f>IFERROR(__xludf.DUMMYFUNCTION("""COMPUTED_VALUE"""),"murphy et al")</f>
        <v>murphy et al</v>
      </c>
      <c r="E88" s="24" t="str">
        <f>IFERROR(__xludf.DUMMYFUNCTION("""COMPUTED_VALUE"""),"WOS:000224463400005")</f>
        <v>WOS:000224463400005</v>
      </c>
      <c r="F88" s="24" t="str">
        <f>IFERROR(__xludf.DUMMYFUNCTION("""COMPUTED_VALUE"""),"[""ELIGIBLE""]")</f>
        <v>["ELIGIBLE"]</v>
      </c>
    </row>
    <row r="89">
      <c r="A89" s="24" t="str">
        <f>IFERROR(__xludf.DUMMYFUNCTION("""COMPUTED_VALUE"""),"Effects of the exotic macrophyte, para grass (Urochloa mutica), on benthic and epiphytic macroinvertebrates of a tropical floodplain")</f>
        <v>Effects of the exotic macrophyte, para grass (Urochloa mutica), on benthic and epiphytic macroinvertebrates of a tropical floodplain</v>
      </c>
      <c r="B89" s="24" t="str">
        <f>IFERROR(__xludf.DUMMYFUNCTION("""COMPUTED_VALUE"""),"1. We examined the effect of the exotic macrophyte, para grass (Urochloa mutica ), on benthic and epiphytic macroinvertebrates of a tropical floodplain in northern Australia. Macroinvertebrates were sampled from four grass communities: (1) para grass, (2)"&amp;" hymenachne (Hymenachne acutigluma ), a native perennial; (3) rice (Oryza meridionalis ), a native annual, and (4) areas where para grass had been sprayed with herbicide. 2. Macroinvertebrate richness, abundance and community similarity showed very few di"&amp;"fferences among the grass communities, particularly in the epiphytic habitat. Benthic invertebrates showed some differences among grasses, with lower richness and abundance and different community structure associated with hymenachne. Herbicide control of"&amp;" para grass had no apparent effect on benthic invertebrates but reduced the abundance of epiphytic invertebrates in the short term. 3. The results of this study indicate that para grass has very little impact on macroinvertebrate communities, despite the "&amp;"changes to macrophyte communities. This is probably because para grass has similar physical structure to the native grasses and because none of these grasses contribute directly to aquatic food webs. Control of para grass using herbicide has little impact"&amp;" on aquatic invertebrates. This suggests that predicting the impact of weed invasion in wetlands requires an understanding of both the functional properties of macrophytes and the habitat preferences of the macroinvertebrates.")</f>
        <v>1. We examined the effect of the exotic macrophyte, para grass (Urochloa mutica ), on benthic and epiphytic macroinvertebrates of a tropical floodplain in northern Australia. Macroinvertebrates were sampled from four grass communities: (1) para grass, (2) hymenachne (Hymenachne acutigluma ), a native perennial; (3) rice (Oryza meridionalis ), a native annual, and (4) areas where para grass had been sprayed with herbicide. 2. Macroinvertebrate richness, abundance and community similarity showed very few differences among the grass communities, particularly in the epiphytic habitat. Benthic invertebrates showed some differences among grasses, with lower richness and abundance and different community structure associated with hymenachne. Herbicide control of para grass had no apparent effect on benthic invertebrates but reduced the abundance of epiphytic invertebrates in the short term. 3. The results of this study indicate that para grass has very little impact on macroinvertebrate communities, despite the changes to macrophyte communities. This is probably because para grass has similar physical structure to the native grasses and because none of these grasses contribute directly to aquatic food webs. Control of para grass using herbicide has little impact on aquatic invertebrates. This suggests that predicting the impact of weed invasion in wetlands requires an understanding of both the functional properties of macrophytes and the habitat preferences of the macroinvertebrates.</v>
      </c>
      <c r="C89" s="24" t="str">
        <f>IFERROR(__xludf.DUMMYFUNCTION("""COMPUTED_VALUE"""),"10.1046/j.1365-2427.2003.01072.x")</f>
        <v>10.1046/j.1365-2427.2003.01072.x</v>
      </c>
      <c r="D89" s="24" t="str">
        <f>IFERROR(__xludf.DUMMYFUNCTION("""COMPUTED_VALUE"""),"murphy et al")</f>
        <v>murphy et al</v>
      </c>
      <c r="E89" s="24" t="str">
        <f>IFERROR(__xludf.DUMMYFUNCTION("""COMPUTED_VALUE"""),"WOS:000182948500002")</f>
        <v>WOS:000182948500002</v>
      </c>
      <c r="F89" s="24" t="str">
        <f>IFERROR(__xludf.DUMMYFUNCTION("""COMPUTED_VALUE"""),"[""ELIGIBLE""]")</f>
        <v>["ELIGIBLE"]</v>
      </c>
    </row>
    <row r="90">
      <c r="A90" s="24" t="str">
        <f>IFERROR(__xludf.DUMMYFUNCTION("""COMPUTED_VALUE"""),"Heterotroph species extinction, abundance and biomass dynamics in an experimentally fragmented microecosystem")</f>
        <v>Heterotroph species extinction, abundance and biomass dynamics in an experimentally fragmented microecosystem</v>
      </c>
      <c r="B90" s="24" t="str">
        <f>IFERROR(__xludf.DUMMYFUNCTION("""COMPUTED_VALUE"""),"1. Species extinction in fragmented habitats is a non-random process described by transient, rather than equilibrium dynamics. Therefore, 'static' approaches focusing on experimentally established spatial gradients of diversity may fail to capture essenti"&amp;"al aspects of ecosystem responses to species loss. 2. Here we document temporal changes in microarthropod species abundance, biomass and richness during a community disassembly trajectory following experimental habitat fragmentation of a moss-based microe"&amp;"cosystem. 3. Habitat fragmentation reduced heterotrophic species richness and community biomass in remnant moss fragments. Extinction was biased towards rare species, and thus occurred initially without significant changes in total community abundance and"&amp;" biomass. Eventual reductions in abundance and biomass were found to lag behind observed declines in species richness. 4. The presence of moss-habitat corridors connecting fragments to a large 'mainland' area coupled with an immigration rescue effect main"&amp;"tained microarthropod richness, abundance and biomass within remnant fragments. 5. Our results indicate that both the order of species loss and the dynamics of remnant populations influence the magnitude and timing of ecosystem-level responses to habitat "&amp;"destruction and isolation.")</f>
        <v>1. Species extinction in fragmented habitats is a non-random process described by transient, rather than equilibrium dynamics. Therefore, 'static' approaches focusing on experimentally established spatial gradients of diversity may fail to capture essential aspects of ecosystem responses to species loss. 2. Here we document temporal changes in microarthropod species abundance, biomass and richness during a community disassembly trajectory following experimental habitat fragmentation of a moss-based microecosystem. 3. Habitat fragmentation reduced heterotrophic species richness and community biomass in remnant moss fragments. Extinction was biased towards rare species, and thus occurred initially without significant changes in total community abundance and biomass. Eventual reductions in abundance and biomass were found to lag behind observed declines in species richness. 4. The presence of moss-habitat corridors connecting fragments to a large 'mainland' area coupled with an immigration rescue effect maintained microarthropod richness, abundance and biomass within remnant fragments. 5. Our results indicate that both the order of species loss and the dynamics of remnant populations influence the magnitude and timing of ecosystem-level responses to habitat destruction and isolation.</v>
      </c>
      <c r="C90" s="24" t="str">
        <f>IFERROR(__xludf.DUMMYFUNCTION("""COMPUTED_VALUE"""),"10.1046/j.1365-2656.2002.00625.x")</f>
        <v>10.1046/j.1365-2656.2002.00625.x</v>
      </c>
      <c r="D90" s="24" t="str">
        <f>IFERROR(__xludf.DUMMYFUNCTION("""COMPUTED_VALUE"""),"murphy et al")</f>
        <v>murphy et al</v>
      </c>
      <c r="E90" s="24" t="str">
        <f>IFERROR(__xludf.DUMMYFUNCTION("""COMPUTED_VALUE"""),"WOS:000176745900005")</f>
        <v>WOS:000176745900005</v>
      </c>
      <c r="F90" s="24" t="str">
        <f>IFERROR(__xludf.DUMMYFUNCTION("""COMPUTED_VALUE"""),"[""ELIGIBLE""]")</f>
        <v>["ELIGIBLE"]</v>
      </c>
    </row>
    <row r="91">
      <c r="A91" s="24" t="str">
        <f>IFERROR(__xludf.DUMMYFUNCTION("""COMPUTED_VALUE"""),"Species richness and food web structure of soil decomposer community as affected by the size of habitat fragment and habitat corridors")</f>
        <v>Species richness and food web structure of soil decomposer community as affected by the size of habitat fragment and habitat corridors</v>
      </c>
      <c r="B91" s="24" t="str">
        <f>IFERROR(__xludf.DUMMYFUNCTION("""COMPUTED_VALUE"""),"While most ecologists agree that the effects of fragmentation on diversity of organisms are predominantly negative and that the scale of fragmentation defines their severity, the role of habitat corridors in mitigating those effects still remains controve"&amp;"rsial. This ambiguousness rests largely on various difficulties in experimentation, a problem partially solved in the present paper by the use of easily manipulated soil communities. In this 2.5-year-long field experiment, we investigated the responses of"&amp;" soil decomposer organisms (from microbes to mesofaunal predators) to habitat fragment size, in the presence or absence of habitat corridors connecting the fragments. The habitat fragments and corridors, composed of forest humus soil, were embedded in min"&amp;"eral soil representing an uninhabitable (or nonpreferred) matrix for the decomposer organisms. The results demonstrate that soil decomposer organisms do respond to changes in their habitat size: the species richness of microarthropods (mites and collembol"&amp;"ans) increased as the size of the fragments increased. Especially collembolan species and predatory mites proved to be sensitive to the restricted habitat size, which is suggested to be a consequence of the large proportion of rare species and small and f"&amp;"luctuating population sizes in these groups. Contrary to our expectations, the presence of corridors had no positive effects on species richness or abundance of any of the studied faunas, possibly because of the low quality of the corridors. On the other "&amp;"hand, the biomass of soil fungi increased in the presence of corridors, which apparently provided a preferred pathway for vegetative dispersal of the fungi. Our results indicate that despite their characteristic underground environment, the response of so"&amp;"il decomposer organisms - in particular that of microarthropods - to habitat size is not unlike to that of the larger organisms in aboveground habitats.")</f>
        <v>While most ecologists agree that the effects of fragmentation on diversity of organisms are predominantly negative and that the scale of fragmentation defines their severity, the role of habitat corridors in mitigating those effects still remains controversial. This ambiguousness rests largely on various difficulties in experimentation, a problem partially solved in the present paper by the use of easily manipulated soil communities. In this 2.5-year-long field experiment, we investigated the responses of soil decomposer organisms (from microbes to mesofaunal predators) to habitat fragment size, in the presence or absence of habitat corridors connecting the fragments. The habitat fragments and corridors, composed of forest humus soil, were embedded in mineral soil representing an uninhabitable (or nonpreferred) matrix for the decomposer organisms. The results demonstrate that soil decomposer organisms do respond to changes in their habitat size: the species richness of microarthropods (mites and collembolans) increased as the size of the fragments increased. Especially collembolan species and predatory mites proved to be sensitive to the restricted habitat size, which is suggested to be a consequence of the large proportion of rare species and small and fluctuating population sizes in these groups. Contrary to our expectations, the presence of corridors had no positive effects on species richness or abundance of any of the studied faunas, possibly because of the low quality of the corridors. On the other hand, the biomass of soil fungi increased in the presence of corridors, which apparently provided a preferred pathway for vegetative dispersal of the fungi. Our results indicate that despite their characteristic underground environment, the response of soil decomposer organisms - in particular that of microarthropods - to habitat size is not unlike to that of the larger organisms in aboveground habitats.</v>
      </c>
      <c r="C91" s="24" t="str">
        <f>IFERROR(__xludf.DUMMYFUNCTION("""COMPUTED_VALUE"""),"10.1111/j.1365-2486.2005.000999.x")</f>
        <v>10.1111/j.1365-2486.2005.000999.x</v>
      </c>
      <c r="D91" s="24" t="str">
        <f>IFERROR(__xludf.DUMMYFUNCTION("""COMPUTED_VALUE"""),"murphy et al")</f>
        <v>murphy et al</v>
      </c>
      <c r="E91" s="24" t="str">
        <f>IFERROR(__xludf.DUMMYFUNCTION("""COMPUTED_VALUE"""),"WOS:000232390200006")</f>
        <v>WOS:000232390200006</v>
      </c>
      <c r="F91" s="24" t="str">
        <f>IFERROR(__xludf.DUMMYFUNCTION("""COMPUTED_VALUE"""),"[""ELIGIBLE""]")</f>
        <v>["ELIGIBLE"]</v>
      </c>
    </row>
    <row r="92">
      <c r="A92" s="24" t="str">
        <f>IFERROR(__xludf.DUMMYFUNCTION("""COMPUTED_VALUE"""),"Diversity declines in Microstegium vimineum (Japanese stiltgrass) patches")</f>
        <v>Diversity declines in Microstegium vimineum (Japanese stiltgrass) patches</v>
      </c>
      <c r="B92" s="24" t="str">
        <f>IFERROR(__xludf.DUMMYFUNCTION("""COMPUTED_VALUE"""),"The spread of invasive plant species and their impacts on plant communities have received international attention as global trade and global environmental change enhance the colonization and establishment of introduced species and threaten the integrity o"&amp;"f native ecosystems. Because introduced species vary in their impact, studying the relationship between invasion and native communities is necessary to guide allocation of finite management resources. By studying adjacent pairs of invaded and uninvaded pl"&amp;"ots across an eastern United States forested landscape, we demonstrate Microstegium vimineum was associated with local declines in species richness and cover of native species. Negative impacts of M. vimineum on species richness did not emerge until Augus"&amp;"t when M. vimineum cover and height were greatest, highlighting the value of following study subjects through the growing season. In contrast, native species cover was already lower in invaded plots early in the growing season. M. vimineum invasion was no"&amp;"t the only important driver of species richness and community composition within the study region: abiotic environmental gradients, such as soil nitrate concentration and pH, across the six study sites were also important in affecting species richness and"&amp;" cover, but lessened in explanatory power through the growing season. We conclude that M. vimineum has effects on community structure that may have long-term consequences for biodiversity. Studies which track sites through time and consider multiple scale"&amp;"s are required as invaders impact multiple biotic and abiotic factors operating at different spatial and temporal scales. (C) 2009 Elsevier Ltd. All rights reserved.")</f>
        <v>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v>
      </c>
      <c r="C92" s="24" t="str">
        <f>IFERROR(__xludf.DUMMYFUNCTION("""COMPUTED_VALUE"""),"10.1016/j.biocon.2009.01.009")</f>
        <v>10.1016/j.biocon.2009.01.009</v>
      </c>
      <c r="D92" s="24" t="str">
        <f>IFERROR(__xludf.DUMMYFUNCTION("""COMPUTED_VALUE"""),"murphy et al")</f>
        <v>murphy et al</v>
      </c>
      <c r="E92" s="24" t="str">
        <f>IFERROR(__xludf.DUMMYFUNCTION("""COMPUTED_VALUE"""),"WOS:000265338600008")</f>
        <v>WOS:000265338600008</v>
      </c>
      <c r="F92" s="24" t="str">
        <f>IFERROR(__xludf.DUMMYFUNCTION("""COMPUTED_VALUE"""),"[""ELIGIBLE""]")</f>
        <v>["ELIGIBLE"]</v>
      </c>
    </row>
    <row r="93">
      <c r="A93" s="24" t="str">
        <f>IFERROR(__xludf.DUMMYFUNCTION("""COMPUTED_VALUE"""),"Variation in the response of crustacean zooplankton species richness and composition to the invasive predator Bythotrephes longimanus")</f>
        <v>Variation in the response of crustacean zooplankton species richness and composition to the invasive predator Bythotrephes longimanus</v>
      </c>
      <c r="B93" s="24" t="str">
        <f>IFERROR(__xludf.DUMMYFUNCTION("""COMPUTED_VALUE"""),"The predacious invertebrate Bythotrephes longimanus has now invaded &gt; 90 freshwater lakes in North America. There is some evidence that B. longimanus has a negative effect on summer zooplankton species richness; however, no study has examined the effect o"&amp;"f B. longimanus throughout the ice-free season in more than one lake. We visited 10 invaded and 4 reference lakes every 2 weeks from May to September, collecting B. longimanus, crustacean zooplankton, and water chemistry samples. Composite samples were po"&amp;"oled across the study season for each lake. Bythotrephes longimanus significantly reduced cladoceran species richness, diversity, and abundance, and the total zooplankton community also exhibited decreased richness, diversity, and abundance. Seasonal samp"&amp;"ling was better than synoptic surveys at detecting changes in abundance, but richness estimates were similar. As B. longimanus continues to spread across lake landscapes, we expect it will have profound impacts on local and regional richness and species d"&amp;"istribution patterns.")</f>
        <v>The predacious invertebrate Bythotrephes longimanus has now invaded &gt; 90 freshwater lakes in North America. There is some evidence that B. longimanus has a negative effect on summer zooplankton species richness; however, no study has examined the effect of B. longimanus throughout the ice-free season in more than one lake. We visited 10 invaded and 4 reference lakes every 2 weeks from May to September, collecting B. longimanus, crustacean zooplankton, and water chemistry samples. Composite samples were pooled across the study season for each lake. Bythotrephes longimanus significantly reduced cladoceran species richness, diversity, and abundance, and the total zooplankton community also exhibited decreased richness, diversity, and abundance. Seasonal sampling was better than synoptic surveys at detecting changes in abundance, but richness estimates were similar. As B. longimanus continues to spread across lake landscapes, we expect it will have profound impacts on local and regional richness and species distribution patterns.</v>
      </c>
      <c r="C93" s="24" t="str">
        <f>IFERROR(__xludf.DUMMYFUNCTION("""COMPUTED_VALUE"""),"10.1139/F06-105")</f>
        <v>10.1139/F06-105</v>
      </c>
      <c r="D93" s="24" t="str">
        <f>IFERROR(__xludf.DUMMYFUNCTION("""COMPUTED_VALUE"""),"murphy et al")</f>
        <v>murphy et al</v>
      </c>
      <c r="E93" s="24" t="str">
        <f>IFERROR(__xludf.DUMMYFUNCTION("""COMPUTED_VALUE"""),"WOS:000241162300019")</f>
        <v>WOS:000241162300019</v>
      </c>
      <c r="F93" s="24" t="str">
        <f>IFERROR(__xludf.DUMMYFUNCTION("""COMPUTED_VALUE"""),"[""ELIGIBLE""]")</f>
        <v>["ELIGIBLE"]</v>
      </c>
    </row>
    <row r="94">
      <c r="A94" s="24" t="str">
        <f>IFERROR(__xludf.DUMMYFUNCTION("""COMPUTED_VALUE"""),"Marine microbenthic community structure regulated by nitrogen loading and grazing pressure")</f>
        <v>Marine microbenthic community structure regulated by nitrogen loading and grazing pressure</v>
      </c>
      <c r="B94" s="24" t="str">
        <f>IFERROR(__xludf.DUMMYFUNCTION("""COMPUTED_VALUE"""),"Generalisations on the combined effects of consumers and resources on autotrophs in aquatic food webs largely rely on freshwater studies. In this study, we tested these general concepts with marine benthic microalgae, which are important components of coa"&amp;"stal food webs. We manipulated nitrogen availability and herbivore presence in a factorial field experiment in the Western Baltic Sea. Moreover, we investigated how herbivore control varied among 3 sites and 2 seasons and tested for trophic cascades by en"&amp;"hancing demersal fish density at 2 sites. Nitrogen availability and herbivore presence had strong and antagonistic effects on microalgal biomass, species composition and diversity. Herbivores significantly reduced algal biomass, whereas nutrient enrichmen"&amp;"t led to an increase in biomass. Herbivore effects on microalgal biomass increased with increasing nitrogen availability, indicating a functional response of herbivores to nutrient enrichment. The response of microalgae at the species level suggested a tr"&amp;"ade-off between nutrient use and grazing resistance which appeared to be Linked to algal growth form. Compared to other growth forms, large erect species were most responsive to both nitrogen loading and herbivory. Grazing reduced microalgal diversity at "&amp;"low nutrient supply, but enhanced it at high nutrient supply. Herbivore effects varied considerably among different sites and were stronger in spring than in summer. Manipulations of fish density during summer did not have any effects on microalgal commun"&amp;"ity structure. In conclusion, our results demonstrate that herbivores and nutrients have strong and balancing effects on marine microbenthic community structure.")</f>
        <v>Generalisations on the combined effects of consumers and resources on autotrophs in aquatic food webs largely rely on freshwater studies. In this study, we tested these general concepts with marine benthic microalgae, which are important components of coastal food webs. We manipulated nitrogen availability and herbivore presence in a factorial field experiment in the Western Baltic Sea. Moreover, we investigated how herbivore control varied among 3 sites and 2 seasons and tested for trophic cascades by enhancing demersal fish density at 2 sites. Nitrogen availability and herbivore presence had strong and antagonistic effects on microalgal biomass, species composition and diversity. Herbivores significantly reduced algal biomass, whereas nutrient enrichment led to an increase in biomass. Herbivore effects on microalgal biomass increased with increasing nitrogen availability, indicating a functional response of herbivores to nutrient enrichment. The response of microalgae at the species level suggested a trade-off between nutrient use and grazing resistance which appeared to be Linked to algal growth form. Compared to other growth forms, large erect species were most responsive to both nitrogen loading and herbivory. Grazing reduced microalgal diversity at low nutrient supply, but enhanced it at high nutrient supply. Herbivore effects varied considerably among different sites and were stronger in spring than in summer. Manipulations of fish density during summer did not have any effects on microalgal community structure. In conclusion, our results demonstrate that herbivores and nutrients have strong and balancing effects on marine microbenthic community structure.</v>
      </c>
      <c r="C94" s="24" t="str">
        <f>IFERROR(__xludf.DUMMYFUNCTION("""COMPUTED_VALUE"""),"10.3354/meps204027")</f>
        <v>10.3354/meps204027</v>
      </c>
      <c r="D94" s="24" t="str">
        <f>IFERROR(__xludf.DUMMYFUNCTION("""COMPUTED_VALUE"""),"murphy et al")</f>
        <v>murphy et al</v>
      </c>
      <c r="E94" s="24" t="str">
        <f>IFERROR(__xludf.DUMMYFUNCTION("""COMPUTED_VALUE"""),"WOS:000089943900003")</f>
        <v>WOS:000089943900003</v>
      </c>
      <c r="F94" s="24" t="str">
        <f>IFERROR(__xludf.DUMMYFUNCTION("""COMPUTED_VALUE"""),"[""ELIGIBLE""]")</f>
        <v>["ELIGIBLE"]</v>
      </c>
    </row>
    <row r="95">
      <c r="A95" s="24" t="str">
        <f>IFERROR(__xludf.DUMMYFUNCTION("""COMPUTED_VALUE"""),"An invasive crab alters interaction webs in a marine community")</f>
        <v>An invasive crab alters interaction webs in a marine community</v>
      </c>
      <c r="B95" s="24" t="str">
        <f>IFERROR(__xludf.DUMMYFUNCTION("""COMPUTED_VALUE"""),"Over the last decade, the non-native, filter-feeding crab Petrolisthes armatus invaded oyster reefs of the South Atlantic Bight at densities of thousands m(-2). Mesocosm and field experiments demonstrated that P. armatus at similar to 10-75% of mean summe"&amp;"r densities: (1) suppressed growth of small oysters, biomass of benthic microalgae, and recruitment of native mud crabs, (2) enhanced oyster, mussel, and total bivalve recruitment, macroalgal cover, and survivorship of predatory oyster drills, but (3) did"&amp;" not affect native taxonomic richness. Laboratory feeding assays, field tethering experiments, and population changes in field and mesocosm experiments suggest that P. armatus is a preferred prey for native mud crabs and other consumers, thus relieving pr"&amp;"edation on native species and enhancing recruitment or survival of bivalves and oyster drills. In contrast, the invasive crab can consume crustacean larvae and via this feeding may suppress recruitment of native mud crabs. Our findings should be conservat"&amp;"ive given the low densities of P. armatus seeded into experimental plots and our inability to run longer-term experiments due to controls rapidly being colonized by non-native crabs recruiting from the plankton. Invasive crabs commonly impact native commu"&amp;"nities via predation, but community impacts of this invasive crab may be as much due to its role as a preferred prey of native consumers as to its predation on native prey. Given that oysters are foundation species for shallow reefs in the South Atlantic "&amp;"Bight, the long-term effects of this invasion could be considerable.")</f>
        <v>Over the last decade, the non-native, filter-feeding crab Petrolisthes armatus invaded oyster reefs of the South Atlantic Bight at densities of thousands m(-2). Mesocosm and field experiments demonstrated that P. armatus at similar to 10-75% of mean summer densities: (1) suppressed growth of small oysters, biomass of benthic microalgae, and recruitment of native mud crabs, (2) enhanced oyster, mussel, and total bivalve recruitment, macroalgal cover, and survivorship of predatory oyster drills, but (3) did not affect native taxonomic richness. Laboratory feeding assays, field tethering experiments, and population changes in field and mesocosm experiments suggest that P. armatus is a preferred prey for native mud crabs and other consumers, thus relieving predation on native species and enhancing recruitment or survival of bivalves and oyster drills. In contrast, the invasive crab can consume crustacean larvae and via this feeding may suppress recruitment of native mud crabs. Our findings should be conservative given the low densities of P. armatus seeded into experimental plots and our inability to run longer-term experiments due to controls rapidly being colonized by non-native crabs recruiting from the plankton. Invasive crabs commonly impact native communities via predation, but community impacts of this invasive crab may be as much due to its role as a preferred prey of native consumers as to its predation on native prey. Given that oysters are foundation species for shallow reefs in the South Atlantic Bight, the long-term effects of this invasion could be considerable.</v>
      </c>
      <c r="C95" s="24" t="str">
        <f>IFERROR(__xludf.DUMMYFUNCTION("""COMPUTED_VALUE"""),"10.1007/s10530-007-9134-9")</f>
        <v>10.1007/s10530-007-9134-9</v>
      </c>
      <c r="D95" s="24" t="str">
        <f>IFERROR(__xludf.DUMMYFUNCTION("""COMPUTED_VALUE"""),"murphy et al")</f>
        <v>murphy et al</v>
      </c>
      <c r="E95" s="24" t="str">
        <f>IFERROR(__xludf.DUMMYFUNCTION("""COMPUTED_VALUE"""),"WOS:000253198500008")</f>
        <v>WOS:000253198500008</v>
      </c>
      <c r="F95" s="24" t="str">
        <f>IFERROR(__xludf.DUMMYFUNCTION("""COMPUTED_VALUE"""),"[""ELIGIBLE""]")</f>
        <v>["ELIGIBLE"]</v>
      </c>
    </row>
    <row r="96">
      <c r="A96" s="24" t="str">
        <f>IFERROR(__xludf.DUMMYFUNCTION("""COMPUTED_VALUE"""),"Changes in bird communities following conversion of lowland forest to oil palm and rubber plantations in southern Thailand")</f>
        <v>Changes in bird communities following conversion of lowland forest to oil palm and rubber plantations in southern Thailand</v>
      </c>
      <c r="B96" s="24" t="str">
        <f>IFERROR(__xludf.DUMMYFUNCTION("""COMPUTED_VALUE"""),"This paper describes changes in bird communities following the conversion of lowland forest to commercial oil palm and rubber plantations. Conversion of forest to plantations resulted in a reduction in species richness of at least 60%, with insectivores a"&amp;"nd frugivores suffering greater losses than more omnivorous species. Of the 128 species recorded across all habitats, 84% were recorded in forest, and 60% were recorded only in that habitat. Of the 16 Globally Threatened or Near-Threatened species recorde"&amp;"d in the study, 15 were recorded only in forest. Species occurring in plantations were significantly more widespread in Thailand than species recorded only in forests and had a tendency towards smaller body size. Species richness in plantations was unaffe"&amp;"cted by plantation age or distance from nearest forest edge, but was significantly greater where undergrowth was allowed to regenerate beneath the crop trees. Bird communities in oil palm and rubber plantations were extremely similar, and there was a stro"&amp;"ng positive correlation across species in their relative abundance in each plantation type. The results indicate that a high proportion of species formerly present in the region are unable to adapt to conversion of forest to oil palm and rubber plantation"&amp;"s, resulting in large losses of bird species and family richness and the replacement of species with restricted ranges and high conservation status by those with extensive ranges and low conservation status. Initiatives that reduce pressure to clear new l"&amp;"and for plantations, for example by increasing productivity in existing plantations and improving protected area networks, are likely to be more effective in conserving threatened forest birds than initiatives to improve conditions within plantations, tho"&amp;"ugh both should be encouraged.")</f>
        <v>This paper describes changes in bird communities following the conversion of lowland forest to commercial oil palm and rubber plantations. Conversion of forest to plantations resulted in a reduction in species richness of at least 60%, with insectivores and frugivores suffering greater losses than more omnivorous species. Of the 128 species recorded across all habitats, 84% were recorded in forest, and 60% were recorded only in that habitat. Of the 16 Globally Threatened or Near-Threatened species recorded in the study, 15 were recorded only in forest. Species occurring in plantations were significantly more widespread in Thailand than species recorded only in forests and had a tendency towards smaller body size. Species richness in plantations was unaffected by plantation age or distance from nearest forest edge, but was significantly greater where undergrowth was allowed to regenerate beneath the crop trees. Bird communities in oil palm and rubber plantations were extremely similar, and there was a strong positive correlation across species in their relative abundance in each plantation type. The results indicate that a high proportion of species formerly present in the region are unable to adapt to conversion of forest to oil palm and rubber plantations, resulting in large losses of bird species and family richness and the replacement of species with restricted ranges and high conservation status by those with extensive ranges and low conservation status. Initiatives that reduce pressure to clear new land for plantations, for example by increasing productivity in existing plantations and improving protected area networks, are likely to be more effective in conserving threatened forest birds than initiatives to improve conditions within plantations, though both should be encouraged.</v>
      </c>
      <c r="C96" s="24" t="str">
        <f>IFERROR(__xludf.DUMMYFUNCTION("""COMPUTED_VALUE"""),"10.1017/S0959270906000062")</f>
        <v>10.1017/S0959270906000062</v>
      </c>
      <c r="D96" s="24" t="str">
        <f>IFERROR(__xludf.DUMMYFUNCTION("""COMPUTED_VALUE"""),"murphy et al")</f>
        <v>murphy et al</v>
      </c>
      <c r="E96" s="24" t="str">
        <f>IFERROR(__xludf.DUMMYFUNCTION("""COMPUTED_VALUE"""),"WOS:000237789400005")</f>
        <v>WOS:000237789400005</v>
      </c>
      <c r="F96" s="24" t="str">
        <f>IFERROR(__xludf.DUMMYFUNCTION("""COMPUTED_VALUE"""),"[""ELIGIBLE""]")</f>
        <v>["ELIGIBLE"]</v>
      </c>
    </row>
    <row r="97">
      <c r="A97" s="24" t="str">
        <f>IFERROR(__xludf.DUMMYFUNCTION("""COMPUTED_VALUE"""),"Sediment Diatom Species and Community Response to Nitrogen Addition in Oregon (USA) Estuarine Tidal Wetlands")</f>
        <v>Sediment Diatom Species and Community Response to Nitrogen Addition in Oregon (USA) Estuarine Tidal Wetlands</v>
      </c>
      <c r="B97" s="24" t="str">
        <f>IFERROR(__xludf.DUMMYFUNCTION("""COMPUTED_VALUE"""),"Sediment microalgae play an important role in nutrient cycling and are important primary producers in the food web in Pacific Northwest estuaries. This study examines the effects of nitrogen addition to benthic microalgae in tidal wetlands of Yaquina Bay "&amp;"estuary on the Oregon coast, USA. Liquid nitrogen fertilizers (0, 0.2, 0.5, and 1.0 gN/m(2)/wk during the first year of the study, and increased to 0, 15.6, 62.5, and 156 gN/m(2)/wk during the second year of the study) were applied weekly to four salt mar"&amp;"shes in Yaquina Bay for two summers (2009 and 2010). Diatom species and community parameters were analyzed in response to nitrogen addition in early and late summer 2010. Nitrogen addition (N) had a significant effect on species composition and community "&amp;"parameters. Amphora spp. and Nitzschia palea were more dominant with higher N, while Navicula gregaria and Navicula phyllepta were more dominant with lower N. Species diversity and richness were significantly higher (p &lt; 0.05) with lower N (3.1 +/- 0.1; 4"&amp;"0.0 +/- 3.3) compared with higher N (2.4 +/- 0.5; 34.5 +/- 3.0). NMDS ordination displayed shifts in overall diatom assemblage with time and with N. Results suggest the microalgal communities are limited by nitrogen levels and therefore may be susceptible"&amp;" to changes in nitrogen loading to these systems.")</f>
        <v>Sediment microalgae play an important role in nutrient cycling and are important primary producers in the food web in Pacific Northwest estuaries. This study examines the effects of nitrogen addition to benthic microalgae in tidal wetlands of Yaquina Bay estuary on the Oregon coast, USA. Liquid nitrogen fertilizers (0, 0.2, 0.5, and 1.0 gN/m(2)/wk during the first year of the study, and increased to 0, 15.6, 62.5, and 156 gN/m(2)/wk during the second year of the study) were applied weekly to four salt marshes in Yaquina Bay for two summers (2009 and 2010). Diatom species and community parameters were analyzed in response to nitrogen addition in early and late summer 2010. Nitrogen addition (N) had a significant effect on species composition and community parameters. Amphora spp. and Nitzschia palea were more dominant with higher N, while Navicula gregaria and Navicula phyllepta were more dominant with lower N. Species diversity and richness were significantly higher (p &lt; 0.05) with lower N (3.1 +/- 0.1; 40.0 +/- 3.3) compared with higher N (2.4 +/- 0.5; 34.5 +/- 3.0). NMDS ordination displayed shifts in overall diatom assemblage with time and with N. Results suggest the microalgal communities are limited by nitrogen levels and therefore may be susceptible to changes in nitrogen loading to these systems.</v>
      </c>
      <c r="C97" s="24" t="str">
        <f>IFERROR(__xludf.DUMMYFUNCTION("""COMPUTED_VALUE"""),"10.1007/s13157-012-0332-6")</f>
        <v>10.1007/s13157-012-0332-6</v>
      </c>
      <c r="D97" s="24" t="str">
        <f>IFERROR(__xludf.DUMMYFUNCTION("""COMPUTED_VALUE"""),"murphy et al")</f>
        <v>murphy et al</v>
      </c>
      <c r="E97" s="24" t="str">
        <f>IFERROR(__xludf.DUMMYFUNCTION("""COMPUTED_VALUE"""),"WOS:000311540400004")</f>
        <v>WOS:000311540400004</v>
      </c>
      <c r="F97" s="24" t="str">
        <f>IFERROR(__xludf.DUMMYFUNCTION("""COMPUTED_VALUE"""),"[""ELIGIBLE""]")</f>
        <v>["ELIGIBLE"]</v>
      </c>
    </row>
    <row r="98">
      <c r="A98" s="24" t="str">
        <f>IFERROR(__xludf.DUMMYFUNCTION("""COMPUTED_VALUE"""),"Reduction of riparian arthropod abundance and diversity as a consequence of giant reed (Arundo donax) invasion")</f>
        <v>Reduction of riparian arthropod abundance and diversity as a consequence of giant reed (Arundo donax) invasion</v>
      </c>
      <c r="B98" s="24" t="str">
        <f>IFERROR(__xludf.DUMMYFUNCTION("""COMPUTED_VALUE"""),"The non-indigenous perennial grass, Arundo donax, is an aggressive invader of riparian areas throughout California and many sub-tropical regions of the world, and is hypothesized to provide poorer quality habitat for native wildlife in riparian systems. W"&amp;"e sampled aerial and ground-dwelling insects and other terrestrial arthropods associated with Arundo, native willow vegetation (Salix spp.), and mixtures of the two vegetation types during two seasons to determine how Arundo influences invertebrate compos"&amp;"ition in a low gradient stream in central California. The total number of organisms, total biomass and taxonomic richness of aerial invertebrates associated with native vegetation was approximately twice that associated with Arundo vegetation, while mixed"&amp;" vegetation supported intermediate arthropod levels. Shannon-Weaver (Weiner) diversity associated with native vegetation stands was also higher than that of Arundo vegetation. Ground-dwelling assemblages did not show differences as great as aerial assembl"&amp;"ages which are more critical to foraging avian species. These results indicate that vegetation type is a significant factor reducing the abundance and diversity of invertebrates in this, and presumably in many other riparian ecosystems where this invasive"&amp;" species has become a dominant component. Arundo invasion changes the vegetation structure of riparian zones and in turn, may increasingly jeopardize its habitat value for birds and other wildlife whose diets are largely composed of insects found in nativ"&amp;"e riparian vegetation.")</f>
        <v>The non-indigenous perennial grass, Arundo donax, is an aggressive invader of riparian areas throughout California and many sub-tropical regions of the world, and is hypothesized to provide poorer quality habitat for native wildlife in riparian systems. We sampled aerial and ground-dwelling insects and other terrestrial arthropods associated with Arundo, native willow vegetation (Salix spp.), and mixtures of the two vegetation types during two seasons to determine how Arundo influences invertebrate composition in a low gradient stream in central California. The total number of organisms, total biomass and taxonomic richness of aerial invertebrates associated with native vegetation was approximately twice that associated with Arundo vegetation, while mixed vegetation supported intermediate arthropod levels. Shannon-Weaver (Weiner) diversity associated with native vegetation stands was also higher than that of Arundo vegetation. Ground-dwelling assemblages did not show differences as great as aerial assemblages which are more critical to foraging avian species. These results indicate that vegetation type is a significant factor reducing the abundance and diversity of invertebrates in this, and presumably in many other riparian ecosystems where this invasive species has become a dominant component. Arundo invasion changes the vegetation structure of riparian zones and in turn, may increasingly jeopardize its habitat value for birds and other wildlife whose diets are largely composed of insects found in native riparian vegetation.</v>
      </c>
      <c r="C98" s="24" t="str">
        <f>IFERROR(__xludf.DUMMYFUNCTION("""COMPUTED_VALUE"""),"10.1023/A:1026190115521")</f>
        <v>10.1023/A:1026190115521</v>
      </c>
      <c r="D98" s="24" t="str">
        <f>IFERROR(__xludf.DUMMYFUNCTION("""COMPUTED_VALUE"""),"murphy et al")</f>
        <v>murphy et al</v>
      </c>
      <c r="E98" s="24" t="str">
        <f>IFERROR(__xludf.DUMMYFUNCTION("""COMPUTED_VALUE"""),"WOS:000208663500002")</f>
        <v>WOS:000208663500002</v>
      </c>
      <c r="F98" s="24" t="str">
        <f>IFERROR(__xludf.DUMMYFUNCTION("""COMPUTED_VALUE"""),"[""ELIGIBLE""]")</f>
        <v>["ELIGIBLE"]</v>
      </c>
    </row>
    <row r="99">
      <c r="A99" s="24" t="str">
        <f>IFERROR(__xludf.DUMMYFUNCTION("""COMPUTED_VALUE"""),"EFFECTS OF NITROGEN AND PHOSPHORUS ADDITIONS ON PRIMARY PRODUCTION AND INVERTEBRATE DENSITIES IN A GEORGIA (USA) TIDAL FRESHWATER MARSH")</f>
        <v>EFFECTS OF NITROGEN AND PHOSPHORUS ADDITIONS ON PRIMARY PRODUCTION AND INVERTEBRATE DENSITIES IN A GEORGIA (USA) TIDAL FRESHWATER MARSH</v>
      </c>
      <c r="B99" s="24" t="str">
        <f>IFERROR(__xludf.DUMMYFUNCTION("""COMPUTED_VALUE"""),"We added nitrogen (N), phosphorus (P), and N+P to a Zizaniopsis miliacea (Giant Cutgrass) dominated tidal freshwater marsh in Georgia USA to investigate nutrient limitation of tidal fresh water marsh primary production and invertebrate densities. After tw"&amp;"o years, aboveground biomass was significantly greater in the plots receiving N (2130 g m(-2)) and N+P (2066 g m(-2)) than in the control (886 g m(-2)) and P (971 g m (2)) only treatments. We observed no enrichment of leaf N or P in response to nutrient a"&amp;"dditions. Rather leaf N decreased and C:N increased in plots receiving N. suggesting that leaf N was diluted by increased production of carbon laden structural components used to support increased plant height. N:P ratios (mol:mol) of the plant tissue wer"&amp;"e consistently &lt; 30 (14-27) in the treatment plots, also suggesting N limitation of primary production. Total densities of benthic invertebrates and oligochaete worms (primarily Tubificidae and Lumbriculidae) were significantly greater in the N+P plots th"&amp;"an in the other treatments after two years of nutrient additions. There were no clear differences in diversity of benthic invertebrates among treatments. Our results suggest that tidal freshwater marsh primary and secondary production is limited or co-lim"&amp;"ited by N, and thus, like estuaries and salt marshes. are susceptible to N enrichment and eutrophication.")</f>
        <v>We added nitrogen (N), phosphorus (P), and N+P to a Zizaniopsis miliacea (Giant Cutgrass) dominated tidal freshwater marsh in Georgia USA to investigate nutrient limitation of tidal fresh water marsh primary production and invertebrate densities. After two years, aboveground biomass was significantly greater in the plots receiving N (2130 g m(-2)) and N+P (2066 g m(-2)) than in the control (886 g m(-2)) and P (971 g m (2)) only treatments. We observed no enrichment of leaf N or P in response to nutrient additions. Rather leaf N decreased and C:N increased in plots receiving N. suggesting that leaf N was diluted by increased production of carbon laden structural components used to support increased plant height. N:P ratios (mol:mol) of the plant tissue were consistently &lt; 30 (14-27) in the treatment plots, also suggesting N limitation of primary production. Total densities of benthic invertebrates and oligochaete worms (primarily Tubificidae and Lumbriculidae) were significantly greater in the N+P plots than in the other treatments after two years of nutrient additions. There were no clear differences in diversity of benthic invertebrates among treatments. Our results suggest that tidal freshwater marsh primary and secondary production is limited or co-limited by N, and thus, like estuaries and salt marshes. are susceptible to N enrichment and eutrophication.</v>
      </c>
      <c r="C99" s="24" t="str">
        <f>IFERROR(__xludf.DUMMYFUNCTION("""COMPUTED_VALUE"""),"10.1672/07-79.1")</f>
        <v>10.1672/07-79.1</v>
      </c>
      <c r="D99" s="24" t="str">
        <f>IFERROR(__xludf.DUMMYFUNCTION("""COMPUTED_VALUE"""),"murphy et al")</f>
        <v>murphy et al</v>
      </c>
      <c r="E99" s="24" t="str">
        <f>IFERROR(__xludf.DUMMYFUNCTION("""COMPUTED_VALUE"""),"WOS:000265294500020")</f>
        <v>WOS:000265294500020</v>
      </c>
      <c r="F99" s="24" t="str">
        <f>IFERROR(__xludf.DUMMYFUNCTION("""COMPUTED_VALUE"""),"[""ELIGIBLE""]")</f>
        <v>["ELIGIBLE"]</v>
      </c>
    </row>
    <row r="100">
      <c r="A100" s="24" t="str">
        <f>IFERROR(__xludf.DUMMYFUNCTION("""COMPUTED_VALUE"""),"Do birds and beetles show similar responses to urbanization?")</f>
        <v>Do birds and beetles show similar responses to urbanization?</v>
      </c>
      <c r="B100" s="24" t="str">
        <f>IFERROR(__xludf.DUMMYFUNCTION("""COMPUTED_VALUE"""),"To date, the vast majority of studies in urban areas have been carried out on birds, yet it is not known whether the responses of birds to urbanization are congruent with those of other taxa. In this paper, we compared the responses of breeding birds and "&amp;"carabid beetles to urbanization, specifically asking whether the emerging generalizations of the effects of extreme levels of urbanization on birds (declines in total species richness and the richness of specialist species, increases in total abundance an"&amp;"d the abundances of native generalist and introduced species, and community simplification, including increasing similarity) could also be applied to ground beetles. We also directly tested for congruence between birds and ground beetles using correlation"&amp;"s between variables describing bird and beetle community structure and correlations between bird and beetle distance matrices describing community dissimilarity between pairs of sampling locations. Breeding bird and carabid beetle community data were coll"&amp;"ected in Ottawa, Ontario, and Gatineau, Quebec, Canada, in two groups of sites: developed sites representing the predictor variable within-site housing density, and forested sites adjacent to development representing the predictor variable neighboring hou"&amp;"sing density (each site was 0.25 km(2)). Breeding birds and carabid beetles do not respond similarly to increasing within-site housing density but do exhibit some similar responses to increasing neighboring housing density. Birds displayed strong declines"&amp;" in diversity, compositional changes, and community simplification in response to increasing within-site housing density. Forest and introduced species of birds and beetles responded similarly to increasing housing density within a site, but responses of "&amp;"overall diversity and open-habitat species richness and patterns of community simplification differed between birds and beetles. Increasing neighboring housing density resulted in increases in the abundances of introduced birds and introduced beetles and "&amp;"similar patterns of community simplification in both taxa. To better understand and mitigate the effects of urbanization on biodiversity, we suggest that, in addition to the responses of birds, future research should focus on the responses of other taxa i"&amp;"n the urban matrix.")</f>
        <v>To date, the vast majority of studies in urban areas have been carried out on birds, yet it is not known whether the responses of birds to urbanization are congruent with those of other taxa. In this paper, we compared the responses of breeding birds and carabid beetles to urbanization, specifically asking whether the emerging generalizations of the effects of extreme levels of urbanization on birds (declines in total species richness and the richness of specialist species, increases in total abundance and the abundances of native generalist and introduced species, and community simplification, including increasing similarity) could also be applied to ground beetles. We also directly tested for congruence between birds and ground beetles using correlations between variables describing bird and beetle community structure and correlations between bird and beetle distance matrices describing community dissimilarity between pairs of sampling locations. Breeding bird and carabid beetle community data were collected in Ottawa, Ontario, and Gatineau, Quebec, Canada, in two groups of sites: developed sites representing the predictor variable within-site housing density, and forested sites adjacent to development representing the predictor variable neighboring housing density (each site was 0.25 km(2)). Breeding birds and carabid beetles do not respond similarly to increasing within-site housing density but do exhibit some similar responses to increasing neighboring housing density. Birds displayed strong declines in diversity, compositional changes, and community simplification in response to increasing within-site housing density. Forest and introduced species of birds and beetles responded similarly to increasing housing density within a site, but responses of overall diversity and open-habitat species richness and patterns of community simplification differed between birds and beetles. Increasing neighboring housing density resulted in increases in the abundances of introduced birds and introduced beetles and similar patterns of community simplification in both taxa. To better understand and mitigate the effects of urbanization on biodiversity, we suggest that, in addition to the responses of birds, future research should focus on the responses of other taxa in the urban matrix.</v>
      </c>
      <c r="C100" s="24" t="str">
        <f>IFERROR(__xludf.DUMMYFUNCTION("""COMPUTED_VALUE"""),"10.1890/09-1905.1")</f>
        <v>10.1890/09-1905.1</v>
      </c>
      <c r="D100" s="24" t="str">
        <f>IFERROR(__xludf.DUMMYFUNCTION("""COMPUTED_VALUE"""),"murphy et al")</f>
        <v>murphy et al</v>
      </c>
      <c r="E100" s="24" t="str">
        <f>IFERROR(__xludf.DUMMYFUNCTION("""COMPUTED_VALUE"""),"WOS:000294155900033")</f>
        <v>WOS:000294155900033</v>
      </c>
      <c r="F100" s="24" t="str">
        <f>IFERROR(__xludf.DUMMYFUNCTION("""COMPUTED_VALUE"""),"[""ELIGIBLE""]")</f>
        <v>["ELIGIBLE"]</v>
      </c>
    </row>
    <row r="101">
      <c r="A101" s="24" t="str">
        <f>IFERROR(__xludf.DUMMYFUNCTION("""COMPUTED_VALUE"""),"Effects of forest fragmentation on the beetle assemblage at the relict forest of Fray Jorge, Chile")</f>
        <v>Effects of forest fragmentation on the beetle assemblage at the relict forest of Fray Jorge, Chile</v>
      </c>
      <c r="B101" s="24" t="str">
        <f>IFERROR(__xludf.DUMMYFUNCTION("""COMPUTED_VALUE"""),"Habitat fragmentation is recognized as one of the main factors associated with species extinction and is particularly acute in South American forest habitats. In this study, we examined the effects of forest fragmentation on the beetle assemblage at the r"&amp;"elict temperate forest of Fray Jorge (Chile). We evaluated the following hypotheses: (1) there is a strong edge effect, so that the number of beetle species and individuals increases away from the edge, towards the inner part of each fragment, (2) this pa"&amp;"ttern should be apparent in the larger fragments but not in the smaller ones, where edge effects are expected to be stronger, and (3) there should be a significant interaction between number of species/individuals found inside and outside fragments (i.e.,"&amp;" in the matrix) and season, because of an increase in aridity and water stress during austral summer months. We found that the relationship between the number of individuals and number of species vs distance from the matrix towards the forest interior was"&amp;" affected by fragment size and season. In general, both number of species and individuals tended to increase from the matrix towards the forest edge and then either decrease, increase or maintain a constant level, depending on fragment size and season. Th"&amp;"e result of an ANOVA analysis, which used season, size, and position (inside vs outside fragments) as factors and number of individuals as the response variable, showed a significant effect of fragment size, position, and season and a significant interact"&amp;"ion between fragment size and season, season and position, and size and position. ANOVA analysis using number of species as the response variable showed that area, season, and position all had significant effects. The results also showed a significant int"&amp;"eraction between size and season and between season and position. Our results emphasize the existence of strong fragment-size and seasonal effects modulating both the response of beetles to fragmentation and their abundance and distribution in temperate a"&amp;"reas. Thus, seasonal dynamic effects can be of paramount importance to demonstrate and understand the effect of habitat fragmentation upon arthropod assemblages in temperate areas.")</f>
        <v>Habitat fragmentation is recognized as one of the main factors associated with species extinction and is particularly acute in South American forest habitats. In this study, we examined the effects of forest fragmentation on the beetle assemblage at the relict temperate forest of Fray Jorge (Chile). We evaluated the following hypotheses: (1) there is a strong edge effect, so that the number of beetle species and individuals increases away from the edge, towards the inner part of each fragment, (2) this pattern should be apparent in the larger fragments but not in the smaller ones, where edge effects are expected to be stronger, and (3) there should be a significant interaction between number of species/individuals found inside and outside fragments (i.e., in the matrix) and season, because of an increase in aridity and water stress during austral summer months. We found that the relationship between the number of individuals and number of species vs distance from the matrix towards the forest interior was affected by fragment size and season. In general, both number of species and individuals tended to increase from the matrix towards the forest edge and then either decrease, increase or maintain a constant level, depending on fragment size and season. The result of an ANOVA analysis, which used season, size, and position (inside vs outside fragments) as factors and number of individuals as the response variable, showed a significant effect of fragment size, position, and season and a significant interaction between fragment size and season, season and position, and size and position. ANOVA analysis using number of species as the response variable showed that area, season, and position all had significant effects. The results also showed a significant interaction between size and season and between season and position. Our results emphasize the existence of strong fragment-size and seasonal effects modulating both the response of beetles to fragmentation and their abundance and distribution in temperate areas. Thus, seasonal dynamic effects can be of paramount importance to demonstrate and understand the effect of habitat fragmentation upon arthropod assemblages in temperate areas.</v>
      </c>
      <c r="C101" s="24" t="str">
        <f>IFERROR(__xludf.DUMMYFUNCTION("""COMPUTED_VALUE"""),"10.1007/s00442-002-0951-3")</f>
        <v>10.1007/s00442-002-0951-3</v>
      </c>
      <c r="D101" s="24" t="str">
        <f>IFERROR(__xludf.DUMMYFUNCTION("""COMPUTED_VALUE"""),"murphy et al")</f>
        <v>murphy et al</v>
      </c>
      <c r="E101" s="24" t="str">
        <f>IFERROR(__xludf.DUMMYFUNCTION("""COMPUTED_VALUE"""),"WOS:000177242900019")</f>
        <v>WOS:000177242900019</v>
      </c>
      <c r="F101" s="24" t="str">
        <f>IFERROR(__xludf.DUMMYFUNCTION("""COMPUTED_VALUE"""),"[""ELIGIBLE""]")</f>
        <v>["ELIGIBLE"]</v>
      </c>
    </row>
    <row r="102">
      <c r="A102" s="24" t="str">
        <f>IFERROR(__xludf.DUMMYFUNCTION("""COMPUTED_VALUE"""),"Habitat fragmentation impacts on epiphyllous bryophyte communities in central Amazonia")</f>
        <v>Habitat fragmentation impacts on epiphyllous bryophyte communities in central Amazonia</v>
      </c>
      <c r="B102" s="24" t="str">
        <f>IFERROR(__xludf.DUMMYFUNCTION("""COMPUTED_VALUE"""),"Tropical deforestation is a progressive process resulting in the conversion of rain forest into a mosaic of mature forest fragments, pasture, and degraded habitat. Understanding the long-term effects of habitat fragmentation on tropical plant community st"&amp;"ructure is critical to predicting how alterations to the landscape will impact tropical biodiversity. The objective of this study was to examine fragmentation effects on the composition, abundance, and species richness of epiphyllous (leaf- inhabiting) br"&amp;"yophytes. I conducted this research in an experimentally fragmented forest reserve in central Amazonia where data on the distriblition and abundance of 65 bryophyte taxa were analyzed from 16 1-ha sample plots located in continuous forest and fragments. E"&amp;"piphyll communities inhabiting small (1- and 10-ha) fragments exhibited lower species richness, abundance, and among-site compositional variation than those from 100-ha fragments and continuous forest plots. Reduced epiphyll diversity in small fragments i"&amp;"s not simply a statistical artifact of low epiphyll densities, but rather due to a disproportionate loss of regionally common taxa. In contrast, rare taxa responded marginally to fragmentation, and in most cases were more abundant in fragments than in con"&amp;"tinuous forest habitat. Because epiphyllous bryophytes rapidly establish species-rich communities on spatially discrete habitat patches, they are an ideal plant group for addressing the long-term (multigeneration) impact of habitat fragmentation on plant "&amp;"communities.")</f>
        <v>Tropical deforestation is a progressive process resulting in the conversion of rain forest into a mosaic of mature forest fragments, pasture, and degraded habitat. Understanding the long-term effects of habitat fragmentation on tropical plant community structure is critical to predicting how alterations to the landscape will impact tropical biodiversity. The objective of this study was to examine fragmentation effects on the composition, abundance, and species richness of epiphyllous (leaf- inhabiting) bryophytes. I conducted this research in an experimentally fragmented forest reserve in central Amazonia where data on the distriblition and abundance of 65 bryophyte taxa were analyzed from 16 1-ha sample plots located in continuous forest and fragments. Epiphyll communities inhabiting small (1- and 10-ha) fragments exhibited lower species richness, abundance, and among-site compositional variation than those from 100-ha fragments and continuous forest plots. Reduced epiphyll diversity in small fragments is not simply a statistical artifact of low epiphyll densities, but rather due to a disproportionate loss of regionally common taxa. In contrast, rare taxa responded marginally to fragmentation, and in most cases were more abundant in fragments than in continuous forest habitat. Because epiphyllous bryophytes rapidly establish species-rich communities on spatially discrete habitat patches, they are an ideal plant group for addressing the long-term (multigeneration) impact of habitat fragmentation on plant communities.</v>
      </c>
      <c r="C102" s="24" t="str">
        <f>IFERROR(__xludf.DUMMYFUNCTION("""COMPUTED_VALUE"""),"10.1890/0012-9658(2003)084[0948:HFIOEB]2.0.CO;2")</f>
        <v>10.1890/0012-9658(2003)084[0948:HFIOEB]2.0.CO;2</v>
      </c>
      <c r="D102" s="24" t="str">
        <f>IFERROR(__xludf.DUMMYFUNCTION("""COMPUTED_VALUE"""),"murphy et al")</f>
        <v>murphy et al</v>
      </c>
      <c r="E102" s="24" t="str">
        <f>IFERROR(__xludf.DUMMYFUNCTION("""COMPUTED_VALUE"""),"WOS:000182813600015")</f>
        <v>WOS:000182813600015</v>
      </c>
      <c r="F102" s="24" t="str">
        <f>IFERROR(__xludf.DUMMYFUNCTION("""COMPUTED_VALUE"""),"[""ELIGIBLE""]")</f>
        <v>["ELIGIBLE"]</v>
      </c>
    </row>
    <row r="103">
      <c r="A103" s="24" t="str">
        <f>IFERROR(__xludf.DUMMYFUNCTION("""COMPUTED_VALUE"""),"Effects of experimental nitrogen additions on plant diversity in an old-growth tropical forest")</f>
        <v>Effects of experimental nitrogen additions on plant diversity in an old-growth tropical forest</v>
      </c>
      <c r="B103" s="24" t="str">
        <f>IFERROR(__xludf.DUMMYFUNCTION("""COMPUTED_VALUE"""),"Response of plant biodiversity to increased availability of nitrogen (N) has been investigated in temperate and boreal forests, which are typically N-limited, but little is known in tropical forests. We examined the effects of artificial N additions on pl"&amp;"ant diversity (species richness, density and cover) of the understory layer in an N saturated old-growth tropical forest in southern China to test the following hypothesis: N additions decrease plant diversity in N saturated tropical forests primarily fro"&amp;"m N-mediated changes in soil properties. Experimental additions of N were administered at the following levels from July 2003 to July 2008: no addition (Control); 50 kg N ha-1 yr-1 (Low-N); 100 kg N ha-1 yr-1 (Medium-N), and 150 kg N ha-1 yr-1 (High-N). R"&amp;"esults showed that no understory species exhibited positive growth response to any level of N addition during the study period. Although low-to-medium levels of N addition (&lt; 100 kg N ha-1 yr-1) generally did not alter plant diversity through time, high l"&amp;"evels of N addition significantly reduced species diversity. This decrease was most closely related to declines within tree seedling and fern functional groups, as well as to significant increases in soil acidity and Al mobility, and decreases in Ca avail"&amp;"ability and fine-root biomass. This mechanism for loss of biodiversity provides sharp contrast to competition-based mechanisms suggested in studies of understory communities in other forests. Our results suggest that high-N additions can decrease plant di"&amp;"versity in tropical forests, but that this response may vary with rate of N addition.")</f>
        <v>Response of plant biodiversity to increased availability of nitrogen (N) has been investigated in temperate and boreal forests, which are typically N-limited, but little is known in tropical forests. We examined the effects of artificial N additions on plant diversity (species richness, density and cover) of the understory layer in an N saturated old-growth tropical forest in southern China to test the following hypothesis: N additions decrease plant diversity in N saturated tropical forests primarily from N-mediated changes in soil properties. Experimental additions of N were administered at the following levels from July 2003 to July 2008: no addition (Control); 50 kg N ha-1 yr-1 (Low-N); 100 kg N ha-1 yr-1 (Medium-N), and 150 kg N ha-1 yr-1 (High-N). Results showed that no understory species exhibited positive growth response to any level of N addition during the study period. Although low-to-medium levels of N addition (&lt; 100 kg N ha-1 yr-1) generally did not alter plant diversity through time, high levels of N addition significantly reduced species diversity. This decrease was most closely related to declines within tree seedling and fern functional groups, as well as to significant increases in soil acidity and Al mobility, and decreases in Ca availability and fine-root biomass. This mechanism for loss of biodiversity provides sharp contrast to competition-based mechanisms suggested in studies of understory communities in other forests. Our results suggest that high-N additions can decrease plant diversity in tropical forests, but that this response may vary with rate of N addition.</v>
      </c>
      <c r="C103" s="24" t="str">
        <f>IFERROR(__xludf.DUMMYFUNCTION("""COMPUTED_VALUE"""),"10.1111/j.1365-2486.2010.02174.x")</f>
        <v>10.1111/j.1365-2486.2010.02174.x</v>
      </c>
      <c r="D103" s="24" t="str">
        <f>IFERROR(__xludf.DUMMYFUNCTION("""COMPUTED_VALUE"""),"murphy et al")</f>
        <v>murphy et al</v>
      </c>
      <c r="E103" s="24" t="str">
        <f>IFERROR(__xludf.DUMMYFUNCTION("""COMPUTED_VALUE"""),"WOS:000281676700005")</f>
        <v>WOS:000281676700005</v>
      </c>
      <c r="F103" s="24" t="str">
        <f>IFERROR(__xludf.DUMMYFUNCTION("""COMPUTED_VALUE"""),"[""ELIGIBLE""]")</f>
        <v>["ELIGIBLE"]</v>
      </c>
    </row>
    <row r="104">
      <c r="A104" s="24" t="str">
        <f>IFERROR(__xludf.DUMMYFUNCTION("""COMPUTED_VALUE"""),"Zebra mussel colonisation of soft sediments facilitates invertebrate communities")</f>
        <v>Zebra mussel colonisation of soft sediments facilitates invertebrate communities</v>
      </c>
      <c r="B104" s="24" t="str">
        <f>IFERROR(__xludf.DUMMYFUNCTION("""COMPUTED_VALUE"""),"1. We examined the effect of zebra mussel colonisation on invertebrate communities inhabiting soft sediments in two bays along the Vermont shoreline of Lake Champlain, U.S.A. 2. In summer 2001, we conducted manipulative experiments (addition and removal o"&amp;"f zebra mussel colonies) with respective controls to assess the effect of colonies on invertebrate abundance, richness, and position within sediments (within colony versus underlying colony) and compared these data to comparative studies of natural commun"&amp;"ities in summer 2002. 3. Split core samples were taken two months after the manipulation and the following year so that we could quantify individuals and species inhabiting zebra mussel colonies separately from those in sediments underlying zebra mussel c"&amp;"olonies and adjacent sediments lacking zebra mussels. 4. Zebra mussel-covered sediments supported more abundant and richer invertebrate communities than adjacent sediments lacking zebra mussels. 5. Abundance and richness patterns in zebra mussel-addition "&amp;"and removal treatments closely paralleled those in natural communities. 6. Despite severe oxygen depletion at the interface of underlying sediments and overlying zebra mussel colonies, most infaunal invertebrates responded positively to zebra mussel colon"&amp;"isation either by remaining in sediments underlying zebra mussel colonies or by migrating into zebra mussel colonies.")</f>
        <v>1. We examined the effect of zebra mussel colonisation on invertebrate communities inhabiting soft sediments in two bays along the Vermont shoreline of Lake Champlain, U.S.A. 2. In summer 2001, we conducted manipulative experiments (addition and removal of zebra mussel colonies) with respective controls to assess the effect of colonies on invertebrate abundance, richness, and position within sediments (within colony versus underlying colony) and compared these data to comparative studies of natural communities in summer 2002. 3. Split core samples were taken two months after the manipulation and the following year so that we could quantify individuals and species inhabiting zebra mussel colonies separately from those in sediments underlying zebra mussel colonies and adjacent sediments lacking zebra mussels. 4. Zebra mussel-covered sediments supported more abundant and richer invertebrate communities than adjacent sediments lacking zebra mussels. 5. Abundance and richness patterns in zebra mussel-addition and removal treatments closely paralleled those in natural communities. 6. Despite severe oxygen depletion at the interface of underlying sediments and overlying zebra mussel colonies, most infaunal invertebrates responded positively to zebra mussel colonisation either by remaining in sediments underlying zebra mussel colonies or by migrating into zebra mussel colonies.</v>
      </c>
      <c r="C104" s="24" t="str">
        <f>IFERROR(__xludf.DUMMYFUNCTION("""COMPUTED_VALUE"""),"10.1111/j.1365-2427.2004.01207.x")</f>
        <v>10.1111/j.1365-2427.2004.01207.x</v>
      </c>
      <c r="D104" s="24" t="str">
        <f>IFERROR(__xludf.DUMMYFUNCTION("""COMPUTED_VALUE"""),"murphy et al")</f>
        <v>murphy et al</v>
      </c>
      <c r="E104" s="24" t="str">
        <f>IFERROR(__xludf.DUMMYFUNCTION("""COMPUTED_VALUE"""),"WOS:000221197400004")</f>
        <v>WOS:000221197400004</v>
      </c>
      <c r="F104" s="24" t="str">
        <f>IFERROR(__xludf.DUMMYFUNCTION("""COMPUTED_VALUE"""),"[""ELIGIBLE""]")</f>
        <v>["ELIGIBLE"]</v>
      </c>
    </row>
    <row r="105">
      <c r="A105" s="24" t="str">
        <f>IFERROR(__xludf.DUMMYFUNCTION("""COMPUTED_VALUE"""),"Negative responses of Collembola in a forest soil (Alptal, Switzerland) under experimentally increased N deposition")</f>
        <v>Negative responses of Collembola in a forest soil (Alptal, Switzerland) under experimentally increased N deposition</v>
      </c>
      <c r="B105" s="24" t="str">
        <f>IFERROR(__xludf.DUMMYFUNCTION("""COMPUTED_VALUE"""),"The response of specific groups of organisms, like Collembola to atmospheric nitrogen (N) deposition is still scarcely known. We investigated the Collembola community in a subalpine forest (Alptal, Switzerland) as subjected for 12 years to an experimental"&amp;"ly increased N deposition (+25 on top of ambient 12 kg N ha(-1) year(-1)). In the 0-5 cm soil layer, there was a tendency of total Collembola densities to be lower in N-treated than in control plots. The density of Isotomiella minor, the most abundant spe"&amp;"cies, was significantly reduced by the N addition. A tendency of lower Collembola group richness was observed in N-treated plots. The Density-Group index (d(DG)) showed a significant reduction of community diversity, but the Shannon-Wiener index (H') was "&amp;"not significantly affected by the N addition. The Collembola community can be considered as a bioindicator of N inputs exceeding the biological needs, namely, soil N saturation. (C) 2009 Elsevier Ltd. All rights reserved.")</f>
        <v>The response of specific groups of organisms, like Collembola to atmospheric nitrogen (N) deposition is still scarcely known. We investigated the Collembola community in a subalpine forest (Alptal, Switzerland) as subjected for 12 years to an experimentally increased N deposition (+25 on top of ambient 12 kg N ha(-1) year(-1)). In the 0-5 cm soil layer, there was a tendency of total Collembola densities to be lower in N-treated than in control plots. The density of Isotomiella minor, the most abundant species, was significantly reduced by the N addition. A tendency of lower Collembola group richness was observed in N-treated plots. The Density-Group index (d(DG)) showed a significant reduction of community diversity, but the Shannon-Wiener index (H') was not significantly affected by the N addition. The Collembola community can be considered as a bioindicator of N inputs exceeding the biological needs, namely, soil N saturation. (C) 2009 Elsevier Ltd. All rights reserved.</v>
      </c>
      <c r="C105" s="24" t="str">
        <f>IFERROR(__xludf.DUMMYFUNCTION("""COMPUTED_VALUE"""),"10.1016/j.envpol.2009.02.026")</f>
        <v>10.1016/j.envpol.2009.02.026</v>
      </c>
      <c r="D105" s="24" t="str">
        <f>IFERROR(__xludf.DUMMYFUNCTION("""COMPUTED_VALUE"""),"murphy et al")</f>
        <v>murphy et al</v>
      </c>
      <c r="E105" s="24" t="str">
        <f>IFERROR(__xludf.DUMMYFUNCTION("""COMPUTED_VALUE"""),"WOS:000266350800009")</f>
        <v>WOS:000266350800009</v>
      </c>
      <c r="F105" s="24" t="str">
        <f>IFERROR(__xludf.DUMMYFUNCTION("""COMPUTED_VALUE"""),"[""ELIGIBLE""]")</f>
        <v>["ELIGIBLE"]</v>
      </c>
    </row>
    <row r="106">
      <c r="A106" s="24" t="str">
        <f>IFERROR(__xludf.DUMMYFUNCTION("""COMPUTED_VALUE"""),"How deforestation pattern in the Amazon influences vertebrate richness and community composition")</f>
        <v>How deforestation pattern in the Amazon influences vertebrate richness and community composition</v>
      </c>
      <c r="B106" s="24" t="str">
        <f>IFERROR(__xludf.DUMMYFUNCTION("""COMPUTED_VALUE"""),"The effects of habitat configuration on species persistence are predicted to be most apparent when remaining habitat cover is below 30%. We tested this prediction by comparing vertebrate communities in 21 landscapes located in the southern Amazonia, inclu"&amp;"ding 7 control landscapes (similar to 100% of forest cover) and 14 fragmented landscapes (4 x 4 km). The fragmented landscapes retained similar proportions of forest (similar to 25%), but had contrasting configurations, resulting from two different defore"&amp;"station patterns: the fish-bone pattern common in small properties, and the large-property pattern generally used by large ranchers. Vertebrates were surveyed in all landscapes in February-July 2009 with interviews (n = 150). We found a significant differ"&amp;"ence in reported species richness among the fish-bone, large-property, and control areas (mean = 29.3, 38.8 and 43.5 respectively). Control areas and large-properties tended to have a higher number of specialist species (mean = 13.7, and 11.7, respectivel"&amp;"y), when compared with the fish-bone pattern (5.1). Vertebrate community composition in the control and large-properties was more similar to one another than to those of the fish-bone landscapes. The number of fragments was the main factor affecting the p"&amp;"ersistence of species, being negatively associated with specialist species richness. Species richness was also positively related with the size of the largest fragment structurally connected to the studied landscapes (i.e., a regional scale effect). Our r"&amp;"esults demonstrated that the large-property pattern, which results in less fragmented landscapes, can maintain a more diverse community of large vertebrates, including top predators, which are considered fundamental for maintaining ecosystem integrity. Th"&amp;"ese results support the hypothesis that landscape configuration contributes to the persistence and/or extirpation of species.")</f>
        <v>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v>
      </c>
      <c r="C106" s="24" t="str">
        <f>IFERROR(__xludf.DUMMYFUNCTION("""COMPUTED_VALUE"""),"10.1007/s10980-012-9729-0")</f>
        <v>10.1007/s10980-012-9729-0</v>
      </c>
      <c r="D106" s="24" t="str">
        <f>IFERROR(__xludf.DUMMYFUNCTION("""COMPUTED_VALUE"""),"murphy et al")</f>
        <v>murphy et al</v>
      </c>
      <c r="E106" s="24" t="str">
        <f>IFERROR(__xludf.DUMMYFUNCTION("""COMPUTED_VALUE"""),"WOS:000305218000002")</f>
        <v>WOS:000305218000002</v>
      </c>
      <c r="F106" s="24" t="str">
        <f>IFERROR(__xludf.DUMMYFUNCTION("""COMPUTED_VALUE"""),"[""ELIGIBLE""]")</f>
        <v>["ELIGIBLE"]</v>
      </c>
    </row>
    <row r="107">
      <c r="A107" s="24" t="str">
        <f>IFERROR(__xludf.DUMMYFUNCTION("""COMPUTED_VALUE"""),"Changes in Arthropod Assemblages along a Wide Gradient of Disturbance in Gabon")</f>
        <v>Changes in Arthropod Assemblages along a Wide Gradient of Disturbance in Gabon</v>
      </c>
      <c r="B107" s="24" t="str">
        <f>IFERROR(__xludf.DUMMYFUNCTION("""COMPUTED_VALUE"""),"Searching for indicator taxa representative of diverse assemblages, such as arthropods, is an important objective of many conservation studies. We evaluated the impacts of a wide gradient of disturbance in Gabon on a range of arthropod assemblages represe"&amp;"nting different feeding guilds. We examined 4 x 10(5) arthropod individuals from which 21 focal taxa were separated into 1534 morphospecies. Replication included the understory of 3 sites in each of 4 different stages of forest succession and land use (i."&amp;"e., habitats) after logging (old and young forests, savanna, and gardens). We used 3 complementary sampling methods to survey sites throughout the year. Overall differences in arthropod abundance and diversity were greatest between forest and open habitat"&amp;"s, and cleared forest invaded by savanna had the lowest abundance and diversity. The magnitude of faunal differences was much smaller between old and young forests. When considered at this local scale, anthropogenic modification of habitats did not result"&amp;" in a monotonous decline of diversity because many herbivore pests and their associated predators and parasitoids were abundant and diverse in gardens, where plant productivity was kept artificially high year-round through watering and crop rotation. We u"&amp;"sed a variety of response variables to measure the strength of correlations across survey locations among focal taxa. These could be ranked as follows in terms of decreasing number of significant correlations: species turnover &gt; abundance &gt; observed speci"&amp;"es richness &gt; estimated species richness &gt; percentage of site-specific species. The number of significant correlations was generally low and apparently unrelated to taxonomy or guild structure. Our results emphasize the value of reporting species turnover"&amp;" in conservation studies, as opposed to simply measuring species richness, and that the search for indicator taxa is elusive in the tropics. One promising alternative might be to consider predictor sets of a small number of taxa representative of differen"&amp;"t functional groups, as identified in our study.")</f>
        <v>Searching for indicator taxa representative of diverse assemblages, such as arthropods, is an important objective of many conservation studies. We evaluated the impacts of a wide gradient of disturbance in Gabon on a range of arthropod assemblages representing different feeding guilds. We examined 4 x 10(5) arthropod individuals from which 21 focal taxa were separated into 1534 morphospecies. Replication included the understory of 3 sites in each of 4 different stages of forest succession and land use (i.e., habitats) after logging (old and young forests, savanna, and gardens). We used 3 complementary sampling methods to survey sites throughout the year. Overall differences in arthropod abundance and diversity were greatest between forest and open habitats, and cleared forest invaded by savanna had the lowest abundance and diversity. The magnitude of faunal differences was much smaller between old and young forests. When considered at this local scale, anthropogenic modification of habitats did not result in a monotonous decline of diversity because many herbivore pests and their associated predators and parasitoids were abundant and diverse in gardens, where plant productivity was kept artificially high year-round through watering and crop rotation. We used a variety of response variables to measure the strength of correlations across survey locations among focal taxa. These could be ranked as follows in terms of decreasing number of significant correlations: species turnover &gt; abundance &gt; observed species richness &gt; estimated species richness &gt; percentage of site-specific species. The number of significant correlations was generally low and apparently unrelated to taxonomy or guild structure. Our results emphasize the value of reporting species turnover in conservation studies, as opposed to simply measuring species richness, and that the search for indicator taxa is elusive in the tropics. One promising alternative might be to consider predictor sets of a small number of taxa representative of different functional groups, as identified in our study.</v>
      </c>
      <c r="C107" s="24" t="str">
        <f>IFERROR(__xludf.DUMMYFUNCTION("""COMPUTED_VALUE"""),"10.1111/j.1523-1739.2008.01017.x")</f>
        <v>10.1111/j.1523-1739.2008.01017.x</v>
      </c>
      <c r="D107" s="24" t="str">
        <f>IFERROR(__xludf.DUMMYFUNCTION("""COMPUTED_VALUE"""),"murphy et al")</f>
        <v>murphy et al</v>
      </c>
      <c r="E107" s="24" t="str">
        <f>IFERROR(__xludf.DUMMYFUNCTION("""COMPUTED_VALUE"""),"WOS:000261395700031")</f>
        <v>WOS:000261395700031</v>
      </c>
      <c r="F107" s="24" t="str">
        <f>IFERROR(__xludf.DUMMYFUNCTION("""COMPUTED_VALUE"""),"[""ELIGIBLE""]")</f>
        <v>["ELIGIBLE"]</v>
      </c>
    </row>
    <row r="108">
      <c r="A108" s="24" t="str">
        <f>IFERROR(__xludf.DUMMYFUNCTION("""COMPUTED_VALUE"""),"Impact of invasive plants on the species richness, diversity and composition of invaded communities")</f>
        <v>Impact of invasive plants on the species richness, diversity and composition of invaded communities</v>
      </c>
      <c r="B108" s="24" t="str">
        <f>IFERROR(__xludf.DUMMYFUNCTION("""COMPUTED_VALUE"""),"Much attention has been paid to negative effects of alien species on resident communities but studies that quantify community-level effects of a number of invasive plants are scarce. We address this issue by assessing the impact of 13 species invasive in "&amp;"the Czech Republic on a wide range of plant communities. Vegetation in invaded and uninvaded plots with similar site conditions was sampled. All species of vascular plants were recorded, their covers were estimated and used as importance values for calcul"&amp;"ating the Shannon diversity index H', evenness J and Sorensen index of similarity between invaded and uninvaded vegetation. With the exception of two invasive species, species richness, diversity and evenness were reduced in invaded plots. Species exhibit"&amp;"ing the greatest impact reduced species numbers per plot and the total number of species recorded in the communities sampled by almost 90%. A strong reduction of species number at the plot scale resulted in a marked reduction in the total species number a"&amp;"t the landscape scale, and in less similarity between invaded and uninvaded vegetation. The decrease in species richness in invaded compared to uninvaded plots is largely driven by the identity of the invading species, whereas the major determinants of th"&amp;"e decrease in Shannon diversity and evenness are the cover and height of invading species, and differences between height and cover of invading and dominant native species, independent of species identity. Synthesis. Management decisions based on impact n"&amp;"eed to distinguish between invasive species, as their effects on diversity and composition of resident vegetation differ largely. Tall invading species capable of forming populations with the cover markedly greater than that of native dominant species exe"&amp;"rt the most severe effects on species diversity and evenness. Since a strong impact on the community scale is associated with reduction in species diversity at higher scales, invaders with a high impact represent a serious hazard to the landscape.")</f>
        <v>Much attention has been paid to negative effects of alien species on resident communities but studies that quantify community-level effects of a number of invasive plants are scarce. We address this issue by assessing the impact of 13 species invasive in the Czech Republic on a wide range of plant communities. Vegetation in invaded and uninvaded plots with similar site conditions was sampled. All species of vascular plants were recorded, their covers were estimated and used as importance values for calculating the Shannon diversity index H', evenness J and Sorensen index of similarity between invaded and uninvaded vegetation. With the exception of two invasive species, species richness, diversity and evenness were reduced in invaded plots. Species exhibiting the greatest impact reduced species numbers per plot and the total number of species recorded in the communities sampled by almost 90%. A strong reduction of species number at the plot scale resulted in a marked reduction in the total species number at the landscape scale, and in less similarity between invaded and uninvaded vegetation. The decrease in species richness in invaded compared to uninvaded plots is largely driven by the identity of the invading species, whereas the major determinants of the decrease in Shannon diversity and evenness are the cover and height of invading species, and differences between height and cover of invading and dominant native species, independent of species identity. Synthesis. Management decisions based on impact need to distinguish between invasive species, as their effects on diversity and composition of resident vegetation differ largely. Tall invading species capable of forming populations with the cover markedly greater than that of native dominant species exert the most severe effects on species diversity and evenness. Since a strong impact on the community scale is associated with reduction in species diversity at higher scales, invaders with a high impact represent a serious hazard to the landscape.</v>
      </c>
      <c r="C108" s="24" t="str">
        <f>IFERROR(__xludf.DUMMYFUNCTION("""COMPUTED_VALUE"""),"10.1111/j.1365-2745.2009.01480.x")</f>
        <v>10.1111/j.1365-2745.2009.01480.x</v>
      </c>
      <c r="D108" s="24" t="str">
        <f>IFERROR(__xludf.DUMMYFUNCTION("""COMPUTED_VALUE"""),"murphy et al")</f>
        <v>murphy et al</v>
      </c>
      <c r="E108" s="24" t="str">
        <f>IFERROR(__xludf.DUMMYFUNCTION("""COMPUTED_VALUE"""),"WOS:000265035400003")</f>
        <v>WOS:000265035400003</v>
      </c>
      <c r="F108" s="24" t="str">
        <f>IFERROR(__xludf.DUMMYFUNCTION("""COMPUTED_VALUE"""),"[""ELIGIBLE""]")</f>
        <v>["ELIGIBLE"]</v>
      </c>
    </row>
    <row r="109">
      <c r="A109" s="24" t="str">
        <f>IFERROR(__xludf.DUMMYFUNCTION("""COMPUTED_VALUE"""),"Influence of habitat fragmentation and crop system on Columbia Basin shrubsteppe communities")</f>
        <v>Influence of habitat fragmentation and crop system on Columbia Basin shrubsteppe communities</v>
      </c>
      <c r="B109" s="24" t="str">
        <f>IFERROR(__xludf.DUMMYFUNCTION("""COMPUTED_VALUE"""),"Crop production in much of the western United States has caused extensive fragmentation of shrubsteppe and other grasslands and has increased regional levels of disturbance through repeated tillage of crop fields and applications of agrochemicals. Althoug"&amp;"h there have been numerous studies of the effects of fragmentation on arthropods in forests, old fields, and cropland, there have been very few studies of fragmentation effects on grassland arthropods. I conducted a two-year study in the Columbia Basin re"&amp;"gion of the U.S. Pacific Northwest to determine the effects of fragmentation and regional disturbance on shrubsteppe communities. I sampled plants and arthropods in 20 shrubsteppe fragments associated with annual crops, 20 fragments associated with perenn"&amp;"ial crops, and 20 large sections of shrubsteppe distant from crop fields. Fragments were corners of crop irrigation circles, and only sites that were undisturbed, with an apparent high coverage of shrubs, were included in the study. Results indicated no s"&amp;"ignificant differences in coverages of shrubs, perennial grasses, total perennial forbs, total annual/biennial forbs, and species richness of grasses and shrubs between fragments and large sections of shrubsteppe. Mean percent coverage of the annual grass"&amp;" Bromus tectorum was 18.6% greater in small fragments than in large sections of shrubsteppe distant from crop fields, and mean coverage of bare ground was 22.9% higher and coverage of biological soil crusts was 41.5% lower in the fragments than in large s"&amp;"hrubsteppe sections. Shrubsteppe fragments had significantly lower abundances of obligate herbivores, omnivores, total herbivores, obligate predators, total predators, plant detritivores, total detritivores, and butterflies, as well as fewer individuals o"&amp;"f numerous other taxa within these trophic groups. Fragmentation had very little effect on species richness within trophic groups, probably because fragments were not that isolated from each other and large sections of shrubsteppe. Shrubsteppe communities"&amp;" that were next to highly disturbed annual crops had greater coverages of total annual/biennial forbs, and lower coverages of total perennial forbs and biological soil crusts when compared to shrubsteppe near perennial crops. Abundances of obligate herbiv"&amp;"ores, omnivores, total predators, plant detritivores, vertebrate-detritus feeders, and bees were similar in shrubsteppe near annual crops and near perennial crops. However, within these trophic groups, shrubsteppe near annual crops supported fewer obligat"&amp;"e shrub-feeding grasshoppers, herbivorous ground beetles, harvestmen, antlions, darkling beetles, and butterflies than did shrubsteppe near perennial crops. The results suggest that a reduction in resources within fragments and regional disturbances cause"&amp;"d by the production of annual crops were responsible for changes in arthropod trophic structure in fragments. Changes in trophic structure were probably not due to reductions in habitat heterogeneity or habitat isolation because plant community structure "&amp;"was similar in fragmented and unfragmented shrubsteppe, and fragments were not isolated from large sections of shrubsteppe.")</f>
        <v>Crop production in much of the western United States has caused extensive fragmentation of shrubsteppe and other grasslands and has increased regional levels of disturbance through repeated tillage of crop fields and applications of agrochemicals. Although there have been numerous studies of the effects of fragmentation on arthropods in forests, old fields, and cropland, there have been very few studies of fragmentation effects on grassland arthropods. I conducted a two-year study in the Columbia Basin region of the U.S. Pacific Northwest to determine the effects of fragmentation and regional disturbance on shrubsteppe communities. I sampled plants and arthropods in 20 shrubsteppe fragments associated with annual crops, 20 fragments associated with perennial crops, and 20 large sections of shrubsteppe distant from crop fields. Fragments were corners of crop irrigation circles, and only sites that were undisturbed, with an apparent high coverage of shrubs, were included in the study. Results indicated no significant differences in coverages of shrubs, perennial grasses, total perennial forbs, total annual/biennial forbs, and species richness of grasses and shrubs between fragments and large sections of shrubsteppe. Mean percent coverage of the annual grass Bromus tectorum was 18.6% greater in small fragments than in large sections of shrubsteppe distant from crop fields, and mean coverage of bare ground was 22.9% higher and coverage of biological soil crusts was 41.5% lower in the fragments than in large shrubsteppe sections. Shrubsteppe fragments had significantly lower abundances of obligate herbivores, omnivores, total herbivores, obligate predators, total predators, plant detritivores, total detritivores, and butterflies, as well as fewer individuals of numerous other taxa within these trophic groups. Fragmentation had very little effect on species richness within trophic groups, probably because fragments were not that isolated from each other and large sections of shrubsteppe. Shrubsteppe communities that were next to highly disturbed annual crops had greater coverages of total annual/biennial forbs, and lower coverages of total perennial forbs and biological soil crusts when compared to shrubsteppe near perennial crops. Abundances of obligate herbivores, omnivores, total predators, plant detritivores, vertebrate-detritus feeders, and bees were similar in shrubsteppe near annual crops and near perennial crops. However, within these trophic groups, shrubsteppe near annual crops supported fewer obligate shrub-feeding grasshoppers, herbivorous ground beetles, harvestmen, antlions, darkling beetles, and butterflies than did shrubsteppe near perennial crops. The results suggest that a reduction in resources within fragments and regional disturbances caused by the production of annual crops were responsible for changes in arthropod trophic structure in fragments. Changes in trophic structure were probably not due to reductions in habitat heterogeneity or habitat isolation because plant community structure was similar in fragmented and unfragmented shrubsteppe, and fragments were not isolated from large sections of shrubsteppe.</v>
      </c>
      <c r="C109" s="24" t="str">
        <f>IFERROR(__xludf.DUMMYFUNCTION("""COMPUTED_VALUE"""),"10.1890/03-5249")</f>
        <v>10.1890/03-5249</v>
      </c>
      <c r="D109" s="24" t="str">
        <f>IFERROR(__xludf.DUMMYFUNCTION("""COMPUTED_VALUE"""),"murphy et al")</f>
        <v>murphy et al</v>
      </c>
      <c r="E109" s="24" t="str">
        <f>IFERROR(__xludf.DUMMYFUNCTION("""COMPUTED_VALUE"""),"WOS:000225858000003")</f>
        <v>WOS:000225858000003</v>
      </c>
      <c r="F109" s="24" t="str">
        <f>IFERROR(__xludf.DUMMYFUNCTION("""COMPUTED_VALUE"""),"[""ELIGIBLE""]")</f>
        <v>["ELIGIBLE"]</v>
      </c>
    </row>
    <row r="110">
      <c r="A110" s="24" t="str">
        <f>IFERROR(__xludf.DUMMYFUNCTION("""COMPUTED_VALUE"""),"Experimental effects of habitat fragmentation on old-field canopy insects: community, guild and species responses")</f>
        <v>Experimental effects of habitat fragmentation on old-field canopy insects: community, guild and species responses</v>
      </c>
      <c r="B110" s="24" t="str">
        <f>IFERROR(__xludf.DUMMYFUNCTION("""COMPUTED_VALUE"""),"We examined the effects of habitat fragmentation on the species distributions, guild membership, and community structure of old-field insects using a fine-scale experimental approach. A continuous 1-ha goldenrod field was fragmented into four treatments t"&amp;"hat varied in both patch size and degree of isolation. Each treatment was replicated four times and arranged in a Latin square design. Canopy insects in fragmented patches were sampled with sweep nets during early and late summer 1995. The species richnes"&amp;"s of insects was significantly lower in fragmented than in unfragmented treatments during July, but was similar among treatments in September. Overall community abundance showed no treatment effect during either month. We also found significant row and co"&amp;"lumn effects, suggesting there was spatial heterogeneity in species richness and abundance apart from treatment effects. Differences in species richness during July were primarily due to the loss of rare species in highly fragmented plots. Overall abundan"&amp;"ce was less responsive to community change because deletions of rare species in fragmented areas were not detected in abundance analyses. Four feeding guilds showed different responses to fragmentation: the species richness of sucking herbivores and the a"&amp;"bundance of parasitoids were significantly reduced by fragmentation but predators and chewing herbivores were largely unaffected. Analyses of a subset of individual species within guilds suggest that the greater effects of fragmentation on sucking herbivo"&amp;"res and parasitoids may be due to the degree of habitat specificity of guild members. The effects of small-scale habitat fragmentation were therefore detectable at the level of community, guild, and individual species. Changes in species richness, guild s"&amp;"tructure and species distributions were likely due to differential effects of habitat alteration on individual movements and patch selection rather than dispersal or demographic change. Nonetheless, the selective loss of rare species, differential guild e"&amp;"ffects and changes in species occupancy that we found in this small-scale experiment are also factors that are likely to operate in fragmented habitats over broader spatial scales.")</f>
        <v>We examined the effects of habitat fragmentation on the species distributions, guild membership, and community structure of old-field insects using a fine-scale experimental approach. A continuous 1-ha goldenrod field was fragmented into four treatments that varied in both patch size and degree of isolation. Each treatment was replicated four times and arranged in a Latin square design. Canopy insects in fragmented patches were sampled with sweep nets during early and late summer 1995. The species richness of insects was significantly lower in fragmented than in unfragmented treatments during July, but was similar among treatments in September. Overall community abundance showed no treatment effect during either month. We also found significant row and column effects, suggesting there was spatial heterogeneity in species richness and abundance apart from treatment effects. Differences in species richness during July were primarily due to the loss of rare species in highly fragmented plots. Overall abundance was less responsive to community change because deletions of rare species in fragmented areas were not detected in abundance analyses. Four feeding guilds showed different responses to fragmentation: the species richness of sucking herbivores and the abundance of parasitoids were significantly reduced by fragmentation but predators and chewing herbivores were largely unaffected. Analyses of a subset of individual species within guilds suggest that the greater effects of fragmentation on sucking herbivores and parasitoids may be due to the degree of habitat specificity of guild members. The effects of small-scale habitat fragmentation were therefore detectable at the level of community, guild, and individual species. Changes in species richness, guild structure and species distributions were likely due to differential effects of habitat alteration on individual movements and patch selection rather than dispersal or demographic change. Nonetheless, the selective loss of rare species, differential guild effects and changes in species occupancy that we found in this small-scale experiment are also factors that are likely to operate in fragmented habitats over broader spatial scales.</v>
      </c>
      <c r="C110" s="24" t="str">
        <f>IFERROR(__xludf.DUMMYFUNCTION("""COMPUTED_VALUE"""),"10.1007/s004420050738")</f>
        <v>10.1007/s004420050738</v>
      </c>
      <c r="D110" s="24" t="str">
        <f>IFERROR(__xludf.DUMMYFUNCTION("""COMPUTED_VALUE"""),"murphy et al")</f>
        <v>murphy et al</v>
      </c>
      <c r="E110" s="24" t="str">
        <f>IFERROR(__xludf.DUMMYFUNCTION("""COMPUTED_VALUE"""),"WOS:000079391900011")</f>
        <v>WOS:000079391900011</v>
      </c>
      <c r="F110" s="24" t="str">
        <f>IFERROR(__xludf.DUMMYFUNCTION("""COMPUTED_VALUE"""),"[""ELIGIBLE""]")</f>
        <v>["ELIGIBLE"]</v>
      </c>
    </row>
    <row r="111">
      <c r="A111" s="24" t="str">
        <f>IFERROR(__xludf.DUMMYFUNCTION("""COMPUTED_VALUE"""),"Harvestmen in an Atlantic forest fragmented landscape: Evaluating assemblage response to habitat quality and quantity")</f>
        <v>Harvestmen in an Atlantic forest fragmented landscape: Evaluating assemblage response to habitat quality and quantity</v>
      </c>
      <c r="B111" s="24" t="str">
        <f>IFERROR(__xludf.DUMMYFUNCTION("""COMPUTED_VALUE"""),"Despite the importance of considering arthropods in monitoring programs and conservation planning given their diversity in terrestrial ecosystems and potential in revealing environmental disturbances, most studies on the effects of habitat disturbances in"&amp;" tropical forests focused on vertebrates, plants and a few arthropod groups. By sampling 16 sites evenly distributed in four habitat categories (continuous mature and secondary forest and large and small secondary forest fragments), we investigated how ha"&amp;"rvestmen (Opiliones), which represent the third largest order of arachnids and have been poorly studied in tropical forests, are affected by habitat quality and quantity. Richness and abundance of rare species were strongly affected by habitat quality.(fi"&amp;"rst axis of principal component analysis on forest structure), increasing in less disturbed/mature forests. Richness, total abundance, abundance of rare species and of one of the three common species were higher in continuous forest, while only total abun"&amp;"dance differed between large and small fragments. Detrended correspondence analysis revealed that just one species increased in abundance in fragments, while several others were associated with continuous and/or mature forest and that harvestman compositi"&amp;"on did not vary between large and small fragments. Our results suggest that harvestmen (1) are strongly affected by habitat quality and quantity, probably because, compared to other arthropod groups, they are relatively uniform in some relevant biological"&amp;" aspects (nocturnal predators dependent on microclimatic conditions that present low vagility); (2) are probably more indicative of intermediate-level disturbances, given the absence of species associated with highly-disturbed areas. (C) 2007 Elsevier Ltd"&amp;". All rights reserved.")</f>
        <v>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v>
      </c>
      <c r="C111" s="24" t="str">
        <f>IFERROR(__xludf.DUMMYFUNCTION("""COMPUTED_VALUE"""),"10.1016/j.biocon.2007.07.008")</f>
        <v>10.1016/j.biocon.2007.07.008</v>
      </c>
      <c r="D111" s="24" t="str">
        <f>IFERROR(__xludf.DUMMYFUNCTION("""COMPUTED_VALUE"""),"murphy et al")</f>
        <v>murphy et al</v>
      </c>
      <c r="E111" s="24" t="str">
        <f>IFERROR(__xludf.DUMMYFUNCTION("""COMPUTED_VALUE"""),"WOS:000250330700014")</f>
        <v>WOS:000250330700014</v>
      </c>
      <c r="F111" s="24" t="str">
        <f>IFERROR(__xludf.DUMMYFUNCTION("""COMPUTED_VALUE"""),"[""ELIGIBLE""]")</f>
        <v>["ELIGIBLE"]</v>
      </c>
    </row>
    <row r="112">
      <c r="A112" s="24" t="str">
        <f>IFERROR(__xludf.DUMMYFUNCTION("""COMPUTED_VALUE"""),"Effects of nitrogen addition on successional dynamics and species diversity in Michigan old-fields")</f>
        <v>Effects of nitrogen addition on successional dynamics and species diversity in Michigan old-fields</v>
      </c>
      <c r="B112" s="24" t="str">
        <f>IFERROR(__xludf.DUMMYFUNCTION("""COMPUTED_VALUE"""),"1 We examined the impact of nitrogen addition on early successional dynamics and plant species diversity in replicate plots of an old-field succession treatment in south-western Michigan, USA, for 7 years following abandonment from agriculture. 2 Nitrogen"&amp;" addition significantly increased above-ground plant biomass, but had no effect on the displacement or persistence of different life-history groups. Annual species made up a similar proportion of community biomass and decreased at equivalent rates in cont"&amp;"rol and nitrogen-addition microplots. Perennial species biomass increased at similar rates in the control and nitrogen-addition microplots. 3 Annual species dominated initially, but declined in abundance over the first 4 years and were replaced by biennia"&amp;"ls and then herbaceous perennials. The resulting high numbers of species losses and gains were not affected by nitrogen addition. 4 Nitrogen addition did not affect mean species density or the Shannon index of diversity. There was also no temporal change "&amp;"in the similarity of species composition between control and nitrogen-addition microplots, indicating that nitrogen addition did not cause divergence over time in community composition. In year 7, similar species dominated the nitrogen-addition and contro"&amp;"l microplots, but there were differences in species composition and abundance of the subordinate species in each community. 5 Only in year 6 of this study was there a significant negative relationship between community biomass and the Shannon diversity in"&amp;"dex. There was no significant relationship between community biomass and species density in any of the first 7 years following abandonment. Thus, the community response to increased biomass due to nitrogen addition was expressed primarily through changes "&amp;"in community structure, not richness. 6 The effects of nitrogen addition on the early successional dynamics, species composition and consequently diversity of a plant community may depend on initial site conditions. The response to nitrogen enrichment may"&amp;" be slower in sites such as ours with fertile soils that become dominated by herbaceous perennial dicots.")</f>
        <v>1 We examined the impact of nitrogen addition on early successional dynamics and plant species diversity in replicate plots of an old-field succession treatment in south-western Michigan, USA, for 7 years following abandonment from agriculture. 2 Nitrogen addition significantly increased above-ground plant biomass, but had no effect on the displacement or persistence of different life-history groups. Annual species made up a similar proportion of community biomass and decreased at equivalent rates in control and nitrogen-addition microplots. Perennial species biomass increased at similar rates in the control and nitrogen-addition microplots. 3 Annual species dominated initially, but declined in abundance over the first 4 years and were replaced by biennials and then herbaceous perennials. The resulting high numbers of species losses and gains were not affected by nitrogen addition. 4 Nitrogen addition did not affect mean species density or the Shannon index of diversity. There was also no temporal change in the similarity of species composition between control and nitrogen-addition microplots, indicating that nitrogen addition did not cause divergence over time in community composition. In year 7, similar species dominated the nitrogen-addition and control microplots, but there were differences in species composition and abundance of the subordinate species in each community. 5 Only in year 6 of this study was there a significant negative relationship between community biomass and the Shannon diversity index. There was no significant relationship between community biomass and species density in any of the first 7 years following abandonment. Thus, the community response to increased biomass due to nitrogen addition was expressed primarily through changes in community structure, not richness. 6 The effects of nitrogen addition on the early successional dynamics, species composition and consequently diversity of a plant community may depend on initial site conditions. The response to nitrogen enrichment may be slower in sites such as ours with fertile soils that become dominated by herbaceous perennial dicots.</v>
      </c>
      <c r="C112" s="24" t="str">
        <f>IFERROR(__xludf.DUMMYFUNCTION("""COMPUTED_VALUE"""),"10.1046/j.1365-2745.1998.8650794.x")</f>
        <v>10.1046/j.1365-2745.1998.8650794.x</v>
      </c>
      <c r="D112" s="24" t="str">
        <f>IFERROR(__xludf.DUMMYFUNCTION("""COMPUTED_VALUE"""),"murphy et al")</f>
        <v>murphy et al</v>
      </c>
      <c r="E112" s="24" t="str">
        <f>IFERROR(__xludf.DUMMYFUNCTION("""COMPUTED_VALUE"""),"WOS:000076782200006")</f>
        <v>WOS:000076782200006</v>
      </c>
      <c r="F112" s="24" t="str">
        <f>IFERROR(__xludf.DUMMYFUNCTION("""COMPUTED_VALUE"""),"[""ELIGIBLE""]")</f>
        <v>["ELIGIBLE"]</v>
      </c>
    </row>
    <row r="113">
      <c r="A113" s="24" t="str">
        <f>IFERROR(__xludf.DUMMYFUNCTION("""COMPUTED_VALUE"""),"Effects of additional N on herbaceous species of desertified steppe in arid regions of China: a four-year field study")</f>
        <v>Effects of additional N on herbaceous species of desertified steppe in arid regions of China: a four-year field study</v>
      </c>
      <c r="B113" s="24" t="str">
        <f>IFERROR(__xludf.DUMMYFUNCTION("""COMPUTED_VALUE"""),"Human-induced nitrogen (N) enrichment is impacting the structure and function of grassland ecosystems, although few studies have been conducted in arid and semi-arid ecosystems under field conditions. Here, a 4-year multi-level N addition experiment under"&amp;" ambient precipitation in a typical temperate desert steppe in arid regions of China was designed to evaluate the impact of N enrichment on the herbaceous vegetation community in desert ecosystems. The results showed that species richness declined in resp"&amp;"onse to N addition during all 4 years, while aboveground biomass increased in the relatively wet year (2007) and decreased in the relatively dry years (2008-2010) according to N addition level, as compared to the control. Plant community composition diffe"&amp;"red among plant functional groups (PFGs) based on added N. Perennial grasses (PG) benefited more compared with annuals and perennial forbs (PF) from N enrichment in terms of biomass production under conditions of high precipitation in 2007. In relatively "&amp;"dry years, biomass production of all PFGs was strictly dependent on inter- and intra-annual precipitation, which led PG to dominate in 2008 (with a dry spring) and PF to dominate in 2009 and 2010. Our results demonstrate that the impact of N enrichment on"&amp;" the herbaceous vegetation community in desert steppes may be strongly dependent on natural precipitation patterns characterized by shifts in plant community composition, particularly in terms of biomass production.")</f>
        <v>Human-induced nitrogen (N) enrichment is impacting the structure and function of grassland ecosystems, although few studies have been conducted in arid and semi-arid ecosystems under field conditions. Here, a 4-year multi-level N addition experiment under ambient precipitation in a typical temperate desert steppe in arid regions of China was designed to evaluate the impact of N enrichment on the herbaceous vegetation community in desert ecosystems. The results showed that species richness declined in response to N addition during all 4 years, while aboveground biomass increased in the relatively wet year (2007) and decreased in the relatively dry years (2008-2010) according to N addition level, as compared to the control. Plant community composition differed among plant functional groups (PFGs) based on added N. Perennial grasses (PG) benefited more compared with annuals and perennial forbs (PF) from N enrichment in terms of biomass production under conditions of high precipitation in 2007. In relatively dry years, biomass production of all PFGs was strictly dependent on inter- and intra-annual precipitation, which led PG to dominate in 2008 (with a dry spring) and PF to dominate in 2009 and 2010. Our results demonstrate that the impact of N enrichment on the herbaceous vegetation community in desert steppes may be strongly dependent on natural precipitation patterns characterized by shifts in plant community composition, particularly in terms of biomass production.</v>
      </c>
      <c r="C113" s="24" t="str">
        <f>IFERROR(__xludf.DUMMYFUNCTION("""COMPUTED_VALUE"""),"10.1007/s11284-012-0994-9")</f>
        <v>10.1007/s11284-012-0994-9</v>
      </c>
      <c r="D113" s="24" t="str">
        <f>IFERROR(__xludf.DUMMYFUNCTION("""COMPUTED_VALUE"""),"murphy et al")</f>
        <v>murphy et al</v>
      </c>
      <c r="E113" s="24" t="str">
        <f>IFERROR(__xludf.DUMMYFUNCTION("""COMPUTED_VALUE"""),"WOS:000313951000003")</f>
        <v>WOS:000313951000003</v>
      </c>
      <c r="F113" s="24" t="str">
        <f>IFERROR(__xludf.DUMMYFUNCTION("""COMPUTED_VALUE"""),"[""ELIGIBLE""]")</f>
        <v>["ELIGIBLE"]</v>
      </c>
    </row>
    <row r="114">
      <c r="A114" s="24" t="str">
        <f>IFERROR(__xludf.DUMMYFUNCTION("""COMPUTED_VALUE"""),"NUTRIENT EFFECTS ON SEAGRASS EPIPHYTE COMMUNITY STRUCTURE IN FLORIDA BAY")</f>
        <v>NUTRIENT EFFECTS ON SEAGRASS EPIPHYTE COMMUNITY STRUCTURE IN FLORIDA BAY</v>
      </c>
      <c r="B114" s="24" t="str">
        <f>IFERROR(__xludf.DUMMYFUNCTION("""COMPUTED_VALUE"""),"A field experiment was employed in Florida Bay investigating the response of seagrass epiphyte communities to nitrogen (N) and phosphorus (P) additions. While most of the variability in epiphyte community structure was related to uncontrolled temporal and"&amp;" spatial environmental heterogeneity, P additions increased the relative abundance of the red algae-cyanobacterial complex and green algae, with a concomitant decrease in diatoms. When N was added along with P, the observed changes to the diatoms and the "&amp;"red algae-cyanobacterial complex were in the same direction as P-only treatments, but the responses were decreased in magnitude. Within the diatom community, species relative abundances, species richness, and diversity responded weakly to nutrient additio"&amp;"n. P additions produced changes in diatom community structure that were limited to summer and were stronger in eastern Florida Bay than in the western bay. These changes were consistent with well-established temporal and spatial patterns of P limitation. "&amp;"Despite the significant change in community structure resulting from P addition, diatom communities from the same site and time, regardless of nutrient treatment, remained more similar to one another than to the diatom communities subject to identical nut"&amp;"rient treatments from different sites and times. Overall, epiphyte communities exhibited responses to P addition that were most evident at the division level.")</f>
        <v>A field experiment was employed in Florida Bay investigating the response of seagrass epiphyte communities to nitrogen (N) and phosphorus (P) additions. While most of the variability in epiphyte community structure was related to uncontrolled temporal and spatial environmental heterogeneity, P additions increased the relative abundance of the red algae-cyanobacterial complex and green algae, with a concomitant decrease in diatoms. When N was added along with P, the observed changes to the diatoms and the red algae-cyanobacterial complex were in the same direction as P-only treatments, but the responses were decreased in magnitude. Within the diatom community, species relative abundances, species richness, and diversity responded weakly to nutrient addition. P additions produced changes in diatom community structure that were limited to summer and were stronger in eastern Florida Bay than in the western bay. These changes were consistent with well-established temporal and spatial patterns of P limitation. Despite the significant change in community structure resulting from P addition, diatom communities from the same site and time, regardless of nutrient treatment, remained more similar to one another than to the diatom communities subject to identical nutrient treatments from different sites and times. Overall, epiphyte communities exhibited responses to P addition that were most evident at the division level.</v>
      </c>
      <c r="C114" s="24" t="str">
        <f>IFERROR(__xludf.DUMMYFUNCTION("""COMPUTED_VALUE"""),"10.1111/j.1529-8817.2009.00745.x")</f>
        <v>10.1111/j.1529-8817.2009.00745.x</v>
      </c>
      <c r="D114" s="24" t="str">
        <f>IFERROR(__xludf.DUMMYFUNCTION("""COMPUTED_VALUE"""),"murphy et al")</f>
        <v>murphy et al</v>
      </c>
      <c r="E114" s="24" t="str">
        <f>IFERROR(__xludf.DUMMYFUNCTION("""COMPUTED_VALUE"""),"WOS:000270901800003")</f>
        <v>WOS:000270901800003</v>
      </c>
      <c r="F114" s="24" t="str">
        <f>IFERROR(__xludf.DUMMYFUNCTION("""COMPUTED_VALUE"""),"[""ELIGIBLE""]")</f>
        <v>["ELIGIBLE"]</v>
      </c>
    </row>
    <row r="115">
      <c r="A115" s="24" t="str">
        <f>IFERROR(__xludf.DUMMYFUNCTION("""COMPUTED_VALUE"""),"Small-scale experimental habitat fragmentation reduces colonization rates in species-rich grasslands")</f>
        <v>Small-scale experimental habitat fragmentation reduces colonization rates in species-rich grasslands</v>
      </c>
      <c r="B115" s="24" t="str">
        <f>IFERROR(__xludf.DUMMYFUNCTION("""COMPUTED_VALUE"""),"Habitat fragmentation is one of the most important threats to biodiversity. Decreasing patch size may lead to a reduction in the size of populations and to an increased extinction risk of remnant populations. Furthermore, colonization rates may be reduced"&amp;" in isolated patches. To investigate the effects of isolation and patch size on extinction and colonization rates of plant species, calcareous grasslands at three sites in the Swiss Jura Mountains were experimentally fragmented into patches of 0.25, 2.25,"&amp;" and 20.25 m(2) by frequent mowing of the surrounding area from 1993 to 1999. Species richness in the fragment plots and adjacent control plots of the same sizes was recorded during these 7 years. In agreement with the theory of island biogeography, colon"&amp;"ization rate was reduced by 30% in fragments versus non-isolated controls, and extinction increased in small versus large plots. Habitat specialists, in contrast to generalists, were less likely to invade fragments. In the last 4 years of the experiment, "&amp;"extinction rates tended to be higher in fragment than in control plots at two of the three sites. Despite reduced colonization rates and a tendency of increased extinction rates in fragments, fragmented plots had only marginally fewer species than control"&amp;" plots after 7 years. Hence, rates were a more sensitive measure for community change than changes in species richness per se. From a conservation point of view, the detected reduced colonization rates are particularly problematic in small fragments, whic"&amp;"h are more likely to suffer from high extinction rates in the long run.")</f>
        <v>Habitat fragmentation is one of the most important threats to biodiversity. Decreasing patch size may lead to a reduction in the size of populations and to an increased extinction risk of remnant populations. Furthermore, colonization rates may be reduced in isolated patches. To investigate the effects of isolation and patch size on extinction and colonization rates of plant species, calcareous grasslands at three sites in the Swiss Jura Mountains were experimentally fragmented into patches of 0.25, 2.25, and 20.25 m(2) by frequent mowing of the surrounding area from 1993 to 1999. Species richness in the fragment plots and adjacent control plots of the same sizes was recorded during these 7 years. In agreement with the theory of island biogeography, colonization rate was reduced by 30% in fragments versus non-isolated controls, and extinction increased in small versus large plots. Habitat specialists, in contrast to generalists, were less likely to invade fragments. In the last 4 years of the experiment, extinction rates tended to be higher in fragment than in control plots at two of the three sites. Despite reduced colonization rates and a tendency of increased extinction rates in fragments, fragmented plots had only marginally fewer species than control plots after 7 years. Hence, rates were a more sensitive measure for community change than changes in species richness per se. From a conservation point of view, the detected reduced colonization rates are particularly problematic in small fragments, which are more likely to suffer from high extinction rates in the long run.</v>
      </c>
      <c r="C115" s="24" t="str">
        <f>IFERROR(__xludf.DUMMYFUNCTION("""COMPUTED_VALUE"""),"10.1007/s00442-005-0341-8")</f>
        <v>10.1007/s00442-005-0341-8</v>
      </c>
      <c r="D115" s="24" t="str">
        <f>IFERROR(__xludf.DUMMYFUNCTION("""COMPUTED_VALUE"""),"murphy et al")</f>
        <v>murphy et al</v>
      </c>
      <c r="E115" s="24" t="str">
        <f>IFERROR(__xludf.DUMMYFUNCTION("""COMPUTED_VALUE"""),"WOS:000236968700016")</f>
        <v>WOS:000236968700016</v>
      </c>
      <c r="F115" s="24" t="str">
        <f>IFERROR(__xludf.DUMMYFUNCTION("""COMPUTED_VALUE"""),"[""ELIGIBLE""]")</f>
        <v>["ELIGIBLE"]</v>
      </c>
    </row>
    <row r="116">
      <c r="A116" s="24" t="str">
        <f>IFERROR(__xludf.DUMMYFUNCTION("""COMPUTED_VALUE"""),"Does Tropical Forest Fragmentation Increase Long-Term Variability of Butterfly Communities?")</f>
        <v>Does Tropical Forest Fragmentation Increase Long-Term Variability of Butterfly Communities?</v>
      </c>
      <c r="B116" s="24" t="str">
        <f>IFERROR(__xludf.DUMMYFUNCTION("""COMPUTED_VALUE"""),"Habitat fragmentation is a major driver of biodiversity loss. Yet, the overall effects of fragmentation on biodiversity may be obscured by differences in responses among species. These opposing responses to fragmentation may be manifest in higher variabil"&amp;"ity in species richness and abundance (termed hyperdynamism), and in predictable changes in community composition. We tested whether forest fragmentation causes long-term hyperdynamism in butterfly communities, a taxon that naturally displays large variat"&amp;"ions in species richness and community composition. Using a dataset from an experimentally fragmented landscape in the central Amazon that spanned 11 years, we evaluated the effect of fragmentation on changes in species richness and community composition "&amp;"through time. Overall, adjusted species richness (adjusted for survey duration) did not differ between fragmented forest and intact forest. However, spatial and temporal variation of adjusted species richness was significantly higher in fragmented forests"&amp;" relative to intact forest. This variation was associated with changes in butterfly community composition, specifically lower proportions of understory shade species and higher proportions of edge species in fragmented forest. Analysis of rarefied species"&amp;" richness, estimated using indices of butterfly abundance, showed no differences between fragmented and intact forest plots in spatial or temporal variation. These results do not contradict the results from adjusted species richness, but rather suggest th"&amp;"at higher variability in butterfly adjusted species richness may be explained by changes in butterfly abundance. Combined, these results indicate that butterfly communities in fragmented tropical forests are more variable than in intact forest, and that t"&amp;"he natural variability of butterflies was not a buffer against the effects of fragmentation on community dynamics.")</f>
        <v>Habitat fragmentation is a major driver of biodiversity loss. Yet, the overall effects of fragmentation on biodiversity may be obscured by differences in responses among species. These opposing responses to fragmentation may be manifest in higher variability in species richness and abundance (termed hyperdynamism), and in predictable changes in community composition. We tested whether forest fragmentation causes long-term hyperdynamism in butterfly communities, a taxon that naturally displays large variations in species richness and community composition. Using a dataset from an experimentally fragmented landscape in the central Amazon that spanned 11 years, we evaluated the effect of fragmentation on changes in species richness and community composition through time. Overall, adjusted species richness (adjusted for survey duration) did not differ between fragmented forest and intact forest. However, spatial and temporal variation of adjusted species richness was significantly higher in fragmented forests relative to intact forest. This variation was associated with changes in butterfly community composition, specifically lower proportions of understory shade species and higher proportions of edge species in fragmented forest. Analysis of rarefied species richness, estimated using indices of butterfly abundance, showed no differences between fragmented and intact forest plots in spatial or temporal variation. These results do not contradict the results from adjusted species richness, but rather suggest that higher variability in butterfly adjusted species richness may be explained by changes in butterfly abundance. Combined, these results indicate that butterfly communities in fragmented tropical forests are more variable than in intact forest, and that the natural variability of butterflies was not a buffer against the effects of fragmentation on community dynamics.</v>
      </c>
      <c r="C116" s="24" t="str">
        <f>IFERROR(__xludf.DUMMYFUNCTION("""COMPUTED_VALUE"""),"10.1371/journal.pone.0009534")</f>
        <v>10.1371/journal.pone.0009534</v>
      </c>
      <c r="D116" s="24" t="str">
        <f>IFERROR(__xludf.DUMMYFUNCTION("""COMPUTED_VALUE"""),"murphy et al")</f>
        <v>murphy et al</v>
      </c>
      <c r="E116" s="24" t="str">
        <f>IFERROR(__xludf.DUMMYFUNCTION("""COMPUTED_VALUE"""),"WOS:000275328800006")</f>
        <v>WOS:000275328800006</v>
      </c>
      <c r="F116" s="24" t="str">
        <f>IFERROR(__xludf.DUMMYFUNCTION("""COMPUTED_VALUE"""),"[""ELIGIBLE""]")</f>
        <v>["ELIGIBLE"]</v>
      </c>
    </row>
    <row r="117">
      <c r="A117" s="24" t="str">
        <f>IFERROR(__xludf.DUMMYFUNCTION("""COMPUTED_VALUE"""),"Bird diversity in cacao farms and forest fragments of western Panama")</f>
        <v>Bird diversity in cacao farms and forest fragments of western Panama</v>
      </c>
      <c r="B117" s="24" t="str">
        <f>IFERROR(__xludf.DUMMYFUNCTION("""COMPUTED_VALUE"""),"Theobroma cacao plantings, when managed under the shade of rainforest trees, provide habitat for many resident and migratory bird species. We compared the bird diversity and community structure in organic cacao farms and nearby forest fragments throughout"&amp;" mainland Bocas del Toro, Panama. We used this dataset to ask the following questions: (1) How do bird communities using cacao habitat compare to communities of nearby forest fragments? (2) To what extent do Northern migratory birds use shaded cacao farms"&amp;", and do communities of resident birds shift their abundances in cacao farms seasonally? (3) Do small scale changes in shade management of cacao farms affect bird diversity? Using fixed radius point counts and additional observations, we recorded 234 land"&amp;"bird species, with 102 species that were observed in both cacao and forest fragments, 86 species that were only observed in cacao farms, and 46 species that were restricted to forest fragments. Cacao farms were rich in canopy and edge species such as tana"&amp;"gers, flycatchers and migratory warblers, but understory insectivores were nearly absent from cacao farms. We observed 27 migratory species, with 18 species in cacao farms only, two species in forest only, and seven species that occurred in both habitats."&amp;" In cacao farms, the diversity of birds was significantly greater where there was less intensive management of the canopy shade trees. Shade tree species richness was most important for explaining variance in bird diversity. Our study shows that shaded ca"&amp;"cao farms in western Panama provide habitat for a wide variety of resident and migratory bird species. Considering current land use trends in the region, we suggest that action must be taken to prevent conversion away from shaded cacao farms to land uses "&amp;"with lower biodiversity conservation value.")</f>
        <v>Theobroma cacao plantings, when managed under the shade of rainforest trees, provide habitat for many resident and migratory bird species. We compared the bird diversity and community structure in organic cacao farms and nearby forest fragments throughout mainland Bocas del Toro, Panama. We used this dataset to ask the following questions: (1) How do bird communities using cacao habitat compare to communities of nearby forest fragments? (2) To what extent do Northern migratory birds use shaded cacao farms, and do communities of resident birds shift their abundances in cacao farms seasonally? (3) Do small scale changes in shade management of cacao farms affect bird diversity? Using fixed radius point counts and additional observations, we recorded 234 landbird species, with 102 species that were observed in both cacao and forest fragments, 86 species that were only observed in cacao farms, and 46 species that were restricted to forest fragments. Cacao farms were rich in canopy and edge species such as tanagers, flycatchers and migratory warblers, but understory insectivores were nearly absent from cacao farms. We observed 27 migratory species, with 18 species in cacao farms only, two species in forest only, and seven species that occurred in both habitats. In cacao farms, the diversity of birds was significantly greater where there was less intensive management of the canopy shade trees. Shade tree species richness was most important for explaining variance in bird diversity. Our study shows that shaded cacao farms in western Panama provide habitat for a wide variety of resident and migratory bird species. Considering current land use trends in the region, we suggest that action must be taken to prevent conversion away from shaded cacao farms to land uses with lower biodiversity conservation value.</v>
      </c>
      <c r="C117" s="24" t="str">
        <f>IFERROR(__xludf.DUMMYFUNCTION("""COMPUTED_VALUE"""),"10.1007/s10531-007-9193-3")</f>
        <v>10.1007/s10531-007-9193-3</v>
      </c>
      <c r="D117" s="24" t="str">
        <f>IFERROR(__xludf.DUMMYFUNCTION("""COMPUTED_VALUE"""),"murphy et al")</f>
        <v>murphy et al</v>
      </c>
      <c r="E117" s="24" t="str">
        <f>IFERROR(__xludf.DUMMYFUNCTION("""COMPUTED_VALUE"""),"WOS:000247932200002")</f>
        <v>WOS:000247932200002</v>
      </c>
      <c r="F117" s="24" t="str">
        <f>IFERROR(__xludf.DUMMYFUNCTION("""COMPUTED_VALUE"""),"[""ELIGIBLE""]")</f>
        <v>["ELIGIBLE"]</v>
      </c>
    </row>
    <row r="118">
      <c r="A118" s="24" t="str">
        <f>IFERROR(__xludf.DUMMYFUNCTION("""COMPUTED_VALUE"""),"Fragmentation alters stream fish community structure in dendritic ecological networks")</f>
        <v>Fragmentation alters stream fish community structure in dendritic ecological networks</v>
      </c>
      <c r="B118" s="24" t="str">
        <f>IFERROR(__xludf.DUMMYFUNCTION("""COMPUTED_VALUE"""),"Effects of fragmentation on the ecology of organisms occupying dendritic ecological networks (DENs) have recently been described through both conceptual and mathematical models, but few hypotheses have been tested in complex, real-world ecosystems. Stream"&amp;" fishes provide a model system for assessing effects of fragmentation on the structure of communities occurring within DENs, including how fragmentation alters metacommunity dynamics and biodiversity. A recently developed habitat-availability measure, the"&amp;" dendritic connectivity index'' (DCI), allows for assigning quantitative measures of connectivity in DENs regardless of network extent or complexity, and might be used to predict fish community response to fragmentation. We characterized stream fish commu"&amp;"nity structure in 12 DENs in the Great Plains, USA, during periods of dynamic (summer) and muted (fall) discharge regimes to test the DCI as a predictive model of fish community response to fragmentation imposed by road crossings. Results indicated that f"&amp;"ish communities in stream segments isolated by road crossings had reduced species richness (alpha diversity) relative to communities that maintained connectivity with the surrounding DEN during summer and fall. Furthermore, isolated communities had greate"&amp;"r dissimilarity (beta diversity) to downstream sites not isolated by road crossings during summer and fall. Finally, dissimilarity among communities within DENs decreased as a function of increased habitat connectivity (measured using the DCI) for summer "&amp;"and fall, suggesting that communities within highly connected DENs tend to be more homogeneous. Our results indicate that the DCI is sensitive to community effects of fragmentation in riverscapes and might be used by managers to predict ecological respons"&amp;"es to changes in habitat connectivity. Moreover, our findings illustrate that relating structural connectivity of riverscapes to functional connectivity among communities might aid in maintaining metacommunity dynamics and biodiversity in complex dendriti"&amp;"c ecosystems.")</f>
        <v>Effects of fragmentation on the ecology of organisms occupying dendritic ecological networks (DENs) have recently been described through both conceptual and mathematical models, but few hypotheses have been tested in complex, real-world ecosystems. Stream fishes provide a model system for assessing effects of fragmentation on the structure of communities occurring within DENs, including how fragmentation alters metacommunity dynamics and biodiversity. A recently developed habitat-availability measure, the dendritic connectivity index'' (DCI), allows for assigning quantitative measures of connectivity in DENs regardless of network extent or complexity, and might be used to predict fish community response to fragmentation. We characterized stream fish community structure in 12 DENs in the Great Plains, USA, during periods of dynamic (summer) and muted (fall) discharge regimes to test the DCI as a predictive model of fish community response to fragmentation imposed by road crossings. Results indicated that fish communities in stream segments isolated by road crossings had reduced species richness (alpha diversity) relative to communities that maintained connectivity with the surrounding DEN during summer and fall. Furthermore, isolated communities had greater dissimilarity (beta diversity) to downstream sites not isolated by road crossings during summer and fall. Finally, dissimilarity among communities within DENs decreased as a function of increased habitat connectivity (measured using the DCI) for summer and fall, suggesting that communities within highly connected DENs tend to be more homogeneous. Our results indicate that the DCI is sensitive to community effects of fragmentation in riverscapes and might be used by managers to predict ecological responses to changes in habitat connectivity. Moreover, our findings illustrate that relating structural connectivity of riverscapes to functional connectivity among communities might aid in maintaining metacommunity dynamics and biodiversity in complex dendritic ecosystems.</v>
      </c>
      <c r="C118" s="24" t="str">
        <f>IFERROR(__xludf.DUMMYFUNCTION("""COMPUTED_VALUE"""),"10.1890/12-0318.1")</f>
        <v>10.1890/12-0318.1</v>
      </c>
      <c r="D118" s="24" t="str">
        <f>IFERROR(__xludf.DUMMYFUNCTION("""COMPUTED_VALUE"""),"murphy et al")</f>
        <v>murphy et al</v>
      </c>
      <c r="E118" s="24" t="str">
        <f>IFERROR(__xludf.DUMMYFUNCTION("""COMPUTED_VALUE"""),"WOS:000312587300011")</f>
        <v>WOS:000312587300011</v>
      </c>
      <c r="F118" s="24" t="str">
        <f>IFERROR(__xludf.DUMMYFUNCTION("""COMPUTED_VALUE"""),"[""ELIGIBLE""]")</f>
        <v>["ELIGIBLE"]</v>
      </c>
    </row>
    <row r="119">
      <c r="A119" s="24" t="str">
        <f>IFERROR(__xludf.DUMMYFUNCTION("""COMPUTED_VALUE"""),"Rapid recovery of dung beetle communities following habitat fragmentation in central Amazonia")</f>
        <v>Rapid recovery of dung beetle communities following habitat fragmentation in central Amazonia</v>
      </c>
      <c r="B119" s="24" t="str">
        <f>IFERROR(__xludf.DUMMYFUNCTION("""COMPUTED_VALUE"""),"Few studies have directly assessed how rapidly functionally important insect communities recover following rain forest loss and fragmentation. In 1986, B. Klein compared the dung and carrion beetle assemblages of clearcuts, fragmented, and non-fragmented "&amp;"forests in central Amazonia, reporting drastic short-term changes in community composition. Fifteen years later, we resampled the same sites using identical techniques and found that, with the regrowth of secondary vegetation between forest fragments, the"&amp;" initial differences had largely disappeared. As the secondary vegetation itself supports dung beetle assemblages similar to those of continuous forest, we conclude that, from the perspective of the dung beetles, the experimentally fragmented area had ret"&amp;"urned to a continuous state within approximately one decade. These results offer some good news for the conservation of tropical ecosystems, since they suggest that conditions favorable for functionally important arthropods may be quickly restored by seco"&amp;"ndary regrowth. They also suggest that the preservation of forest fragments and secondary vegetation may provide an important complement to the conservation of intact mature forest.")</f>
        <v>Few studies have directly assessed how rapidly functionally important insect communities recover following rain forest loss and fragmentation. In 1986, B. Klein compared the dung and carrion beetle assemblages of clearcuts, fragmented, and non-fragmented forests in central Amazonia, reporting drastic short-term changes in community composition. Fifteen years later, we resampled the same sites using identical techniques and found that, with the regrowth of secondary vegetation between forest fragments, the initial differences had largely disappeared. As the secondary vegetation itself supports dung beetle assemblages similar to those of continuous forest, we conclude that, from the perspective of the dung beetles, the experimentally fragmented area had returned to a continuous state within approximately one decade. These results offer some good news for the conservation of tropical ecosystems, since they suggest that conditions favorable for functionally important arthropods may be quickly restored by secondary regrowth. They also suggest that the preservation of forest fragments and secondary vegetation may provide an important complement to the conservation of intact mature forest.</v>
      </c>
      <c r="C119" s="24" t="str">
        <f>IFERROR(__xludf.DUMMYFUNCTION("""COMPUTED_VALUE"""),"10.1890/04-1960")</f>
        <v>10.1890/04-1960</v>
      </c>
      <c r="D119" s="24" t="str">
        <f>IFERROR(__xludf.DUMMYFUNCTION("""COMPUTED_VALUE"""),"murphy et al")</f>
        <v>murphy et al</v>
      </c>
      <c r="E119" s="24" t="str">
        <f>IFERROR(__xludf.DUMMYFUNCTION("""COMPUTED_VALUE"""),"WOS:000234066700022")</f>
        <v>WOS:000234066700022</v>
      </c>
      <c r="F119" s="24" t="str">
        <f>IFERROR(__xludf.DUMMYFUNCTION("""COMPUTED_VALUE"""),"[""ELIGIBLE""]")</f>
        <v>["ELIGIBLE"]</v>
      </c>
    </row>
    <row r="120">
      <c r="A120" s="24" t="str">
        <f>IFERROR(__xludf.DUMMYFUNCTION("""COMPUTED_VALUE"""),"Biodiversity and abundance of terrestrial isopods along a gradient of disturbance in Sabah, East Malaysia")</f>
        <v>Biodiversity and abundance of terrestrial isopods along a gradient of disturbance in Sabah, East Malaysia</v>
      </c>
      <c r="B120" s="24" t="str">
        <f>IFERROR(__xludf.DUMMYFUNCTION("""COMPUTED_VALUE"""),"Connell's intermediate disturbance. hypothesis predicts that the highest diversity is maintained at intermediate levels of disturbance; We have examined this hypothesis by observing differences in biodiversity of terrestrial isopods along a gradient of di"&amp;"sturbance from two undisturbed primary tropical rainforest sites, to a logged site, a mixed native fruit orchard and a commercial oil palm plantation, in Sabah, East Malaysia. We describe a standardised protocol for the rapid assessment of isopod biodiver"&amp;"sity on tropical forest floor sites and for measuring environmental variables to which we have related differences in species richness and relative abundance of the isopods:. The results do not support Connell's hypothesis because there were no significan"&amp;"t differences in diversity, species richness or equitability between disturbed sites and the nearest primary forests. The relative abundance of individual species was highest in the most disturbed environment. We suggest that this may be because particula"&amp;"r species are well adapted to exploiting resources under the more 'r' selection conditions created by disturbance. Possible reasons for why the observations do not conform with predictions from the intermediate disturbance hypothesis are discussed. We con"&amp;"clude that Huston's dynamic equilibrium model is more appropriate than the intermediate disturbance hypothesis in predicting the effects of disturbance of tropical rainforests on these arthropod macro-decomposers. (c) 2006 Published by Elsevier Masson SAS"&amp;".")</f>
        <v>Connell's intermediate disturbance. hypothesis predicts that the highest diversity is maintained at intermediate levels of disturbance; We have examined this hypothesis by observing differences in biodiversity of terrestrial isopods along a gradient of disturbance from two undisturbed primary tropical rainforest sites, to a logged site, a mixed native fruit orchard and a commercial oil palm plantation, in Sabah, East Malaysia. We describe a standardised protocol for the rapid assessment of isopod biodiversity on tropical forest floor sites and for measuring environmental variables to which we have related differences in species richness and relative abundance of the isopods:. The results do not support Connell's hypothesis because there were no significant differences in diversity, species richness or equitability between disturbed sites and the nearest primary forests. The relative abundance of individual species was highest in the most disturbed environment. We suggest that this may be because particular species are well adapted to exploiting resources under the more 'r' selection conditions created by disturbance. Possible reasons for why the observations do not conform with predictions from the intermediate disturbance hypothesis are discussed. We conclude that Huston's dynamic equilibrium model is more appropriate than the intermediate disturbance hypothesis in predicting the effects of disturbance of tropical rainforests on these arthropod macro-decomposers. (c) 2006 Published by Elsevier Masson SAS.</v>
      </c>
      <c r="C120" s="24" t="str">
        <f>IFERROR(__xludf.DUMMYFUNCTION("""COMPUTED_VALUE"""),"10.1016/j.ejsobi.2006.07.002")</f>
        <v>10.1016/j.ejsobi.2006.07.002</v>
      </c>
      <c r="D120" s="24" t="str">
        <f>IFERROR(__xludf.DUMMYFUNCTION("""COMPUTED_VALUE"""),"murphy et al")</f>
        <v>murphy et al</v>
      </c>
      <c r="E120" s="24" t="str">
        <f>IFERROR(__xludf.DUMMYFUNCTION("""COMPUTED_VALUE"""),"WOS:000243263800027")</f>
        <v>WOS:000243263800027</v>
      </c>
      <c r="F120" s="24" t="str">
        <f>IFERROR(__xludf.DUMMYFUNCTION("""COMPUTED_VALUE"""),"[""ELIGIBLE""]")</f>
        <v>["ELIGIBLE"]</v>
      </c>
    </row>
    <row r="121">
      <c r="A121" s="24" t="str">
        <f>IFERROR(__xludf.DUMMYFUNCTION("""COMPUTED_VALUE"""),"Experimental small-scale grassland fragmentation alters aphid population dynamics")</f>
        <v>Experimental small-scale grassland fragmentation alters aphid population dynamics</v>
      </c>
      <c r="B121" s="24" t="str">
        <f>IFERROR(__xludf.DUMMYFUNCTION("""COMPUTED_VALUE"""),"Theory predicts that at higher trophic levels species are especially vulnerable to habitat fragmentation due to small population size and dependence on particular prey species. Using aphids as model organism, we tested the hypothesis that herbivore abunda"&amp;"nce increases in fragmented habitats Lis a result Of reduced predator and parasitoid densities. In a 3 year-study, we examined the population dynamics of aphids with respect to host plant abundance and ant nest density in experimentally fragmented calcare"&amp;"ous grasslands at two sites in the northern Jura mountains. Fragments of different size (area: 20.25 m(2). 2.25 m(2) and 0.25 m(2)) were isolated by a 5 in wide strip of frequently mown vegetation and corresponding control plots were situated in the adjac"&amp;"ent undisturbed grassland. Aphid density was higher in fragments than in control plots. This was a combined result of a higher frequency of aphid-infested plants and larger aphid colonies in fragments than in control plots. Furthermore, a larger proportio"&amp;"n of aphid colonies was ant-attended in fragments than in control plots. Aphid colonies were also more frequently visited by ants in fragments than in control plots in one of the 3 years. Parasitoid pressure on aphids was not influenced by the experimenta"&amp;"l fragmentation. Neither were aphid species richness and diversity affected by the fragmentation. Our study shows that even small-scale habitat fragmentation can have profound effects on the abundance of herbivorous insects. The effect on aphid density wa"&amp;"s consistent over 3 years and two sites with slightly different aphid communities.")</f>
        <v>Theory predicts that at higher trophic levels species are especially vulnerable to habitat fragmentation due to small population size and dependence on particular prey species. Using aphids as model organism, we tested the hypothesis that herbivore abundance increases in fragmented habitats Lis a result Of reduced predator and parasitoid densities. In a 3 year-study, we examined the population dynamics of aphids with respect to host plant abundance and ant nest density in experimentally fragmented calcareous grasslands at two sites in the northern Jura mountains. Fragments of different size (area: 20.25 m(2). 2.25 m(2) and 0.25 m(2)) were isolated by a 5 in wide strip of frequently mown vegetation and corresponding control plots were situated in the adjacent undisturbed grassland. Aphid density was higher in fragments than in control plots. This was a combined result of a higher frequency of aphid-infested plants and larger aphid colonies in fragments than in control plots. Furthermore, a larger proportion of aphid colonies was ant-attended in fragments than in control plots. Aphid colonies were also more frequently visited by ants in fragments than in control plots in one of the 3 years. Parasitoid pressure on aphids was not influenced by the experimental fragmentation. Neither were aphid species richness and diversity affected by the fragmentation. Our study shows that even small-scale habitat fragmentation can have profound effects on the abundance of herbivorous insects. The effect on aphid density was consistent over 3 years and two sites with slightly different aphid communities.</v>
      </c>
      <c r="C121" s="24" t="str">
        <f>IFERROR(__xludf.DUMMYFUNCTION("""COMPUTED_VALUE"""),"10.1034/j.1600-0706.2003.12220.x")</f>
        <v>10.1034/j.1600-0706.2003.12220.x</v>
      </c>
      <c r="D121" s="24" t="str">
        <f>IFERROR(__xludf.DUMMYFUNCTION("""COMPUTED_VALUE"""),"murphy et al")</f>
        <v>murphy et al</v>
      </c>
      <c r="E121" s="24" t="str">
        <f>IFERROR(__xludf.DUMMYFUNCTION("""COMPUTED_VALUE"""),"WOS:000181963700018")</f>
        <v>WOS:000181963700018</v>
      </c>
      <c r="F121" s="24" t="str">
        <f>IFERROR(__xludf.DUMMYFUNCTION("""COMPUTED_VALUE"""),"[""ELIGIBLE""]")</f>
        <v>["ELIGIBLE"]</v>
      </c>
    </row>
    <row r="122">
      <c r="A122" s="24" t="str">
        <f>IFERROR(__xludf.DUMMYFUNCTION("""COMPUTED_VALUE"""),"Plant communities and the reproductive success of native plants after the invasion of an ornamental herb")</f>
        <v>Plant communities and the reproductive success of native plants after the invasion of an ornamental herb</v>
      </c>
      <c r="B122" s="24" t="str">
        <f>IFERROR(__xludf.DUMMYFUNCTION("""COMPUTED_VALUE"""),"The effects of plant invasions on plant communities are often assessed at a few sites or in a particular type of habitat, while studies in different habitat types are scarce. We investigated plant communities in the presence and absence of the invasive or"&amp;"namental herb, Lupinus polyphyllus, in four habitat types: meadow, forest, road verge and wasteland, in two geographic regions by comparing vascular plant species richness, vegetation structure based on species traits, community composition and the reprod"&amp;"uctive success of native plant species at invaded and non-invaded locations. The invader was associated with declines in the number of vascular plant species in all habitat types but was unassociated with differences in plant community composition in term"&amp;"s of species identity or species relative cover. However, sites with large lupin invasions (a parts per thousand yen1,000 m(2)) contained fewer vascular plant species, a larger proportion of clonal species and more lighter-seeded species than sites with s"&amp;"mall invasions. The reproductive output of native plants varied across habitats from declines to increases in the presence of L. polyphyllus, and depended on species status (meadow, non-meadow species) rather than species identity, with meadow species gen"&amp;"erally showing an increase in the reproductive output in the presence of the invader. Overall, our results demonstrate that lupin invasions are associated with declines in local plant species richness across habitats. Although we did not detect systematic"&amp;" differences in species composition between invaded and non-invaded locations, species with particular traits may still be more persistent in invaded plant communities than others.")</f>
        <v>The effects of plant invasions on plant communities are often assessed at a few sites or in a particular type of habitat, while studies in different habitat types are scarce. We investigated plant communities in the presence and absence of the invasive ornamental herb, Lupinus polyphyllus, in four habitat types: meadow, forest, road verge and wasteland, in two geographic regions by comparing vascular plant species richness, vegetation structure based on species traits, community composition and the reproductive success of native plant species at invaded and non-invaded locations. The invader was associated with declines in the number of vascular plant species in all habitat types but was unassociated with differences in plant community composition in terms of species identity or species relative cover. However, sites with large lupin invasions (a parts per thousand yen1,000 m(2)) contained fewer vascular plant species, a larger proportion of clonal species and more lighter-seeded species than sites with small invasions. The reproductive output of native plants varied across habitats from declines to increases in the presence of L. polyphyllus, and depended on species status (meadow, non-meadow species) rather than species identity, with meadow species generally showing an increase in the reproductive output in the presence of the invader. Overall, our results demonstrate that lupin invasions are associated with declines in local plant species richness across habitats. Although we did not detect systematic differences in species composition between invaded and non-invaded locations, species with particular traits may still be more persistent in invaded plant communities than others.</v>
      </c>
      <c r="C122" s="24" t="str">
        <f>IFERROR(__xludf.DUMMYFUNCTION("""COMPUTED_VALUE"""),"10.1007/s10530-012-0215-z")</f>
        <v>10.1007/s10530-012-0215-z</v>
      </c>
      <c r="D122" s="24" t="str">
        <f>IFERROR(__xludf.DUMMYFUNCTION("""COMPUTED_VALUE"""),"murphy et al")</f>
        <v>murphy et al</v>
      </c>
      <c r="E122" s="24" t="str">
        <f>IFERROR(__xludf.DUMMYFUNCTION("""COMPUTED_VALUE"""),"WOS:000308037700010")</f>
        <v>WOS:000308037700010</v>
      </c>
      <c r="F122" s="24" t="str">
        <f>IFERROR(__xludf.DUMMYFUNCTION("""COMPUTED_VALUE"""),"[""ELIGIBLE""]")</f>
        <v>["ELIGIBLE"]</v>
      </c>
    </row>
    <row r="123">
      <c r="A123" s="24" t="str">
        <f>IFERROR(__xludf.DUMMYFUNCTION("""COMPUTED_VALUE"""),"Biomass compensation and plant responses to 7 years of plant functional group removals")</f>
        <v>Biomass compensation and plant responses to 7 years of plant functional group removals</v>
      </c>
      <c r="B123" s="24" t="str">
        <f>IFERROR(__xludf.DUMMYFUNCTION("""COMPUTED_VALUE"""),"Question What is the role of functional group identity in determining community composition and dynamics? Location A natural grassland in Yukon Territory, Canada. Methods We selectively removed single plant functional groups (graminoids, forbs, legumes) t"&amp;"o examine their effects on biomass compensation, the distribution of biomass among common and rare colonizing species, and plant species richness and diversity. Removals were conducted across two environmental treatments (fertilization and fungicide) to t"&amp;"est if biomass compensation was context-dependent. Biomass was estimated non-destructively using point-intercept sampling. Results When graminoids or legumes were continuously removed, there was full biomass compensation by the remaining functional groups"&amp;" after 5 years, but only partial compensation when forbs were removed. Biomass compensation depended on the colonizing functional group; forbs showed no increase in biomass until 5 years after the removal of any functional group, but graminoids colonized "&amp;"quickly after removals. After any removal, the dominant species within each remaining functional group showed no compensatory growth, whereas the first subdominant forb and graminoid both increased in biomass. Rare species had a delayed response to remova"&amp;"ls; rare species biomass only increased beginning 5 years after removals. Context dependence was observed only in the response of subdominant species to removals, and these responses did not translate into context-dependent effects on total estimated biom"&amp;"ass. Conclusion We show that the effects of losing a plant functional group depends both on the identity of the group removed and on the species remaining. In this northern grassland, most compensatory growth was by the subdominant species, which may dete"&amp;"rmine the direction of community development in the long term.")</f>
        <v>Question What is the role of functional group identity in determining community composition and dynamics? Location A natural grassland in Yukon Territory, Canada. Methods We selectively removed single plant functional groups (graminoids, forbs, legumes) to examine their effects on biomass compensation, the distribution of biomass among common and rare colonizing species, and plant species richness and diversity. Removals were conducted across two environmental treatments (fertilization and fungicide) to test if biomass compensation was context-dependent. Biomass was estimated non-destructively using point-intercept sampling. Results When graminoids or legumes were continuously removed, there was full biomass compensation by the remaining functional groups after 5 years, but only partial compensation when forbs were removed. Biomass compensation depended on the colonizing functional group; forbs showed no increase in biomass until 5 years after the removal of any functional group, but graminoids colonized quickly after removals. After any removal, the dominant species within each remaining functional group showed no compensatory growth, whereas the first subdominant forb and graminoid both increased in biomass. Rare species had a delayed response to removals; rare species biomass only increased beginning 5 years after removals. Context dependence was observed only in the response of subdominant species to removals, and these responses did not translate into context-dependent effects on total estimated biomass. Conclusion We show that the effects of losing a plant functional group depends both on the identity of the group removed and on the species remaining. In this northern grassland, most compensatory growth was by the subdominant species, which may determine the direction of community development in the long term.</v>
      </c>
      <c r="C123" s="24" t="str">
        <f>IFERROR(__xludf.DUMMYFUNCTION("""COMPUTED_VALUE"""),"10.1111/j.1654-1103.2011.01263.x")</f>
        <v>10.1111/j.1654-1103.2011.01263.x</v>
      </c>
      <c r="D123" s="24" t="str">
        <f>IFERROR(__xludf.DUMMYFUNCTION("""COMPUTED_VALUE"""),"murphy et al")</f>
        <v>murphy et al</v>
      </c>
      <c r="E123" s="24" t="str">
        <f>IFERROR(__xludf.DUMMYFUNCTION("""COMPUTED_VALUE"""),"WOS:000289728200012")</f>
        <v>WOS:000289728200012</v>
      </c>
      <c r="F123" s="24" t="str">
        <f>IFERROR(__xludf.DUMMYFUNCTION("""COMPUTED_VALUE"""),"[""ELIGIBLE""]")</f>
        <v>["ELIGIBLE"]</v>
      </c>
    </row>
    <row r="124">
      <c r="A124" s="24" t="str">
        <f>IFERROR(__xludf.DUMMYFUNCTION("""COMPUTED_VALUE"""),"Effects of forest fragmentation on a dung beetle community in French Guiana")</f>
        <v>Effects of forest fragmentation on a dung beetle community in French Guiana</v>
      </c>
      <c r="B124" s="24" t="str">
        <f>IFERROR(__xludf.DUMMYFUNCTION("""COMPUTED_VALUE"""),"Fragmentation is the most common disturbance induced by humans in tropical forests. Some insect groups are particularly suitable for studying the effects of fragmentation on animal communities because they are taxonomically and ecologically homogenous. We"&amp;" investigated the effects of forest fragmentation on a dung beetle species community in the forest archipelago created in 1994-1995 by the dam of Petit Saut, French Guiana. We set and baited an equal number of pitfall traps for dung beetles on three mainl"&amp;"and sites and seven island sites. The sites ranged from 1.1 to 38 ha. In 250 trap days, we captured 50 species in 19 genera. Diversity indices were high (2.18-4.06). The lowest diversity was on the small islands and one mainland site. Species richness and"&amp;" abundance were positively related to fragment area but not to distance from mainland or distance to the larger island. The islands had lower species richness and population than mainland forest, but rarefied species richness was relatively invariant acro"&amp;"ss sites. There was a marked change in species composition with decreasing fragment that was not caused by the presence of a common fauna of disturbed area species on islands. Small islands differed from larger islands, which did not differ significantly "&amp;"from mainland sites. Partial correlation analyses suggested that species richness and abundance of dung beetle species were positively related to the number of species of nonflying mammals and the density index of howler monkeys (Alouatta seniculus), two "&amp;"parameters positively related to fragment area.")</f>
        <v>Fragmentation is the most common disturbance induced by humans in tropical forests. Some insect groups are particularly suitable for studying the effects of fragmentation on animal communities because they are taxonomically and ecologically homogenous. We investigated the effects of forest fragmentation on a dung beetle species community in the forest archipelago created in 1994-1995 by the dam of Petit Saut, French Guiana. We set and baited an equal number of pitfall traps for dung beetles on three mainland sites and seven island sites. The sites ranged from 1.1 to 38 ha. In 250 trap days, we captured 50 species in 19 genera. Diversity indices were high (2.18-4.06). The lowest diversity was on the small islands and one mainland site. Species richness and abundance were positively related to fragment area but not to distance from mainland or distance to the larger island. The islands had lower species richness and population than mainland forest, but rarefied species richness was relatively invariant across sites. There was a marked change in species composition with decreasing fragment that was not caused by the presence of a common fauna of disturbed area species on islands. Small islands differed from larger islands, which did not differ significantly from mainland sites. Partial correlation analyses suggested that species richness and abundance of dung beetle species were positively related to the number of species of nonflying mammals and the density index of howler monkeys (Alouatta seniculus), two parameters positively related to fragment area.</v>
      </c>
      <c r="C124" s="24" t="str">
        <f>IFERROR(__xludf.DUMMYFUNCTION("""COMPUTED_VALUE"""),"10.1111/j.1523-1739.2005.00087.x")</f>
        <v>10.1111/j.1523-1739.2005.00087.x</v>
      </c>
      <c r="D124" s="24" t="str">
        <f>IFERROR(__xludf.DUMMYFUNCTION("""COMPUTED_VALUE"""),"murphy et al")</f>
        <v>murphy et al</v>
      </c>
      <c r="E124" s="24" t="str">
        <f>IFERROR(__xludf.DUMMYFUNCTION("""COMPUTED_VALUE"""),"WOS:000231118600017")</f>
        <v>WOS:000231118600017</v>
      </c>
      <c r="F124" s="24" t="str">
        <f>IFERROR(__xludf.DUMMYFUNCTION("""COMPUTED_VALUE"""),"[""ELIGIBLE""]")</f>
        <v>["ELIGIBLE"]</v>
      </c>
    </row>
    <row r="125">
      <c r="A125" s="24" t="str">
        <f>IFERROR(__xludf.DUMMYFUNCTION("""COMPUTED_VALUE"""),"Experimental habitat fragmentation and invertebrate grazing in a herbaceous grassland species")</f>
        <v>Experimental habitat fragmentation and invertebrate grazing in a herbaceous grassland species</v>
      </c>
      <c r="B125" s="24" t="str">
        <f>IFERROR(__xludf.DUMMYFUNCTION("""COMPUTED_VALUE"""),"A field experiment was conducted to examine the effects of habitat fragmentation on herbivore damage to individually tagged leaves of Betonica officinalis rosettes. Fragments of different size and corresponding control plots were established at three stud"&amp;"y sites in nutrient-poor calcareous grasslands in the northern Swiss Jura mountains. Leaf damage was recorded three times over the growing season (late spring, summer and early autumn). Five years after the initiation of the fragmentation, the density of "&amp;"rosettes did not differ between fragments and control plots. The number of leaves per rosette was higher in fragments than in control plots in summer but not in late spring and early autumn. The extent of leaf damage, expressed as proportion of leaf area "&amp;"removed by invertebrate herbivores, increased over the vegetation period. Leaf damage was greater in fragments than in control plots at two study sites, whereas the opposite (less strongly expressed) was found at the third site. Number of species and dens"&amp;"ity (individuals per m(2)) of potential herbivores (gastropods and grasshoppers) were recorded in all. fragments and control plots. Effects of fragmentation on the number of species and densities depended on plot size and differed between gastropods and g"&amp;"rasshoppers. Leaf damage in fragments increased with increasing density of gastropods if the third site, which had lowest leaf damage, was excluded. Such a positive relationship was neither found in control plots nor for grasshopper densities. Thus, movem"&amp;"ent of gastropods in fragments was probably restricted which resulted in increased feeding pressure at least in two sites. However, even if our fragmentation experiment was well designed and replicated, the interpretation of these experimental results rem"&amp;"ains difficutt because there was large site-to-site and seasonal variation. (c) 2005 Gesellschaft fur bkologie. Published by Elsevier GmbH. All rights reserved.")</f>
        <v>A field experiment was conducted to examine the effects of habitat fragmentation on herbivore damage to individually tagged leaves of Betonica officinalis rosettes. Fragments of different size and corresponding control plots were established at three study sites in nutrient-poor calcareous grasslands in the northern Swiss Jura mountains. Leaf damage was recorded three times over the growing season (late spring, summer and early autumn). Five years after the initiation of the fragmentation, the density of rosettes did not differ between fragments and control plots. The number of leaves per rosette was higher in fragments than in control plots in summer but not in late spring and early autumn. The extent of leaf damage, expressed as proportion of leaf area removed by invertebrate herbivores, increased over the vegetation period. Leaf damage was greater in fragments than in control plots at two study sites, whereas the opposite (less strongly expressed) was found at the third site. Number of species and density (individuals per m(2)) of potential herbivores (gastropods and grasshoppers) were recorded in all. fragments and control plots. Effects of fragmentation on the number of species and densities depended on plot size and differed between gastropods and grasshoppers. Leaf damage in fragments increased with increasing density of gastropods if the third site, which had lowest leaf damage, was excluded. Such a positive relationship was neither found in control plots nor for grasshopper densities. Thus, movement of gastropods in fragments was probably restricted which resulted in increased feeding pressure at least in two sites. However, even if our fragmentation experiment was well designed and replicated, the interpretation of these experimental results remains difficutt because there was large site-to-site and seasonal variation. (c) 2005 Gesellschaft fur bkologie. Published by Elsevier GmbH. All rights reserved.</v>
      </c>
      <c r="C125" s="24" t="str">
        <f>IFERROR(__xludf.DUMMYFUNCTION("""COMPUTED_VALUE"""),"10.1016/j.baae.2005.09.001")</f>
        <v>10.1016/j.baae.2005.09.001</v>
      </c>
      <c r="D125" s="24" t="str">
        <f>IFERROR(__xludf.DUMMYFUNCTION("""COMPUTED_VALUE"""),"murphy et al")</f>
        <v>murphy et al</v>
      </c>
      <c r="E125" s="24" t="str">
        <f>IFERROR(__xludf.DUMMYFUNCTION("""COMPUTED_VALUE"""),"WOS:000239199700003")</f>
        <v>WOS:000239199700003</v>
      </c>
      <c r="F125" s="24" t="str">
        <f>IFERROR(__xludf.DUMMYFUNCTION("""COMPUTED_VALUE"""),"[""ELIGIBLE""]")</f>
        <v>["ELIGIBLE"]</v>
      </c>
    </row>
    <row r="126">
      <c r="A126" s="24" t="str">
        <f>IFERROR(__xludf.DUMMYFUNCTION("""COMPUTED_VALUE"""),"Immigration and zooplankton community responses to nutrient enrichment: a mesocosm experiment")</f>
        <v>Immigration and zooplankton community responses to nutrient enrichment: a mesocosm experiment</v>
      </c>
      <c r="B126" s="24" t="str">
        <f>IFERROR(__xludf.DUMMYFUNCTION("""COMPUTED_VALUE"""),"Dispersal can be an important determinant of local diversity and species composition, but evidence for effects of the regional species pool on local zooplankton communities has been mixed. Theory and experiments suggest that immigration will be necessary "&amp;"for maintenance of community diversity and functioning during periods of environmental change; conversely, fluctuating resource levels may increase the likelihood of invasion success. We conducted a factorial-design mesocosm experiment to test the effects"&amp;" of a nutrient pulse and weekly immigration from other lakes on the diversity and composition of a pelagic zooplankton community. Contrary to expectations, there were no interactive effects of nutrient enrichment and immigration on any measure of diversit"&amp;"y, and the initial shift in community composition in response to the nutrient pulse did not depend on the introduction of new species or genotypes from more productive lakes. Although immigration increased species richness in enclosures, success of most c"&amp;"olonising species was poor. However, the dispersal treatment appears to have enabled a stronger predator response to increased herbivore numbers in nutrient-pulsed enclosures, leading to an eventual decline in the abundance of some herbivorous species in "&amp;"response to immigration. We conclude that community invasibility was not influenced by productivity, and that dispersal limitation did not strongly constrain the response of the zooplankton community to our applied disturbance. This indicates an unexpecte"&amp;"d resistance to change in species composition and diversity in spite of disturbance, and suggests that, in our study system, changes in the abundance of resident species are more important than introductions of new species in the community response to sho"&amp;"rt-term environmental change.")</f>
        <v>Dispersal can be an important determinant of local diversity and species composition, but evidence for effects of the regional species pool on local zooplankton communities has been mixed. Theory and experiments suggest that immigration will be necessary for maintenance of community diversity and functioning during periods of environmental change; conversely, fluctuating resource levels may increase the likelihood of invasion success. We conducted a factorial-design mesocosm experiment to test the effects of a nutrient pulse and weekly immigration from other lakes on the diversity and composition of a pelagic zooplankton community. Contrary to expectations, there were no interactive effects of nutrient enrichment and immigration on any measure of diversity, and the initial shift in community composition in response to the nutrient pulse did not depend on the introduction of new species or genotypes from more productive lakes. Although immigration increased species richness in enclosures, success of most colonising species was poor. However, the dispersal treatment appears to have enabled a stronger predator response to increased herbivore numbers in nutrient-pulsed enclosures, leading to an eventual decline in the abundance of some herbivorous species in response to immigration. We conclude that community invasibility was not influenced by productivity, and that dispersal limitation did not strongly constrain the response of the zooplankton community to our applied disturbance. This indicates an unexpected resistance to change in species composition and diversity in spite of disturbance, and suggests that, in our study system, changes in the abundance of resident species are more important than introductions of new species in the community response to short-term environmental change.</v>
      </c>
      <c r="C126" s="24" t="str">
        <f>IFERROR(__xludf.DUMMYFUNCTION("""COMPUTED_VALUE"""),"10.1007/s00442-006-0490-4")</f>
        <v>10.1007/s00442-006-0490-4</v>
      </c>
      <c r="D126" s="24" t="str">
        <f>IFERROR(__xludf.DUMMYFUNCTION("""COMPUTED_VALUE"""),"murphy et al")</f>
        <v>murphy et al</v>
      </c>
      <c r="E126" s="24" t="str">
        <f>IFERROR(__xludf.DUMMYFUNCTION("""COMPUTED_VALUE"""),"WOS:000241552400013")</f>
        <v>WOS:000241552400013</v>
      </c>
      <c r="F126" s="24" t="str">
        <f>IFERROR(__xludf.DUMMYFUNCTION("""COMPUTED_VALUE"""),"[""ELIGIBLE""]")</f>
        <v>["ELIGIBLE"]</v>
      </c>
    </row>
    <row r="127">
      <c r="A127" s="24" t="str">
        <f>IFERROR(__xludf.DUMMYFUNCTION("""COMPUTED_VALUE"""),"Community relaxation in fragmented landscapes: the relation between species richness, area and age")</f>
        <v>Community relaxation in fragmented landscapes: the relation between species richness, area and age</v>
      </c>
      <c r="B127" s="24" t="str">
        <f>IFERROR(__xludf.DUMMYFUNCTION("""COMPUTED_VALUE"""),"Estimates of species loss due to habitat destruction are normally based on calculations employing the species-area relation, S = cA(z). The validity of this approach is based on the assumption that the value of the exponent (z) defining the slope of the s"&amp;"pecies-area relation in nonfragmented communities is at a steady state and that z is thus a constant. However, departure from such an assumption renders this approach unreliable. Here I report the results from a natural field experiment using model bryoph"&amp;"yte-based microlandscapes designed to follow the species richness dynamics of microarthropod communities postfragmentation. Community isolation due to fragmentation initiated a delayed community relaxation process and resulted in substantial local extinct"&amp;"ion. Over the period of the experiment z declined in the control communities and yet remained fairly stable in the fragmented communities. I conclude that predictions of species loss due to habitat fragmentation that do not take into account the fact that"&amp;" often z may not be a constant may lead to error-prone predictions of future species loss.")</f>
        <v>Estimates of species loss due to habitat destruction are normally based on calculations employing the species-area relation, S = cA(z). The validity of this approach is based on the assumption that the value of the exponent (z) defining the slope of the species-area relation in nonfragmented communities is at a steady state and that z is thus a constant. However, departure from such an assumption renders this approach unreliable. Here I report the results from a natural field experiment using model bryophyte-based microlandscapes designed to follow the species richness dynamics of microarthropod communities postfragmentation. Community isolation due to fragmentation initiated a delayed community relaxation process and resulted in substantial local extinction. Over the period of the experiment z declined in the control communities and yet remained fairly stable in the fragmented communities. I conclude that predictions of species loss due to habitat fragmentation that do not take into account the fact that often z may not be a constant may lead to error-prone predictions of future species loss.</v>
      </c>
      <c r="C127" s="24" t="str">
        <f>IFERROR(__xludf.DUMMYFUNCTION("""COMPUTED_VALUE"""),"10.1046/j.1461-0248.2000.00171.x")</f>
        <v>10.1046/j.1461-0248.2000.00171.x</v>
      </c>
      <c r="D127" s="24" t="str">
        <f>IFERROR(__xludf.DUMMYFUNCTION("""COMPUTED_VALUE"""),"murphy et al")</f>
        <v>murphy et al</v>
      </c>
      <c r="E127" s="24" t="str">
        <f>IFERROR(__xludf.DUMMYFUNCTION("""COMPUTED_VALUE"""),"WOS:000089718700009")</f>
        <v>WOS:000089718700009</v>
      </c>
      <c r="F127" s="24" t="str">
        <f>IFERROR(__xludf.DUMMYFUNCTION("""COMPUTED_VALUE"""),"[""ELIGIBLE""]")</f>
        <v>["ELIGIBLE"]</v>
      </c>
    </row>
    <row r="128">
      <c r="A128" s="24" t="str">
        <f>IFERROR(__xludf.DUMMYFUNCTION("""COMPUTED_VALUE"""),"Effects of urbanization on ground-dwelling spiders in forest patches, in Hungary")</f>
        <v>Effects of urbanization on ground-dwelling spiders in forest patches, in Hungary</v>
      </c>
      <c r="B128" s="24" t="str">
        <f>IFERROR(__xludf.DUMMYFUNCTION("""COMPUTED_VALUE"""),"Effects of urbanization on ground-dwelling spiders (Araneae) were studied using pitfall traps along an urban-suburban-rural forest gradient in Debrecen (Hungary). We found that overall spider species richness was significantly higher in the urban sites co"&amp;"mpared to the suburban and rural ones. The increased diversity was due to the significantly more open-habitat species in the assemblages at the urban sites. This suggests that species from the surrounding matrix (grasslands and arable lands) penetrated th"&amp;"e disturbed urban sites. The ratio of forest species was significantly higher in the rural sites than in the suburban and urban ones, suggesting that forest species are indeed sensitive to the disturbance caused by urbanization. Canonical correspondence a"&amp;"nalysis revealed that the species composition changed remarkably along the urbanization gradient. Open-habitat spiders were associated with the urban sites of higher ground and air temperature. Forest spiders were characteristic of the rural sites with hi"&amp;"gher amount of decaying woods. Our findings suggest that the overall diversity was not the most appropriate indicator of disturbance; species with different habitat affinity should be analyzed separately to get an ecologically relevant picture of the effe"&amp;"ct of urbanization.")</f>
        <v>Effects of urbanization on ground-dwelling spiders (Araneae) were studied using pitfall traps along an urban-suburban-rural forest gradient in Debrecen (Hungary). We found that overall spider species richness was significantly higher in the urban sites compared to the suburban and rural ones. The increased diversity was due to the significantly more open-habitat species in the assemblages at the urban sites. This suggests that species from the surrounding matrix (grasslands and arable lands) penetrated the disturbed urban sites. The ratio of forest species was significantly higher in the rural sites than in the suburban and urban ones, suggesting that forest species are indeed sensitive to the disturbance caused by urbanization. Canonical correspondence analysis revealed that the species composition changed remarkably along the urbanization gradient. Open-habitat spiders were associated with the urban sites of higher ground and air temperature. Forest spiders were characteristic of the rural sites with higher amount of decaying woods. Our findings suggest that the overall diversity was not the most appropriate indicator of disturbance; species with different habitat affinity should be analyzed separately to get an ecologically relevant picture of the effect of urbanization.</v>
      </c>
      <c r="C128" s="24" t="str">
        <f>IFERROR(__xludf.DUMMYFUNCTION("""COMPUTED_VALUE"""),"10.1007/s10980-009-9445-6")</f>
        <v>10.1007/s10980-009-9445-6</v>
      </c>
      <c r="D128" s="24" t="str">
        <f>IFERROR(__xludf.DUMMYFUNCTION("""COMPUTED_VALUE"""),"murphy et al")</f>
        <v>murphy et al</v>
      </c>
      <c r="E128" s="24" t="str">
        <f>IFERROR(__xludf.DUMMYFUNCTION("""COMPUTED_VALUE"""),"WOS:000275444100010")</f>
        <v>WOS:000275444100010</v>
      </c>
      <c r="F128" s="24" t="str">
        <f>IFERROR(__xludf.DUMMYFUNCTION("""COMPUTED_VALUE"""),"[""ELIGIBLE""]")</f>
        <v>["ELIGIBLE"]</v>
      </c>
    </row>
    <row r="129">
      <c r="A129" s="24" t="str">
        <f>IFERROR(__xludf.DUMMYFUNCTION("""COMPUTED_VALUE"""),"Control of epibenthic ciliate communities by grazers and nutrients")</f>
        <v>Control of epibenthic ciliate communities by grazers and nutrients</v>
      </c>
      <c r="B129" s="24" t="str">
        <f>IFERROR(__xludf.DUMMYFUNCTION("""COMPUTED_VALUE"""),"Four in situ experiments were conducted to examine the potential top-down and bottom-up control of epibenthic ciliate communities. The experiments were run in the littoral of Lake Erken and at a brackish water site on the island of Vaddo on the Baltic coa"&amp;"st of Sweden, during the spring of 2000. The experimental manipulations were the presence/absence of the natural macro-zoobenthos grazer community, cross-classified with the presence/absence of additional nutrients. Epibenthic ciliates responded to both m"&amp;"anipulation of grazers and resources, but the response was group specific. Total ciliate abundance decreased when macrozoobenthos (largely chironomids, gastropods, trichopteran larvae, isopods and amphipods) were removed, thus excluding a direct predation"&amp;" effect of the macrozoobenthos community on ciliates. Total ciliate biomass, but not abundance, tended to increase in the presence of additional nutrients; an effect weakly dependent on season and site. The disparity between effects of nutrients on biomas"&amp;"s and abundance was due to effects on heterotrichs, a group of large but relatively rare algivorous ciliates. The manipulations altered the ciliate community composition, and between lakes there were differences in species richness and diversity and exper"&amp;"iments. However, neither the removal of macrozoobenthos nor the addition of nutrients changed species richness or diversity. This runs counter to work with other taxonomic groups, which shows maximal diversity at an intermediate level of resources or pred"&amp;"ation. This can only be partially explained by the lack of direct predation effects and the open nature of the experimental system.")</f>
        <v>Four in situ experiments were conducted to examine the potential top-down and bottom-up control of epibenthic ciliate communities. The experiments were run in the littoral of Lake Erken and at a brackish water site on the island of Vaddo on the Baltic coast of Sweden, during the spring of 2000. The experimental manipulations were the presence/absence of the natural macro-zoobenthos grazer community, cross-classified with the presence/absence of additional nutrients. Epibenthic ciliates responded to both manipulation of grazers and resources, but the response was group specific. Total ciliate abundance decreased when macrozoobenthos (largely chironomids, gastropods, trichopteran larvae, isopods and amphipods) were removed, thus excluding a direct predation effect of the macrozoobenthos community on ciliates. Total ciliate biomass, but not abundance, tended to increase in the presence of additional nutrients; an effect weakly dependent on season and site. The disparity between effects of nutrients on biomass and abundance was due to effects on heterotrichs, a group of large but relatively rare algivorous ciliates. The manipulations altered the ciliate community composition, and between lakes there were differences in species richness and diversity and experiments. However, neither the removal of macrozoobenthos nor the addition of nutrients changed species richness or diversity. This runs counter to work with other taxonomic groups, which shows maximal diversity at an intermediate level of resources or predation. This can only be partially explained by the lack of direct predation effects and the open nature of the experimental system.</v>
      </c>
      <c r="C129" s="24" t="str">
        <f>IFERROR(__xludf.DUMMYFUNCTION("""COMPUTED_VALUE"""),"10.3354/ame035153")</f>
        <v>10.3354/ame035153</v>
      </c>
      <c r="D129" s="24" t="str">
        <f>IFERROR(__xludf.DUMMYFUNCTION("""COMPUTED_VALUE"""),"murphy et al")</f>
        <v>murphy et al</v>
      </c>
      <c r="E129" s="24" t="str">
        <f>IFERROR(__xludf.DUMMYFUNCTION("""COMPUTED_VALUE"""),"WOS:000221603500005")</f>
        <v>WOS:000221603500005</v>
      </c>
      <c r="F129" s="24" t="str">
        <f>IFERROR(__xludf.DUMMYFUNCTION("""COMPUTED_VALUE"""),"[""ELIGIBLE""]")</f>
        <v>["ELIGIBLE"]</v>
      </c>
    </row>
    <row r="130">
      <c r="A130" s="24" t="str">
        <f>IFERROR(__xludf.DUMMYFUNCTION("""COMPUTED_VALUE"""),"Effects of urbanization and urban stream restoration on the physical and biological structure of stream ecosystems")</f>
        <v>Effects of urbanization and urban stream restoration on the physical and biological structure of stream ecosystems</v>
      </c>
      <c r="B130" s="24" t="str">
        <f>IFERROR(__xludf.DUMMYFUNCTION("""COMPUTED_VALUE"""),"Streams, as low-lying points in the landscape, are strongly influenced by the stormwaters, pollutants, and warming that characterize catchment urbanization. River restoration projects are an increasingly popular method for mitigating urban insults. Despit"&amp;"e the growing frequency and high expense of urban stream restoration projects, very few projects have been evaluated to determine whether they can successfully enhance habitat structure or support the stream biota characteristic of reference sites. We com"&amp;"pared the physical and biological structure of four urban degraded, four urban restored, and four forested streams in the Piedmont region of North Carolina to quantify the ability of reach-scale stream restoration to restore physical and biological struct"&amp;"ure to urban streams and to examine the assumption that providing habitat is sufficient for biological recovery. To be successful at mitigating urban impacts, the habitat structure and biological communities found in restored streams should be more simila"&amp;"r to forested reference sites than to their urban degraded counterparts. For every measured reach-and patch-scale attribute, we found that restored streams were indistinguishable from their degraded urban stream counterparts. Forested streams were shallow"&amp;"er, had greater habitat complexity and median sediment size, and contained less-tolerant communities with higher sensitive taxa richness than streams in either urban category. Because heavy machinery is used to regrade and reconfigure restored channels, r"&amp;"estored streams had less canopy cover than either forested or urban streams. Channel habitat complexity and watershed impervious surface cover (ISC) were the best predictors of sensitive taxa richness and biotic index at the reach and catchment scale, res"&amp;"pectively. Macroinvertebrate communities in restored channels were compositionally similar to the communities in urban degraded channels, and both were dissimilar to communities in forested streams. The macroinvertebrate communities of both restored and u"&amp;"rban degraded streams were correlated with environmental variables characteristic of degraded urban systems. Our study suggests that reach-scale restoration is not successfully mitigating for the factors causing physical and biological degradation.")</f>
        <v>Streams, as low-lying points in the landscape, are strongly influenced by the stormwaters, pollutants, and warming that characterize catchment urbanization. River restoration projects are an increasingly popular method for mitigating urban insults. Despite the growing frequency and high expense of urban stream restoration projects, very few projects have been evaluated to determine whether they can successfully enhance habitat structure or support the stream biota characteristic of reference sites. We compared the physical and biological structure of four urban degraded, four urban restored, and four forested streams in the Piedmont region of North Carolina to quantify the ability of reach-scale stream restoration to restore physical and biological structure to urban streams and to examine the assumption that providing habitat is sufficient for biological recovery. To be successful at mitigating urban impacts, the habitat structure and biological communities found in restored streams should be more similar to forested reference sites than to their urban degraded counterparts. For every measured reach-and patch-scale attribute, we found that restored streams were indistinguishable from their degraded urban stream counterparts. Forested streams were shallower, had greater habitat complexity and median sediment size, and contained less-tolerant communities with higher sensitive taxa richness than streams in either urban category. Because heavy machinery is used to regrade and reconfigure restored channels, restored streams had less canopy cover than either forested or urban streams. Channel habitat complexity and watershed impervious surface cover (ISC) were the best predictors of sensitive taxa richness and biotic index at the reach and catchment scale, respectively. Macroinvertebrate communities in restored channels were compositionally similar to the communities in urban degraded channels, and both were dissimilar to communities in forested streams. The macroinvertebrate communities of both restored and urban degraded streams were correlated with environmental variables characteristic of degraded urban systems. Our study suggests that reach-scale restoration is not successfully mitigating for the factors causing physical and biological degradation.</v>
      </c>
      <c r="C130" s="24" t="str">
        <f>IFERROR(__xludf.DUMMYFUNCTION("""COMPUTED_VALUE"""),"10.1890/10-1551.1")</f>
        <v>10.1890/10-1551.1</v>
      </c>
      <c r="D130" s="24" t="str">
        <f>IFERROR(__xludf.DUMMYFUNCTION("""COMPUTED_VALUE"""),"murphy et al")</f>
        <v>murphy et al</v>
      </c>
      <c r="E130" s="24" t="str">
        <f>IFERROR(__xludf.DUMMYFUNCTION("""COMPUTED_VALUE"""),"WOS:000294155900006")</f>
        <v>WOS:000294155900006</v>
      </c>
      <c r="F130" s="24" t="str">
        <f>IFERROR(__xludf.DUMMYFUNCTION("""COMPUTED_VALUE"""),"[""ELIGIBLE""]")</f>
        <v>["ELIGIBLE"]</v>
      </c>
    </row>
    <row r="131">
      <c r="A131" s="24" t="str">
        <f>IFERROR(__xludf.DUMMYFUNCTION("""COMPUTED_VALUE"""),"Species richness of moss landscapes unaffected by short-term fragmentation")</f>
        <v>Species richness of moss landscapes unaffected by short-term fragmentation</v>
      </c>
      <c r="B131" s="24" t="str">
        <f>IFERROR(__xludf.DUMMYFUNCTION("""COMPUTED_VALUE"""),"Theory predicts that habitat fragmentation and varying corridor length and width will affect animal populations in adjoining habitat patches due to varying migration rates. Previous work on the moss/microarthropod microcosm showed that connecting moss pat"&amp;"ches with moss corridors maintained species richness and individual species abundance. By contrast, in this study there was little evidence for differences in species richness between landscapes of varying connectivity and corridor length and width. The g"&amp;"amma diversity, the cumulative species richness of entire connected systems, followed the same pattern. Similar non-significant results were obtained for species abundance. Contrary to a previous study, I found no evidence that populations of predators we"&amp;"re more affected by fragmentation than non-predators. Since this experiment ran during temperate environmental conditions and the previous experiments ran during more extreme conditions, I hypothesise that corridors may be more useful in reducing species "&amp;"extinction during extreme environmental conditions.")</f>
        <v>Theory predicts that habitat fragmentation and varying corridor length and width will affect animal populations in adjoining habitat patches due to varying migration rates. Previous work on the moss/microarthropod microcosm showed that connecting moss patches with moss corridors maintained species richness and individual species abundance. By contrast, in this study there was little evidence for differences in species richness between landscapes of varying connectivity and corridor length and width. The gamma diversity, the cumulative species richness of entire connected systems, followed the same pattern. Similar non-significant results were obtained for species abundance. Contrary to a previous study, I found no evidence that populations of predators were more affected by fragmentation than non-predators. Since this experiment ran during temperate environmental conditions and the previous experiments ran during more extreme conditions, I hypothesise that corridors may be more useful in reducing species extinction during extreme environmental conditions.</v>
      </c>
      <c r="C131" s="24" t="str">
        <f>IFERROR(__xludf.DUMMYFUNCTION("""COMPUTED_VALUE"""),"10.1111/j.0030-1299.2004.12832.x")</f>
        <v>10.1111/j.0030-1299.2004.12832.x</v>
      </c>
      <c r="D131" s="24" t="str">
        <f>IFERROR(__xludf.DUMMYFUNCTION("""COMPUTED_VALUE"""),"murphy et al")</f>
        <v>murphy et al</v>
      </c>
      <c r="E131" s="24" t="str">
        <f>IFERROR(__xludf.DUMMYFUNCTION("""COMPUTED_VALUE"""),"WOS:000220383100015")</f>
        <v>WOS:000220383100015</v>
      </c>
      <c r="F131" s="24" t="str">
        <f>IFERROR(__xludf.DUMMYFUNCTION("""COMPUTED_VALUE"""),"[""ELIGIBLE""]")</f>
        <v>["ELIGIBLE"]</v>
      </c>
    </row>
    <row r="132">
      <c r="A132" s="24" t="str">
        <f>IFERROR(__xludf.DUMMYFUNCTION("""COMPUTED_VALUE"""),"Assessing bee species richness in two Mediterranean communities: importance of habitat type and sampling techniques")</f>
        <v>Assessing bee species richness in two Mediterranean communities: importance of habitat type and sampling techniques</v>
      </c>
      <c r="B132" s="24" t="str">
        <f>IFERROR(__xludf.DUMMYFUNCTION("""COMPUTED_VALUE"""),"The decline of bees has raised concerns regarding their conservation and the maintenance of ecosystem services they provide to bee-pollinated wild flowers and crops. Although the Mediterranean region is a hotspot for bee species richness, their status rem"&amp;"ains poorly studied. There is an urgent need for cost-effective, reliable, and unbiased sampling methods that give good bee species richness estimates. This study aims: (a) to assess bee species richness in two common Mediterranean habitat types: semi-nat"&amp;"ural scrub (phrygana) and managed olive groves; (b) to compare species richness in those systems to that of other biogeographic regions, and (c) to assess whether six different sampling methods (pan traps, variable and standardized transect walks, observa"&amp;"tion plots and trap nests), previously tested in other European biogeographic regions, are suitable in Mediterranean communities. Eight study sites, four per habitat type, were selected on the island of Lesvos, Greece. The species richness observed was hi"&amp;"gh compared to other habitat types worldwide for which comparable data exist. Pan traps collected the highest proportion of the total bee species richness across all methods at the scale of a study site. Variable and standardized transect walks detected t"&amp;"he highest total richness over all eight study sites. Trap nests and observation plots detected only a limited fraction of the bee species richness. To assess the total bee species richness in bee diversity hotspots, such as the studied habitats, we sugge"&amp;"st a combination of transect walks conducted by trained bee collectors and pan trap sampling.")</f>
        <v>The decline of bees has raised concerns regarding their conservation and the maintenance of ecosystem services they provide to bee-pollinated wild flowers and crops. Although the Mediterranean region is a hotspot for bee species richness, their status remains poorly studied. There is an urgent need for cost-effective, reliable, and unbiased sampling methods that give good bee species richness estimates. This study aims: (a) to assess bee species richness in two common Mediterranean habitat types: semi-natural scrub (phrygana) and managed olive groves; (b) to compare species richness in those systems to that of other biogeographic regions, and (c) to assess whether six different sampling methods (pan traps, variable and standardized transect walks, observation plots and trap nests), previously tested in other European biogeographic regions, are suitable in Mediterranean communities. Eight study sites, four per habitat type, were selected on the island of Lesvos, Greece. The species richness observed was high compared to other habitat types worldwide for which comparable data exist. Pan traps collected the highest proportion of the total bee species richness across all methods at the scale of a study site. Variable and standardized transect walks detected the highest total richness over all eight study sites. Trap nests and observation plots detected only a limited fraction of the bee species richness. To assess the total bee species richness in bee diversity hotspots, such as the studied habitats, we suggest a combination of transect walks conducted by trained bee collectors and pan trap sampling.</v>
      </c>
      <c r="C132" s="24" t="str">
        <f>IFERROR(__xludf.DUMMYFUNCTION("""COMPUTED_VALUE"""),"10.1007/s11284-011-0852-1")</f>
        <v>10.1007/s11284-011-0852-1</v>
      </c>
      <c r="D132" s="24" t="str">
        <f>IFERROR(__xludf.DUMMYFUNCTION("""COMPUTED_VALUE"""),"murphy et al")</f>
        <v>murphy et al</v>
      </c>
      <c r="E132" s="24" t="str">
        <f>IFERROR(__xludf.DUMMYFUNCTION("""COMPUTED_VALUE"""),"WOS:000297204000013")</f>
        <v>WOS:000297204000013</v>
      </c>
      <c r="F132" s="24" t="str">
        <f>IFERROR(__xludf.DUMMYFUNCTION("""COMPUTED_VALUE"""),"[""ELIGIBLE""]")</f>
        <v>["ELIGIBLE"]</v>
      </c>
    </row>
    <row r="133">
      <c r="A133" s="24" t="str">
        <f>IFERROR(__xludf.DUMMYFUNCTION("""COMPUTED_VALUE"""),"Effects of Logged and Unlogged Forest Patches on Avifaunal Diversity")</f>
        <v>Effects of Logged and Unlogged Forest Patches on Avifaunal Diversity</v>
      </c>
      <c r="B133" s="24" t="str">
        <f>IFERROR(__xludf.DUMMYFUNCTION("""COMPUTED_VALUE"""),"In the Hyrcanian forests of northern Iran, reduced-impact silviculture systems, (single-tree and group-tree selection) were applied over a large area, which generated different local habitat structures. The aim of this study was to assess the differences "&amp;"between treated and untreated areas of forest and their effect on avian richness, abundance and diversity (R.A.D). Birds were surveyed during the breeding season in 2009 by 100-point counts, equally distributed in the treated and untreated area. Avian R.A"&amp;".D was significantly different and higher in the untreated area. Generally, forestry practices cause noticeable changes in canopy percentage, tree composition, snags and shrub number. Treated forest habitats in the area of study had a much more developed "&amp;"understory, fewer snags and fewer large diameter trees. The results highlighted the importance of forest maturity and showed that preventing silvicultural disturbances may not be the best solution for conserving and enhancing biodiversity. Rather, methods"&amp;" such as selective cutting seem an appropriate and sustainable way of forest management. It is suggested that forests should be managed to conserve structural elements which create favorable habitat for bird species, preventing future species losses due t"&amp;"o logging practices.")</f>
        <v>In the Hyrcanian forests of northern Iran, reduced-impact silviculture systems, (single-tree and group-tree selection) were applied over a large area, which generated different local habitat structures. The aim of this study was to assess the differences between treated and untreated areas of forest and their effect on avian richness, abundance and diversity (R.A.D). Birds were surveyed during the breeding season in 2009 by 100-point counts, equally distributed in the treated and untreated area. Avian R.A.D was significantly different and higher in the untreated area. Generally, forestry practices cause noticeable changes in canopy percentage, tree composition, snags and shrub number. Treated forest habitats in the area of study had a much more developed understory, fewer snags and fewer large diameter trees. The results highlighted the importance of forest maturity and showed that preventing silvicultural disturbances may not be the best solution for conserving and enhancing biodiversity. Rather, methods such as selective cutting seem an appropriate and sustainable way of forest management. It is suggested that forests should be managed to conserve structural elements which create favorable habitat for bird species, preventing future species losses due to logging practices.</v>
      </c>
      <c r="C133" s="24" t="str">
        <f>IFERROR(__xludf.DUMMYFUNCTION("""COMPUTED_VALUE"""),"10.1007/s00267-012-9979-2")</f>
        <v>10.1007/s00267-012-9979-2</v>
      </c>
      <c r="D133" s="24" t="str">
        <f>IFERROR(__xludf.DUMMYFUNCTION("""COMPUTED_VALUE"""),"murphy et al")</f>
        <v>murphy et al</v>
      </c>
      <c r="E133" s="24" t="str">
        <f>IFERROR(__xludf.DUMMYFUNCTION("""COMPUTED_VALUE"""),"WOS:000315416900018")</f>
        <v>WOS:000315416900018</v>
      </c>
      <c r="F133" s="24" t="str">
        <f>IFERROR(__xludf.DUMMYFUNCTION("""COMPUTED_VALUE"""),"[""ELIGIBLE""]")</f>
        <v>["ELIGIBLE"]</v>
      </c>
    </row>
    <row r="134">
      <c r="A134" s="24" t="str">
        <f>IFERROR(__xludf.DUMMYFUNCTION("""COMPUTED_VALUE"""),"Tree invasion in managed tropical forests facilitates endemic species")</f>
        <v>Tree invasion in managed tropical forests facilitates endemic species</v>
      </c>
      <c r="B134" s="24" t="str">
        <f>IFERROR(__xludf.DUMMYFUNCTION("""COMPUTED_VALUE"""),"Aim To determine whether different abundances of introduced species of Cinchona (Rubiaceae) affect species composition and facilitate species richness in managed tropical forests, to test whether any facilitative effects on understorey species depend on f"&amp;"orest type, and to investigate whether facilitative effects can be attributed to the 'substitutive facilitation model'. Location Makawao Forest Reserve on Maui, Hawai'i, USA. Methods Cinchona species (Cinchona pubescens and Cinchona calisaya) were mapped "&amp;"within various forest types. In three forest types (ageing Eucalyptus and Pinus plantations, and near-natural Acacia koa forests), we analysed environmental parameters (e.g. canopy cover, litter cover, pH value and soil depth) and the species composition "&amp;"of Cinchona-invaded and non-invaded plots; data were compared based on Cinchona cover and forest types. Habitat modelling for several endemic species and tree ferns was carried out to test whether Cinchona cover is an important variable for the probabilit"&amp;"y of occurrence of these endemics. Results Cinchona species have naturalized mainly in Eucalyptus and Pinus plantations and Acacia koa forests and here add an additional shrub layer. In contrast to other studies, we revealed facilitative effects of Cincho"&amp;"na on native species within all forest types. Species richness is about 20% higher in invaded plots than in non-invaded plots, and these show a nearly 50% higher proportion of endemic species, including tree ferns. The proportion of endemics even increase"&amp;"s with increasing Cinchona cover. For several endemics, Cinchona is found to be an important variable for the probability of occurrence, and the removal of Cinchona cover as an explanatory variable lowers the model fit. In addition to Cinchona, variables "&amp;"delineating vegetation structure and light availability have a strong effect on the model fit. Main conclusions In the structurally simplified Hawaiian forests studied, Cinchona facilitated endemic species in accordance with the 'substitutive facilitation"&amp;" model'. This contrasts with the results of an earlier study in the naturally treeless Galapagos highlands, which revealed a sharp decrease in the abundance of endemics under Cinchona canopy. These results illustrate that, through the same structural chan"&amp;"ge (addition of a vegetation layer), an invasive species may exert divergent effects across different ecosystem types. The facilitation of endemic understorey species by invasive tree species in managed forests leads to a dilemma in conservation but also "&amp;"to new perspectives for ecosystem restoration.")</f>
        <v>Aim To determine whether different abundances of introduced species of Cinchona (Rubiaceae) affect species composition and facilitate species richness in managed tropical forests, to test whether any facilitative effects on understorey species depend on forest type, and to investigate whether facilitative effects can be attributed to the 'substitutive facilitation model'. Location Makawao Forest Reserve on Maui, Hawai'i, USA. Methods Cinchona species (Cinchona pubescens and Cinchona calisaya) were mapped within various forest types. In three forest types (ageing Eucalyptus and Pinus plantations, and near-natural Acacia koa forests), we analysed environmental parameters (e.g. canopy cover, litter cover, pH value and soil depth) and the species composition of Cinchona-invaded and non-invaded plots; data were compared based on Cinchona cover and forest types. Habitat modelling for several endemic species and tree ferns was carried out to test whether Cinchona cover is an important variable for the probability of occurrence of these endemics. Results Cinchona species have naturalized mainly in Eucalyptus and Pinus plantations and Acacia koa forests and here add an additional shrub layer. In contrast to other studies, we revealed facilitative effects of Cinchona on native species within all forest types. Species richness is about 20% higher in invaded plots than in non-invaded plots, and these show a nearly 50% higher proportion of endemic species, including tree ferns. The proportion of endemics even increases with increasing Cinchona cover. For several endemics, Cinchona is found to be an important variable for the probability of occurrence, and the removal of Cinchona cover as an explanatory variable lowers the model fit. In addition to Cinchona, variables delineating vegetation structure and light availability have a strong effect on the model fit. Main conclusions In the structurally simplified Hawaiian forests studied, Cinchona facilitated endemic species in accordance with the 'substitutive facilitation model'. This contrasts with the results of an earlier study in the naturally treeless Galapagos highlands, which revealed a sharp decrease in the abundance of endemics under Cinchona canopy. These results illustrate that, through the same structural change (addition of a vegetation layer), an invasive species may exert divergent effects across different ecosystem types. The facilitation of endemic understorey species by invasive tree species in managed forests leads to a dilemma in conservation but also to new perspectives for ecosystem restoration.</v>
      </c>
      <c r="C134" s="24" t="str">
        <f>IFERROR(__xludf.DUMMYFUNCTION("""COMPUTED_VALUE"""),"10.1111/j.1365-2699.2009.02173.x")</f>
        <v>10.1111/j.1365-2699.2009.02173.x</v>
      </c>
      <c r="D134" s="24" t="str">
        <f>IFERROR(__xludf.DUMMYFUNCTION("""COMPUTED_VALUE"""),"murphy et al")</f>
        <v>murphy et al</v>
      </c>
      <c r="E134" s="24" t="str">
        <f>IFERROR(__xludf.DUMMYFUNCTION("""COMPUTED_VALUE"""),"WOS:000271902200007")</f>
        <v>WOS:000271902200007</v>
      </c>
      <c r="F134" s="24" t="str">
        <f>IFERROR(__xludf.DUMMYFUNCTION("""COMPUTED_VALUE"""),"[""ELIGIBLE""]")</f>
        <v>["ELIGIBLE"]</v>
      </c>
    </row>
    <row r="135">
      <c r="A135" s="24" t="str">
        <f>IFERROR(__xludf.DUMMYFUNCTION("""COMPUTED_VALUE"""),"Species richness in a successional grassland: Effects of nitrogen enrichment and plant litter")</f>
        <v>Species richness in a successional grassland: Effects of nitrogen enrichment and plant litter</v>
      </c>
      <c r="B135" s="24" t="str">
        <f>IFERROR(__xludf.DUMMYFUNCTION("""COMPUTED_VALUE"""),"We conducted a field experiment in a successional grassland to investigate the short-term effects of nitrogen enrichment and plant litter on plant species richness and on the establishment of a native grass (Andropogon gerardi) that was experimentally int"&amp;"roduced to the study site as seed. Additions of nitrogen fertilizer to experimental plots over two growing seasons increased plant production as indicated by increases in both living plant biomass and litter biomass. Increased productivity reduced species"&amp;" richness by effectively preventing the seedling establishment of the subordinate forb species and reduced the recruitment of Andropogon gerardi by inhibiting both germination and survival. Litter removals carried out at each of two levels of nitrogen enr"&amp;"ichment (no nitrogen, nitrogen added) showed that litter significantly reduced species richness by the same amount in fertilized and unfertilized plots, suggesting that living biomass and litter were purely additive, rather than interactive in their effec"&amp;"ts. In contrast, the results of litter additions suggested that the declines in richness associated with fertilization could largely be due to the suppressive effects of increased litter biomass alone. As a whole, the results indicate that litter and livi"&amp;"ng biomass are largely substitutable in their inhibitory effects on species richness in highly productive successional grasslands due to their independent and equivalent capacities to attenuate light to very low levels. This study highlights the combined "&amp;"roles of competition and plant litter in influencing the diversity of grasslands through effects on seedling establishment.")</f>
        <v>We conducted a field experiment in a successional grassland to investigate the short-term effects of nitrogen enrichment and plant litter on plant species richness and on the establishment of a native grass (Andropogon gerardi) that was experimentally introduced to the study site as seed. Additions of nitrogen fertilizer to experimental plots over two growing seasons increased plant production as indicated by increases in both living plant biomass and litter biomass. Increased productivity reduced species richness by effectively preventing the seedling establishment of the subordinate forb species and reduced the recruitment of Andropogon gerardi by inhibiting both germination and survival. Litter removals carried out at each of two levels of nitrogen enrichment (no nitrogen, nitrogen added) showed that litter significantly reduced species richness by the same amount in fertilized and unfertilized plots, suggesting that living biomass and litter were purely additive, rather than interactive in their effects. In contrast, the results of litter additions suggested that the declines in richness associated with fertilization could largely be due to the suppressive effects of increased litter biomass alone. As a whole, the results indicate that litter and living biomass are largely substitutable in their inhibitory effects on species richness in highly productive successional grasslands due to their independent and equivalent capacities to attenuate light to very low levels. This study highlights the combined roles of competition and plant litter in influencing the diversity of grasslands through effects on seedling establishment.</v>
      </c>
      <c r="C135" s="24" t="str">
        <f>IFERROR(__xludf.DUMMYFUNCTION("""COMPUTED_VALUE"""),"10.1890/0012-9658(1998)079[2593:SRIASG]2.0.CO;2")</f>
        <v>10.1890/0012-9658(1998)079[2593:SRIASG]2.0.CO;2</v>
      </c>
      <c r="D135" s="24" t="str">
        <f>IFERROR(__xludf.DUMMYFUNCTION("""COMPUTED_VALUE"""),"murphy et al")</f>
        <v>murphy et al</v>
      </c>
      <c r="E135" s="24" t="str">
        <f>IFERROR(__xludf.DUMMYFUNCTION("""COMPUTED_VALUE"""),"WOS:000077501000002")</f>
        <v>WOS:000077501000002</v>
      </c>
      <c r="F135" s="24" t="str">
        <f>IFERROR(__xludf.DUMMYFUNCTION("""COMPUTED_VALUE"""),"[""ELIGIBLE""]")</f>
        <v>["ELIGIBLE"]</v>
      </c>
    </row>
    <row r="136">
      <c r="A136" s="24" t="str">
        <f>IFERROR(__xludf.DUMMYFUNCTION("""COMPUTED_VALUE"""),"Strengthened insectivory in a temperate fragmented forest")</f>
        <v>Strengthened insectivory in a temperate fragmented forest</v>
      </c>
      <c r="B136" s="24" t="str">
        <f>IFERROR(__xludf.DUMMYFUNCTION("""COMPUTED_VALUE"""),"Habitat fragmentation modifies ecological patterns and processes through changes in species richness and abundance. In the coastal Maulino forest, central Chile, both species richness and abundance of insectivorous birds increases in forest fragments comp"&amp;"ared to continuous forest. Through a field experiment, we examined larvae predation in fragmented forests. Higher richness and abundance of birds foraging at forest fragments translated into more insect larvae preyed upon in forest fragments than in conti"&amp;"nuous forest. The assessed level of insectivory in forest fragments agrees with lower herbivory levels in forest fragments. This pattern strongly suggests the strengthening of food interactions web in forest fragments of coastal Maulino forest.")</f>
        <v>Habitat fragmentation modifies ecological patterns and processes through changes in species richness and abundance. In the coastal Maulino forest, central Chile, both species richness and abundance of insectivorous birds increases in forest fragments compared to continuous forest. Through a field experiment, we examined larvae predation in fragmented forests. Higher richness and abundance of birds foraging at forest fragments translated into more insect larvae preyed upon in forest fragments than in continuous forest. The assessed level of insectivory in forest fragments agrees with lower herbivory levels in forest fragments. This pattern strongly suggests the strengthening of food interactions web in forest fragments of coastal Maulino forest.</v>
      </c>
      <c r="C136" s="24" t="str">
        <f>IFERROR(__xludf.DUMMYFUNCTION("""COMPUTED_VALUE"""),"10.1007/s00442-005-0338-3")</f>
        <v>10.1007/s00442-005-0338-3</v>
      </c>
      <c r="D136" s="24" t="str">
        <f>IFERROR(__xludf.DUMMYFUNCTION("""COMPUTED_VALUE"""),"murphy et al")</f>
        <v>murphy et al</v>
      </c>
      <c r="E136" s="24" t="str">
        <f>IFERROR(__xludf.DUMMYFUNCTION("""COMPUTED_VALUE"""),"WOS:000236968700015")</f>
        <v>WOS:000236968700015</v>
      </c>
      <c r="F136" s="24" t="str">
        <f>IFERROR(__xludf.DUMMYFUNCTION("""COMPUTED_VALUE"""),"[""ELIGIBLE""]")</f>
        <v>["ELIGIBLE"]</v>
      </c>
    </row>
    <row r="137">
      <c r="A137" s="24" t="str">
        <f>IFERROR(__xludf.DUMMYFUNCTION("""COMPUTED_VALUE"""),"Countryside biogeography of tropical butterflies")</f>
        <v>Countryside biogeography of tropical butterflies</v>
      </c>
      <c r="B137" s="24" t="str">
        <f>IFERROR(__xludf.DUMMYFUNCTION("""COMPUTED_VALUE"""),"Although most conservation efforts focus on preserving biodiversity in relatively pristine ecosystems, we investigated possible conservation opportunities in human-dominated landscapes. We evaluated butterfly diversity in a tropical countryside that was c"&amp;"onverted about four decades ago from continuous forest to a mosaic of coffee farms, pasture, and forest fragments. We compared the butterfly fauna in coffee plantations with that in a forest remnant, the Las Cruces Reserve (227 ha). We used coffee plantat"&amp;"ion sites located near (&lt;2.5 km) and far (&gt;6 km) from the large forest remnant to test the effects of distance from the remnant on butterfly diversity. We also tested the effects of immediately adjacent habitat by selecting coffee plantation sites that we"&amp;"re either contiguous with small (2.5-9.5 ha) forest fragments (coffee/forest) or lacking adjacent forest (coffee). Both coffee/forest and coffee habitats near the Las Cruces Reserve differed from those far from the reserve in species composition but not i"&amp;"n species richness. Overall, coffee/forest habitats had significantly higher mean species richness and higher mean abundance of species than coffee and reserve sites. Further, butterflies with narrow geographic ranges were less likely to be found in coffe"&amp;"e plantations than were those with larger geographic ranges. Area of forest cover within a radius of 50 to 100 m of the sampling site was significantly correlated with species richness of frugivorous butterflies during the dry season but was not correlate"&amp;"d with richness of frugivorous butterflies in the wet season or of nonfrugivorous butterflies in either season. Nonetheless, species richness of frugivorous and nonfrugivorous butterflies was positively correlated overall; thus, frugivorous butterflies ma"&amp;"y be good indicators of the status of the entire butterfly community in a region. Our work suggests that small, isolated forest fragments may help retain butterfly diversity in the tropical countryside and increase the conservation value of agricultural l"&amp;"andscapes. Relatively large tracts of forest remain important, however, because they maintain rare and endemic species.")</f>
        <v>Although most conservation efforts focus on preserving biodiversity in relatively pristine ecosystems, we investigated possible conservation opportunities in human-dominated landscapes. We evaluated butterfly diversity in a tropical countryside that was converted about four decades ago from continuous forest to a mosaic of coffee farms, pasture, and forest fragments. We compared the butterfly fauna in coffee plantations with that in a forest remnant, the Las Cruces Reserve (227 ha). We used coffee plantation sites located near (&lt;2.5 km) and far (&gt;6 km) from the large forest remnant to test the effects of distance from the remnant on butterfly diversity. We also tested the effects of immediately adjacent habitat by selecting coffee plantation sites that were either contiguous with small (2.5-9.5 ha) forest fragments (coffee/forest) or lacking adjacent forest (coffee). Both coffee/forest and coffee habitats near the Las Cruces Reserve differed from those far from the reserve in species composition but not in species richness. Overall, coffee/forest habitats had significantly higher mean species richness and higher mean abundance of species than coffee and reserve sites. Further, butterflies with narrow geographic ranges were less likely to be found in coffee plantations than were those with larger geographic ranges. Area of forest cover within a radius of 50 to 100 m of the sampling site was significantly correlated with species richness of frugivorous butterflies during the dry season but was not correlated with richness of frugivorous butterflies in the wet season or of nonfrugivorous butterflies in either season. Nonetheless, species richness of frugivorous and nonfrugivorous butterflies was positively correlated overall; thus, frugivorous butterflies may be good indicators of the status of the entire butterfly community in a region. Our work suggests that small, isolated forest fragments may help retain butterfly diversity in the tropical countryside and increase the conservation value of agricultural landscapes. Relatively large tracts of forest remain important, however, because they maintain rare and endemic species.</v>
      </c>
      <c r="C137" s="24" t="str">
        <f>IFERROR(__xludf.DUMMYFUNCTION("""COMPUTED_VALUE"""),"10.1046/j.1523-1739.2003.01310.x")</f>
        <v>10.1046/j.1523-1739.2003.01310.x</v>
      </c>
      <c r="D137" s="24" t="str">
        <f>IFERROR(__xludf.DUMMYFUNCTION("""COMPUTED_VALUE"""),"murphy et al")</f>
        <v>murphy et al</v>
      </c>
      <c r="E137" s="24" t="str">
        <f>IFERROR(__xludf.DUMMYFUNCTION("""COMPUTED_VALUE"""),"WOS:000180846200021")</f>
        <v>WOS:000180846200021</v>
      </c>
      <c r="F137" s="24" t="str">
        <f>IFERROR(__xludf.DUMMYFUNCTION("""COMPUTED_VALUE"""),"[""ELIGIBLE""]")</f>
        <v>["ELIGIBLE"]</v>
      </c>
    </row>
    <row r="138">
      <c r="A138" s="24" t="str">
        <f>IFERROR(__xludf.DUMMYFUNCTION("""COMPUTED_VALUE"""),"Impact of resource availability on species composition and diversity in freshwater nematodes")</f>
        <v>Impact of resource availability on species composition and diversity in freshwater nematodes</v>
      </c>
      <c r="B138" s="24" t="str">
        <f>IFERROR(__xludf.DUMMYFUNCTION("""COMPUTED_VALUE"""),"This study investigates the long-term effects of resource availability in a freshwater nematode community. We carried out a mesocosm experiment where natural nematode communities were exposed to nutrient addition/ depletion over 2 years. Compared to the n"&amp;"utrient-addition treatment, species richness and diversity were strongly reduced upon nutrient depletion. The functional group of bacterial feeders particularly suffered severely from nutrient depletion. The decrease in diversity of bacterial feeders was "&amp;"linked to reduced species richness and diversity of large omnivorous species, as predicted by trophic-dynamic models. Tilman's ( 1976) statement, that under low nutrient levels the best competitor dominates the system, was applicable in our system. Upon n"&amp;"utrient depletion, resource depletion led to a monoculture of 1 small bacterial feeder, but even after 2 years of resource depletion, up to 16 species still coexisted. Our results provide strong evidence that freshwater nematode systems can be regulated b"&amp;"y nutrient competition.")</f>
        <v>This study investigates the long-term effects of resource availability in a freshwater nematode community. We carried out a mesocosm experiment where natural nematode communities were exposed to nutrient addition/ depletion over 2 years. Compared to the nutrient-addition treatment, species richness and diversity were strongly reduced upon nutrient depletion. The functional group of bacterial feeders particularly suffered severely from nutrient depletion. The decrease in diversity of bacterial feeders was linked to reduced species richness and diversity of large omnivorous species, as predicted by trophic-dynamic models. Tilman's ( 1976) statement, that under low nutrient levels the best competitor dominates the system, was applicable in our system. Upon nutrient depletion, resource depletion led to a monoculture of 1 small bacterial feeder, but even after 2 years of resource depletion, up to 16 species still coexisted. Our results provide strong evidence that freshwater nematode systems can be regulated by nutrient competition.</v>
      </c>
      <c r="C138" s="24" t="str">
        <f>IFERROR(__xludf.DUMMYFUNCTION("""COMPUTED_VALUE"""),"10.1007/s00442-004-1700-6")</f>
        <v>10.1007/s00442-004-1700-6</v>
      </c>
      <c r="D138" s="24" t="str">
        <f>IFERROR(__xludf.DUMMYFUNCTION("""COMPUTED_VALUE"""),"murphy et al")</f>
        <v>murphy et al</v>
      </c>
      <c r="E138" s="24" t="str">
        <f>IFERROR(__xludf.DUMMYFUNCTION("""COMPUTED_VALUE"""),"WOS:000225472100011")</f>
        <v>WOS:000225472100011</v>
      </c>
      <c r="F138" s="24" t="str">
        <f>IFERROR(__xludf.DUMMYFUNCTION("""COMPUTED_VALUE"""),"[""ELIGIBLE""]")</f>
        <v>["ELIGIBLE"]</v>
      </c>
    </row>
    <row r="139">
      <c r="A139" s="24" t="str">
        <f>IFERROR(__xludf.DUMMYFUNCTION("""COMPUTED_VALUE"""),"Testing the Effects of an Introduced Palm on a Riparian Invertebrate Community in Southern California")</f>
        <v>Testing the Effects of an Introduced Palm on a Riparian Invertebrate Community in Southern California</v>
      </c>
      <c r="B139" s="24" t="str">
        <f>IFERROR(__xludf.DUMMYFUNCTION("""COMPUTED_VALUE"""),"Despite the iconic association of palms with semi-arid regions, most are introduced and can invade natural areas. Along the San Diego River (San Diego, California, USA), the introduced Canary Island date palm (Phoenix canariensis) forms dense patches amon"&amp;"g native riparian shrubs like arroyo willow (Salix lasiolepis). The structural differences between the palm and native shrubs are visually obvious, but little is known about palm's effects on the ecosystem. We tested for the effects of the palm on a ripar"&amp;"ian invertebrate community in June 2011 by comparing the faunal and environmental variables associated with palm and willow canopies, trunks and ground beneath each species. The palm invertebrate community had lower abundance and diversity, fewer taxa fee"&amp;"ding on the host (e.g., specialized hemipterans), and more taxa likely using only the plant's physical structure (e.g., web-builders, oak moths, willow hemipterans). There were no observed effects on the ground-dwelling fauna. Faunal differences were due "&amp;"to the physical and trophic changes associated with palm presence, namely increased canopy density, unpalatable leaves, trunk rugosity, and litter accumulations. Palm presence and resulting community shifts may have further ecosystem-level effects through"&amp;" alteration of physical properties, food, and structural resources. These results were consistent with a recent study of invasive palm effects on desert spring arthropods, illustrating that effects may be relatively generalizable. Since spread of the palm"&amp;" is largely localized, but effects are dramatic where it does occur, we recommend combining our results with several further investigations in order to prioritize management decisions.")</f>
        <v>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v>
      </c>
      <c r="C139" s="24" t="str">
        <f>IFERROR(__xludf.DUMMYFUNCTION("""COMPUTED_VALUE"""),"10.1371/journal.pone.0042460")</f>
        <v>10.1371/journal.pone.0042460</v>
      </c>
      <c r="D139" s="24" t="str">
        <f>IFERROR(__xludf.DUMMYFUNCTION("""COMPUTED_VALUE"""),"murphy et al")</f>
        <v>murphy et al</v>
      </c>
      <c r="E139" s="24" t="str">
        <f>IFERROR(__xludf.DUMMYFUNCTION("""COMPUTED_VALUE"""),"WOS:000307284100099")</f>
        <v>WOS:000307284100099</v>
      </c>
      <c r="F139" s="24" t="str">
        <f>IFERROR(__xludf.DUMMYFUNCTION("""COMPUTED_VALUE"""),"[""ELIGIBLE""]")</f>
        <v>["ELIGIBLE"]</v>
      </c>
    </row>
    <row r="140">
      <c r="A140" s="24" t="str">
        <f>IFERROR(__xludf.DUMMYFUNCTION("""COMPUTED_VALUE"""),"Long-term effects of forest fragmentation on Amazonian ant communities")</f>
        <v>Long-term effects of forest fragmentation on Amazonian ant communities</v>
      </c>
      <c r="B140" s="24" t="str">
        <f>IFERROR(__xludf.DUMMYFUNCTION("""COMPUTED_VALUE"""),"Aim: To analyse the effects of forest fragmentation on ant communities in an Amazonian landscape that has been fragmented for over a century. Location: The region surrounding the village of Alter do Chao in the Brazilian Amazonian state of Para (2 degrees"&amp;" 30' S, 54 degrees 57' W). Methods: Collection of ants and measurements of tree density were performed along transects established in eight sites in continuous forest and in 24 forest fragments surrounded by savanna vegetation. Data on size, perimeter, an"&amp;"d degree of isolation (distance to continuous forest and distance to nearest area of forest &gt; 5 ha) of each fragment were obtained from a georeferenced Landsat image of the study area. Results: There were significant differences in species richness and co"&amp;"mposition between fragments and continuous forest, and these differences were not related to intersite variation in vegetation structure (tree density). Fragments supported fewer ant species per plot, and these species tended to represent a nested subset "&amp;"of those found in continuous forests. Fragments had significantly fewer rare species and fewer ant genera. However, fragments and continuous forest had similar numbers of species that also occur in the savanna matrix (i.e. that are not forest specialists)"&amp;". Multiple linear regression analyses indicated that species richness and composition in the fragments are significantly affected by fragment area, but not by fragment shape and degree of isolation. More species were found in larger fragments. Main conclu"&amp;"sions: Forest fragmentation influences the organization of ant communities in Amazonian savanna/forest landscapes. Forest fragments harboured, on average, 85% of the species found in continuous forest. That these fragments, despite their long history of i"&amp;"solation, support a relatively large complement of the species found in continuous forest is surprising, especially given that in some recently fragmented landscapes the proportion of species surviving in the fragments is lower. Differences in inter-fragm"&amp;"ent distance and type of matrix between Alter do Chao and these other landscapes may be involved. The fact that fragments at Alter do Chao are surrounded by a natural (rather than an anthropogenic) habitat, and that most of them are less than 300 m from a"&amp;"nother forest area, may have helped to ameliorate the adverse effects of forest fragmentation.")</f>
        <v>Aim: To analyse the effects of forest fragmentation on ant communities in an Amazonian landscape that has been fragmented for over a century. Location: The region surrounding the village of Alter do Chao in the Brazilian Amazonian state of Para (2 degrees 30' S, 54 degrees 57' W). Methods: Collection of ants and measurements of tree density were performed along transects established in eight sites in continuous forest and in 24 forest fragments surrounded by savanna vegetation. Data on size, perimeter, and degree of isolation (distance to continuous forest and distance to nearest area of forest &gt; 5 ha) of each fragment were obtained from a georeferenced Landsat image of the study area. Results: There were significant differences in species richness and composition between fragments and continuous forest, and these differences were not related to intersite variation in vegetation structure (tree density). Fragments supported fewer ant species per plot, and these species tended to represent a nested subset of those found in continuous forests. Fragments had significantly fewer rare species and fewer ant genera. However, fragments and continuous forest had similar numbers of species that also occur in the savanna matrix (i.e. that are not forest specialists). Multiple linear regression analyses indicated that species richness and composition in the fragments are significantly affected by fragment area, but not by fragment shape and degree of isolation. More species were found in larger fragments. Main conclusions: Forest fragmentation influences the organization of ant communities in Amazonian savanna/forest landscapes. Forest fragments harboured, on average, 85% of the species found in continuous forest. That these fragments, despite their long history of isolation, support a relatively large complement of the species found in continuous forest is surprising, especially given that in some recently fragmented landscapes the proportion of species surviving in the fragments is lower. Differences in inter-fragment distance and type of matrix between Alter do Chao and these other landscapes may be involved. The fact that fragments at Alter do Chao are surrounded by a natural (rather than an anthropogenic) habitat, and that most of them are less than 300 m from another forest area, may have helped to ameliorate the adverse effects of forest fragmentation.</v>
      </c>
      <c r="C140" s="24" t="str">
        <f>IFERROR(__xludf.DUMMYFUNCTION("""COMPUTED_VALUE"""),"10.1111/j.1365-2699.2006.01516.x")</f>
        <v>10.1111/j.1365-2699.2006.01516.x</v>
      </c>
      <c r="D140" s="24" t="str">
        <f>IFERROR(__xludf.DUMMYFUNCTION("""COMPUTED_VALUE"""),"murphy et al")</f>
        <v>murphy et al</v>
      </c>
      <c r="E140" s="24" t="str">
        <f>IFERROR(__xludf.DUMMYFUNCTION("""COMPUTED_VALUE"""),"WOS:000238887900004")</f>
        <v>WOS:000238887900004</v>
      </c>
      <c r="F140" s="24" t="str">
        <f>IFERROR(__xludf.DUMMYFUNCTION("""COMPUTED_VALUE"""),"[""ELIGIBLE""]")</f>
        <v>["ELIGIBLE"]</v>
      </c>
    </row>
    <row r="141">
      <c r="A141" s="24" t="str">
        <f>IFERROR(__xludf.DUMMYFUNCTION("""COMPUTED_VALUE"""),"EFFECTS OF NUTRIENT ENRICHMENT IN DUTCH CHALK GRASSLAND")</f>
        <v>EFFECTS OF NUTRIENT ENRICHMENT IN DUTCH CHALK GRASSLAND</v>
      </c>
      <c r="B141" s="24" t="str">
        <f>IFERROR(__xludf.DUMMYFUNCTION("""COMPUTED_VALUE"""),"(1) The sharp increase in dominance of Brachypodium pinnatum in Dutch chalk grasslands during the past decade was hypothesized to have resulted from increased atmospheric nitrogen inputs. To test this, N, P, K were applied at 10, 3 and 10 g m-2 year-1, re"&amp;"spectively, in a 3-year experiment at two Dutch chalk grassland sites, plus an NPK addition. (2) After 3 years, peak standing crop increased significantly with added N and NPK. Phytomass of legumes increased after P addition and B. pinnatum mass more than"&amp;" doubled with added N. NPK addition also sharply increased the dry weight of other graminoids. (3) Total below-ground phytomass increased only with added NPK. Addition of N increased the below-ground dry wt of B. pinnatum, but decreased that of other spec"&amp;"ies. (4) B. pinnatum acquired N and P efficiently, and produced more phytomass per unit time after N application even without enhanced P uptake, while its shoot N:P ratio increased to &gt; 30. (5) The vertical structure of the vegetation was affected by N an"&amp;"d NPK additions, and light penetration in the canopy was considerably reduced, decreasing species density and diversity. (6) It is concluded that B. pinnatim benefits more from atmospheric N inputs than other chalk grassland species. Its ability to cope w"&amp;"ith decreasing concentrations of P caused by N-induced stimulated growth largely explains its success with long-term N enrichment.")</f>
        <v>(1) The sharp increase in dominance of Brachypodium pinnatum in Dutch chalk grasslands during the past decade was hypothesized to have resulted from increased atmospheric nitrogen inputs. To test this, N, P, K were applied at 10, 3 and 10 g m-2 year-1, respectively, in a 3-year experiment at two Dutch chalk grassland sites, plus an NPK addition. (2) After 3 years, peak standing crop increased significantly with added N and NPK. Phytomass of legumes increased after P addition and B. pinnatum mass more than doubled with added N. NPK addition also sharply increased the dry weight of other graminoids. (3) Total below-ground phytomass increased only with added NPK. Addition of N increased the below-ground dry wt of B. pinnatum, but decreased that of other species. (4) B. pinnatum acquired N and P efficiently, and produced more phytomass per unit time after N application even without enhanced P uptake, while its shoot N:P ratio increased to &gt; 30. (5) The vertical structure of the vegetation was affected by N and NPK additions, and light penetration in the canopy was considerably reduced, decreasing species density and diversity. (6) It is concluded that B. pinnatim benefits more from atmospheric N inputs than other chalk grassland species. Its ability to cope with decreasing concentrations of P caused by N-induced stimulated growth largely explains its success with long-term N enrichment.</v>
      </c>
      <c r="C141" s="24" t="str">
        <f>IFERROR(__xludf.DUMMYFUNCTION("""COMPUTED_VALUE"""),"10.2307/2404111")</f>
        <v>10.2307/2404111</v>
      </c>
      <c r="D141" s="24" t="str">
        <f>IFERROR(__xludf.DUMMYFUNCTION("""COMPUTED_VALUE"""),"murphy et al")</f>
        <v>murphy et al</v>
      </c>
      <c r="E141" s="24" t="str">
        <f>IFERROR(__xludf.DUMMYFUNCTION("""COMPUTED_VALUE"""),"WOS:A1991FN20800003")</f>
        <v>WOS:A1991FN20800003</v>
      </c>
      <c r="F141" s="24" t="str">
        <f>IFERROR(__xludf.DUMMYFUNCTION("""COMPUTED_VALUE"""),"[""ELIGIBLE""]")</f>
        <v>["ELIGIBLE"]</v>
      </c>
    </row>
    <row r="142">
      <c r="A142" s="24" t="str">
        <f>IFERROR(__xludf.DUMMYFUNCTION("""COMPUTED_VALUE"""),"Effects of urbanization on plant species diversity in central Arizona")</f>
        <v>Effects of urbanization on plant species diversity in central Arizona</v>
      </c>
      <c r="B142" s="24" t="str">
        <f>IFERROR(__xludf.DUMMYFUNCTION("""COMPUTED_VALUE"""),"Modern urban development provides an excellent laboratory for examining the interplay among socioecological relationships. We analyzed how the rapidly urbanizing Phoenix, Arizona metropolis has affected plant species diversity and community composition at"&amp;" a regional scale. Species diversity and plant density probably result from abiotic sorting in undeveloped desert sites, but not in urban sites. We found that species richness at the plot scale was higher for desert as opposed to urban sites; however, the"&amp;" estimated total species pool in the urban ecosystem is higher than that in the desert, as a result of the increased importation of introduced species through the nursery trade. Ordination of plant communities suggests three unique groupings of species ba"&amp;"sed on land-use type of the site (desert, urban, and agriculture) and two unique groupings of urban sites based on landscaping aesthetics (mesic or xeric). We therefore recognize both bottom-up and top-down controls of plant biodiversity within the urban "&amp;"ecosystem.")</f>
        <v>Modern urban development provides an excellent laboratory for examining the interplay among socioecological relationships. We analyzed how the rapidly urbanizing Phoenix, Arizona metropolis has affected plant species diversity and community composition at a regional scale. Species diversity and plant density probably result from abiotic sorting in undeveloped desert sites, but not in urban sites. We found that species richness at the plot scale was higher for desert as opposed to urban sites; however, the estimated total species pool in the urban ecosystem is higher than that in the desert, as a result of the increased importation of introduced species through the nursery trade. Ordination of plant communities suggests three unique groupings of species based on land-use type of the site (desert, urban, and agriculture) and two unique groupings of urban sites based on landscaping aesthetics (mesic or xeric). We therefore recognize both bottom-up and top-down controls of plant biodiversity within the urban ecosystem.</v>
      </c>
      <c r="C142" s="24" t="str">
        <f>IFERROR(__xludf.DUMMYFUNCTION("""COMPUTED_VALUE"""),"10.1890/080084")</f>
        <v>10.1890/080084</v>
      </c>
      <c r="D142" s="24" t="str">
        <f>IFERROR(__xludf.DUMMYFUNCTION("""COMPUTED_VALUE"""),"murphy et al")</f>
        <v>murphy et al</v>
      </c>
      <c r="E142" s="24" t="str">
        <f>IFERROR(__xludf.DUMMYFUNCTION("""COMPUTED_VALUE"""),"WOS:000271559000014")</f>
        <v>WOS:000271559000014</v>
      </c>
      <c r="F142" s="24" t="str">
        <f>IFERROR(__xludf.DUMMYFUNCTION("""COMPUTED_VALUE"""),"[""ELIGIBLE""]")</f>
        <v>["ELIGIBLE"]</v>
      </c>
    </row>
    <row r="143">
      <c r="A143" s="24" t="str">
        <f>IFERROR(__xludf.DUMMYFUNCTION("""COMPUTED_VALUE"""),"Changes of macroalgal biodiversity in sublittoral sites in southwest Norway: impact of an introduced species or higher temperature?")</f>
        <v>Changes of macroalgal biodiversity in sublittoral sites in southwest Norway: impact of an introduced species or higher temperature?</v>
      </c>
      <c r="B143" s="24" t="str">
        <f>IFERROR(__xludf.DUMMYFUNCTION("""COMPUTED_VALUE"""),"The Pacific red alga Heterosiphonia japonica has dispersed rapidly along European shores. Due to the species' high abundance in many habitats, an impact on species richness and composition of local macroalgal communities might be expected. Higher sea temp"&amp;"eratures may also influence local macroalgal composition, by providing more favourable conditions for species requiring higher temperatures. Macroalgal composition at 22 sublittoral sites along the south-western coast of Norway investigated prior to the e"&amp;"stablishment of H. japonica (1994-1995) were reinvestigated in 2003-2004, using similar methods. The total number of species collected in the area was approximately the same in the present investigation as in the previous study. With regard to number and "&amp;"composition of species at each site, there were no significant differences between sites with high abundance of H. japonica and sites with low or no abundance. Similarity percentage analysis (SIMPER) showed that there were temporal changes in composition "&amp;"of the macroalgal communities, mainly caused by higher frequency of 'southern species' (species with a northern limit on our coast). There was a significant increase in the percentage share of such species in the reinvestigations. The temporal differences"&amp;" observed are most likely caused by several warm summers/autumns and mild winters since the first investigation, which may favour a higher abundance of 'southern species'. Heterosiphonia japonica was the most important species contributing to temporal dis"&amp;"similarity in the area. This paper concludes that H. japonica has caused no negative impact on regional algal species richness in the relatively short time span since its introduction.")</f>
        <v>The Pacific red alga Heterosiphonia japonica has dispersed rapidly along European shores. Due to the species' high abundance in many habitats, an impact on species richness and composition of local macroalgal communities might be expected. Higher sea temperatures may also influence local macroalgal composition, by providing more favourable conditions for species requiring higher temperatures. Macroalgal composition at 22 sublittoral sites along the south-western coast of Norway investigated prior to the establishment of H. japonica (1994-1995) were reinvestigated in 2003-2004, using similar methods. The total number of species collected in the area was approximately the same in the present investigation as in the previous study. With regard to number and composition of species at each site, there were no significant differences between sites with high abundance of H. japonica and sites with low or no abundance. Similarity percentage analysis (SIMPER) showed that there were temporal changes in composition of the macroalgal communities, mainly caused by higher frequency of 'southern species' (species with a northern limit on our coast). There was a significant increase in the percentage share of such species in the reinvestigations. The temporal differences observed are most likely caused by several warm summers/autumns and mild winters since the first investigation, which may favour a higher abundance of 'southern species'. Heterosiphonia japonica was the most important species contributing to temporal dissimilarity in the area. This paper concludes that H. japonica has caused no negative impact on regional algal species richness in the relatively short time span since its introduction.</v>
      </c>
      <c r="C143" s="24" t="str">
        <f>IFERROR(__xludf.DUMMYFUNCTION("""COMPUTED_VALUE"""),"10.1080/17451000802232874")</f>
        <v>10.1080/17451000802232874</v>
      </c>
      <c r="D143" s="24" t="str">
        <f>IFERROR(__xludf.DUMMYFUNCTION("""COMPUTED_VALUE"""),"murphy et al")</f>
        <v>murphy et al</v>
      </c>
      <c r="E143" s="24" t="str">
        <f>IFERROR(__xludf.DUMMYFUNCTION("""COMPUTED_VALUE"""),"WOS:000261299100002")</f>
        <v>WOS:000261299100002</v>
      </c>
      <c r="F143" s="24" t="str">
        <f>IFERROR(__xludf.DUMMYFUNCTION("""COMPUTED_VALUE"""),"[""ELIGIBLE""]")</f>
        <v>["ELIGIBLE"]</v>
      </c>
    </row>
    <row r="144">
      <c r="A144" s="24"/>
      <c r="B144" s="24"/>
      <c r="C144" s="24"/>
      <c r="D144" s="24"/>
      <c r="E144" s="24"/>
      <c r="F144" s="24"/>
    </row>
    <row r="145">
      <c r="A145" s="24"/>
      <c r="B145" s="24"/>
      <c r="C145" s="24"/>
      <c r="D145" s="24"/>
      <c r="E145" s="24"/>
      <c r="F145" s="24"/>
    </row>
    <row r="146">
      <c r="A146" s="24"/>
      <c r="B146" s="24"/>
      <c r="C146" s="24"/>
      <c r="D146" s="24"/>
      <c r="E146" s="24"/>
      <c r="F146" s="24"/>
    </row>
    <row r="147">
      <c r="A147" s="24"/>
      <c r="B147" s="24"/>
      <c r="C147" s="24"/>
      <c r="D147" s="24"/>
      <c r="E147" s="24"/>
      <c r="F147" s="24"/>
    </row>
    <row r="148">
      <c r="A148" s="24"/>
      <c r="B148" s="24"/>
      <c r="C148" s="24"/>
      <c r="D148" s="24"/>
      <c r="E148" s="24"/>
      <c r="F148" s="24"/>
    </row>
    <row r="149">
      <c r="A149" s="24"/>
      <c r="B149" s="24"/>
      <c r="C149" s="24"/>
      <c r="D149" s="24"/>
      <c r="E149" s="24"/>
      <c r="F149" s="24"/>
    </row>
    <row r="150">
      <c r="A150" s="24"/>
      <c r="B150" s="24"/>
      <c r="C150" s="24"/>
      <c r="D150" s="24"/>
      <c r="E150" s="24"/>
      <c r="F150" s="24"/>
    </row>
    <row r="151">
      <c r="A151" s="24"/>
      <c r="B151" s="24"/>
      <c r="C151" s="24"/>
      <c r="D151" s="24"/>
      <c r="E151" s="24"/>
      <c r="F151" s="24"/>
    </row>
    <row r="152">
      <c r="A152" s="24"/>
      <c r="B152" s="24"/>
      <c r="C152" s="24"/>
      <c r="D152" s="24"/>
      <c r="E152" s="24"/>
      <c r="F152" s="24"/>
    </row>
    <row r="153">
      <c r="A153" s="24"/>
      <c r="B153" s="24"/>
      <c r="C153" s="24"/>
      <c r="D153" s="24"/>
      <c r="E153" s="24"/>
      <c r="F153" s="24"/>
    </row>
    <row r="154">
      <c r="A154" s="24"/>
      <c r="B154" s="24"/>
      <c r="C154" s="24"/>
      <c r="D154" s="24"/>
      <c r="E154" s="24"/>
      <c r="F154" s="24"/>
    </row>
    <row r="155">
      <c r="A155" s="24"/>
      <c r="B155" s="24"/>
      <c r="C155" s="24"/>
      <c r="D155" s="24"/>
      <c r="E155" s="24"/>
      <c r="F155" s="24"/>
    </row>
    <row r="156">
      <c r="A156" s="24"/>
      <c r="B156" s="24"/>
      <c r="C156" s="24"/>
      <c r="D156" s="24"/>
      <c r="E156" s="24"/>
      <c r="F156" s="24"/>
    </row>
    <row r="157">
      <c r="A157" s="24"/>
      <c r="B157" s="24"/>
      <c r="C157" s="24"/>
      <c r="D157" s="24"/>
      <c r="E157" s="24"/>
      <c r="F157" s="24"/>
    </row>
    <row r="158">
      <c r="A158" s="24"/>
      <c r="B158" s="24"/>
      <c r="C158" s="24"/>
      <c r="D158" s="24"/>
      <c r="E158" s="24"/>
      <c r="F158" s="24"/>
    </row>
    <row r="159">
      <c r="A159" s="24"/>
      <c r="B159" s="24"/>
      <c r="C159" s="24"/>
      <c r="D159" s="24"/>
      <c r="E159" s="24"/>
      <c r="F159" s="24"/>
    </row>
    <row r="160">
      <c r="A160" s="24"/>
      <c r="B160" s="24"/>
      <c r="C160" s="24"/>
      <c r="D160" s="24"/>
      <c r="E160" s="24"/>
      <c r="F160" s="24"/>
    </row>
    <row r="161">
      <c r="A161" s="24"/>
      <c r="B161" s="24"/>
      <c r="C161" s="24"/>
      <c r="D161" s="24"/>
      <c r="E161" s="24"/>
      <c r="F161" s="24"/>
    </row>
    <row r="162">
      <c r="A162" s="24"/>
      <c r="B162" s="24"/>
      <c r="C162" s="24"/>
      <c r="D162" s="24"/>
      <c r="E162" s="24"/>
      <c r="F162" s="24"/>
    </row>
    <row r="163">
      <c r="A163" s="24"/>
      <c r="B163" s="24"/>
      <c r="C163" s="24"/>
      <c r="D163" s="24"/>
      <c r="E163" s="24"/>
      <c r="F163" s="24"/>
    </row>
    <row r="164">
      <c r="A164" s="24"/>
      <c r="B164" s="24"/>
      <c r="C164" s="24"/>
      <c r="D164" s="24"/>
      <c r="E164" s="24"/>
      <c r="F164" s="24"/>
    </row>
    <row r="165">
      <c r="A165" s="24"/>
      <c r="B165" s="24"/>
      <c r="C165" s="24"/>
      <c r="D165" s="24"/>
      <c r="E165" s="24"/>
      <c r="F165" s="24"/>
    </row>
    <row r="166">
      <c r="A166" s="24"/>
      <c r="B166" s="24"/>
      <c r="C166" s="24"/>
      <c r="D166" s="24"/>
      <c r="E166" s="24"/>
      <c r="F166" s="24"/>
    </row>
    <row r="167">
      <c r="A167" s="24"/>
      <c r="B167" s="24"/>
      <c r="C167" s="24"/>
      <c r="D167" s="24"/>
      <c r="E167" s="24"/>
      <c r="F167" s="24"/>
    </row>
    <row r="168">
      <c r="A168" s="24"/>
      <c r="B168" s="24"/>
      <c r="C168" s="24"/>
      <c r="D168" s="24"/>
      <c r="E168" s="24"/>
      <c r="F168" s="24"/>
    </row>
    <row r="169">
      <c r="A169" s="24"/>
      <c r="B169" s="24"/>
      <c r="C169" s="24"/>
      <c r="D169" s="24"/>
      <c r="E169" s="24"/>
      <c r="F169" s="24"/>
    </row>
    <row r="170">
      <c r="A170" s="24"/>
      <c r="B170" s="24"/>
      <c r="C170" s="24"/>
      <c r="D170" s="24"/>
      <c r="E170" s="24"/>
      <c r="F170" s="24"/>
    </row>
    <row r="171">
      <c r="A171" s="24"/>
      <c r="B171" s="24"/>
      <c r="C171" s="24"/>
      <c r="D171" s="24"/>
      <c r="E171" s="24"/>
      <c r="F171" s="24"/>
    </row>
    <row r="172">
      <c r="A172" s="24"/>
      <c r="B172" s="24"/>
      <c r="C172" s="24"/>
      <c r="D172" s="24"/>
      <c r="E172" s="24"/>
      <c r="F172" s="24"/>
    </row>
    <row r="173">
      <c r="A173" s="24"/>
      <c r="B173" s="24"/>
      <c r="C173" s="24"/>
      <c r="D173" s="24"/>
      <c r="E173" s="24"/>
      <c r="F173" s="24"/>
    </row>
    <row r="174">
      <c r="A174" s="24"/>
      <c r="B174" s="24"/>
      <c r="C174" s="24"/>
      <c r="D174" s="24"/>
      <c r="E174" s="24"/>
      <c r="F174" s="24"/>
    </row>
    <row r="175">
      <c r="A175" s="24"/>
      <c r="B175" s="24"/>
      <c r="C175" s="24"/>
      <c r="D175" s="24"/>
      <c r="E175" s="24"/>
      <c r="F175" s="24"/>
    </row>
    <row r="176">
      <c r="A176" s="24"/>
      <c r="B176" s="24"/>
      <c r="C176" s="24"/>
      <c r="D176" s="24"/>
      <c r="E176" s="24"/>
      <c r="F176" s="24"/>
    </row>
    <row r="177">
      <c r="A177" s="24"/>
      <c r="B177" s="24"/>
      <c r="C177" s="24"/>
      <c r="D177" s="24"/>
      <c r="E177" s="24"/>
      <c r="F177" s="24"/>
    </row>
    <row r="178">
      <c r="A178" s="24"/>
      <c r="B178" s="24"/>
      <c r="C178" s="24"/>
      <c r="D178" s="24"/>
      <c r="E178" s="24"/>
      <c r="F178" s="24"/>
    </row>
    <row r="179">
      <c r="A179" s="24"/>
      <c r="B179" s="24"/>
      <c r="C179" s="24"/>
      <c r="D179" s="24"/>
      <c r="E179" s="24"/>
      <c r="F179" s="24"/>
    </row>
    <row r="180">
      <c r="A180" s="24"/>
      <c r="B180" s="24"/>
      <c r="C180" s="24"/>
      <c r="D180" s="24"/>
      <c r="E180" s="24"/>
      <c r="F180" s="24"/>
    </row>
    <row r="181">
      <c r="A181" s="24"/>
      <c r="B181" s="24"/>
      <c r="C181" s="24"/>
      <c r="D181" s="24"/>
      <c r="E181" s="24"/>
      <c r="F181" s="24"/>
    </row>
    <row r="182">
      <c r="A182" s="24"/>
      <c r="B182" s="24"/>
      <c r="C182" s="24"/>
      <c r="D182" s="24"/>
      <c r="E182" s="24"/>
      <c r="F182" s="24"/>
    </row>
    <row r="183">
      <c r="A183" s="24"/>
      <c r="B183" s="24"/>
      <c r="C183" s="24"/>
      <c r="D183" s="24"/>
      <c r="E183" s="24"/>
      <c r="F183" s="24"/>
    </row>
    <row r="184">
      <c r="A184" s="24"/>
      <c r="B184" s="24"/>
      <c r="C184" s="24"/>
      <c r="D184" s="24"/>
      <c r="E184" s="24"/>
      <c r="F184" s="24"/>
    </row>
    <row r="185">
      <c r="A185" s="24"/>
      <c r="B185" s="24"/>
      <c r="C185" s="24"/>
      <c r="D185" s="24"/>
      <c r="E185" s="24"/>
      <c r="F185" s="24"/>
    </row>
    <row r="186">
      <c r="A186" s="24"/>
      <c r="B186" s="24"/>
      <c r="C186" s="24"/>
      <c r="D186" s="24"/>
      <c r="E186" s="24"/>
      <c r="F186" s="24"/>
    </row>
    <row r="187">
      <c r="A187" s="24"/>
      <c r="B187" s="24"/>
      <c r="C187" s="24"/>
      <c r="D187" s="24"/>
      <c r="E187" s="24"/>
      <c r="F187" s="24"/>
    </row>
    <row r="188">
      <c r="A188" s="24"/>
      <c r="B188" s="24"/>
      <c r="C188" s="24"/>
      <c r="D188" s="24"/>
      <c r="E188" s="24"/>
      <c r="F188" s="24"/>
    </row>
    <row r="189">
      <c r="A189" s="24"/>
      <c r="B189" s="24"/>
      <c r="C189" s="24"/>
      <c r="D189" s="24"/>
      <c r="E189" s="24"/>
      <c r="F189" s="24"/>
    </row>
    <row r="190">
      <c r="A190" s="24"/>
      <c r="B190" s="24"/>
      <c r="C190" s="24"/>
      <c r="D190" s="24"/>
      <c r="E190" s="24"/>
      <c r="F190" s="24"/>
    </row>
    <row r="191">
      <c r="A191" s="24"/>
      <c r="B191" s="24"/>
      <c r="C191" s="24"/>
      <c r="D191" s="24"/>
      <c r="E191" s="24"/>
      <c r="F191" s="24"/>
    </row>
    <row r="192">
      <c r="A192" s="24"/>
      <c r="B192" s="24"/>
      <c r="C192" s="24"/>
      <c r="D192" s="24"/>
      <c r="E192" s="24"/>
      <c r="F192" s="24"/>
    </row>
    <row r="193">
      <c r="A193" s="24"/>
      <c r="B193" s="24"/>
      <c r="C193" s="24"/>
      <c r="D193" s="24"/>
      <c r="E193" s="24"/>
      <c r="F193" s="24"/>
    </row>
    <row r="194">
      <c r="A194" s="24"/>
      <c r="B194" s="24"/>
      <c r="C194" s="24"/>
      <c r="D194" s="24"/>
      <c r="E194" s="24"/>
      <c r="F194" s="24"/>
    </row>
    <row r="195">
      <c r="A195" s="24"/>
      <c r="B195" s="24"/>
      <c r="C195" s="24"/>
      <c r="D195" s="24"/>
      <c r="E195" s="24"/>
      <c r="F195" s="24"/>
    </row>
    <row r="196">
      <c r="A196" s="24"/>
      <c r="B196" s="24"/>
      <c r="C196" s="24"/>
      <c r="D196" s="24"/>
      <c r="E196" s="24"/>
      <c r="F196" s="24"/>
    </row>
    <row r="197">
      <c r="A197" s="24"/>
      <c r="B197" s="24"/>
      <c r="C197" s="24"/>
      <c r="D197" s="24"/>
      <c r="E197" s="24"/>
      <c r="F197" s="24"/>
    </row>
    <row r="198">
      <c r="A198" s="24"/>
      <c r="B198" s="24"/>
      <c r="C198" s="24"/>
      <c r="D198" s="24"/>
      <c r="E198" s="24"/>
      <c r="F198" s="24"/>
    </row>
    <row r="199">
      <c r="A199" s="24"/>
      <c r="B199" s="24"/>
      <c r="C199" s="24"/>
      <c r="D199" s="24"/>
      <c r="E199" s="24"/>
      <c r="F199" s="24"/>
    </row>
    <row r="200">
      <c r="A200" s="24"/>
      <c r="B200" s="24"/>
      <c r="C200" s="24"/>
      <c r="D200" s="24"/>
      <c r="E200" s="24"/>
      <c r="F200" s="24"/>
    </row>
    <row r="201">
      <c r="A201" s="24"/>
      <c r="B201" s="24"/>
      <c r="C201" s="24"/>
      <c r="D201" s="24"/>
      <c r="E201" s="24"/>
      <c r="F201" s="24"/>
    </row>
    <row r="202">
      <c r="A202" s="24"/>
      <c r="B202" s="24"/>
      <c r="C202" s="24"/>
      <c r="D202" s="24"/>
      <c r="E202" s="24"/>
      <c r="F202" s="24"/>
    </row>
    <row r="203">
      <c r="A203" s="24"/>
      <c r="B203" s="24"/>
      <c r="C203" s="24"/>
      <c r="D203" s="24"/>
      <c r="E203" s="24"/>
      <c r="F203" s="24"/>
    </row>
    <row r="204">
      <c r="A204" s="24"/>
      <c r="B204" s="24"/>
      <c r="C204" s="24"/>
      <c r="D204" s="24"/>
      <c r="E204" s="24"/>
      <c r="F204" s="24"/>
    </row>
    <row r="205">
      <c r="A205" s="24"/>
      <c r="B205" s="24"/>
      <c r="C205" s="24"/>
      <c r="D205" s="24"/>
      <c r="E205" s="24"/>
      <c r="F205" s="24"/>
    </row>
    <row r="206">
      <c r="A206" s="24"/>
      <c r="B206" s="24"/>
      <c r="C206" s="24"/>
      <c r="D206" s="24"/>
      <c r="E206" s="24"/>
      <c r="F206" s="24"/>
    </row>
    <row r="207">
      <c r="A207" s="24"/>
      <c r="B207" s="24"/>
      <c r="C207" s="24"/>
      <c r="D207" s="24"/>
      <c r="E207" s="24"/>
      <c r="F207" s="24"/>
    </row>
    <row r="208">
      <c r="A208" s="24"/>
      <c r="B208" s="24"/>
      <c r="C208" s="24"/>
      <c r="D208" s="24"/>
      <c r="E208" s="24"/>
      <c r="F208" s="24"/>
    </row>
    <row r="209">
      <c r="A209" s="24"/>
      <c r="B209" s="24"/>
      <c r="C209" s="24"/>
      <c r="D209" s="24"/>
      <c r="E209" s="24"/>
      <c r="F209" s="24"/>
    </row>
    <row r="210">
      <c r="A210" s="24"/>
      <c r="B210" s="24"/>
      <c r="C210" s="24"/>
      <c r="D210" s="24"/>
      <c r="E210" s="24"/>
      <c r="F210" s="24"/>
    </row>
    <row r="211">
      <c r="A211" s="24"/>
      <c r="B211" s="24"/>
      <c r="C211" s="24"/>
      <c r="D211" s="24"/>
      <c r="E211" s="24"/>
      <c r="F211" s="24"/>
    </row>
    <row r="212">
      <c r="A212" s="24"/>
      <c r="B212" s="24"/>
      <c r="C212" s="24"/>
      <c r="D212" s="24"/>
      <c r="E212" s="24"/>
      <c r="F212" s="24"/>
    </row>
    <row r="213">
      <c r="A213" s="24"/>
      <c r="B213" s="24"/>
      <c r="C213" s="24"/>
      <c r="D213" s="24"/>
      <c r="E213" s="24"/>
      <c r="F213" s="24"/>
    </row>
    <row r="214">
      <c r="A214" s="24"/>
      <c r="B214" s="24"/>
      <c r="C214" s="24"/>
      <c r="D214" s="24"/>
      <c r="E214" s="24"/>
      <c r="F214" s="24"/>
    </row>
    <row r="215">
      <c r="A215" s="24"/>
      <c r="B215" s="24"/>
      <c r="C215" s="24"/>
      <c r="D215" s="24"/>
      <c r="E215" s="24"/>
      <c r="F215" s="24"/>
    </row>
    <row r="216">
      <c r="A216" s="24"/>
      <c r="B216" s="24"/>
      <c r="C216" s="24"/>
      <c r="D216" s="24"/>
      <c r="E216" s="24"/>
      <c r="F216" s="24"/>
    </row>
    <row r="217">
      <c r="A217" s="24"/>
      <c r="B217" s="24"/>
      <c r="C217" s="24"/>
      <c r="D217" s="24"/>
      <c r="E217" s="24"/>
      <c r="F217" s="24"/>
    </row>
    <row r="218">
      <c r="A218" s="24"/>
      <c r="B218" s="24"/>
      <c r="C218" s="24"/>
      <c r="D218" s="24"/>
      <c r="E218" s="24"/>
      <c r="F218" s="24"/>
    </row>
    <row r="219">
      <c r="A219" s="24"/>
      <c r="B219" s="24"/>
      <c r="C219" s="24"/>
      <c r="D219" s="24"/>
      <c r="E219" s="24"/>
      <c r="F219" s="24"/>
    </row>
    <row r="220">
      <c r="A220" s="24"/>
      <c r="B220" s="24"/>
      <c r="C220" s="24"/>
      <c r="D220" s="24"/>
      <c r="E220" s="24"/>
      <c r="F220" s="24"/>
    </row>
    <row r="221">
      <c r="A221" s="24"/>
      <c r="B221" s="24"/>
      <c r="C221" s="24"/>
      <c r="D221" s="24"/>
      <c r="E221" s="24"/>
      <c r="F221" s="24"/>
    </row>
    <row r="222">
      <c r="A222" s="24"/>
      <c r="B222" s="24"/>
      <c r="C222" s="24"/>
      <c r="D222" s="24"/>
      <c r="E222" s="24"/>
      <c r="F222" s="24"/>
    </row>
    <row r="223">
      <c r="A223" s="24"/>
      <c r="B223" s="24"/>
      <c r="C223" s="24"/>
      <c r="D223" s="24"/>
      <c r="E223" s="24"/>
      <c r="F223" s="24"/>
    </row>
    <row r="224">
      <c r="A224" s="24"/>
      <c r="B224" s="24"/>
      <c r="C224" s="24"/>
      <c r="D224" s="24"/>
      <c r="E224" s="24"/>
      <c r="F224" s="24"/>
    </row>
    <row r="225">
      <c r="A225" s="24"/>
      <c r="B225" s="24"/>
      <c r="C225" s="24"/>
      <c r="D225" s="24"/>
      <c r="E225" s="24"/>
      <c r="F225" s="24"/>
    </row>
    <row r="226">
      <c r="A226" s="24"/>
      <c r="B226" s="24"/>
      <c r="C226" s="24"/>
      <c r="D226" s="24"/>
      <c r="E226" s="24"/>
      <c r="F226" s="24"/>
    </row>
    <row r="227">
      <c r="A227" s="24"/>
      <c r="B227" s="24"/>
      <c r="C227" s="24"/>
      <c r="D227" s="24"/>
      <c r="E227" s="24"/>
      <c r="F227" s="24"/>
    </row>
    <row r="228">
      <c r="A228" s="24"/>
      <c r="B228" s="24"/>
      <c r="C228" s="24"/>
      <c r="D228" s="24"/>
      <c r="E228" s="24"/>
      <c r="F228" s="24"/>
    </row>
    <row r="229">
      <c r="A229" s="24"/>
      <c r="B229" s="24"/>
      <c r="C229" s="24"/>
      <c r="D229" s="24"/>
      <c r="E229" s="24"/>
      <c r="F229" s="24"/>
    </row>
    <row r="230">
      <c r="A230" s="24"/>
      <c r="B230" s="24"/>
      <c r="C230" s="24"/>
      <c r="D230" s="24"/>
      <c r="E230" s="24"/>
      <c r="F230" s="24"/>
    </row>
    <row r="231">
      <c r="A231" s="24"/>
      <c r="B231" s="24"/>
      <c r="C231" s="24"/>
      <c r="D231" s="24"/>
      <c r="E231" s="24"/>
      <c r="F231" s="24"/>
    </row>
    <row r="232">
      <c r="A232" s="24"/>
      <c r="B232" s="24"/>
      <c r="C232" s="24"/>
      <c r="D232" s="24"/>
      <c r="E232" s="24"/>
      <c r="F232" s="24"/>
    </row>
    <row r="233">
      <c r="A233" s="24"/>
      <c r="B233" s="24"/>
      <c r="C233" s="24"/>
      <c r="D233" s="24"/>
      <c r="E233" s="24"/>
      <c r="F233" s="24"/>
    </row>
    <row r="234">
      <c r="A234" s="24"/>
      <c r="B234" s="24"/>
      <c r="C234" s="24"/>
      <c r="D234" s="24"/>
      <c r="E234" s="24"/>
      <c r="F234" s="24"/>
    </row>
    <row r="235">
      <c r="A235" s="24"/>
      <c r="B235" s="24"/>
      <c r="C235" s="24"/>
      <c r="D235" s="24"/>
      <c r="E235" s="24"/>
      <c r="F235" s="24"/>
    </row>
    <row r="236">
      <c r="A236" s="24"/>
      <c r="B236" s="24"/>
      <c r="C236" s="24"/>
      <c r="D236" s="24"/>
      <c r="E236" s="24"/>
      <c r="F236" s="24"/>
    </row>
    <row r="237">
      <c r="A237" s="24"/>
      <c r="B237" s="24"/>
      <c r="C237" s="24"/>
      <c r="D237" s="24"/>
      <c r="E237" s="24"/>
      <c r="F237" s="24"/>
    </row>
    <row r="238">
      <c r="A238" s="24"/>
      <c r="B238" s="24"/>
      <c r="C238" s="24"/>
      <c r="D238" s="24"/>
      <c r="E238" s="24"/>
      <c r="F238" s="24"/>
    </row>
    <row r="239">
      <c r="A239" s="24"/>
      <c r="B239" s="24"/>
      <c r="C239" s="24"/>
      <c r="D239" s="24"/>
      <c r="E239" s="24"/>
      <c r="F239" s="24"/>
    </row>
    <row r="240">
      <c r="A240" s="24"/>
      <c r="B240" s="24"/>
      <c r="C240" s="24"/>
      <c r="D240" s="24"/>
      <c r="E240" s="24"/>
      <c r="F240" s="24"/>
    </row>
    <row r="241">
      <c r="A241" s="24"/>
      <c r="B241" s="24"/>
      <c r="C241" s="24"/>
      <c r="D241" s="24"/>
      <c r="E241" s="24"/>
      <c r="F241" s="24"/>
    </row>
    <row r="242">
      <c r="A242" s="24"/>
      <c r="B242" s="24"/>
      <c r="C242" s="24"/>
      <c r="D242" s="24"/>
      <c r="E242" s="24"/>
      <c r="F242" s="24"/>
    </row>
    <row r="243">
      <c r="A243" s="24"/>
      <c r="B243" s="24"/>
      <c r="C243" s="24"/>
      <c r="D243" s="24"/>
      <c r="E243" s="24"/>
      <c r="F243" s="24"/>
    </row>
    <row r="244">
      <c r="A244" s="24"/>
      <c r="B244" s="24"/>
      <c r="C244" s="24"/>
      <c r="D244" s="24"/>
      <c r="E244" s="24"/>
      <c r="F244" s="24"/>
    </row>
    <row r="245">
      <c r="A245" s="24"/>
      <c r="B245" s="24"/>
      <c r="C245" s="24"/>
      <c r="D245" s="24"/>
      <c r="E245" s="24"/>
      <c r="F245" s="24"/>
    </row>
    <row r="246">
      <c r="A246" s="24"/>
      <c r="B246" s="24"/>
      <c r="C246" s="24"/>
      <c r="D246" s="24"/>
      <c r="E246" s="24"/>
      <c r="F246" s="24"/>
    </row>
    <row r="247">
      <c r="A247" s="24"/>
      <c r="B247" s="24"/>
      <c r="C247" s="24"/>
      <c r="D247" s="24"/>
      <c r="E247" s="24"/>
      <c r="F247" s="24"/>
    </row>
    <row r="248">
      <c r="A248" s="24"/>
      <c r="B248" s="24"/>
      <c r="C248" s="24"/>
      <c r="D248" s="24"/>
      <c r="E248" s="24"/>
      <c r="F248" s="24"/>
    </row>
    <row r="249">
      <c r="A249" s="24"/>
      <c r="B249" s="24"/>
      <c r="C249" s="24"/>
      <c r="D249" s="24"/>
      <c r="E249" s="24"/>
      <c r="F249" s="24"/>
    </row>
    <row r="250">
      <c r="A250" s="24"/>
      <c r="B250" s="24"/>
      <c r="C250" s="24"/>
      <c r="D250" s="24"/>
      <c r="E250" s="24"/>
      <c r="F250" s="24"/>
    </row>
    <row r="251">
      <c r="A251" s="24"/>
      <c r="B251" s="24"/>
      <c r="C251" s="24"/>
      <c r="D251" s="24"/>
      <c r="E251" s="24"/>
      <c r="F251" s="24"/>
    </row>
    <row r="252">
      <c r="A252" s="24"/>
      <c r="B252" s="24"/>
      <c r="C252" s="24"/>
      <c r="D252" s="24"/>
      <c r="E252" s="24"/>
      <c r="F252" s="24"/>
    </row>
    <row r="253">
      <c r="A253" s="24"/>
      <c r="B253" s="24"/>
      <c r="C253" s="24"/>
      <c r="D253" s="24"/>
      <c r="E253" s="24"/>
      <c r="F253" s="24"/>
    </row>
    <row r="254">
      <c r="A254" s="24"/>
      <c r="B254" s="24"/>
      <c r="C254" s="24"/>
      <c r="D254" s="24"/>
      <c r="E254" s="24"/>
      <c r="F254" s="24"/>
    </row>
    <row r="255">
      <c r="A255" s="24"/>
      <c r="B255" s="24"/>
      <c r="C255" s="24"/>
      <c r="D255" s="24"/>
      <c r="E255" s="24"/>
      <c r="F255" s="24"/>
    </row>
    <row r="256">
      <c r="A256" s="24"/>
      <c r="B256" s="24"/>
      <c r="C256" s="24"/>
      <c r="D256" s="24"/>
      <c r="E256" s="24"/>
      <c r="F256" s="24"/>
    </row>
    <row r="257">
      <c r="A257" s="24"/>
      <c r="B257" s="24"/>
      <c r="C257" s="24"/>
      <c r="D257" s="24"/>
      <c r="E257" s="24"/>
      <c r="F257" s="24"/>
    </row>
    <row r="258">
      <c r="A258" s="24"/>
      <c r="B258" s="24"/>
      <c r="C258" s="24"/>
      <c r="D258" s="24"/>
      <c r="E258" s="24"/>
      <c r="F258" s="24"/>
    </row>
    <row r="259">
      <c r="A259" s="24"/>
      <c r="B259" s="24"/>
      <c r="C259" s="24"/>
      <c r="D259" s="24"/>
      <c r="E259" s="24"/>
      <c r="F259" s="24"/>
    </row>
    <row r="260">
      <c r="A260" s="24"/>
      <c r="B260" s="24"/>
      <c r="C260" s="24"/>
      <c r="D260" s="24"/>
      <c r="E260" s="24"/>
      <c r="F260" s="24"/>
    </row>
    <row r="261">
      <c r="A261" s="24"/>
      <c r="B261" s="24"/>
      <c r="C261" s="24"/>
      <c r="D261" s="24"/>
      <c r="E261" s="24"/>
      <c r="F261" s="24"/>
    </row>
    <row r="262">
      <c r="A262" s="24"/>
      <c r="B262" s="24"/>
      <c r="C262" s="24"/>
      <c r="D262" s="24"/>
      <c r="E262" s="24"/>
      <c r="F262" s="24"/>
    </row>
    <row r="263">
      <c r="A263" s="24"/>
      <c r="B263" s="24"/>
      <c r="C263" s="24"/>
      <c r="D263" s="24"/>
      <c r="E263" s="24"/>
      <c r="F263" s="24"/>
    </row>
    <row r="264">
      <c r="A264" s="24"/>
      <c r="B264" s="24"/>
      <c r="C264" s="24"/>
      <c r="D264" s="24"/>
      <c r="E264" s="24"/>
      <c r="F264" s="24"/>
    </row>
    <row r="265">
      <c r="A265" s="24"/>
      <c r="B265" s="24"/>
      <c r="C265" s="24"/>
      <c r="D265" s="24"/>
      <c r="E265" s="24"/>
      <c r="F265" s="24"/>
    </row>
    <row r="266">
      <c r="A266" s="24"/>
      <c r="B266" s="24"/>
      <c r="C266" s="24"/>
      <c r="D266" s="24"/>
      <c r="E266" s="24"/>
      <c r="F266" s="24"/>
    </row>
    <row r="267">
      <c r="A267" s="24"/>
      <c r="B267" s="24"/>
      <c r="C267" s="24"/>
      <c r="D267" s="24"/>
      <c r="E267" s="24"/>
      <c r="F267" s="24"/>
    </row>
    <row r="268">
      <c r="A268" s="24"/>
      <c r="B268" s="24"/>
      <c r="C268" s="24"/>
      <c r="D268" s="24"/>
      <c r="E268" s="24"/>
      <c r="F268" s="24"/>
    </row>
    <row r="269">
      <c r="A269" s="24"/>
      <c r="B269" s="24"/>
      <c r="C269" s="24"/>
      <c r="D269" s="24"/>
      <c r="E269" s="24"/>
      <c r="F269" s="24"/>
    </row>
    <row r="270">
      <c r="A270" s="24"/>
      <c r="B270" s="24"/>
      <c r="C270" s="24"/>
      <c r="D270" s="24"/>
      <c r="E270" s="24"/>
      <c r="F270" s="24"/>
    </row>
    <row r="271">
      <c r="A271" s="24"/>
      <c r="B271" s="24"/>
      <c r="C271" s="24"/>
      <c r="D271" s="24"/>
      <c r="E271" s="24"/>
      <c r="F271" s="24"/>
    </row>
    <row r="272">
      <c r="A272" s="24"/>
      <c r="B272" s="24"/>
      <c r="C272" s="24"/>
      <c r="D272" s="24"/>
      <c r="E272" s="24"/>
      <c r="F272" s="24"/>
    </row>
    <row r="273">
      <c r="A273" s="24"/>
      <c r="B273" s="24"/>
      <c r="C273" s="24"/>
      <c r="D273" s="24"/>
      <c r="E273" s="24"/>
      <c r="F273" s="24"/>
    </row>
    <row r="274">
      <c r="A274" s="24"/>
      <c r="B274" s="24"/>
      <c r="C274" s="24"/>
      <c r="D274" s="24"/>
      <c r="E274" s="24"/>
      <c r="F274" s="24"/>
    </row>
    <row r="275">
      <c r="A275" s="24"/>
      <c r="B275" s="24"/>
      <c r="C275" s="24"/>
      <c r="D275" s="24"/>
      <c r="E275" s="24"/>
      <c r="F275" s="24"/>
    </row>
    <row r="276">
      <c r="A276" s="24"/>
      <c r="B276" s="24"/>
      <c r="C276" s="24"/>
      <c r="D276" s="24"/>
      <c r="E276" s="24"/>
      <c r="F276" s="24"/>
    </row>
    <row r="277">
      <c r="A277" s="24"/>
      <c r="B277" s="24"/>
      <c r="C277" s="24"/>
      <c r="D277" s="24"/>
      <c r="E277" s="24"/>
      <c r="F277" s="24"/>
    </row>
    <row r="278">
      <c r="A278" s="24"/>
      <c r="B278" s="24"/>
      <c r="C278" s="24"/>
      <c r="D278" s="24"/>
      <c r="E278" s="24"/>
      <c r="F278" s="24"/>
    </row>
    <row r="279">
      <c r="A279" s="24"/>
      <c r="B279" s="24"/>
      <c r="C279" s="24"/>
      <c r="D279" s="24"/>
      <c r="E279" s="24"/>
      <c r="F279" s="24"/>
    </row>
    <row r="280">
      <c r="A280" s="24"/>
      <c r="B280" s="24"/>
      <c r="C280" s="24"/>
      <c r="D280" s="24"/>
      <c r="E280" s="24"/>
      <c r="F280" s="24"/>
    </row>
    <row r="281">
      <c r="A281" s="24"/>
      <c r="B281" s="24"/>
      <c r="C281" s="24"/>
      <c r="D281" s="24"/>
      <c r="E281" s="24"/>
      <c r="F281" s="24"/>
    </row>
    <row r="282">
      <c r="A282" s="24"/>
      <c r="B282" s="24"/>
      <c r="C282" s="24"/>
      <c r="D282" s="24"/>
      <c r="E282" s="24"/>
      <c r="F282" s="24"/>
    </row>
    <row r="283">
      <c r="A283" s="24"/>
      <c r="B283" s="24"/>
      <c r="C283" s="24"/>
      <c r="D283" s="24"/>
      <c r="E283" s="24"/>
      <c r="F283" s="24"/>
    </row>
    <row r="284">
      <c r="A284" s="24"/>
      <c r="B284" s="24"/>
      <c r="C284" s="24"/>
      <c r="D284" s="24"/>
      <c r="E284" s="24"/>
      <c r="F284" s="24"/>
    </row>
    <row r="285">
      <c r="A285" s="24"/>
      <c r="B285" s="24"/>
      <c r="C285" s="24"/>
      <c r="D285" s="24"/>
      <c r="E285" s="24"/>
      <c r="F285" s="24"/>
    </row>
    <row r="286">
      <c r="A286" s="24"/>
      <c r="B286" s="24"/>
      <c r="C286" s="24"/>
      <c r="D286" s="24"/>
      <c r="E286" s="24"/>
      <c r="F286" s="24"/>
    </row>
    <row r="287">
      <c r="A287" s="24"/>
      <c r="B287" s="24"/>
      <c r="C287" s="24"/>
      <c r="D287" s="24"/>
      <c r="E287" s="24"/>
      <c r="F287" s="24"/>
    </row>
    <row r="288">
      <c r="A288" s="24"/>
      <c r="B288" s="24"/>
      <c r="C288" s="24"/>
      <c r="D288" s="24"/>
      <c r="E288" s="24"/>
      <c r="F288" s="24"/>
    </row>
    <row r="289">
      <c r="A289" s="24"/>
      <c r="B289" s="24"/>
      <c r="C289" s="24"/>
      <c r="D289" s="24"/>
      <c r="E289" s="24"/>
      <c r="F289" s="24"/>
    </row>
    <row r="290">
      <c r="A290" s="24"/>
      <c r="B290" s="24"/>
      <c r="C290" s="24"/>
      <c r="D290" s="24"/>
      <c r="E290" s="24"/>
      <c r="F290" s="24"/>
    </row>
    <row r="291">
      <c r="A291" s="24"/>
      <c r="B291" s="24"/>
      <c r="C291" s="24"/>
      <c r="D291" s="24"/>
      <c r="E291" s="24"/>
      <c r="F291" s="24"/>
    </row>
    <row r="292">
      <c r="A292" s="24"/>
      <c r="B292" s="24"/>
      <c r="C292" s="24"/>
      <c r="D292" s="24"/>
      <c r="E292" s="24"/>
      <c r="F292" s="24"/>
    </row>
    <row r="293">
      <c r="A293" s="24"/>
      <c r="B293" s="24"/>
      <c r="C293" s="24"/>
      <c r="D293" s="24"/>
      <c r="E293" s="24"/>
      <c r="F293" s="24"/>
    </row>
    <row r="294">
      <c r="A294" s="24"/>
      <c r="B294" s="24"/>
      <c r="C294" s="24"/>
      <c r="D294" s="24"/>
      <c r="E294" s="24"/>
      <c r="F294" s="24"/>
    </row>
    <row r="295">
      <c r="A295" s="24"/>
      <c r="B295" s="24"/>
      <c r="C295" s="24"/>
      <c r="D295" s="24"/>
      <c r="E295" s="24"/>
      <c r="F295" s="24"/>
    </row>
    <row r="296">
      <c r="A296" s="24"/>
      <c r="B296" s="24"/>
      <c r="C296" s="24"/>
      <c r="D296" s="24"/>
      <c r="E296" s="24"/>
      <c r="F296" s="24"/>
    </row>
    <row r="297">
      <c r="A297" s="24"/>
      <c r="B297" s="24"/>
      <c r="C297" s="24"/>
      <c r="D297" s="24"/>
      <c r="E297" s="24"/>
      <c r="F297" s="24"/>
    </row>
    <row r="298">
      <c r="A298" s="24"/>
      <c r="B298" s="24"/>
      <c r="C298" s="24"/>
      <c r="D298" s="24"/>
      <c r="E298" s="24"/>
      <c r="F298" s="24"/>
    </row>
    <row r="299">
      <c r="A299" s="24"/>
      <c r="B299" s="24"/>
      <c r="C299" s="24"/>
      <c r="D299" s="24"/>
      <c r="E299" s="24"/>
      <c r="F299" s="24"/>
    </row>
    <row r="300">
      <c r="A300" s="24"/>
      <c r="B300" s="24"/>
      <c r="C300" s="24"/>
      <c r="D300" s="24"/>
      <c r="E300" s="24"/>
      <c r="F300" s="24"/>
    </row>
    <row r="301">
      <c r="A301" s="24"/>
      <c r="B301" s="24"/>
      <c r="C301" s="24"/>
      <c r="D301" s="24"/>
      <c r="E301" s="24"/>
      <c r="F301" s="24"/>
    </row>
    <row r="302">
      <c r="A302" s="24"/>
      <c r="B302" s="24"/>
      <c r="C302" s="24"/>
      <c r="D302" s="24"/>
      <c r="E302" s="24"/>
      <c r="F302" s="24"/>
    </row>
    <row r="303">
      <c r="A303" s="24"/>
      <c r="B303" s="24"/>
      <c r="C303" s="24"/>
      <c r="D303" s="24"/>
      <c r="E303" s="24"/>
      <c r="F303" s="24"/>
    </row>
    <row r="304">
      <c r="A304" s="24"/>
      <c r="B304" s="24"/>
      <c r="C304" s="24"/>
      <c r="D304" s="24"/>
      <c r="E304" s="24"/>
      <c r="F304" s="24"/>
    </row>
    <row r="305">
      <c r="A305" s="24"/>
      <c r="B305" s="24"/>
      <c r="C305" s="24"/>
      <c r="D305" s="24"/>
      <c r="E305" s="24"/>
      <c r="F305" s="24"/>
    </row>
    <row r="306">
      <c r="A306" s="24"/>
      <c r="B306" s="24"/>
      <c r="C306" s="24"/>
      <c r="D306" s="24"/>
      <c r="E306" s="24"/>
      <c r="F306" s="24"/>
    </row>
    <row r="307">
      <c r="A307" s="24"/>
      <c r="B307" s="24"/>
      <c r="C307" s="24"/>
      <c r="D307" s="24"/>
      <c r="E307" s="24"/>
      <c r="F307" s="24"/>
    </row>
    <row r="308">
      <c r="A308" s="24"/>
      <c r="B308" s="24"/>
      <c r="C308" s="24"/>
      <c r="D308" s="24"/>
      <c r="E308" s="24"/>
      <c r="F308" s="24"/>
    </row>
    <row r="309">
      <c r="A309" s="24"/>
      <c r="B309" s="24"/>
      <c r="C309" s="24"/>
      <c r="D309" s="24"/>
      <c r="E309" s="24"/>
      <c r="F309" s="24"/>
    </row>
    <row r="310">
      <c r="A310" s="24"/>
      <c r="B310" s="24"/>
      <c r="C310" s="24"/>
      <c r="D310" s="24"/>
      <c r="E310" s="24"/>
      <c r="F310" s="24"/>
    </row>
    <row r="311">
      <c r="A311" s="24"/>
      <c r="B311" s="24"/>
      <c r="C311" s="24"/>
      <c r="D311" s="24"/>
      <c r="E311" s="24"/>
      <c r="F311" s="24"/>
    </row>
    <row r="312">
      <c r="A312" s="24"/>
      <c r="B312" s="24"/>
      <c r="C312" s="24"/>
      <c r="D312" s="24"/>
      <c r="E312" s="24"/>
      <c r="F312" s="24"/>
    </row>
    <row r="313">
      <c r="A313" s="24"/>
      <c r="B313" s="24"/>
      <c r="C313" s="24"/>
      <c r="D313" s="24"/>
      <c r="E313" s="24"/>
      <c r="F313" s="24"/>
    </row>
    <row r="314">
      <c r="A314" s="24"/>
      <c r="B314" s="24"/>
      <c r="C314" s="24"/>
      <c r="D314" s="24"/>
      <c r="E314" s="24"/>
      <c r="F314" s="24"/>
    </row>
    <row r="315">
      <c r="A315" s="24"/>
      <c r="B315" s="24"/>
      <c r="C315" s="24"/>
      <c r="D315" s="24"/>
      <c r="E315" s="24"/>
      <c r="F315" s="24"/>
    </row>
    <row r="316">
      <c r="A316" s="24"/>
      <c r="B316" s="24"/>
      <c r="C316" s="24"/>
      <c r="D316" s="24"/>
      <c r="E316" s="24"/>
      <c r="F316" s="24"/>
    </row>
    <row r="317">
      <c r="A317" s="24"/>
      <c r="B317" s="24"/>
      <c r="C317" s="24"/>
      <c r="D317" s="24"/>
      <c r="E317" s="24"/>
      <c r="F317" s="24"/>
    </row>
    <row r="318">
      <c r="A318" s="24"/>
      <c r="B318" s="24"/>
      <c r="C318" s="24"/>
      <c r="D318" s="24"/>
      <c r="E318" s="24"/>
      <c r="F318" s="24"/>
    </row>
    <row r="319">
      <c r="A319" s="24"/>
      <c r="B319" s="24"/>
      <c r="C319" s="24"/>
      <c r="D319" s="24"/>
      <c r="E319" s="24"/>
      <c r="F319" s="24"/>
    </row>
    <row r="320">
      <c r="A320" s="24"/>
      <c r="B320" s="24"/>
      <c r="C320" s="24"/>
      <c r="D320" s="24"/>
      <c r="E320" s="24"/>
      <c r="F320" s="24"/>
    </row>
    <row r="321">
      <c r="A321" s="24"/>
      <c r="B321" s="24"/>
      <c r="C321" s="24"/>
      <c r="D321" s="24"/>
      <c r="E321" s="24"/>
      <c r="F321" s="24"/>
    </row>
    <row r="322">
      <c r="A322" s="24"/>
      <c r="B322" s="24"/>
      <c r="C322" s="24"/>
      <c r="D322" s="24"/>
      <c r="E322" s="24"/>
      <c r="F322" s="24"/>
    </row>
    <row r="323">
      <c r="A323" s="24"/>
      <c r="B323" s="24"/>
      <c r="C323" s="24"/>
      <c r="D323" s="24"/>
      <c r="E323" s="24"/>
      <c r="F323" s="24"/>
    </row>
    <row r="324">
      <c r="A324" s="24"/>
      <c r="B324" s="24"/>
      <c r="C324" s="24"/>
      <c r="D324" s="24"/>
      <c r="E324" s="24"/>
      <c r="F324" s="24"/>
    </row>
    <row r="325">
      <c r="A325" s="24"/>
      <c r="B325" s="24"/>
      <c r="C325" s="24"/>
      <c r="D325" s="24"/>
      <c r="E325" s="24"/>
      <c r="F325" s="24"/>
    </row>
    <row r="326">
      <c r="A326" s="24"/>
      <c r="B326" s="24"/>
      <c r="C326" s="24"/>
      <c r="D326" s="24"/>
      <c r="E326" s="24"/>
      <c r="F326" s="24"/>
    </row>
    <row r="327">
      <c r="A327" s="24"/>
      <c r="B327" s="24"/>
      <c r="C327" s="24"/>
      <c r="D327" s="24"/>
      <c r="E327" s="24"/>
      <c r="F327" s="24"/>
    </row>
    <row r="328">
      <c r="A328" s="24"/>
      <c r="B328" s="24"/>
      <c r="C328" s="24"/>
      <c r="D328" s="24"/>
      <c r="E328" s="24"/>
      <c r="F328" s="24"/>
    </row>
    <row r="329">
      <c r="A329" s="24"/>
      <c r="B329" s="24"/>
      <c r="C329" s="24"/>
      <c r="D329" s="24"/>
      <c r="E329" s="24"/>
      <c r="F329" s="24"/>
    </row>
    <row r="330">
      <c r="A330" s="24"/>
      <c r="B330" s="24"/>
      <c r="C330" s="24"/>
      <c r="D330" s="24"/>
      <c r="E330" s="24"/>
      <c r="F330" s="24"/>
    </row>
    <row r="331">
      <c r="A331" s="24"/>
      <c r="B331" s="24"/>
      <c r="C331" s="24"/>
      <c r="D331" s="24"/>
      <c r="E331" s="24"/>
      <c r="F331" s="24"/>
    </row>
    <row r="332">
      <c r="A332" s="24"/>
      <c r="B332" s="24"/>
      <c r="C332" s="24"/>
      <c r="D332" s="24"/>
      <c r="E332" s="24"/>
      <c r="F332" s="24"/>
    </row>
    <row r="333">
      <c r="A333" s="24"/>
      <c r="B333" s="24"/>
      <c r="C333" s="24"/>
      <c r="D333" s="24"/>
      <c r="E333" s="24"/>
      <c r="F333" s="24"/>
    </row>
    <row r="334">
      <c r="A334" s="24"/>
      <c r="B334" s="24"/>
      <c r="C334" s="24"/>
      <c r="D334" s="24"/>
      <c r="E334" s="24"/>
      <c r="F334" s="24"/>
    </row>
    <row r="335">
      <c r="A335" s="24"/>
      <c r="B335" s="24"/>
      <c r="C335" s="24"/>
      <c r="D335" s="24"/>
      <c r="E335" s="24"/>
      <c r="F335" s="24"/>
    </row>
    <row r="336">
      <c r="A336" s="24"/>
      <c r="B336" s="24"/>
      <c r="C336" s="24"/>
      <c r="D336" s="24"/>
      <c r="E336" s="24"/>
      <c r="F336" s="24"/>
    </row>
    <row r="337">
      <c r="A337" s="24"/>
      <c r="B337" s="24"/>
      <c r="C337" s="24"/>
      <c r="D337" s="24"/>
      <c r="E337" s="24"/>
      <c r="F337" s="24"/>
    </row>
    <row r="338">
      <c r="A338" s="24"/>
      <c r="B338" s="24"/>
      <c r="C338" s="24"/>
      <c r="D338" s="24"/>
      <c r="E338" s="24"/>
      <c r="F338" s="24"/>
    </row>
    <row r="339">
      <c r="A339" s="24"/>
      <c r="B339" s="24"/>
      <c r="C339" s="24"/>
      <c r="D339" s="24"/>
      <c r="E339" s="24"/>
      <c r="F339" s="24"/>
    </row>
    <row r="340">
      <c r="A340" s="24"/>
      <c r="B340" s="24"/>
      <c r="C340" s="24"/>
      <c r="D340" s="24"/>
      <c r="E340" s="24"/>
      <c r="F340" s="24"/>
    </row>
    <row r="341">
      <c r="A341" s="24"/>
      <c r="B341" s="24"/>
      <c r="C341" s="24"/>
      <c r="D341" s="24"/>
      <c r="E341" s="24"/>
      <c r="F341" s="24"/>
    </row>
    <row r="342">
      <c r="A342" s="24"/>
      <c r="B342" s="24"/>
      <c r="C342" s="24"/>
      <c r="D342" s="24"/>
      <c r="E342" s="24"/>
      <c r="F342" s="24"/>
    </row>
    <row r="343">
      <c r="A343" s="24"/>
      <c r="B343" s="24"/>
      <c r="C343" s="24"/>
      <c r="D343" s="24"/>
      <c r="E343" s="24"/>
      <c r="F343" s="24"/>
    </row>
    <row r="344">
      <c r="A344" s="24"/>
      <c r="B344" s="24"/>
      <c r="C344" s="24"/>
      <c r="D344" s="24"/>
      <c r="E344" s="24"/>
      <c r="F344" s="24"/>
    </row>
    <row r="345">
      <c r="A345" s="24"/>
      <c r="B345" s="24"/>
      <c r="C345" s="24"/>
      <c r="D345" s="24"/>
      <c r="E345" s="24"/>
      <c r="F345" s="24"/>
    </row>
    <row r="346">
      <c r="A346" s="24"/>
      <c r="B346" s="24"/>
      <c r="C346" s="24"/>
      <c r="D346" s="24"/>
      <c r="E346" s="24"/>
      <c r="F346" s="24"/>
    </row>
    <row r="347">
      <c r="A347" s="24"/>
      <c r="B347" s="24"/>
      <c r="C347" s="24"/>
      <c r="D347" s="24"/>
      <c r="E347" s="24"/>
      <c r="F347" s="24"/>
    </row>
    <row r="348">
      <c r="A348" s="24"/>
      <c r="B348" s="24"/>
      <c r="C348" s="24"/>
      <c r="D348" s="24"/>
      <c r="E348" s="24"/>
      <c r="F348" s="24"/>
    </row>
    <row r="349">
      <c r="A349" s="24"/>
      <c r="B349" s="24"/>
      <c r="C349" s="24"/>
      <c r="D349" s="24"/>
      <c r="E349" s="24"/>
      <c r="F349" s="24"/>
    </row>
    <row r="350">
      <c r="A350" s="24"/>
      <c r="B350" s="24"/>
      <c r="C350" s="24"/>
      <c r="D350" s="24"/>
      <c r="E350" s="24"/>
      <c r="F350" s="24"/>
    </row>
    <row r="351">
      <c r="A351" s="24"/>
      <c r="B351" s="24"/>
      <c r="C351" s="24"/>
      <c r="D351" s="24"/>
      <c r="E351" s="24"/>
      <c r="F351" s="24"/>
    </row>
    <row r="352">
      <c r="A352" s="24"/>
      <c r="B352" s="24"/>
      <c r="C352" s="24"/>
      <c r="D352" s="24"/>
      <c r="E352" s="24"/>
      <c r="F352" s="24"/>
    </row>
    <row r="353">
      <c r="A353" s="24"/>
      <c r="B353" s="24"/>
      <c r="C353" s="24"/>
      <c r="D353" s="24"/>
      <c r="E353" s="24"/>
      <c r="F353" s="24"/>
    </row>
    <row r="354">
      <c r="A354" s="24"/>
      <c r="B354" s="24"/>
      <c r="C354" s="24"/>
      <c r="D354" s="24"/>
      <c r="E354" s="24"/>
      <c r="F354" s="24"/>
    </row>
    <row r="355">
      <c r="A355" s="24"/>
      <c r="B355" s="24"/>
      <c r="C355" s="24"/>
      <c r="D355" s="24"/>
      <c r="E355" s="24"/>
      <c r="F355" s="24"/>
    </row>
    <row r="356">
      <c r="A356" s="24"/>
      <c r="B356" s="24"/>
      <c r="C356" s="24"/>
      <c r="D356" s="24"/>
      <c r="E356" s="24"/>
      <c r="F356" s="24"/>
    </row>
    <row r="357">
      <c r="A357" s="24"/>
      <c r="B357" s="24"/>
      <c r="C357" s="24"/>
      <c r="D357" s="24"/>
      <c r="E357" s="24"/>
      <c r="F357" s="24"/>
    </row>
    <row r="358">
      <c r="A358" s="24"/>
      <c r="B358" s="24"/>
      <c r="C358" s="24"/>
      <c r="D358" s="24"/>
      <c r="E358" s="24"/>
      <c r="F358" s="24"/>
    </row>
    <row r="359">
      <c r="A359" s="24"/>
      <c r="B359" s="24"/>
      <c r="C359" s="24"/>
      <c r="D359" s="24"/>
      <c r="E359" s="24"/>
      <c r="F359" s="24"/>
    </row>
    <row r="360">
      <c r="A360" s="24"/>
      <c r="B360" s="24"/>
      <c r="C360" s="24"/>
      <c r="D360" s="24"/>
      <c r="E360" s="24"/>
      <c r="F360" s="24"/>
    </row>
    <row r="361">
      <c r="A361" s="24"/>
      <c r="B361" s="24"/>
      <c r="C361" s="24"/>
      <c r="D361" s="24"/>
      <c r="E361" s="24"/>
      <c r="F361" s="24"/>
    </row>
    <row r="362">
      <c r="A362" s="24"/>
      <c r="B362" s="24"/>
      <c r="C362" s="24"/>
      <c r="D362" s="24"/>
      <c r="E362" s="24"/>
      <c r="F362" s="24"/>
    </row>
    <row r="363">
      <c r="A363" s="24"/>
      <c r="B363" s="24"/>
      <c r="C363" s="24"/>
      <c r="D363" s="24"/>
      <c r="E363" s="24"/>
      <c r="F363" s="24"/>
    </row>
    <row r="364">
      <c r="A364" s="24"/>
      <c r="B364" s="24"/>
      <c r="C364" s="24"/>
      <c r="D364" s="24"/>
      <c r="E364" s="24"/>
      <c r="F364" s="24"/>
    </row>
    <row r="365">
      <c r="A365" s="24"/>
      <c r="B365" s="24"/>
      <c r="C365" s="24"/>
      <c r="D365" s="24"/>
      <c r="E365" s="24"/>
      <c r="F365" s="24"/>
    </row>
    <row r="366">
      <c r="A366" s="24"/>
      <c r="B366" s="24"/>
      <c r="C366" s="24"/>
      <c r="D366" s="24"/>
      <c r="E366" s="24"/>
      <c r="F366" s="24"/>
    </row>
    <row r="367">
      <c r="A367" s="24"/>
      <c r="B367" s="24"/>
      <c r="C367" s="24"/>
      <c r="D367" s="24"/>
      <c r="E367" s="24"/>
      <c r="F367" s="24"/>
    </row>
    <row r="368">
      <c r="A368" s="24"/>
      <c r="B368" s="24"/>
      <c r="C368" s="24"/>
      <c r="D368" s="24"/>
      <c r="E368" s="24"/>
      <c r="F368" s="24"/>
    </row>
    <row r="369">
      <c r="A369" s="24"/>
      <c r="B369" s="24"/>
      <c r="C369" s="24"/>
      <c r="D369" s="24"/>
      <c r="E369" s="24"/>
      <c r="F369" s="24"/>
    </row>
    <row r="370">
      <c r="A370" s="24"/>
      <c r="B370" s="24"/>
      <c r="C370" s="24"/>
      <c r="D370" s="24"/>
      <c r="E370" s="24"/>
      <c r="F370" s="24"/>
    </row>
    <row r="371">
      <c r="A371" s="24"/>
      <c r="B371" s="24"/>
      <c r="C371" s="24"/>
      <c r="D371" s="24"/>
      <c r="E371" s="24"/>
      <c r="F371" s="24"/>
    </row>
    <row r="372">
      <c r="A372" s="24"/>
      <c r="B372" s="24"/>
      <c r="C372" s="24"/>
      <c r="D372" s="24"/>
      <c r="E372" s="24"/>
      <c r="F372" s="24"/>
    </row>
    <row r="373">
      <c r="A373" s="24"/>
      <c r="B373" s="24"/>
      <c r="C373" s="24"/>
      <c r="D373" s="24"/>
      <c r="E373" s="24"/>
      <c r="F373" s="24"/>
    </row>
    <row r="374">
      <c r="A374" s="24"/>
      <c r="B374" s="24"/>
      <c r="C374" s="24"/>
      <c r="D374" s="24"/>
      <c r="E374" s="24"/>
      <c r="F374" s="24"/>
    </row>
    <row r="375">
      <c r="A375" s="24"/>
      <c r="B375" s="24"/>
      <c r="C375" s="24"/>
      <c r="D375" s="24"/>
      <c r="E375" s="24"/>
      <c r="F375" s="24"/>
    </row>
    <row r="376">
      <c r="A376" s="24"/>
      <c r="B376" s="24"/>
      <c r="C376" s="24"/>
      <c r="D376" s="24"/>
      <c r="E376" s="24"/>
      <c r="F376" s="24"/>
    </row>
    <row r="377">
      <c r="A377" s="24"/>
      <c r="B377" s="24"/>
      <c r="C377" s="24"/>
      <c r="D377" s="24"/>
      <c r="E377" s="24"/>
      <c r="F377" s="24"/>
    </row>
    <row r="378">
      <c r="A378" s="24"/>
      <c r="B378" s="24"/>
      <c r="C378" s="24"/>
      <c r="D378" s="24"/>
      <c r="E378" s="24"/>
      <c r="F378" s="24"/>
    </row>
    <row r="379">
      <c r="A379" s="24"/>
      <c r="B379" s="24"/>
      <c r="C379" s="24"/>
      <c r="D379" s="24"/>
      <c r="E379" s="24"/>
      <c r="F379" s="24"/>
    </row>
    <row r="380">
      <c r="A380" s="24"/>
      <c r="B380" s="24"/>
      <c r="C380" s="24"/>
      <c r="D380" s="24"/>
      <c r="E380" s="24"/>
      <c r="F380" s="24"/>
    </row>
    <row r="381">
      <c r="A381" s="24"/>
      <c r="B381" s="24"/>
      <c r="C381" s="24"/>
      <c r="D381" s="24"/>
      <c r="E381" s="24"/>
      <c r="F381" s="24"/>
    </row>
    <row r="382">
      <c r="A382" s="24"/>
      <c r="B382" s="24"/>
      <c r="C382" s="24"/>
      <c r="D382" s="24"/>
      <c r="E382" s="24"/>
      <c r="F382" s="24"/>
    </row>
    <row r="383">
      <c r="A383" s="24"/>
      <c r="B383" s="24"/>
      <c r="C383" s="24"/>
      <c r="D383" s="24"/>
      <c r="E383" s="24"/>
      <c r="F383" s="24"/>
    </row>
    <row r="384">
      <c r="A384" s="24"/>
      <c r="B384" s="24"/>
      <c r="C384" s="24"/>
      <c r="D384" s="24"/>
      <c r="E384" s="24"/>
      <c r="F384" s="24"/>
    </row>
    <row r="385">
      <c r="A385" s="24"/>
      <c r="B385" s="24"/>
      <c r="C385" s="24"/>
      <c r="D385" s="24"/>
      <c r="E385" s="24"/>
      <c r="F385" s="24"/>
    </row>
    <row r="386">
      <c r="A386" s="24"/>
      <c r="B386" s="24"/>
      <c r="C386" s="24"/>
      <c r="D386" s="24"/>
      <c r="E386" s="24"/>
      <c r="F386" s="24"/>
    </row>
    <row r="387">
      <c r="A387" s="24"/>
      <c r="B387" s="24"/>
      <c r="C387" s="24"/>
      <c r="D387" s="24"/>
      <c r="E387" s="24"/>
      <c r="F387" s="24"/>
    </row>
    <row r="388">
      <c r="A388" s="24"/>
      <c r="B388" s="24"/>
      <c r="C388" s="24"/>
      <c r="D388" s="24"/>
      <c r="E388" s="24"/>
      <c r="F388" s="24"/>
    </row>
    <row r="389">
      <c r="A389" s="24"/>
      <c r="B389" s="24"/>
      <c r="C389" s="24"/>
      <c r="D389" s="24"/>
      <c r="E389" s="24"/>
      <c r="F389" s="24"/>
    </row>
    <row r="390">
      <c r="A390" s="24"/>
      <c r="B390" s="24"/>
      <c r="C390" s="24"/>
      <c r="D390" s="24"/>
      <c r="E390" s="24"/>
      <c r="F390" s="24"/>
    </row>
    <row r="391">
      <c r="A391" s="24"/>
      <c r="B391" s="24"/>
      <c r="C391" s="24"/>
      <c r="D391" s="24"/>
      <c r="E391" s="24"/>
      <c r="F391" s="24"/>
    </row>
    <row r="392">
      <c r="A392" s="24"/>
      <c r="B392" s="24"/>
      <c r="C392" s="24"/>
      <c r="D392" s="24"/>
      <c r="E392" s="24"/>
      <c r="F392" s="24"/>
    </row>
    <row r="393">
      <c r="A393" s="24"/>
      <c r="B393" s="24"/>
      <c r="C393" s="24"/>
      <c r="D393" s="24"/>
      <c r="E393" s="24"/>
      <c r="F393" s="24"/>
    </row>
    <row r="394">
      <c r="A394" s="24"/>
      <c r="B394" s="24"/>
      <c r="C394" s="24"/>
      <c r="D394" s="24"/>
      <c r="E394" s="24"/>
      <c r="F394" s="24"/>
    </row>
    <row r="395">
      <c r="A395" s="24"/>
      <c r="B395" s="24"/>
      <c r="C395" s="24"/>
      <c r="D395" s="24"/>
      <c r="E395" s="24"/>
      <c r="F395" s="24"/>
    </row>
    <row r="396">
      <c r="A396" s="24"/>
      <c r="B396" s="24"/>
      <c r="C396" s="24"/>
      <c r="D396" s="24"/>
      <c r="E396" s="24"/>
      <c r="F396" s="24"/>
    </row>
    <row r="397">
      <c r="A397" s="24"/>
      <c r="B397" s="24"/>
      <c r="C397" s="24"/>
      <c r="D397" s="24"/>
      <c r="E397" s="24"/>
      <c r="F397" s="24"/>
    </row>
    <row r="398">
      <c r="A398" s="24"/>
      <c r="B398" s="24"/>
      <c r="C398" s="24"/>
      <c r="D398" s="24"/>
      <c r="E398" s="24"/>
      <c r="F398" s="24"/>
    </row>
    <row r="399">
      <c r="A399" s="24"/>
      <c r="B399" s="24"/>
      <c r="C399" s="24"/>
      <c r="D399" s="24"/>
      <c r="E399" s="24"/>
      <c r="F399" s="24"/>
    </row>
    <row r="400">
      <c r="A400" s="24"/>
      <c r="B400" s="24"/>
      <c r="C400" s="24"/>
      <c r="D400" s="24"/>
      <c r="E400" s="24"/>
      <c r="F400" s="24"/>
    </row>
    <row r="401">
      <c r="A401" s="24"/>
      <c r="B401" s="24"/>
      <c r="C401" s="24"/>
      <c r="D401" s="24"/>
      <c r="E401" s="24"/>
      <c r="F401" s="24"/>
    </row>
    <row r="402">
      <c r="A402" s="24"/>
      <c r="B402" s="24"/>
      <c r="C402" s="24"/>
      <c r="D402" s="24"/>
      <c r="E402" s="24"/>
      <c r="F402" s="24"/>
    </row>
    <row r="403">
      <c r="A403" s="24"/>
      <c r="B403" s="24"/>
      <c r="C403" s="24"/>
      <c r="D403" s="24"/>
      <c r="E403" s="24"/>
      <c r="F403" s="24"/>
    </row>
    <row r="404">
      <c r="A404" s="24"/>
      <c r="B404" s="24"/>
      <c r="C404" s="24"/>
      <c r="D404" s="24"/>
      <c r="E404" s="24"/>
      <c r="F404" s="24"/>
    </row>
    <row r="405">
      <c r="A405" s="24"/>
      <c r="B405" s="24"/>
      <c r="C405" s="24"/>
      <c r="D405" s="24"/>
      <c r="E405" s="24"/>
      <c r="F405" s="24"/>
    </row>
    <row r="406">
      <c r="A406" s="24"/>
      <c r="B406" s="24"/>
      <c r="C406" s="24"/>
      <c r="D406" s="24"/>
      <c r="E406" s="24"/>
      <c r="F406" s="24"/>
    </row>
    <row r="407">
      <c r="A407" s="24"/>
      <c r="B407" s="24"/>
      <c r="C407" s="24"/>
      <c r="D407" s="24"/>
      <c r="E407" s="24"/>
      <c r="F407" s="24"/>
    </row>
    <row r="408">
      <c r="A408" s="24"/>
      <c r="B408" s="24"/>
      <c r="C408" s="24"/>
      <c r="D408" s="24"/>
      <c r="E408" s="24"/>
      <c r="F408" s="24"/>
    </row>
    <row r="409">
      <c r="A409" s="24"/>
      <c r="B409" s="24"/>
      <c r="C409" s="24"/>
      <c r="D409" s="24"/>
      <c r="E409" s="24"/>
      <c r="F409" s="24"/>
    </row>
    <row r="410">
      <c r="A410" s="24"/>
      <c r="B410" s="24"/>
      <c r="C410" s="24"/>
      <c r="D410" s="24"/>
      <c r="E410" s="24"/>
      <c r="F410" s="24"/>
    </row>
    <row r="411">
      <c r="A411" s="24"/>
      <c r="B411" s="24"/>
      <c r="C411" s="24"/>
      <c r="D411" s="24"/>
      <c r="E411" s="24"/>
      <c r="F411" s="24"/>
    </row>
    <row r="412">
      <c r="A412" s="24"/>
      <c r="B412" s="24"/>
      <c r="C412" s="24"/>
      <c r="D412" s="24"/>
      <c r="E412" s="24"/>
      <c r="F412" s="24"/>
    </row>
    <row r="413">
      <c r="A413" s="24"/>
      <c r="B413" s="24"/>
      <c r="C413" s="24"/>
      <c r="D413" s="24"/>
      <c r="E413" s="24"/>
      <c r="F413" s="24"/>
    </row>
    <row r="414">
      <c r="A414" s="24"/>
      <c r="B414" s="24"/>
      <c r="C414" s="24"/>
      <c r="D414" s="24"/>
      <c r="E414" s="24"/>
      <c r="F414" s="24"/>
    </row>
    <row r="415">
      <c r="A415" s="24"/>
      <c r="B415" s="24"/>
      <c r="C415" s="24"/>
      <c r="D415" s="24"/>
      <c r="E415" s="24"/>
      <c r="F415" s="24"/>
    </row>
    <row r="416">
      <c r="A416" s="24"/>
      <c r="B416" s="24"/>
      <c r="C416" s="24"/>
      <c r="D416" s="24"/>
      <c r="E416" s="24"/>
      <c r="F416" s="24"/>
    </row>
    <row r="417">
      <c r="A417" s="24"/>
      <c r="B417" s="24"/>
      <c r="C417" s="24"/>
      <c r="D417" s="24"/>
      <c r="E417" s="24"/>
      <c r="F417" s="24"/>
    </row>
    <row r="418">
      <c r="A418" s="24"/>
      <c r="B418" s="24"/>
      <c r="C418" s="24"/>
      <c r="D418" s="24"/>
      <c r="E418" s="24"/>
      <c r="F418" s="24"/>
    </row>
    <row r="419">
      <c r="A419" s="24"/>
      <c r="B419" s="24"/>
      <c r="C419" s="24"/>
      <c r="D419" s="24"/>
      <c r="E419" s="24"/>
      <c r="F419" s="24"/>
    </row>
    <row r="420">
      <c r="A420" s="24"/>
      <c r="B420" s="24"/>
      <c r="C420" s="24"/>
      <c r="D420" s="24"/>
      <c r="E420" s="24"/>
      <c r="F420" s="24"/>
    </row>
    <row r="421">
      <c r="A421" s="24"/>
      <c r="B421" s="24"/>
      <c r="C421" s="24"/>
      <c r="D421" s="24"/>
      <c r="E421" s="24"/>
      <c r="F421" s="24"/>
    </row>
    <row r="422">
      <c r="A422" s="24"/>
      <c r="B422" s="24"/>
      <c r="C422" s="24"/>
      <c r="D422" s="24"/>
      <c r="E422" s="24"/>
      <c r="F422" s="24"/>
    </row>
    <row r="423">
      <c r="A423" s="24"/>
      <c r="B423" s="24"/>
      <c r="C423" s="24"/>
      <c r="D423" s="24"/>
      <c r="E423" s="24"/>
      <c r="F423" s="24"/>
    </row>
    <row r="424">
      <c r="A424" s="24"/>
      <c r="B424" s="24"/>
      <c r="C424" s="24"/>
      <c r="D424" s="24"/>
      <c r="E424" s="24"/>
      <c r="F424" s="24"/>
    </row>
    <row r="425">
      <c r="A425" s="24"/>
      <c r="B425" s="24"/>
      <c r="C425" s="24"/>
      <c r="D425" s="24"/>
      <c r="E425" s="24"/>
      <c r="F425" s="24"/>
    </row>
    <row r="426">
      <c r="A426" s="24"/>
      <c r="B426" s="24"/>
      <c r="C426" s="24"/>
      <c r="D426" s="24"/>
      <c r="E426" s="24"/>
      <c r="F426" s="24"/>
    </row>
    <row r="427">
      <c r="A427" s="24"/>
      <c r="B427" s="24"/>
      <c r="C427" s="24"/>
      <c r="D427" s="24"/>
      <c r="E427" s="24"/>
      <c r="F427" s="24"/>
    </row>
    <row r="428">
      <c r="A428" s="24"/>
      <c r="B428" s="24"/>
      <c r="C428" s="24"/>
      <c r="D428" s="24"/>
      <c r="E428" s="24"/>
      <c r="F428" s="24"/>
    </row>
    <row r="429">
      <c r="A429" s="24"/>
      <c r="B429" s="24"/>
      <c r="C429" s="24"/>
      <c r="D429" s="24"/>
      <c r="E429" s="24"/>
      <c r="F429" s="24"/>
    </row>
    <row r="430">
      <c r="A430" s="24"/>
      <c r="B430" s="24"/>
      <c r="C430" s="24"/>
      <c r="D430" s="24"/>
      <c r="E430" s="24"/>
      <c r="F430" s="24"/>
    </row>
    <row r="431">
      <c r="A431" s="24"/>
      <c r="B431" s="24"/>
      <c r="C431" s="24"/>
      <c r="D431" s="24"/>
      <c r="E431" s="24"/>
      <c r="F431" s="24"/>
    </row>
    <row r="432">
      <c r="A432" s="24"/>
      <c r="B432" s="24"/>
      <c r="C432" s="24"/>
      <c r="D432" s="24"/>
      <c r="E432" s="24"/>
      <c r="F432" s="24"/>
    </row>
    <row r="433">
      <c r="A433" s="24"/>
      <c r="B433" s="24"/>
      <c r="C433" s="24"/>
      <c r="D433" s="24"/>
      <c r="E433" s="24"/>
      <c r="F433" s="24"/>
    </row>
    <row r="434">
      <c r="A434" s="24"/>
      <c r="B434" s="24"/>
      <c r="C434" s="24"/>
      <c r="D434" s="24"/>
      <c r="E434" s="24"/>
      <c r="F434" s="24"/>
    </row>
    <row r="435">
      <c r="A435" s="24"/>
      <c r="B435" s="24"/>
      <c r="C435" s="24"/>
      <c r="D435" s="24"/>
      <c r="E435" s="24"/>
      <c r="F435" s="24"/>
    </row>
    <row r="436">
      <c r="A436" s="24"/>
      <c r="B436" s="24"/>
      <c r="C436" s="24"/>
      <c r="D436" s="24"/>
      <c r="E436" s="24"/>
      <c r="F436" s="24"/>
    </row>
    <row r="437">
      <c r="A437" s="24"/>
      <c r="B437" s="24"/>
      <c r="C437" s="24"/>
      <c r="D437" s="24"/>
      <c r="E437" s="24"/>
      <c r="F437" s="24"/>
    </row>
    <row r="438">
      <c r="A438" s="24"/>
      <c r="B438" s="24"/>
      <c r="C438" s="24"/>
      <c r="D438" s="24"/>
      <c r="E438" s="24"/>
      <c r="F438" s="24"/>
    </row>
    <row r="439">
      <c r="A439" s="24"/>
      <c r="B439" s="24"/>
      <c r="C439" s="24"/>
      <c r="D439" s="24"/>
      <c r="E439" s="24"/>
      <c r="F439" s="24"/>
    </row>
    <row r="440">
      <c r="A440" s="24"/>
      <c r="B440" s="24"/>
      <c r="C440" s="24"/>
      <c r="D440" s="24"/>
      <c r="E440" s="24"/>
      <c r="F440" s="24"/>
    </row>
    <row r="441">
      <c r="A441" s="24"/>
      <c r="B441" s="24"/>
      <c r="C441" s="24"/>
      <c r="D441" s="24"/>
      <c r="E441" s="24"/>
      <c r="F441" s="24"/>
    </row>
    <row r="442">
      <c r="A442" s="24"/>
      <c r="B442" s="24"/>
      <c r="C442" s="24"/>
      <c r="D442" s="24"/>
      <c r="E442" s="24"/>
      <c r="F442" s="24"/>
    </row>
    <row r="443">
      <c r="A443" s="24"/>
      <c r="B443" s="24"/>
      <c r="C443" s="24"/>
      <c r="D443" s="24"/>
      <c r="E443" s="24"/>
      <c r="F443" s="24"/>
    </row>
    <row r="444">
      <c r="A444" s="24"/>
      <c r="B444" s="24"/>
      <c r="C444" s="24"/>
      <c r="D444" s="24"/>
      <c r="E444" s="24"/>
      <c r="F444" s="24"/>
    </row>
    <row r="445">
      <c r="A445" s="24"/>
      <c r="B445" s="24"/>
      <c r="C445" s="24"/>
      <c r="D445" s="24"/>
      <c r="E445" s="24"/>
      <c r="F445" s="24"/>
    </row>
    <row r="446">
      <c r="A446" s="24"/>
      <c r="B446" s="24"/>
      <c r="C446" s="24"/>
      <c r="D446" s="24"/>
      <c r="E446" s="24"/>
      <c r="F446" s="24"/>
    </row>
    <row r="447">
      <c r="A447" s="24"/>
      <c r="B447" s="24"/>
      <c r="C447" s="24"/>
      <c r="D447" s="24"/>
      <c r="E447" s="24"/>
      <c r="F447" s="24"/>
    </row>
    <row r="448">
      <c r="A448" s="24"/>
      <c r="B448" s="24"/>
      <c r="C448" s="24"/>
      <c r="D448" s="24"/>
      <c r="E448" s="24"/>
      <c r="F448" s="24"/>
    </row>
    <row r="449">
      <c r="A449" s="24"/>
      <c r="B449" s="24"/>
      <c r="C449" s="24"/>
      <c r="D449" s="24"/>
      <c r="E449" s="24"/>
      <c r="F449" s="24"/>
    </row>
    <row r="450">
      <c r="A450" s="24"/>
      <c r="B450" s="24"/>
      <c r="C450" s="24"/>
      <c r="D450" s="24"/>
      <c r="E450" s="24"/>
      <c r="F450" s="24"/>
    </row>
    <row r="451">
      <c r="A451" s="24"/>
      <c r="B451" s="24"/>
      <c r="C451" s="24"/>
      <c r="D451" s="24"/>
      <c r="E451" s="24"/>
      <c r="F451" s="24"/>
    </row>
    <row r="452">
      <c r="A452" s="24"/>
      <c r="B452" s="24"/>
      <c r="C452" s="24"/>
      <c r="D452" s="24"/>
      <c r="E452" s="24"/>
      <c r="F452" s="24"/>
    </row>
    <row r="453">
      <c r="A453" s="24"/>
      <c r="B453" s="24"/>
      <c r="C453" s="24"/>
      <c r="D453" s="24"/>
      <c r="E453" s="24"/>
      <c r="F453" s="24"/>
    </row>
    <row r="454">
      <c r="A454" s="24"/>
      <c r="B454" s="24"/>
      <c r="C454" s="24"/>
      <c r="D454" s="24"/>
      <c r="E454" s="24"/>
      <c r="F454" s="24"/>
    </row>
    <row r="455">
      <c r="A455" s="24"/>
      <c r="B455" s="24"/>
      <c r="C455" s="24"/>
      <c r="D455" s="24"/>
      <c r="E455" s="24"/>
      <c r="F455" s="24"/>
    </row>
    <row r="456">
      <c r="A456" s="24"/>
      <c r="B456" s="24"/>
      <c r="C456" s="24"/>
      <c r="D456" s="24"/>
      <c r="E456" s="24"/>
      <c r="F456" s="24"/>
    </row>
    <row r="457">
      <c r="A457" s="24"/>
      <c r="B457" s="24"/>
      <c r="C457" s="24"/>
      <c r="D457" s="24"/>
      <c r="E457" s="24"/>
      <c r="F457" s="24"/>
    </row>
    <row r="458">
      <c r="A458" s="24"/>
      <c r="B458" s="24"/>
      <c r="C458" s="24"/>
      <c r="D458" s="24"/>
      <c r="E458" s="24"/>
      <c r="F458" s="24"/>
    </row>
    <row r="459">
      <c r="A459" s="24"/>
      <c r="B459" s="24"/>
      <c r="C459" s="24"/>
      <c r="D459" s="24"/>
      <c r="E459" s="24"/>
      <c r="F459" s="24"/>
    </row>
    <row r="460">
      <c r="A460" s="24"/>
      <c r="B460" s="24"/>
      <c r="C460" s="24"/>
      <c r="D460" s="24"/>
      <c r="E460" s="24"/>
      <c r="F460" s="24"/>
    </row>
    <row r="461">
      <c r="A461" s="24"/>
      <c r="B461" s="24"/>
      <c r="C461" s="24"/>
      <c r="D461" s="24"/>
      <c r="E461" s="24"/>
      <c r="F461" s="24"/>
    </row>
    <row r="462">
      <c r="A462" s="24"/>
      <c r="B462" s="24"/>
      <c r="C462" s="24"/>
      <c r="D462" s="24"/>
      <c r="E462" s="24"/>
      <c r="F462" s="24"/>
    </row>
    <row r="463">
      <c r="A463" s="24"/>
      <c r="B463" s="24"/>
      <c r="C463" s="24"/>
      <c r="D463" s="24"/>
      <c r="E463" s="24"/>
      <c r="F463" s="24"/>
    </row>
    <row r="464">
      <c r="A464" s="24"/>
      <c r="B464" s="24"/>
      <c r="C464" s="24"/>
      <c r="D464" s="24"/>
      <c r="E464" s="24"/>
      <c r="F464" s="24"/>
    </row>
    <row r="465">
      <c r="A465" s="24"/>
      <c r="B465" s="24"/>
      <c r="C465" s="24"/>
      <c r="D465" s="24"/>
      <c r="E465" s="24"/>
      <c r="F465" s="24"/>
    </row>
    <row r="466">
      <c r="A466" s="24"/>
      <c r="B466" s="24"/>
      <c r="C466" s="24"/>
      <c r="D466" s="24"/>
      <c r="E466" s="24"/>
      <c r="F466" s="24"/>
    </row>
    <row r="467">
      <c r="A467" s="24"/>
      <c r="B467" s="24"/>
      <c r="C467" s="24"/>
      <c r="D467" s="24"/>
      <c r="E467" s="24"/>
      <c r="F467" s="24"/>
    </row>
    <row r="468">
      <c r="A468" s="24"/>
      <c r="B468" s="24"/>
      <c r="C468" s="24"/>
      <c r="D468" s="24"/>
      <c r="E468" s="24"/>
      <c r="F468" s="24"/>
    </row>
    <row r="469">
      <c r="A469" s="24"/>
      <c r="B469" s="24"/>
      <c r="C469" s="24"/>
      <c r="D469" s="24"/>
      <c r="E469" s="24"/>
      <c r="F469" s="24"/>
    </row>
    <row r="470">
      <c r="A470" s="24"/>
      <c r="B470" s="24"/>
      <c r="C470" s="24"/>
      <c r="D470" s="24"/>
      <c r="E470" s="24"/>
      <c r="F470" s="24"/>
    </row>
    <row r="471">
      <c r="A471" s="24"/>
      <c r="B471" s="24"/>
      <c r="C471" s="24"/>
      <c r="D471" s="24"/>
      <c r="E471" s="24"/>
      <c r="F471" s="24"/>
    </row>
    <row r="472">
      <c r="A472" s="24"/>
      <c r="B472" s="24"/>
      <c r="C472" s="24"/>
      <c r="D472" s="24"/>
      <c r="E472" s="24"/>
      <c r="F472" s="24"/>
    </row>
    <row r="473">
      <c r="A473" s="24"/>
      <c r="B473" s="24"/>
      <c r="C473" s="24"/>
      <c r="D473" s="24"/>
      <c r="E473" s="24"/>
      <c r="F473" s="24"/>
    </row>
    <row r="474">
      <c r="A474" s="24"/>
      <c r="B474" s="24"/>
      <c r="C474" s="24"/>
      <c r="D474" s="24"/>
      <c r="E474" s="24"/>
      <c r="F474" s="24"/>
    </row>
    <row r="475">
      <c r="A475" s="24"/>
      <c r="B475" s="24"/>
      <c r="C475" s="24"/>
      <c r="D475" s="24"/>
      <c r="E475" s="24"/>
      <c r="F475" s="24"/>
    </row>
    <row r="476">
      <c r="A476" s="24"/>
      <c r="B476" s="24"/>
      <c r="C476" s="24"/>
      <c r="D476" s="24"/>
      <c r="E476" s="24"/>
      <c r="F476" s="24"/>
    </row>
    <row r="477">
      <c r="A477" s="24"/>
      <c r="B477" s="24"/>
      <c r="C477" s="24"/>
      <c r="D477" s="24"/>
      <c r="E477" s="24"/>
      <c r="F477" s="24"/>
    </row>
    <row r="478">
      <c r="A478" s="24"/>
      <c r="B478" s="24"/>
      <c r="C478" s="24"/>
      <c r="D478" s="24"/>
      <c r="E478" s="24"/>
      <c r="F478" s="24"/>
    </row>
    <row r="479">
      <c r="A479" s="24"/>
      <c r="B479" s="24"/>
      <c r="C479" s="24"/>
      <c r="D479" s="24"/>
      <c r="E479" s="24"/>
      <c r="F479" s="24"/>
    </row>
    <row r="480">
      <c r="A480" s="24"/>
      <c r="B480" s="24"/>
      <c r="C480" s="24"/>
      <c r="D480" s="24"/>
      <c r="E480" s="24"/>
      <c r="F480" s="24"/>
    </row>
    <row r="481">
      <c r="A481" s="24"/>
      <c r="B481" s="24"/>
      <c r="C481" s="24"/>
      <c r="D481" s="24"/>
      <c r="E481" s="24"/>
      <c r="F481" s="24"/>
    </row>
    <row r="482">
      <c r="A482" s="24"/>
      <c r="B482" s="24"/>
      <c r="C482" s="24"/>
      <c r="D482" s="24"/>
      <c r="E482" s="24"/>
      <c r="F482" s="24"/>
    </row>
    <row r="483">
      <c r="A483" s="24"/>
      <c r="B483" s="24"/>
      <c r="C483" s="24"/>
      <c r="D483" s="24"/>
      <c r="E483" s="24"/>
      <c r="F483" s="24"/>
    </row>
    <row r="484">
      <c r="A484" s="24"/>
      <c r="B484" s="24"/>
      <c r="C484" s="24"/>
      <c r="D484" s="24"/>
      <c r="E484" s="24"/>
      <c r="F484" s="24"/>
    </row>
    <row r="485">
      <c r="A485" s="24"/>
      <c r="B485" s="24"/>
      <c r="C485" s="24"/>
      <c r="D485" s="24"/>
      <c r="E485" s="24"/>
      <c r="F485" s="24"/>
    </row>
    <row r="486">
      <c r="A486" s="24"/>
      <c r="B486" s="24"/>
      <c r="C486" s="24"/>
      <c r="D486" s="24"/>
      <c r="E486" s="24"/>
      <c r="F486" s="24"/>
    </row>
    <row r="487">
      <c r="A487" s="24"/>
      <c r="B487" s="24"/>
      <c r="C487" s="24"/>
      <c r="D487" s="24"/>
      <c r="E487" s="24"/>
      <c r="F487" s="24"/>
    </row>
    <row r="488">
      <c r="A488" s="24"/>
      <c r="B488" s="24"/>
      <c r="C488" s="24"/>
      <c r="D488" s="24"/>
      <c r="E488" s="24"/>
      <c r="F488" s="24"/>
    </row>
    <row r="489">
      <c r="A489" s="24"/>
      <c r="B489" s="24"/>
      <c r="C489" s="24"/>
      <c r="D489" s="24"/>
      <c r="E489" s="24"/>
      <c r="F489" s="24"/>
    </row>
    <row r="490">
      <c r="A490" s="24"/>
      <c r="B490" s="24"/>
      <c r="C490" s="24"/>
      <c r="D490" s="24"/>
      <c r="E490" s="24"/>
      <c r="F490" s="24"/>
    </row>
    <row r="491">
      <c r="A491" s="24"/>
      <c r="B491" s="24"/>
      <c r="C491" s="24"/>
      <c r="D491" s="24"/>
      <c r="E491" s="24"/>
      <c r="F491" s="24"/>
    </row>
    <row r="492">
      <c r="A492" s="24"/>
      <c r="B492" s="24"/>
      <c r="C492" s="24"/>
      <c r="D492" s="24"/>
      <c r="E492" s="24"/>
      <c r="F492" s="24"/>
    </row>
    <row r="493">
      <c r="A493" s="24"/>
      <c r="B493" s="24"/>
      <c r="C493" s="24"/>
      <c r="D493" s="24"/>
      <c r="E493" s="24"/>
      <c r="F493" s="24"/>
    </row>
    <row r="494">
      <c r="A494" s="24"/>
      <c r="B494" s="24"/>
      <c r="C494" s="24"/>
      <c r="D494" s="24"/>
      <c r="E494" s="24"/>
      <c r="F494" s="24"/>
    </row>
    <row r="495">
      <c r="A495" s="24"/>
      <c r="B495" s="24"/>
      <c r="C495" s="24"/>
      <c r="D495" s="24"/>
      <c r="E495" s="24"/>
      <c r="F495" s="24"/>
    </row>
    <row r="496">
      <c r="A496" s="24"/>
      <c r="B496" s="24"/>
      <c r="C496" s="24"/>
      <c r="D496" s="24"/>
      <c r="E496" s="24"/>
      <c r="F496" s="24"/>
    </row>
    <row r="497">
      <c r="A497" s="24"/>
      <c r="B497" s="24"/>
      <c r="C497" s="24"/>
      <c r="D497" s="24"/>
      <c r="E497" s="24"/>
      <c r="F497" s="24"/>
    </row>
    <row r="498">
      <c r="A498" s="24"/>
      <c r="B498" s="24"/>
      <c r="C498" s="24"/>
      <c r="D498" s="24"/>
      <c r="E498" s="24"/>
      <c r="F498" s="24"/>
    </row>
    <row r="499">
      <c r="A499" s="24"/>
      <c r="B499" s="24"/>
      <c r="C499" s="24"/>
      <c r="D499" s="24"/>
      <c r="E499" s="24"/>
      <c r="F499" s="24"/>
    </row>
    <row r="500">
      <c r="A500" s="24"/>
      <c r="B500" s="24"/>
      <c r="C500" s="24"/>
      <c r="D500" s="24"/>
      <c r="E500" s="24"/>
      <c r="F500" s="24"/>
    </row>
    <row r="501">
      <c r="A501" s="24"/>
      <c r="B501" s="24"/>
      <c r="C501" s="24"/>
      <c r="D501" s="24"/>
      <c r="E501" s="24"/>
      <c r="F501" s="24"/>
    </row>
    <row r="502">
      <c r="A502" s="24"/>
      <c r="B502" s="24"/>
      <c r="C502" s="24"/>
      <c r="D502" s="24"/>
      <c r="E502" s="24"/>
      <c r="F502" s="24"/>
    </row>
    <row r="503">
      <c r="A503" s="24"/>
      <c r="B503" s="24"/>
      <c r="C503" s="24"/>
      <c r="D503" s="24"/>
      <c r="E503" s="24"/>
      <c r="F503" s="24"/>
    </row>
    <row r="504">
      <c r="A504" s="24"/>
      <c r="B504" s="24"/>
      <c r="C504" s="24"/>
      <c r="D504" s="24"/>
      <c r="E504" s="24"/>
      <c r="F504" s="24"/>
    </row>
    <row r="505">
      <c r="A505" s="24"/>
      <c r="B505" s="24"/>
      <c r="C505" s="24"/>
      <c r="D505" s="24"/>
      <c r="E505" s="24"/>
      <c r="F505" s="24"/>
    </row>
    <row r="506">
      <c r="A506" s="24"/>
      <c r="B506" s="24"/>
      <c r="C506" s="24"/>
      <c r="D506" s="24"/>
      <c r="E506" s="24"/>
      <c r="F506" s="24"/>
    </row>
    <row r="507">
      <c r="A507" s="24"/>
      <c r="B507" s="24"/>
      <c r="C507" s="24"/>
      <c r="D507" s="24"/>
      <c r="E507" s="24"/>
      <c r="F507" s="24"/>
    </row>
    <row r="508">
      <c r="A508" s="24"/>
      <c r="B508" s="24"/>
      <c r="C508" s="24"/>
      <c r="D508" s="24"/>
      <c r="E508" s="24"/>
      <c r="F508" s="24"/>
    </row>
    <row r="509">
      <c r="A509" s="24"/>
      <c r="B509" s="24"/>
      <c r="C509" s="24"/>
      <c r="D509" s="24"/>
      <c r="E509" s="24"/>
      <c r="F509" s="24"/>
    </row>
    <row r="510">
      <c r="A510" s="24"/>
      <c r="B510" s="24"/>
      <c r="C510" s="24"/>
      <c r="D510" s="24"/>
      <c r="E510" s="24"/>
      <c r="F510" s="24"/>
    </row>
    <row r="511">
      <c r="A511" s="24"/>
      <c r="B511" s="24"/>
      <c r="C511" s="24"/>
      <c r="D511" s="24"/>
      <c r="E511" s="24"/>
      <c r="F511" s="24"/>
    </row>
    <row r="512">
      <c r="A512" s="24"/>
      <c r="B512" s="24"/>
      <c r="C512" s="24"/>
      <c r="D512" s="24"/>
      <c r="E512" s="24"/>
      <c r="F512" s="24"/>
    </row>
    <row r="513">
      <c r="A513" s="24"/>
      <c r="B513" s="24"/>
      <c r="C513" s="24"/>
      <c r="D513" s="24"/>
      <c r="E513" s="24"/>
      <c r="F513" s="24"/>
    </row>
    <row r="514">
      <c r="A514" s="24"/>
      <c r="B514" s="24"/>
      <c r="C514" s="24"/>
      <c r="D514" s="24"/>
      <c r="E514" s="24"/>
      <c r="F514" s="24"/>
    </row>
    <row r="515">
      <c r="A515" s="24"/>
      <c r="B515" s="24"/>
      <c r="C515" s="24"/>
      <c r="D515" s="24"/>
      <c r="E515" s="24"/>
      <c r="F515" s="24"/>
    </row>
    <row r="516">
      <c r="A516" s="24"/>
      <c r="B516" s="24"/>
      <c r="C516" s="24"/>
      <c r="D516" s="24"/>
      <c r="E516" s="24"/>
      <c r="F516" s="24"/>
    </row>
    <row r="517">
      <c r="A517" s="24"/>
      <c r="B517" s="24"/>
      <c r="C517" s="24"/>
      <c r="D517" s="24"/>
      <c r="E517" s="24"/>
      <c r="F517" s="24"/>
    </row>
    <row r="518">
      <c r="A518" s="24"/>
      <c r="B518" s="24"/>
      <c r="C518" s="24"/>
      <c r="D518" s="24"/>
      <c r="E518" s="24"/>
      <c r="F518" s="24"/>
    </row>
    <row r="519">
      <c r="A519" s="24"/>
      <c r="B519" s="24"/>
      <c r="C519" s="24"/>
      <c r="D519" s="24"/>
      <c r="E519" s="24"/>
      <c r="F519" s="24"/>
    </row>
    <row r="520">
      <c r="A520" s="24"/>
      <c r="B520" s="24"/>
      <c r="C520" s="24"/>
      <c r="D520" s="24"/>
      <c r="E520" s="24"/>
      <c r="F520" s="24"/>
    </row>
    <row r="521">
      <c r="A521" s="24"/>
      <c r="B521" s="24"/>
      <c r="C521" s="24"/>
      <c r="D521" s="24"/>
      <c r="E521" s="24"/>
      <c r="F521" s="24"/>
    </row>
    <row r="522">
      <c r="A522" s="24"/>
      <c r="B522" s="24"/>
      <c r="C522" s="24"/>
      <c r="D522" s="24"/>
      <c r="E522" s="24"/>
      <c r="F522" s="24"/>
    </row>
    <row r="523">
      <c r="A523" s="24"/>
      <c r="B523" s="24"/>
      <c r="C523" s="24"/>
      <c r="D523" s="24"/>
      <c r="E523" s="24"/>
      <c r="F523" s="24"/>
    </row>
    <row r="524">
      <c r="A524" s="24"/>
      <c r="B524" s="24"/>
      <c r="C524" s="24"/>
      <c r="D524" s="24"/>
      <c r="E524" s="24"/>
      <c r="F524" s="24"/>
    </row>
    <row r="525">
      <c r="A525" s="24"/>
      <c r="B525" s="24"/>
      <c r="C525" s="24"/>
      <c r="D525" s="24"/>
      <c r="E525" s="24"/>
      <c r="F525" s="24"/>
    </row>
    <row r="526">
      <c r="A526" s="24"/>
      <c r="B526" s="24"/>
      <c r="C526" s="24"/>
      <c r="D526" s="24"/>
      <c r="E526" s="24"/>
      <c r="F526" s="24"/>
    </row>
    <row r="527">
      <c r="A527" s="24"/>
      <c r="B527" s="24"/>
      <c r="C527" s="24"/>
      <c r="D527" s="24"/>
      <c r="E527" s="24"/>
      <c r="F527" s="24"/>
    </row>
    <row r="528">
      <c r="A528" s="24"/>
      <c r="B528" s="24"/>
      <c r="C528" s="24"/>
      <c r="D528" s="24"/>
      <c r="E528" s="24"/>
      <c r="F528" s="24"/>
    </row>
    <row r="529">
      <c r="A529" s="24"/>
      <c r="B529" s="24"/>
      <c r="C529" s="24"/>
      <c r="D529" s="24"/>
      <c r="E529" s="24"/>
      <c r="F529" s="24"/>
    </row>
    <row r="530">
      <c r="A530" s="24"/>
      <c r="B530" s="24"/>
      <c r="C530" s="24"/>
      <c r="D530" s="24"/>
      <c r="E530" s="24"/>
      <c r="F530" s="24"/>
    </row>
    <row r="531">
      <c r="A531" s="24"/>
      <c r="B531" s="24"/>
      <c r="C531" s="24"/>
      <c r="D531" s="24"/>
      <c r="E531" s="24"/>
      <c r="F531" s="24"/>
    </row>
    <row r="532">
      <c r="A532" s="24"/>
      <c r="B532" s="24"/>
      <c r="C532" s="24"/>
      <c r="D532" s="24"/>
      <c r="E532" s="24"/>
      <c r="F532" s="24"/>
    </row>
    <row r="533">
      <c r="A533" s="24"/>
      <c r="B533" s="24"/>
      <c r="C533" s="24"/>
      <c r="D533" s="24"/>
      <c r="E533" s="24"/>
      <c r="F533" s="24"/>
    </row>
    <row r="534">
      <c r="A534" s="24"/>
      <c r="B534" s="24"/>
      <c r="C534" s="24"/>
      <c r="D534" s="24"/>
      <c r="E534" s="24"/>
      <c r="F534" s="24"/>
    </row>
    <row r="535">
      <c r="A535" s="24"/>
      <c r="B535" s="24"/>
      <c r="C535" s="24"/>
      <c r="D535" s="24"/>
      <c r="E535" s="24"/>
      <c r="F535" s="24"/>
    </row>
    <row r="536">
      <c r="A536" s="24"/>
      <c r="B536" s="24"/>
      <c r="C536" s="24"/>
      <c r="D536" s="24"/>
      <c r="E536" s="24"/>
      <c r="F536" s="24"/>
    </row>
    <row r="537">
      <c r="A537" s="24"/>
      <c r="B537" s="24"/>
      <c r="C537" s="24"/>
      <c r="D537" s="24"/>
      <c r="E537" s="24"/>
      <c r="F537" s="24"/>
    </row>
    <row r="538">
      <c r="A538" s="24"/>
      <c r="B538" s="24"/>
      <c r="C538" s="24"/>
      <c r="D538" s="24"/>
      <c r="E538" s="24"/>
      <c r="F538" s="24"/>
    </row>
    <row r="539">
      <c r="A539" s="24"/>
      <c r="B539" s="24"/>
      <c r="C539" s="24"/>
      <c r="D539" s="24"/>
      <c r="E539" s="24"/>
      <c r="F539" s="24"/>
    </row>
    <row r="540">
      <c r="A540" s="24"/>
      <c r="B540" s="24"/>
      <c r="C540" s="24"/>
      <c r="D540" s="24"/>
      <c r="E540" s="24"/>
      <c r="F540" s="24"/>
    </row>
    <row r="541">
      <c r="A541" s="24"/>
      <c r="B541" s="24"/>
      <c r="C541" s="24"/>
      <c r="D541" s="24"/>
      <c r="E541" s="24"/>
      <c r="F541" s="24"/>
    </row>
    <row r="542">
      <c r="A542" s="24"/>
      <c r="B542" s="24"/>
      <c r="C542" s="24"/>
      <c r="D542" s="24"/>
      <c r="E542" s="24"/>
      <c r="F542" s="24"/>
    </row>
    <row r="543">
      <c r="A543" s="24"/>
      <c r="B543" s="24"/>
      <c r="C543" s="24"/>
      <c r="D543" s="24"/>
      <c r="E543" s="24"/>
      <c r="F543" s="24"/>
    </row>
    <row r="544">
      <c r="A544" s="24"/>
      <c r="B544" s="24"/>
      <c r="C544" s="24"/>
      <c r="D544" s="24"/>
      <c r="E544" s="24"/>
      <c r="F544" s="24"/>
    </row>
    <row r="545">
      <c r="A545" s="24"/>
      <c r="B545" s="24"/>
      <c r="C545" s="24"/>
      <c r="D545" s="24"/>
      <c r="E545" s="24"/>
      <c r="F545" s="24"/>
    </row>
    <row r="546">
      <c r="A546" s="24"/>
      <c r="B546" s="24"/>
      <c r="C546" s="24"/>
      <c r="D546" s="24"/>
      <c r="E546" s="24"/>
      <c r="F546" s="24"/>
    </row>
    <row r="547">
      <c r="A547" s="24"/>
      <c r="B547" s="24"/>
      <c r="C547" s="24"/>
      <c r="D547" s="24"/>
      <c r="E547" s="24"/>
      <c r="F547" s="24"/>
    </row>
    <row r="548">
      <c r="A548" s="24"/>
      <c r="B548" s="24"/>
      <c r="C548" s="24"/>
      <c r="D548" s="24"/>
      <c r="E548" s="24"/>
      <c r="F548" s="24"/>
    </row>
    <row r="549">
      <c r="A549" s="24"/>
      <c r="B549" s="24"/>
      <c r="C549" s="24"/>
      <c r="D549" s="24"/>
      <c r="E549" s="24"/>
      <c r="F549" s="24"/>
    </row>
    <row r="550">
      <c r="A550" s="24"/>
      <c r="B550" s="24"/>
      <c r="C550" s="24"/>
      <c r="D550" s="24"/>
      <c r="E550" s="24"/>
      <c r="F550" s="24"/>
    </row>
    <row r="551">
      <c r="A551" s="24"/>
      <c r="B551" s="24"/>
      <c r="C551" s="24"/>
      <c r="D551" s="24"/>
      <c r="E551" s="24"/>
      <c r="F551" s="24"/>
    </row>
    <row r="552">
      <c r="A552" s="24"/>
      <c r="B552" s="24"/>
      <c r="C552" s="24"/>
      <c r="D552" s="24"/>
      <c r="E552" s="24"/>
      <c r="F552" s="24"/>
    </row>
    <row r="553">
      <c r="A553" s="24"/>
      <c r="B553" s="24"/>
      <c r="C553" s="24"/>
      <c r="D553" s="24"/>
      <c r="E553" s="24"/>
      <c r="F553" s="24"/>
    </row>
    <row r="554">
      <c r="A554" s="24"/>
      <c r="B554" s="24"/>
      <c r="C554" s="24"/>
      <c r="D554" s="24"/>
      <c r="E554" s="24"/>
      <c r="F554" s="24"/>
    </row>
    <row r="555">
      <c r="A555" s="24"/>
      <c r="B555" s="24"/>
      <c r="C555" s="24"/>
      <c r="D555" s="24"/>
      <c r="E555" s="24"/>
      <c r="F555" s="24"/>
    </row>
    <row r="556">
      <c r="A556" s="24"/>
      <c r="B556" s="24"/>
      <c r="C556" s="24"/>
      <c r="D556" s="24"/>
      <c r="E556" s="24"/>
      <c r="F556" s="24"/>
    </row>
    <row r="557">
      <c r="A557" s="24"/>
      <c r="B557" s="24"/>
      <c r="C557" s="24"/>
      <c r="D557" s="24"/>
      <c r="E557" s="24"/>
      <c r="F557" s="24"/>
    </row>
    <row r="558">
      <c r="A558" s="24"/>
      <c r="B558" s="24"/>
      <c r="C558" s="24"/>
      <c r="D558" s="24"/>
      <c r="E558" s="24"/>
      <c r="F558" s="24"/>
    </row>
    <row r="559">
      <c r="A559" s="24"/>
      <c r="B559" s="24"/>
      <c r="C559" s="24"/>
      <c r="D559" s="24"/>
      <c r="E559" s="24"/>
      <c r="F559" s="24"/>
    </row>
    <row r="560">
      <c r="A560" s="24"/>
      <c r="B560" s="24"/>
      <c r="C560" s="24"/>
      <c r="D560" s="24"/>
      <c r="E560" s="24"/>
      <c r="F560" s="24"/>
    </row>
    <row r="561">
      <c r="A561" s="24"/>
      <c r="B561" s="24"/>
      <c r="C561" s="24"/>
      <c r="D561" s="24"/>
      <c r="E561" s="24"/>
      <c r="F561" s="24"/>
    </row>
    <row r="562">
      <c r="A562" s="24"/>
      <c r="B562" s="24"/>
      <c r="C562" s="24"/>
      <c r="D562" s="24"/>
      <c r="E562" s="24"/>
      <c r="F562" s="24"/>
    </row>
    <row r="563">
      <c r="A563" s="24"/>
      <c r="B563" s="24"/>
      <c r="C563" s="24"/>
      <c r="D563" s="24"/>
      <c r="E563" s="24"/>
      <c r="F563" s="24"/>
    </row>
    <row r="564">
      <c r="A564" s="24"/>
      <c r="B564" s="24"/>
      <c r="C564" s="24"/>
      <c r="D564" s="24"/>
      <c r="E564" s="24"/>
      <c r="F564" s="24"/>
    </row>
    <row r="565">
      <c r="A565" s="24"/>
      <c r="B565" s="24"/>
      <c r="C565" s="24"/>
      <c r="D565" s="24"/>
      <c r="E565" s="24"/>
      <c r="F565" s="24"/>
    </row>
    <row r="566">
      <c r="A566" s="24"/>
      <c r="B566" s="24"/>
      <c r="C566" s="24"/>
      <c r="D566" s="24"/>
      <c r="E566" s="24"/>
      <c r="F566" s="24"/>
    </row>
    <row r="567">
      <c r="A567" s="24"/>
      <c r="B567" s="24"/>
      <c r="C567" s="24"/>
      <c r="D567" s="24"/>
      <c r="E567" s="24"/>
      <c r="F567" s="24"/>
    </row>
    <row r="568">
      <c r="A568" s="24"/>
      <c r="B568" s="24"/>
      <c r="C568" s="24"/>
      <c r="D568" s="24"/>
      <c r="E568" s="24"/>
      <c r="F568" s="24"/>
    </row>
    <row r="569">
      <c r="A569" s="24"/>
      <c r="B569" s="24"/>
      <c r="C569" s="24"/>
      <c r="D569" s="24"/>
      <c r="E569" s="24"/>
      <c r="F569" s="24"/>
    </row>
    <row r="570">
      <c r="A570" s="24"/>
      <c r="B570" s="24"/>
      <c r="C570" s="24"/>
      <c r="D570" s="24"/>
      <c r="E570" s="24"/>
      <c r="F570" s="24"/>
    </row>
    <row r="571">
      <c r="A571" s="24"/>
      <c r="B571" s="24"/>
      <c r="C571" s="24"/>
      <c r="D571" s="24"/>
      <c r="E571" s="24"/>
      <c r="F571" s="24"/>
    </row>
    <row r="572">
      <c r="A572" s="24"/>
      <c r="B572" s="24"/>
      <c r="C572" s="24"/>
      <c r="D572" s="24"/>
      <c r="E572" s="24"/>
      <c r="F572" s="24"/>
    </row>
    <row r="573">
      <c r="A573" s="24"/>
      <c r="B573" s="24"/>
      <c r="C573" s="24"/>
      <c r="D573" s="24"/>
      <c r="E573" s="24"/>
      <c r="F573" s="24"/>
    </row>
    <row r="574">
      <c r="A574" s="24"/>
      <c r="B574" s="24"/>
      <c r="C574" s="24"/>
      <c r="D574" s="24"/>
      <c r="E574" s="24"/>
      <c r="F574" s="24"/>
    </row>
    <row r="575">
      <c r="A575" s="24"/>
      <c r="B575" s="24"/>
      <c r="C575" s="24"/>
      <c r="D575" s="24"/>
      <c r="E575" s="24"/>
      <c r="F575" s="24"/>
    </row>
    <row r="576">
      <c r="A576" s="24"/>
      <c r="B576" s="24"/>
      <c r="C576" s="24"/>
      <c r="D576" s="24"/>
      <c r="E576" s="24"/>
      <c r="F576" s="24"/>
    </row>
    <row r="577">
      <c r="A577" s="24"/>
      <c r="B577" s="24"/>
      <c r="C577" s="24"/>
      <c r="D577" s="24"/>
      <c r="E577" s="24"/>
      <c r="F577" s="24"/>
    </row>
    <row r="578">
      <c r="A578" s="24"/>
      <c r="B578" s="24"/>
      <c r="C578" s="24"/>
      <c r="D578" s="24"/>
      <c r="E578" s="24"/>
      <c r="F578" s="24"/>
    </row>
    <row r="579">
      <c r="A579" s="24"/>
      <c r="B579" s="24"/>
      <c r="C579" s="24"/>
      <c r="D579" s="24"/>
      <c r="E579" s="24"/>
      <c r="F579" s="24"/>
    </row>
    <row r="580">
      <c r="A580" s="24"/>
      <c r="B580" s="24"/>
      <c r="C580" s="24"/>
      <c r="D580" s="24"/>
      <c r="E580" s="24"/>
      <c r="F580" s="24"/>
    </row>
    <row r="581">
      <c r="A581" s="24"/>
      <c r="B581" s="24"/>
      <c r="C581" s="24"/>
      <c r="D581" s="24"/>
      <c r="E581" s="24"/>
      <c r="F581" s="24"/>
    </row>
    <row r="582">
      <c r="A582" s="24"/>
      <c r="B582" s="24"/>
      <c r="C582" s="24"/>
      <c r="D582" s="24"/>
      <c r="E582" s="24"/>
      <c r="F582" s="24"/>
    </row>
    <row r="583">
      <c r="A583" s="24"/>
      <c r="B583" s="24"/>
      <c r="C583" s="24"/>
      <c r="D583" s="24"/>
      <c r="E583" s="24"/>
      <c r="F583" s="24"/>
    </row>
    <row r="584">
      <c r="A584" s="24"/>
      <c r="B584" s="24"/>
      <c r="C584" s="24"/>
      <c r="D584" s="24"/>
      <c r="E584" s="24"/>
      <c r="F584" s="24"/>
    </row>
    <row r="585">
      <c r="A585" s="24"/>
      <c r="B585" s="24"/>
      <c r="C585" s="24"/>
      <c r="D585" s="24"/>
      <c r="E585" s="24"/>
      <c r="F585" s="24"/>
    </row>
    <row r="586">
      <c r="A586" s="24"/>
      <c r="B586" s="24"/>
      <c r="C586" s="24"/>
      <c r="D586" s="24"/>
      <c r="E586" s="24"/>
      <c r="F586" s="24"/>
    </row>
    <row r="587">
      <c r="A587" s="24"/>
      <c r="B587" s="24"/>
      <c r="C587" s="24"/>
      <c r="D587" s="24"/>
      <c r="E587" s="24"/>
      <c r="F587" s="24"/>
    </row>
    <row r="588">
      <c r="A588" s="24"/>
      <c r="B588" s="24"/>
      <c r="C588" s="24"/>
      <c r="D588" s="24"/>
      <c r="E588" s="24"/>
      <c r="F588" s="24"/>
    </row>
    <row r="589">
      <c r="A589" s="24"/>
      <c r="B589" s="24"/>
      <c r="C589" s="24"/>
      <c r="D589" s="24"/>
      <c r="E589" s="24"/>
      <c r="F589" s="24"/>
    </row>
    <row r="590">
      <c r="A590" s="24"/>
      <c r="B590" s="24"/>
      <c r="C590" s="24"/>
      <c r="D590" s="24"/>
      <c r="E590" s="24"/>
      <c r="F590" s="24"/>
    </row>
    <row r="591">
      <c r="A591" s="24"/>
      <c r="B591" s="24"/>
      <c r="C591" s="24"/>
      <c r="D591" s="24"/>
      <c r="E591" s="24"/>
      <c r="F591" s="24"/>
    </row>
    <row r="592">
      <c r="A592" s="24"/>
      <c r="B592" s="24"/>
      <c r="C592" s="24"/>
      <c r="D592" s="24"/>
      <c r="E592" s="24"/>
      <c r="F592" s="24"/>
    </row>
    <row r="593">
      <c r="A593" s="24"/>
      <c r="B593" s="24"/>
      <c r="C593" s="24"/>
      <c r="D593" s="24"/>
      <c r="E593" s="24"/>
      <c r="F593" s="24"/>
    </row>
    <row r="594">
      <c r="A594" s="24"/>
      <c r="B594" s="24"/>
      <c r="C594" s="24"/>
      <c r="D594" s="24"/>
      <c r="E594" s="24"/>
      <c r="F594" s="24"/>
    </row>
    <row r="595">
      <c r="A595" s="24"/>
      <c r="B595" s="24"/>
      <c r="C595" s="24"/>
      <c r="D595" s="24"/>
      <c r="E595" s="24"/>
      <c r="F595" s="24"/>
    </row>
    <row r="596">
      <c r="A596" s="24"/>
      <c r="B596" s="24"/>
      <c r="C596" s="24"/>
      <c r="D596" s="24"/>
      <c r="E596" s="24"/>
      <c r="F596" s="24"/>
    </row>
    <row r="597">
      <c r="A597" s="24"/>
      <c r="B597" s="24"/>
      <c r="C597" s="24"/>
      <c r="D597" s="24"/>
      <c r="E597" s="24"/>
      <c r="F597" s="24"/>
    </row>
    <row r="598">
      <c r="A598" s="24"/>
      <c r="B598" s="24"/>
      <c r="C598" s="24"/>
      <c r="D598" s="24"/>
      <c r="E598" s="24"/>
      <c r="F598" s="24"/>
    </row>
    <row r="599">
      <c r="A599" s="24"/>
      <c r="B599" s="24"/>
      <c r="C599" s="24"/>
      <c r="D599" s="24"/>
      <c r="E599" s="24"/>
      <c r="F599" s="24"/>
    </row>
    <row r="600">
      <c r="A600" s="24"/>
      <c r="B600" s="24"/>
      <c r="C600" s="24"/>
      <c r="D600" s="24"/>
      <c r="E600" s="24"/>
      <c r="F600" s="24"/>
    </row>
    <row r="601">
      <c r="A601" s="24"/>
      <c r="B601" s="24"/>
      <c r="C601" s="24"/>
      <c r="D601" s="24"/>
      <c r="E601" s="24"/>
      <c r="F601" s="24"/>
    </row>
    <row r="602">
      <c r="A602" s="24"/>
      <c r="B602" s="24"/>
      <c r="C602" s="24"/>
      <c r="D602" s="24"/>
      <c r="E602" s="24"/>
      <c r="F602" s="24"/>
    </row>
    <row r="603">
      <c r="A603" s="24"/>
      <c r="B603" s="24"/>
      <c r="C603" s="24"/>
      <c r="D603" s="24"/>
      <c r="E603" s="24"/>
      <c r="F603" s="24"/>
    </row>
    <row r="604">
      <c r="A604" s="24"/>
      <c r="B604" s="24"/>
      <c r="C604" s="24"/>
      <c r="D604" s="24"/>
      <c r="E604" s="24"/>
      <c r="F604" s="24"/>
    </row>
    <row r="605">
      <c r="A605" s="24"/>
      <c r="B605" s="24"/>
      <c r="C605" s="24"/>
      <c r="D605" s="24"/>
      <c r="E605" s="24"/>
      <c r="F605" s="24"/>
    </row>
    <row r="606">
      <c r="A606" s="24"/>
      <c r="B606" s="24"/>
      <c r="C606" s="24"/>
      <c r="D606" s="24"/>
      <c r="E606" s="24"/>
      <c r="F606" s="24"/>
    </row>
    <row r="607">
      <c r="A607" s="24"/>
      <c r="B607" s="24"/>
      <c r="C607" s="24"/>
      <c r="D607" s="24"/>
      <c r="E607" s="24"/>
      <c r="F607" s="24"/>
    </row>
    <row r="608">
      <c r="A608" s="24"/>
      <c r="B608" s="24"/>
      <c r="C608" s="24"/>
      <c r="D608" s="24"/>
      <c r="E608" s="24"/>
      <c r="F608" s="24"/>
    </row>
    <row r="609">
      <c r="A609" s="24"/>
      <c r="B609" s="24"/>
      <c r="C609" s="24"/>
      <c r="D609" s="24"/>
      <c r="E609" s="24"/>
      <c r="F609" s="24"/>
    </row>
    <row r="610">
      <c r="A610" s="24"/>
      <c r="B610" s="24"/>
      <c r="C610" s="24"/>
      <c r="D610" s="24"/>
      <c r="E610" s="24"/>
      <c r="F610" s="24"/>
    </row>
    <row r="611">
      <c r="A611" s="24"/>
      <c r="B611" s="24"/>
      <c r="C611" s="24"/>
      <c r="D611" s="24"/>
      <c r="E611" s="24"/>
      <c r="F611" s="24"/>
    </row>
    <row r="612">
      <c r="A612" s="24"/>
      <c r="B612" s="24"/>
      <c r="C612" s="24"/>
      <c r="D612" s="24"/>
      <c r="E612" s="24"/>
      <c r="F612" s="24"/>
    </row>
    <row r="613">
      <c r="A613" s="24"/>
      <c r="B613" s="24"/>
      <c r="C613" s="24"/>
      <c r="D613" s="24"/>
      <c r="E613" s="24"/>
      <c r="F613" s="24"/>
    </row>
    <row r="614">
      <c r="A614" s="24"/>
      <c r="B614" s="24"/>
      <c r="C614" s="24"/>
      <c r="D614" s="24"/>
      <c r="E614" s="24"/>
      <c r="F614" s="24"/>
    </row>
    <row r="615">
      <c r="A615" s="24"/>
      <c r="B615" s="24"/>
      <c r="C615" s="24"/>
      <c r="D615" s="24"/>
      <c r="E615" s="24"/>
      <c r="F615" s="24"/>
    </row>
    <row r="616">
      <c r="A616" s="24"/>
      <c r="B616" s="24"/>
      <c r="C616" s="24"/>
      <c r="D616" s="24"/>
      <c r="E616" s="24"/>
      <c r="F616" s="24"/>
    </row>
    <row r="617">
      <c r="A617" s="24"/>
      <c r="B617" s="24"/>
      <c r="C617" s="24"/>
      <c r="D617" s="24"/>
      <c r="E617" s="24"/>
      <c r="F617" s="24"/>
    </row>
    <row r="618">
      <c r="A618" s="24"/>
      <c r="B618" s="24"/>
      <c r="C618" s="24"/>
      <c r="D618" s="24"/>
      <c r="E618" s="24"/>
      <c r="F618" s="24"/>
    </row>
    <row r="619">
      <c r="A619" s="24"/>
      <c r="B619" s="24"/>
      <c r="C619" s="24"/>
      <c r="D619" s="24"/>
      <c r="E619" s="24"/>
      <c r="F619" s="24"/>
    </row>
    <row r="620">
      <c r="A620" s="24"/>
      <c r="B620" s="24"/>
      <c r="C620" s="24"/>
      <c r="D620" s="24"/>
      <c r="E620" s="24"/>
      <c r="F620" s="24"/>
    </row>
    <row r="621">
      <c r="A621" s="24"/>
      <c r="B621" s="24"/>
      <c r="C621" s="24"/>
      <c r="D621" s="24"/>
      <c r="E621" s="24"/>
      <c r="F621" s="24"/>
    </row>
    <row r="622">
      <c r="A622" s="24"/>
      <c r="B622" s="24"/>
      <c r="C622" s="24"/>
      <c r="D622" s="24"/>
      <c r="E622" s="24"/>
      <c r="F622" s="24"/>
    </row>
    <row r="623">
      <c r="A623" s="24"/>
      <c r="B623" s="24"/>
      <c r="C623" s="24"/>
      <c r="D623" s="24"/>
      <c r="E623" s="24"/>
      <c r="F623" s="24"/>
    </row>
    <row r="624">
      <c r="A624" s="24"/>
      <c r="B624" s="24"/>
      <c r="C624" s="24"/>
      <c r="D624" s="24"/>
      <c r="E624" s="24"/>
      <c r="F624" s="24"/>
    </row>
    <row r="625">
      <c r="A625" s="24"/>
      <c r="B625" s="24"/>
      <c r="C625" s="24"/>
      <c r="D625" s="24"/>
      <c r="E625" s="24"/>
      <c r="F625" s="24"/>
    </row>
    <row r="626">
      <c r="A626" s="24"/>
      <c r="B626" s="24"/>
      <c r="C626" s="24"/>
      <c r="D626" s="24"/>
      <c r="E626" s="24"/>
      <c r="F626" s="24"/>
    </row>
    <row r="627">
      <c r="A627" s="24"/>
      <c r="B627" s="24"/>
      <c r="C627" s="24"/>
      <c r="D627" s="24"/>
      <c r="E627" s="24"/>
      <c r="F627" s="24"/>
    </row>
    <row r="628">
      <c r="A628" s="24"/>
      <c r="B628" s="24"/>
      <c r="C628" s="24"/>
      <c r="D628" s="24"/>
      <c r="E628" s="24"/>
      <c r="F628" s="24"/>
    </row>
    <row r="629">
      <c r="A629" s="24"/>
      <c r="B629" s="24"/>
      <c r="C629" s="24"/>
      <c r="D629" s="24"/>
      <c r="E629" s="24"/>
      <c r="F629" s="24"/>
    </row>
    <row r="630">
      <c r="A630" s="24"/>
      <c r="B630" s="24"/>
      <c r="C630" s="24"/>
      <c r="D630" s="24"/>
      <c r="E630" s="24"/>
      <c r="F630" s="24"/>
    </row>
    <row r="631">
      <c r="A631" s="24"/>
      <c r="B631" s="24"/>
      <c r="C631" s="24"/>
      <c r="D631" s="24"/>
      <c r="E631" s="24"/>
      <c r="F631" s="24"/>
    </row>
    <row r="632">
      <c r="A632" s="24"/>
      <c r="B632" s="24"/>
      <c r="C632" s="24"/>
      <c r="D632" s="24"/>
      <c r="E632" s="24"/>
      <c r="F632" s="24"/>
    </row>
    <row r="633">
      <c r="A633" s="24"/>
      <c r="B633" s="24"/>
      <c r="C633" s="24"/>
      <c r="D633" s="24"/>
      <c r="E633" s="24"/>
      <c r="F633" s="24"/>
    </row>
    <row r="634">
      <c r="A634" s="24"/>
      <c r="B634" s="24"/>
      <c r="C634" s="24"/>
      <c r="D634" s="24"/>
      <c r="E634" s="24"/>
      <c r="F634" s="24"/>
    </row>
    <row r="635">
      <c r="A635" s="24"/>
      <c r="B635" s="24"/>
      <c r="C635" s="24"/>
      <c r="D635" s="24"/>
      <c r="E635" s="24"/>
      <c r="F635" s="24"/>
    </row>
    <row r="636">
      <c r="A636" s="24"/>
      <c r="B636" s="24"/>
      <c r="C636" s="24"/>
      <c r="D636" s="24"/>
      <c r="E636" s="24"/>
      <c r="F636" s="24"/>
    </row>
    <row r="637">
      <c r="A637" s="24"/>
      <c r="B637" s="24"/>
      <c r="C637" s="24"/>
      <c r="D637" s="24"/>
      <c r="E637" s="24"/>
      <c r="F637" s="24"/>
    </row>
    <row r="638">
      <c r="A638" s="24"/>
      <c r="B638" s="24"/>
      <c r="C638" s="24"/>
      <c r="D638" s="24"/>
      <c r="E638" s="24"/>
      <c r="F638" s="24"/>
    </row>
    <row r="639">
      <c r="A639" s="24"/>
      <c r="B639" s="24"/>
      <c r="C639" s="24"/>
      <c r="D639" s="24"/>
      <c r="E639" s="24"/>
      <c r="F639" s="24"/>
    </row>
    <row r="640">
      <c r="A640" s="24"/>
      <c r="B640" s="24"/>
      <c r="C640" s="24"/>
      <c r="D640" s="24"/>
      <c r="E640" s="24"/>
      <c r="F640" s="24"/>
    </row>
    <row r="641">
      <c r="A641" s="24"/>
      <c r="B641" s="24"/>
      <c r="C641" s="24"/>
      <c r="D641" s="24"/>
      <c r="E641" s="24"/>
      <c r="F641" s="24"/>
    </row>
    <row r="642">
      <c r="A642" s="24"/>
      <c r="B642" s="24"/>
      <c r="C642" s="24"/>
      <c r="D642" s="24"/>
      <c r="E642" s="24"/>
      <c r="F642" s="24"/>
    </row>
    <row r="643">
      <c r="A643" s="24"/>
      <c r="B643" s="24"/>
      <c r="C643" s="24"/>
      <c r="D643" s="24"/>
      <c r="E643" s="24"/>
      <c r="F643" s="24"/>
    </row>
    <row r="644">
      <c r="A644" s="24"/>
      <c r="B644" s="24"/>
      <c r="C644" s="24"/>
      <c r="D644" s="24"/>
      <c r="E644" s="24"/>
      <c r="F644" s="24"/>
    </row>
    <row r="645">
      <c r="A645" s="24"/>
      <c r="B645" s="24"/>
      <c r="C645" s="24"/>
      <c r="D645" s="24"/>
      <c r="E645" s="24"/>
      <c r="F645" s="24"/>
    </row>
    <row r="646">
      <c r="A646" s="24"/>
      <c r="B646" s="24"/>
      <c r="C646" s="24"/>
      <c r="D646" s="24"/>
      <c r="E646" s="24"/>
      <c r="F646" s="24"/>
    </row>
    <row r="647">
      <c r="A647" s="24"/>
      <c r="B647" s="24"/>
      <c r="C647" s="24"/>
      <c r="D647" s="24"/>
      <c r="E647" s="24"/>
      <c r="F647" s="24"/>
    </row>
    <row r="648">
      <c r="A648" s="24"/>
      <c r="B648" s="24"/>
      <c r="C648" s="24"/>
      <c r="D648" s="24"/>
      <c r="E648" s="24"/>
      <c r="F648" s="24"/>
    </row>
    <row r="649">
      <c r="A649" s="24"/>
      <c r="B649" s="24"/>
      <c r="C649" s="24"/>
      <c r="D649" s="24"/>
      <c r="E649" s="24"/>
      <c r="F649" s="24"/>
    </row>
    <row r="650">
      <c r="A650" s="24"/>
      <c r="B650" s="24"/>
      <c r="C650" s="24"/>
      <c r="D650" s="24"/>
      <c r="E650" s="24"/>
      <c r="F650" s="24"/>
    </row>
    <row r="651">
      <c r="A651" s="24"/>
      <c r="B651" s="24"/>
      <c r="C651" s="24"/>
      <c r="D651" s="24"/>
      <c r="E651" s="24"/>
      <c r="F651" s="24"/>
    </row>
    <row r="652">
      <c r="A652" s="24"/>
      <c r="B652" s="24"/>
      <c r="C652" s="24"/>
      <c r="D652" s="24"/>
      <c r="E652" s="24"/>
      <c r="F652" s="24"/>
    </row>
    <row r="653">
      <c r="A653" s="24"/>
      <c r="B653" s="24"/>
      <c r="C653" s="24"/>
      <c r="D653" s="24"/>
      <c r="E653" s="24"/>
      <c r="F653" s="24"/>
    </row>
    <row r="654">
      <c r="A654" s="24"/>
      <c r="B654" s="24"/>
      <c r="C654" s="24"/>
      <c r="D654" s="24"/>
      <c r="E654" s="24"/>
      <c r="F654" s="24"/>
    </row>
    <row r="655">
      <c r="A655" s="24"/>
      <c r="B655" s="24"/>
      <c r="C655" s="24"/>
      <c r="D655" s="24"/>
      <c r="E655" s="24"/>
      <c r="F655" s="24"/>
    </row>
    <row r="656">
      <c r="A656" s="24"/>
      <c r="B656" s="24"/>
      <c r="C656" s="24"/>
      <c r="D656" s="24"/>
      <c r="E656" s="24"/>
      <c r="F656" s="24"/>
    </row>
    <row r="657">
      <c r="A657" s="24"/>
      <c r="B657" s="24"/>
      <c r="C657" s="24"/>
      <c r="D657" s="24"/>
      <c r="E657" s="24"/>
      <c r="F657" s="24"/>
    </row>
    <row r="658">
      <c r="A658" s="24"/>
      <c r="B658" s="24"/>
      <c r="C658" s="24"/>
      <c r="D658" s="24"/>
      <c r="E658" s="24"/>
      <c r="F658" s="24"/>
    </row>
    <row r="659">
      <c r="A659" s="24"/>
      <c r="B659" s="24"/>
      <c r="C659" s="24"/>
      <c r="D659" s="24"/>
      <c r="E659" s="24"/>
      <c r="F659" s="24"/>
    </row>
    <row r="660">
      <c r="A660" s="24"/>
      <c r="B660" s="24"/>
      <c r="C660" s="24"/>
      <c r="D660" s="24"/>
      <c r="E660" s="24"/>
      <c r="F660" s="24"/>
    </row>
    <row r="661">
      <c r="A661" s="24"/>
      <c r="B661" s="24"/>
      <c r="C661" s="24"/>
      <c r="D661" s="24"/>
      <c r="E661" s="24"/>
      <c r="F661" s="24"/>
    </row>
    <row r="662">
      <c r="A662" s="24"/>
      <c r="B662" s="24"/>
      <c r="C662" s="24"/>
      <c r="D662" s="24"/>
      <c r="E662" s="24"/>
      <c r="F662" s="24"/>
    </row>
    <row r="663">
      <c r="A663" s="24"/>
      <c r="B663" s="24"/>
      <c r="C663" s="24"/>
      <c r="D663" s="24"/>
      <c r="E663" s="24"/>
      <c r="F663" s="24"/>
    </row>
    <row r="664">
      <c r="A664" s="24"/>
      <c r="B664" s="24"/>
      <c r="C664" s="24"/>
      <c r="D664" s="24"/>
      <c r="E664" s="24"/>
      <c r="F664" s="24"/>
    </row>
    <row r="665">
      <c r="A665" s="24"/>
      <c r="B665" s="24"/>
      <c r="C665" s="24"/>
      <c r="D665" s="24"/>
      <c r="E665" s="24"/>
      <c r="F665" s="24"/>
    </row>
    <row r="666">
      <c r="A666" s="24"/>
      <c r="B666" s="24"/>
      <c r="C666" s="24"/>
      <c r="D666" s="24"/>
      <c r="E666" s="24"/>
      <c r="F666" s="24"/>
    </row>
    <row r="667">
      <c r="A667" s="24"/>
      <c r="B667" s="24"/>
      <c r="C667" s="24"/>
      <c r="D667" s="24"/>
      <c r="E667" s="24"/>
      <c r="F667" s="24"/>
    </row>
    <row r="668">
      <c r="A668" s="24"/>
      <c r="B668" s="24"/>
      <c r="C668" s="24"/>
      <c r="D668" s="24"/>
      <c r="E668" s="24"/>
      <c r="F668" s="24"/>
    </row>
    <row r="669">
      <c r="A669" s="24"/>
      <c r="B669" s="24"/>
      <c r="C669" s="24"/>
      <c r="D669" s="24"/>
      <c r="E669" s="24"/>
      <c r="F669" s="24"/>
    </row>
    <row r="670">
      <c r="A670" s="24"/>
      <c r="B670" s="24"/>
      <c r="C670" s="24"/>
      <c r="D670" s="24"/>
      <c r="E670" s="24"/>
      <c r="F670" s="24"/>
    </row>
    <row r="671">
      <c r="A671" s="24"/>
      <c r="B671" s="24"/>
      <c r="C671" s="24"/>
      <c r="D671" s="24"/>
      <c r="E671" s="24"/>
      <c r="F671" s="24"/>
    </row>
    <row r="672">
      <c r="A672" s="24"/>
      <c r="B672" s="24"/>
      <c r="C672" s="24"/>
      <c r="D672" s="24"/>
      <c r="E672" s="24"/>
      <c r="F672" s="24"/>
    </row>
    <row r="673">
      <c r="A673" s="24"/>
      <c r="B673" s="24"/>
      <c r="C673" s="24"/>
      <c r="D673" s="24"/>
      <c r="E673" s="24"/>
      <c r="F673" s="24"/>
    </row>
    <row r="674">
      <c r="A674" s="24"/>
      <c r="B674" s="24"/>
      <c r="C674" s="24"/>
      <c r="D674" s="24"/>
      <c r="E674" s="24"/>
      <c r="F674" s="24"/>
    </row>
    <row r="675">
      <c r="A675" s="24"/>
      <c r="B675" s="24"/>
      <c r="C675" s="24"/>
      <c r="D675" s="24"/>
      <c r="E675" s="24"/>
      <c r="F675" s="24"/>
    </row>
    <row r="676">
      <c r="A676" s="24"/>
      <c r="B676" s="24"/>
      <c r="C676" s="24"/>
      <c r="D676" s="24"/>
      <c r="E676" s="24"/>
      <c r="F676" s="24"/>
    </row>
    <row r="677">
      <c r="A677" s="24"/>
      <c r="B677" s="24"/>
      <c r="C677" s="24"/>
      <c r="D677" s="24"/>
      <c r="E677" s="24"/>
      <c r="F677" s="24"/>
    </row>
    <row r="678">
      <c r="A678" s="24"/>
      <c r="B678" s="24"/>
      <c r="C678" s="24"/>
      <c r="D678" s="24"/>
      <c r="E678" s="24"/>
      <c r="F678" s="24"/>
    </row>
    <row r="679">
      <c r="A679" s="24"/>
      <c r="B679" s="24"/>
      <c r="C679" s="24"/>
      <c r="D679" s="24"/>
      <c r="E679" s="24"/>
      <c r="F679" s="24"/>
    </row>
    <row r="680">
      <c r="A680" s="24"/>
      <c r="B680" s="24"/>
      <c r="C680" s="24"/>
      <c r="D680" s="24"/>
      <c r="E680" s="24"/>
      <c r="F680" s="24"/>
    </row>
    <row r="681">
      <c r="A681" s="24"/>
      <c r="B681" s="24"/>
      <c r="C681" s="24"/>
      <c r="D681" s="24"/>
      <c r="E681" s="24"/>
      <c r="F681" s="24"/>
    </row>
    <row r="682">
      <c r="A682" s="24"/>
      <c r="B682" s="24"/>
      <c r="C682" s="24"/>
      <c r="D682" s="24"/>
      <c r="E682" s="24"/>
      <c r="F682" s="24"/>
    </row>
    <row r="683">
      <c r="A683" s="24"/>
      <c r="B683" s="24"/>
      <c r="C683" s="24"/>
      <c r="D683" s="24"/>
      <c r="E683" s="24"/>
      <c r="F683" s="24"/>
    </row>
    <row r="684">
      <c r="A684" s="24"/>
      <c r="B684" s="24"/>
      <c r="C684" s="24"/>
      <c r="D684" s="24"/>
      <c r="E684" s="24"/>
      <c r="F684" s="24"/>
    </row>
    <row r="685">
      <c r="A685" s="24"/>
      <c r="B685" s="24"/>
      <c r="C685" s="24"/>
      <c r="D685" s="24"/>
      <c r="E685" s="24"/>
      <c r="F685" s="24"/>
    </row>
    <row r="686">
      <c r="A686" s="24"/>
      <c r="B686" s="24"/>
      <c r="C686" s="24"/>
      <c r="D686" s="24"/>
      <c r="E686" s="24"/>
      <c r="F686" s="24"/>
    </row>
    <row r="687">
      <c r="A687" s="24"/>
      <c r="B687" s="24"/>
      <c r="C687" s="24"/>
      <c r="D687" s="24"/>
      <c r="E687" s="24"/>
      <c r="F687" s="24"/>
    </row>
    <row r="688">
      <c r="A688" s="24"/>
      <c r="B688" s="24"/>
      <c r="C688" s="24"/>
      <c r="D688" s="24"/>
      <c r="E688" s="24"/>
      <c r="F688" s="24"/>
    </row>
    <row r="689">
      <c r="A689" s="24"/>
      <c r="B689" s="24"/>
      <c r="C689" s="24"/>
      <c r="D689" s="24"/>
      <c r="E689" s="24"/>
      <c r="F689" s="24"/>
    </row>
    <row r="690">
      <c r="A690" s="24"/>
      <c r="B690" s="24"/>
      <c r="C690" s="24"/>
      <c r="D690" s="24"/>
      <c r="E690" s="24"/>
      <c r="F690" s="24"/>
    </row>
    <row r="691">
      <c r="A691" s="24"/>
      <c r="B691" s="24"/>
      <c r="C691" s="24"/>
      <c r="D691" s="24"/>
      <c r="E691" s="24"/>
      <c r="F691" s="24"/>
    </row>
    <row r="692">
      <c r="A692" s="24"/>
      <c r="B692" s="24"/>
      <c r="C692" s="24"/>
      <c r="D692" s="24"/>
      <c r="E692" s="24"/>
      <c r="F692" s="24"/>
    </row>
    <row r="693">
      <c r="A693" s="24"/>
      <c r="B693" s="24"/>
      <c r="C693" s="24"/>
      <c r="D693" s="24"/>
      <c r="E693" s="24"/>
      <c r="F693" s="24"/>
    </row>
    <row r="694">
      <c r="A694" s="24"/>
      <c r="B694" s="24"/>
      <c r="C694" s="24"/>
      <c r="D694" s="24"/>
      <c r="E694" s="24"/>
      <c r="F694" s="24"/>
    </row>
    <row r="695">
      <c r="A695" s="24"/>
      <c r="B695" s="24"/>
      <c r="C695" s="24"/>
      <c r="D695" s="24"/>
      <c r="E695" s="24"/>
      <c r="F695" s="24"/>
    </row>
    <row r="696">
      <c r="A696" s="24"/>
      <c r="B696" s="24"/>
      <c r="C696" s="24"/>
      <c r="D696" s="24"/>
      <c r="E696" s="24"/>
      <c r="F696" s="24"/>
    </row>
    <row r="697">
      <c r="A697" s="24"/>
      <c r="B697" s="24"/>
      <c r="C697" s="24"/>
      <c r="D697" s="24"/>
      <c r="E697" s="24"/>
      <c r="F697" s="24"/>
    </row>
    <row r="698">
      <c r="A698" s="24"/>
      <c r="B698" s="24"/>
      <c r="C698" s="24"/>
      <c r="D698" s="24"/>
      <c r="E698" s="24"/>
      <c r="F698" s="24"/>
    </row>
    <row r="699">
      <c r="A699" s="24"/>
      <c r="B699" s="24"/>
      <c r="C699" s="24"/>
      <c r="D699" s="24"/>
      <c r="E699" s="24"/>
      <c r="F699" s="24"/>
    </row>
    <row r="700">
      <c r="A700" s="24"/>
      <c r="B700" s="24"/>
      <c r="C700" s="24"/>
      <c r="D700" s="24"/>
      <c r="E700" s="24"/>
      <c r="F700" s="24"/>
    </row>
    <row r="701">
      <c r="A701" s="24"/>
      <c r="B701" s="24"/>
      <c r="C701" s="24"/>
      <c r="D701" s="24"/>
      <c r="E701" s="24"/>
      <c r="F701" s="24"/>
    </row>
    <row r="702">
      <c r="A702" s="24"/>
      <c r="B702" s="24"/>
      <c r="C702" s="24"/>
      <c r="D702" s="24"/>
      <c r="E702" s="24"/>
      <c r="F702" s="24"/>
    </row>
    <row r="703">
      <c r="A703" s="24"/>
      <c r="B703" s="24"/>
      <c r="C703" s="24"/>
      <c r="D703" s="24"/>
      <c r="E703" s="24"/>
      <c r="F703" s="24"/>
    </row>
    <row r="704">
      <c r="A704" s="24"/>
      <c r="B704" s="24"/>
      <c r="C704" s="24"/>
      <c r="D704" s="24"/>
      <c r="E704" s="24"/>
      <c r="F704" s="24"/>
    </row>
    <row r="705">
      <c r="A705" s="24"/>
      <c r="B705" s="24"/>
      <c r="C705" s="24"/>
      <c r="D705" s="24"/>
      <c r="E705" s="24"/>
      <c r="F705" s="24"/>
    </row>
    <row r="706">
      <c r="A706" s="24"/>
      <c r="B706" s="24"/>
      <c r="C706" s="24"/>
      <c r="D706" s="24"/>
      <c r="E706" s="24"/>
      <c r="F706" s="24"/>
    </row>
    <row r="707">
      <c r="A707" s="24"/>
      <c r="B707" s="24"/>
      <c r="C707" s="24"/>
      <c r="D707" s="24"/>
      <c r="E707" s="24"/>
      <c r="F707" s="24"/>
    </row>
    <row r="708">
      <c r="A708" s="24"/>
      <c r="B708" s="24"/>
      <c r="C708" s="24"/>
      <c r="D708" s="24"/>
      <c r="E708" s="24"/>
      <c r="F708" s="24"/>
    </row>
    <row r="709">
      <c r="A709" s="24"/>
      <c r="B709" s="24"/>
      <c r="C709" s="24"/>
      <c r="D709" s="24"/>
      <c r="E709" s="24"/>
      <c r="F709" s="24"/>
    </row>
    <row r="710">
      <c r="A710" s="24"/>
      <c r="B710" s="24"/>
      <c r="C710" s="24"/>
      <c r="D710" s="24"/>
      <c r="E710" s="24"/>
      <c r="F710" s="24"/>
    </row>
    <row r="711">
      <c r="A711" s="24"/>
      <c r="B711" s="24"/>
      <c r="C711" s="24"/>
      <c r="D711" s="24"/>
      <c r="E711" s="24"/>
      <c r="F711" s="24"/>
    </row>
    <row r="712">
      <c r="A712" s="24"/>
      <c r="B712" s="24"/>
      <c r="C712" s="24"/>
      <c r="D712" s="24"/>
      <c r="E712" s="24"/>
      <c r="F712" s="24"/>
    </row>
    <row r="713">
      <c r="A713" s="24"/>
      <c r="B713" s="24"/>
      <c r="C713" s="24"/>
      <c r="D713" s="24"/>
      <c r="E713" s="24"/>
      <c r="F713" s="24"/>
    </row>
    <row r="714">
      <c r="A714" s="24"/>
      <c r="B714" s="24"/>
      <c r="C714" s="24"/>
      <c r="D714" s="24"/>
      <c r="E714" s="24"/>
      <c r="F714" s="24"/>
    </row>
    <row r="715">
      <c r="A715" s="24"/>
      <c r="B715" s="24"/>
      <c r="C715" s="24"/>
      <c r="D715" s="24"/>
      <c r="E715" s="24"/>
      <c r="F715" s="24"/>
    </row>
    <row r="716">
      <c r="A716" s="24"/>
      <c r="B716" s="24"/>
      <c r="C716" s="24"/>
      <c r="D716" s="24"/>
      <c r="E716" s="24"/>
      <c r="F716" s="24"/>
    </row>
    <row r="717">
      <c r="A717" s="24"/>
      <c r="B717" s="24"/>
      <c r="C717" s="24"/>
      <c r="D717" s="24"/>
      <c r="E717" s="24"/>
      <c r="F717" s="24"/>
    </row>
    <row r="718">
      <c r="A718" s="24"/>
      <c r="B718" s="24"/>
      <c r="C718" s="24"/>
      <c r="D718" s="24"/>
      <c r="E718" s="24"/>
      <c r="F718" s="24"/>
    </row>
    <row r="719">
      <c r="A719" s="24"/>
      <c r="B719" s="24"/>
      <c r="C719" s="24"/>
      <c r="D719" s="24"/>
      <c r="E719" s="24"/>
      <c r="F719" s="24"/>
    </row>
    <row r="720">
      <c r="A720" s="24"/>
      <c r="B720" s="24"/>
      <c r="C720" s="24"/>
      <c r="D720" s="24"/>
      <c r="E720" s="24"/>
      <c r="F720" s="24"/>
    </row>
    <row r="721">
      <c r="A721" s="24"/>
      <c r="B721" s="24"/>
      <c r="C721" s="24"/>
      <c r="D721" s="24"/>
      <c r="E721" s="24"/>
      <c r="F721" s="24"/>
    </row>
    <row r="722">
      <c r="A722" s="24"/>
      <c r="B722" s="24"/>
      <c r="C722" s="24"/>
      <c r="D722" s="24"/>
      <c r="E722" s="24"/>
      <c r="F722" s="24"/>
    </row>
    <row r="723">
      <c r="A723" s="24"/>
      <c r="B723" s="24"/>
      <c r="C723" s="24"/>
      <c r="D723" s="24"/>
      <c r="E723" s="24"/>
      <c r="F723" s="24"/>
    </row>
    <row r="724">
      <c r="A724" s="24"/>
      <c r="B724" s="24"/>
      <c r="C724" s="24"/>
      <c r="D724" s="24"/>
      <c r="E724" s="24"/>
      <c r="F724" s="24"/>
    </row>
    <row r="725">
      <c r="A725" s="24"/>
      <c r="B725" s="24"/>
      <c r="C725" s="24"/>
      <c r="D725" s="24"/>
      <c r="E725" s="24"/>
      <c r="F725" s="24"/>
    </row>
    <row r="726">
      <c r="A726" s="24"/>
      <c r="B726" s="24"/>
      <c r="C726" s="24"/>
      <c r="D726" s="24"/>
      <c r="E726" s="24"/>
      <c r="F726" s="24"/>
    </row>
    <row r="727">
      <c r="A727" s="24"/>
      <c r="B727" s="24"/>
      <c r="C727" s="24"/>
      <c r="D727" s="24"/>
      <c r="E727" s="24"/>
      <c r="F727" s="24"/>
    </row>
    <row r="728">
      <c r="A728" s="24"/>
      <c r="B728" s="24"/>
      <c r="C728" s="24"/>
      <c r="D728" s="24"/>
      <c r="E728" s="24"/>
      <c r="F728" s="24"/>
    </row>
    <row r="729">
      <c r="A729" s="24"/>
      <c r="B729" s="24"/>
      <c r="C729" s="24"/>
      <c r="D729" s="24"/>
      <c r="E729" s="24"/>
      <c r="F729" s="24"/>
    </row>
    <row r="730">
      <c r="A730" s="24"/>
      <c r="B730" s="24"/>
      <c r="C730" s="24"/>
      <c r="D730" s="24"/>
      <c r="E730" s="24"/>
      <c r="F730" s="24"/>
    </row>
    <row r="731">
      <c r="A731" s="24"/>
      <c r="B731" s="24"/>
      <c r="C731" s="24"/>
      <c r="D731" s="24"/>
      <c r="E731" s="24"/>
      <c r="F731" s="24"/>
    </row>
    <row r="732">
      <c r="A732" s="24"/>
      <c r="B732" s="24"/>
      <c r="C732" s="24"/>
      <c r="D732" s="24"/>
      <c r="E732" s="24"/>
      <c r="F732" s="24"/>
    </row>
    <row r="733">
      <c r="A733" s="24"/>
      <c r="B733" s="24"/>
      <c r="C733" s="24"/>
      <c r="D733" s="24"/>
      <c r="E733" s="24"/>
      <c r="F733" s="24"/>
    </row>
    <row r="734">
      <c r="A734" s="24"/>
      <c r="B734" s="24"/>
      <c r="C734" s="24"/>
      <c r="D734" s="24"/>
      <c r="E734" s="24"/>
      <c r="F734" s="24"/>
    </row>
    <row r="735">
      <c r="A735" s="24"/>
      <c r="B735" s="24"/>
      <c r="C735" s="24"/>
      <c r="D735" s="24"/>
      <c r="E735" s="24"/>
      <c r="F735" s="24"/>
    </row>
    <row r="736">
      <c r="A736" s="24"/>
      <c r="B736" s="24"/>
      <c r="C736" s="24"/>
      <c r="D736" s="24"/>
      <c r="E736" s="24"/>
      <c r="F736" s="24"/>
    </row>
    <row r="737">
      <c r="A737" s="24"/>
      <c r="B737" s="24"/>
      <c r="C737" s="24"/>
      <c r="D737" s="24"/>
      <c r="E737" s="24"/>
      <c r="F737" s="24"/>
    </row>
    <row r="738">
      <c r="A738" s="24"/>
      <c r="B738" s="24"/>
      <c r="C738" s="24"/>
      <c r="D738" s="24"/>
      <c r="E738" s="24"/>
      <c r="F738" s="24"/>
    </row>
    <row r="739">
      <c r="A739" s="24"/>
      <c r="B739" s="24"/>
      <c r="C739" s="24"/>
      <c r="D739" s="24"/>
      <c r="E739" s="24"/>
      <c r="F739" s="24"/>
    </row>
    <row r="740">
      <c r="A740" s="24"/>
      <c r="B740" s="24"/>
      <c r="C740" s="24"/>
      <c r="D740" s="24"/>
      <c r="E740" s="24"/>
      <c r="F740" s="24"/>
    </row>
    <row r="741">
      <c r="A741" s="24"/>
      <c r="B741" s="24"/>
      <c r="C741" s="24"/>
      <c r="D741" s="24"/>
      <c r="E741" s="24"/>
      <c r="F741" s="24"/>
    </row>
    <row r="742">
      <c r="A742" s="24"/>
      <c r="B742" s="24"/>
      <c r="C742" s="24"/>
      <c r="D742" s="24"/>
      <c r="E742" s="24"/>
      <c r="F742" s="24"/>
    </row>
    <row r="743">
      <c r="A743" s="24"/>
      <c r="B743" s="24"/>
      <c r="C743" s="24"/>
      <c r="D743" s="24"/>
      <c r="E743" s="24"/>
      <c r="F743" s="24"/>
    </row>
    <row r="744">
      <c r="A744" s="24"/>
      <c r="B744" s="24"/>
      <c r="C744" s="24"/>
      <c r="D744" s="24"/>
      <c r="E744" s="24"/>
      <c r="F744" s="24"/>
    </row>
    <row r="745">
      <c r="A745" s="24"/>
      <c r="B745" s="24"/>
      <c r="C745" s="24"/>
      <c r="D745" s="24"/>
      <c r="E745" s="24"/>
      <c r="F745" s="24"/>
    </row>
    <row r="746">
      <c r="A746" s="24"/>
      <c r="B746" s="24"/>
      <c r="C746" s="24"/>
      <c r="D746" s="24"/>
      <c r="E746" s="24"/>
      <c r="F746" s="24"/>
    </row>
    <row r="747">
      <c r="A747" s="24"/>
      <c r="B747" s="24"/>
      <c r="C747" s="24"/>
      <c r="D747" s="24"/>
      <c r="E747" s="24"/>
      <c r="F747" s="24"/>
    </row>
    <row r="748">
      <c r="A748" s="24"/>
      <c r="B748" s="24"/>
      <c r="C748" s="24"/>
      <c r="D748" s="24"/>
      <c r="E748" s="24"/>
      <c r="F748" s="24"/>
    </row>
    <row r="749">
      <c r="A749" s="24"/>
      <c r="B749" s="24"/>
      <c r="C749" s="24"/>
      <c r="D749" s="24"/>
      <c r="E749" s="24"/>
      <c r="F749" s="24"/>
    </row>
    <row r="750">
      <c r="A750" s="24"/>
      <c r="B750" s="24"/>
      <c r="C750" s="24"/>
      <c r="D750" s="24"/>
      <c r="E750" s="24"/>
      <c r="F750" s="24"/>
    </row>
    <row r="751">
      <c r="A751" s="24"/>
      <c r="B751" s="24"/>
      <c r="C751" s="24"/>
      <c r="D751" s="24"/>
      <c r="E751" s="24"/>
      <c r="F751" s="24"/>
    </row>
    <row r="752">
      <c r="A752" s="24"/>
      <c r="B752" s="24"/>
      <c r="C752" s="24"/>
      <c r="D752" s="24"/>
      <c r="E752" s="24"/>
      <c r="F752" s="24"/>
    </row>
    <row r="753">
      <c r="A753" s="24"/>
      <c r="B753" s="24"/>
      <c r="C753" s="24"/>
      <c r="D753" s="24"/>
      <c r="E753" s="24"/>
      <c r="F753" s="24"/>
    </row>
    <row r="754">
      <c r="A754" s="24"/>
      <c r="B754" s="24"/>
      <c r="C754" s="24"/>
      <c r="D754" s="24"/>
      <c r="E754" s="24"/>
      <c r="F754" s="24"/>
    </row>
    <row r="755">
      <c r="A755" s="24"/>
      <c r="B755" s="24"/>
      <c r="C755" s="24"/>
      <c r="D755" s="24"/>
      <c r="E755" s="24"/>
      <c r="F755" s="24"/>
    </row>
    <row r="756">
      <c r="A756" s="24"/>
      <c r="B756" s="24"/>
      <c r="C756" s="24"/>
      <c r="D756" s="24"/>
      <c r="E756" s="24"/>
      <c r="F756" s="24"/>
    </row>
    <row r="757">
      <c r="A757" s="24"/>
      <c r="B757" s="24"/>
      <c r="C757" s="24"/>
      <c r="D757" s="24"/>
      <c r="E757" s="24"/>
      <c r="F757" s="24"/>
    </row>
    <row r="758">
      <c r="A758" s="24"/>
      <c r="B758" s="24"/>
      <c r="C758" s="24"/>
      <c r="D758" s="24"/>
      <c r="E758" s="24"/>
      <c r="F758" s="24"/>
    </row>
    <row r="759">
      <c r="A759" s="24"/>
      <c r="B759" s="24"/>
      <c r="C759" s="24"/>
      <c r="D759" s="24"/>
      <c r="E759" s="24"/>
      <c r="F759" s="24"/>
    </row>
    <row r="760">
      <c r="A760" s="24"/>
      <c r="B760" s="24"/>
      <c r="C760" s="24"/>
      <c r="D760" s="24"/>
      <c r="E760" s="24"/>
      <c r="F760" s="24"/>
    </row>
    <row r="761">
      <c r="A761" s="24"/>
      <c r="B761" s="24"/>
      <c r="C761" s="24"/>
      <c r="D761" s="24"/>
      <c r="E761" s="24"/>
      <c r="F761" s="24"/>
    </row>
    <row r="762">
      <c r="A762" s="24"/>
      <c r="B762" s="24"/>
      <c r="C762" s="24"/>
      <c r="D762" s="24"/>
      <c r="E762" s="24"/>
      <c r="F762" s="24"/>
    </row>
    <row r="763">
      <c r="A763" s="24"/>
      <c r="B763" s="24"/>
      <c r="C763" s="24"/>
      <c r="D763" s="24"/>
      <c r="E763" s="24"/>
      <c r="F763" s="24"/>
    </row>
    <row r="764">
      <c r="A764" s="24"/>
      <c r="B764" s="24"/>
      <c r="C764" s="24"/>
      <c r="D764" s="24"/>
      <c r="E764" s="24"/>
      <c r="F764" s="24"/>
    </row>
    <row r="765">
      <c r="A765" s="24"/>
      <c r="B765" s="24"/>
      <c r="C765" s="24"/>
      <c r="D765" s="24"/>
      <c r="E765" s="24"/>
      <c r="F765" s="24"/>
    </row>
    <row r="766">
      <c r="A766" s="24"/>
      <c r="B766" s="24"/>
      <c r="C766" s="24"/>
      <c r="D766" s="24"/>
      <c r="E766" s="24"/>
      <c r="F766" s="24"/>
    </row>
    <row r="767">
      <c r="A767" s="24"/>
      <c r="B767" s="24"/>
      <c r="C767" s="24"/>
      <c r="D767" s="24"/>
      <c r="E767" s="24"/>
      <c r="F767" s="24"/>
    </row>
    <row r="768">
      <c r="A768" s="24"/>
      <c r="B768" s="24"/>
      <c r="C768" s="24"/>
      <c r="D768" s="24"/>
      <c r="E768" s="24"/>
      <c r="F768" s="24"/>
    </row>
    <row r="769">
      <c r="A769" s="24"/>
      <c r="B769" s="24"/>
      <c r="C769" s="24"/>
      <c r="D769" s="24"/>
      <c r="E769" s="24"/>
      <c r="F769" s="24"/>
    </row>
    <row r="770">
      <c r="A770" s="24"/>
      <c r="B770" s="24"/>
      <c r="C770" s="24"/>
      <c r="D770" s="24"/>
      <c r="E770" s="24"/>
      <c r="F770" s="24"/>
    </row>
    <row r="771">
      <c r="A771" s="24"/>
      <c r="B771" s="24"/>
      <c r="C771" s="24"/>
      <c r="D771" s="24"/>
      <c r="E771" s="24"/>
      <c r="F771" s="24"/>
    </row>
    <row r="772">
      <c r="A772" s="24"/>
      <c r="B772" s="24"/>
      <c r="C772" s="24"/>
      <c r="D772" s="24"/>
      <c r="E772" s="24"/>
      <c r="F772" s="24"/>
    </row>
    <row r="773">
      <c r="A773" s="24"/>
      <c r="B773" s="24"/>
      <c r="C773" s="24"/>
      <c r="D773" s="24"/>
      <c r="E773" s="24"/>
      <c r="F773" s="24"/>
    </row>
    <row r="774">
      <c r="A774" s="24"/>
      <c r="B774" s="24"/>
      <c r="C774" s="24"/>
      <c r="D774" s="24"/>
      <c r="E774" s="24"/>
      <c r="F774" s="24"/>
    </row>
    <row r="775">
      <c r="A775" s="24"/>
      <c r="B775" s="24"/>
      <c r="C775" s="24"/>
      <c r="D775" s="24"/>
      <c r="E775" s="24"/>
      <c r="F775" s="24"/>
    </row>
    <row r="776">
      <c r="A776" s="24"/>
      <c r="B776" s="24"/>
      <c r="C776" s="24"/>
      <c r="D776" s="24"/>
      <c r="E776" s="24"/>
      <c r="F776" s="24"/>
    </row>
    <row r="777">
      <c r="A777" s="24"/>
      <c r="B777" s="24"/>
      <c r="C777" s="24"/>
      <c r="D777" s="24"/>
      <c r="E777" s="24"/>
      <c r="F777" s="24"/>
    </row>
    <row r="778">
      <c r="A778" s="24"/>
      <c r="B778" s="24"/>
      <c r="C778" s="24"/>
      <c r="D778" s="24"/>
      <c r="E778" s="24"/>
      <c r="F778" s="24"/>
    </row>
    <row r="779">
      <c r="A779" s="24"/>
      <c r="B779" s="24"/>
      <c r="C779" s="24"/>
      <c r="D779" s="24"/>
      <c r="E779" s="24"/>
      <c r="F779" s="24"/>
    </row>
    <row r="780">
      <c r="A780" s="24"/>
      <c r="B780" s="24"/>
      <c r="C780" s="24"/>
      <c r="D780" s="24"/>
      <c r="E780" s="24"/>
      <c r="F780" s="24"/>
    </row>
    <row r="781">
      <c r="A781" s="24"/>
      <c r="B781" s="24"/>
      <c r="C781" s="24"/>
      <c r="D781" s="24"/>
      <c r="E781" s="24"/>
      <c r="F781" s="24"/>
    </row>
    <row r="782">
      <c r="A782" s="24"/>
      <c r="B782" s="24"/>
      <c r="C782" s="24"/>
      <c r="D782" s="24"/>
      <c r="E782" s="24"/>
      <c r="F782" s="24"/>
    </row>
    <row r="783">
      <c r="A783" s="24"/>
      <c r="B783" s="24"/>
      <c r="C783" s="24"/>
      <c r="D783" s="24"/>
      <c r="E783" s="24"/>
      <c r="F783" s="24"/>
    </row>
    <row r="784">
      <c r="A784" s="24"/>
      <c r="B784" s="24"/>
      <c r="C784" s="24"/>
      <c r="D784" s="24"/>
      <c r="E784" s="24"/>
      <c r="F784" s="24"/>
    </row>
    <row r="785">
      <c r="A785" s="24"/>
      <c r="B785" s="24"/>
      <c r="C785" s="24"/>
      <c r="D785" s="24"/>
      <c r="E785" s="24"/>
      <c r="F785" s="24"/>
    </row>
    <row r="786">
      <c r="A786" s="24"/>
      <c r="B786" s="24"/>
      <c r="C786" s="24"/>
      <c r="D786" s="24"/>
      <c r="E786" s="24"/>
      <c r="F786" s="24"/>
    </row>
    <row r="787">
      <c r="A787" s="24"/>
      <c r="B787" s="24"/>
      <c r="C787" s="24"/>
      <c r="D787" s="24"/>
      <c r="E787" s="24"/>
      <c r="F787" s="24"/>
    </row>
    <row r="788">
      <c r="A788" s="24"/>
      <c r="B788" s="24"/>
      <c r="C788" s="24"/>
      <c r="D788" s="24"/>
      <c r="E788" s="24"/>
      <c r="F788" s="24"/>
    </row>
    <row r="789">
      <c r="A789" s="24"/>
      <c r="B789" s="24"/>
      <c r="C789" s="24"/>
      <c r="D789" s="24"/>
      <c r="E789" s="24"/>
      <c r="F789" s="24"/>
    </row>
    <row r="790">
      <c r="A790" s="24"/>
      <c r="B790" s="24"/>
      <c r="C790" s="24"/>
      <c r="D790" s="24"/>
      <c r="E790" s="24"/>
      <c r="F790" s="24"/>
    </row>
    <row r="791">
      <c r="A791" s="24"/>
      <c r="B791" s="24"/>
      <c r="C791" s="24"/>
      <c r="D791" s="24"/>
      <c r="E791" s="24"/>
      <c r="F791" s="24"/>
    </row>
    <row r="792">
      <c r="A792" s="24"/>
      <c r="B792" s="24"/>
      <c r="C792" s="24"/>
      <c r="D792" s="24"/>
      <c r="E792" s="24"/>
      <c r="F792" s="24"/>
    </row>
    <row r="793">
      <c r="A793" s="24"/>
      <c r="B793" s="24"/>
      <c r="C793" s="24"/>
      <c r="D793" s="24"/>
      <c r="E793" s="24"/>
      <c r="F793" s="24"/>
    </row>
    <row r="794">
      <c r="A794" s="24"/>
      <c r="B794" s="24"/>
      <c r="C794" s="24"/>
      <c r="D794" s="24"/>
      <c r="E794" s="24"/>
      <c r="F794" s="24"/>
    </row>
    <row r="795">
      <c r="A795" s="24"/>
      <c r="B795" s="24"/>
      <c r="C795" s="24"/>
      <c r="D795" s="24"/>
      <c r="E795" s="24"/>
      <c r="F795" s="24"/>
    </row>
    <row r="796">
      <c r="A796" s="24"/>
      <c r="B796" s="24"/>
      <c r="C796" s="24"/>
      <c r="D796" s="24"/>
      <c r="E796" s="24"/>
      <c r="F796" s="24"/>
    </row>
    <row r="797">
      <c r="A797" s="24"/>
      <c r="B797" s="24"/>
      <c r="C797" s="24"/>
      <c r="D797" s="24"/>
      <c r="E797" s="24"/>
      <c r="F797" s="24"/>
    </row>
    <row r="798">
      <c r="A798" s="24"/>
      <c r="B798" s="24"/>
      <c r="C798" s="24"/>
      <c r="D798" s="24"/>
      <c r="E798" s="24"/>
      <c r="F798" s="24"/>
    </row>
    <row r="799">
      <c r="A799" s="24"/>
      <c r="B799" s="24"/>
      <c r="C799" s="24"/>
      <c r="D799" s="24"/>
      <c r="E799" s="24"/>
      <c r="F799" s="24"/>
    </row>
    <row r="800">
      <c r="A800" s="24"/>
      <c r="B800" s="24"/>
      <c r="C800" s="24"/>
      <c r="D800" s="24"/>
      <c r="E800" s="24"/>
      <c r="F800" s="24"/>
    </row>
    <row r="801">
      <c r="A801" s="24"/>
      <c r="B801" s="24"/>
      <c r="C801" s="24"/>
      <c r="D801" s="24"/>
      <c r="E801" s="24"/>
      <c r="F801" s="24"/>
    </row>
    <row r="802">
      <c r="A802" s="24"/>
      <c r="B802" s="24"/>
      <c r="C802" s="24"/>
      <c r="D802" s="24"/>
      <c r="E802" s="24"/>
      <c r="F802" s="24"/>
    </row>
    <row r="803">
      <c r="A803" s="24"/>
      <c r="B803" s="24"/>
      <c r="C803" s="24"/>
      <c r="D803" s="24"/>
      <c r="E803" s="24"/>
      <c r="F803" s="24"/>
    </row>
    <row r="804">
      <c r="A804" s="24"/>
      <c r="B804" s="24"/>
      <c r="C804" s="24"/>
      <c r="D804" s="24"/>
      <c r="E804" s="24"/>
      <c r="F804" s="24"/>
    </row>
    <row r="805">
      <c r="A805" s="24"/>
      <c r="B805" s="24"/>
      <c r="C805" s="24"/>
      <c r="D805" s="24"/>
      <c r="E805" s="24"/>
      <c r="F805" s="24"/>
    </row>
    <row r="806">
      <c r="A806" s="24"/>
      <c r="B806" s="24"/>
      <c r="C806" s="24"/>
      <c r="D806" s="24"/>
      <c r="E806" s="24"/>
      <c r="F806" s="24"/>
    </row>
    <row r="807">
      <c r="A807" s="24"/>
      <c r="B807" s="24"/>
      <c r="C807" s="24"/>
      <c r="D807" s="24"/>
      <c r="E807" s="24"/>
      <c r="F807" s="24"/>
    </row>
    <row r="808">
      <c r="A808" s="24"/>
      <c r="B808" s="24"/>
      <c r="C808" s="24"/>
      <c r="D808" s="24"/>
      <c r="E808" s="24"/>
      <c r="F808" s="24"/>
    </row>
    <row r="809">
      <c r="A809" s="24"/>
      <c r="B809" s="24"/>
      <c r="C809" s="24"/>
      <c r="D809" s="24"/>
      <c r="E809" s="24"/>
      <c r="F809" s="24"/>
    </row>
    <row r="810">
      <c r="A810" s="24"/>
      <c r="B810" s="24"/>
      <c r="C810" s="24"/>
      <c r="D810" s="24"/>
      <c r="E810" s="24"/>
      <c r="F810" s="24"/>
    </row>
    <row r="811">
      <c r="A811" s="24"/>
      <c r="B811" s="24"/>
      <c r="C811" s="24"/>
      <c r="D811" s="24"/>
      <c r="E811" s="24"/>
      <c r="F811" s="24"/>
    </row>
    <row r="812">
      <c r="A812" s="24"/>
      <c r="B812" s="24"/>
      <c r="C812" s="24"/>
      <c r="D812" s="24"/>
      <c r="E812" s="24"/>
      <c r="F812" s="24"/>
    </row>
    <row r="813">
      <c r="A813" s="24"/>
      <c r="B813" s="24"/>
      <c r="C813" s="24"/>
      <c r="D813" s="24"/>
      <c r="E813" s="24"/>
      <c r="F813" s="24"/>
    </row>
    <row r="814">
      <c r="A814" s="24"/>
      <c r="B814" s="24"/>
      <c r="C814" s="24"/>
      <c r="D814" s="24"/>
      <c r="E814" s="24"/>
      <c r="F814" s="24"/>
    </row>
    <row r="815">
      <c r="A815" s="24"/>
      <c r="B815" s="24"/>
      <c r="C815" s="24"/>
      <c r="D815" s="24"/>
      <c r="E815" s="24"/>
      <c r="F815" s="24"/>
    </row>
    <row r="816">
      <c r="A816" s="24"/>
      <c r="B816" s="24"/>
      <c r="C816" s="24"/>
      <c r="D816" s="24"/>
      <c r="E816" s="24"/>
      <c r="F816" s="24"/>
    </row>
    <row r="817">
      <c r="A817" s="24"/>
      <c r="B817" s="24"/>
      <c r="C817" s="24"/>
      <c r="D817" s="24"/>
      <c r="E817" s="24"/>
      <c r="F817" s="24"/>
    </row>
    <row r="818">
      <c r="A818" s="24"/>
      <c r="B818" s="24"/>
      <c r="C818" s="24"/>
      <c r="D818" s="24"/>
      <c r="E818" s="24"/>
      <c r="F818" s="24"/>
    </row>
    <row r="819">
      <c r="A819" s="24"/>
      <c r="B819" s="24"/>
      <c r="C819" s="24"/>
      <c r="D819" s="24"/>
      <c r="E819" s="24"/>
      <c r="F819" s="24"/>
    </row>
    <row r="820">
      <c r="A820" s="24"/>
      <c r="B820" s="24"/>
      <c r="C820" s="24"/>
      <c r="D820" s="24"/>
      <c r="E820" s="24"/>
      <c r="F820" s="24"/>
    </row>
    <row r="821">
      <c r="A821" s="24"/>
      <c r="B821" s="24"/>
      <c r="C821" s="24"/>
      <c r="D821" s="24"/>
      <c r="E821" s="24"/>
      <c r="F821" s="24"/>
    </row>
    <row r="822">
      <c r="A822" s="24"/>
      <c r="B822" s="24"/>
      <c r="C822" s="24"/>
      <c r="D822" s="24"/>
      <c r="E822" s="24"/>
      <c r="F822" s="24"/>
    </row>
    <row r="823">
      <c r="A823" s="24"/>
      <c r="B823" s="24"/>
      <c r="C823" s="24"/>
      <c r="D823" s="24"/>
      <c r="E823" s="24"/>
      <c r="F823" s="24"/>
    </row>
    <row r="824">
      <c r="A824" s="24"/>
      <c r="B824" s="24"/>
      <c r="C824" s="24"/>
      <c r="D824" s="24"/>
      <c r="E824" s="24"/>
      <c r="F824" s="24"/>
    </row>
    <row r="825">
      <c r="A825" s="24"/>
      <c r="B825" s="24"/>
      <c r="C825" s="24"/>
      <c r="D825" s="24"/>
      <c r="E825" s="24"/>
      <c r="F825" s="24"/>
    </row>
    <row r="826">
      <c r="A826" s="24"/>
      <c r="B826" s="24"/>
      <c r="C826" s="24"/>
      <c r="D826" s="24"/>
      <c r="E826" s="24"/>
      <c r="F826" s="24"/>
    </row>
    <row r="827">
      <c r="A827" s="24"/>
      <c r="B827" s="24"/>
      <c r="C827" s="24"/>
      <c r="D827" s="24"/>
      <c r="E827" s="24"/>
      <c r="F827" s="24"/>
    </row>
    <row r="828">
      <c r="A828" s="24"/>
      <c r="B828" s="24"/>
      <c r="C828" s="24"/>
      <c r="D828" s="24"/>
      <c r="E828" s="24"/>
      <c r="F828" s="24"/>
    </row>
    <row r="829">
      <c r="A829" s="24"/>
      <c r="B829" s="24"/>
      <c r="C829" s="24"/>
      <c r="D829" s="24"/>
      <c r="E829" s="24"/>
      <c r="F829" s="24"/>
    </row>
    <row r="830">
      <c r="A830" s="24"/>
      <c r="B830" s="24"/>
      <c r="C830" s="24"/>
      <c r="D830" s="24"/>
      <c r="E830" s="24"/>
      <c r="F830" s="24"/>
    </row>
    <row r="831">
      <c r="A831" s="24"/>
      <c r="B831" s="24"/>
      <c r="C831" s="24"/>
      <c r="D831" s="24"/>
      <c r="E831" s="24"/>
      <c r="F831" s="24"/>
    </row>
    <row r="832">
      <c r="A832" s="24"/>
      <c r="B832" s="24"/>
      <c r="C832" s="24"/>
      <c r="D832" s="24"/>
      <c r="E832" s="24"/>
      <c r="F832" s="24"/>
    </row>
    <row r="833">
      <c r="A833" s="24"/>
      <c r="B833" s="24"/>
      <c r="C833" s="24"/>
      <c r="D833" s="24"/>
      <c r="E833" s="24"/>
      <c r="F833" s="24"/>
    </row>
    <row r="834">
      <c r="A834" s="24"/>
      <c r="B834" s="24"/>
      <c r="C834" s="24"/>
      <c r="D834" s="24"/>
      <c r="E834" s="24"/>
      <c r="F834" s="24"/>
    </row>
    <row r="835">
      <c r="A835" s="24"/>
      <c r="B835" s="24"/>
      <c r="C835" s="24"/>
      <c r="D835" s="24"/>
      <c r="E835" s="24"/>
      <c r="F835" s="24"/>
    </row>
    <row r="836">
      <c r="A836" s="24"/>
      <c r="B836" s="24"/>
      <c r="C836" s="24"/>
      <c r="D836" s="24"/>
      <c r="E836" s="24"/>
      <c r="F836" s="24"/>
    </row>
    <row r="837">
      <c r="A837" s="24"/>
      <c r="B837" s="24"/>
      <c r="C837" s="24"/>
      <c r="D837" s="24"/>
      <c r="E837" s="24"/>
      <c r="F837" s="24"/>
    </row>
    <row r="838">
      <c r="A838" s="24"/>
      <c r="B838" s="24"/>
      <c r="C838" s="24"/>
      <c r="D838" s="24"/>
      <c r="E838" s="24"/>
      <c r="F838" s="24"/>
    </row>
    <row r="839">
      <c r="A839" s="24"/>
      <c r="B839" s="24"/>
      <c r="C839" s="24"/>
      <c r="D839" s="24"/>
      <c r="E839" s="24"/>
      <c r="F839" s="24"/>
    </row>
    <row r="840">
      <c r="A840" s="24"/>
      <c r="B840" s="24"/>
      <c r="C840" s="24"/>
      <c r="D840" s="24"/>
      <c r="E840" s="24"/>
      <c r="F840" s="24"/>
    </row>
    <row r="841">
      <c r="A841" s="24"/>
      <c r="B841" s="24"/>
      <c r="C841" s="24"/>
      <c r="D841" s="24"/>
      <c r="E841" s="24"/>
      <c r="F841" s="24"/>
    </row>
    <row r="842">
      <c r="A842" s="24"/>
      <c r="B842" s="24"/>
      <c r="C842" s="24"/>
      <c r="D842" s="24"/>
      <c r="E842" s="24"/>
      <c r="F842" s="24"/>
    </row>
    <row r="843">
      <c r="A843" s="24"/>
      <c r="B843" s="24"/>
      <c r="C843" s="24"/>
      <c r="D843" s="24"/>
      <c r="E843" s="24"/>
      <c r="F843" s="24"/>
    </row>
    <row r="844">
      <c r="A844" s="24"/>
      <c r="B844" s="24"/>
      <c r="C844" s="24"/>
      <c r="D844" s="24"/>
      <c r="E844" s="24"/>
      <c r="F844" s="24"/>
    </row>
    <row r="845">
      <c r="A845" s="24"/>
      <c r="B845" s="24"/>
      <c r="C845" s="24"/>
      <c r="D845" s="24"/>
      <c r="E845" s="24"/>
      <c r="F845" s="24"/>
    </row>
    <row r="846">
      <c r="A846" s="24"/>
      <c r="B846" s="24"/>
      <c r="C846" s="24"/>
      <c r="D846" s="24"/>
      <c r="E846" s="24"/>
      <c r="F846" s="24"/>
    </row>
    <row r="847">
      <c r="A847" s="24"/>
      <c r="B847" s="24"/>
      <c r="C847" s="24"/>
      <c r="D847" s="24"/>
      <c r="E847" s="24"/>
      <c r="F847" s="24"/>
    </row>
    <row r="848">
      <c r="A848" s="24"/>
      <c r="B848" s="24"/>
      <c r="C848" s="24"/>
      <c r="D848" s="24"/>
      <c r="E848" s="24"/>
      <c r="F848" s="24"/>
    </row>
    <row r="849">
      <c r="A849" s="24"/>
      <c r="B849" s="24"/>
      <c r="C849" s="24"/>
      <c r="D849" s="24"/>
      <c r="E849" s="24"/>
      <c r="F849" s="24"/>
    </row>
    <row r="850">
      <c r="A850" s="24"/>
      <c r="B850" s="24"/>
      <c r="C850" s="24"/>
      <c r="D850" s="24"/>
      <c r="E850" s="24"/>
      <c r="F850" s="24"/>
    </row>
    <row r="851">
      <c r="A851" s="24"/>
      <c r="B851" s="24"/>
      <c r="C851" s="24"/>
      <c r="D851" s="24"/>
      <c r="E851" s="24"/>
      <c r="F851" s="24"/>
    </row>
    <row r="852">
      <c r="A852" s="24"/>
      <c r="B852" s="24"/>
      <c r="C852" s="24"/>
      <c r="D852" s="24"/>
      <c r="E852" s="24"/>
      <c r="F852" s="24"/>
    </row>
    <row r="853">
      <c r="A853" s="24"/>
      <c r="B853" s="24"/>
      <c r="C853" s="24"/>
      <c r="D853" s="24"/>
      <c r="E853" s="24"/>
      <c r="F853" s="24"/>
    </row>
    <row r="854">
      <c r="A854" s="24"/>
      <c r="B854" s="24"/>
      <c r="C854" s="24"/>
      <c r="D854" s="24"/>
      <c r="E854" s="24"/>
      <c r="F854" s="24"/>
    </row>
    <row r="855">
      <c r="A855" s="24"/>
      <c r="B855" s="24"/>
      <c r="C855" s="24"/>
      <c r="D855" s="24"/>
      <c r="E855" s="24"/>
      <c r="F855" s="24"/>
    </row>
    <row r="856">
      <c r="A856" s="24"/>
      <c r="B856" s="24"/>
      <c r="C856" s="24"/>
      <c r="D856" s="24"/>
      <c r="E856" s="24"/>
      <c r="F856" s="24"/>
    </row>
    <row r="857">
      <c r="A857" s="24"/>
      <c r="B857" s="24"/>
      <c r="C857" s="24"/>
      <c r="D857" s="24"/>
      <c r="E857" s="24"/>
      <c r="F857" s="24"/>
    </row>
    <row r="858">
      <c r="A858" s="24"/>
      <c r="B858" s="24"/>
      <c r="C858" s="24"/>
      <c r="D858" s="24"/>
      <c r="E858" s="24"/>
      <c r="F858" s="24"/>
    </row>
    <row r="859">
      <c r="A859" s="24"/>
      <c r="B859" s="24"/>
      <c r="C859" s="24"/>
      <c r="D859" s="24"/>
      <c r="E859" s="24"/>
      <c r="F859" s="24"/>
    </row>
    <row r="860">
      <c r="A860" s="24"/>
      <c r="B860" s="24"/>
      <c r="C860" s="24"/>
      <c r="D860" s="24"/>
      <c r="E860" s="24"/>
      <c r="F860" s="24"/>
    </row>
    <row r="861">
      <c r="A861" s="24"/>
      <c r="B861" s="24"/>
      <c r="C861" s="24"/>
      <c r="D861" s="24"/>
      <c r="E861" s="24"/>
      <c r="F861" s="24"/>
    </row>
    <row r="862">
      <c r="A862" s="24"/>
      <c r="B862" s="24"/>
      <c r="C862" s="24"/>
      <c r="D862" s="24"/>
      <c r="E862" s="24"/>
      <c r="F862" s="24"/>
    </row>
    <row r="863">
      <c r="A863" s="24"/>
      <c r="B863" s="24"/>
      <c r="C863" s="24"/>
      <c r="D863" s="24"/>
      <c r="E863" s="24"/>
      <c r="F863" s="24"/>
    </row>
    <row r="864">
      <c r="A864" s="24"/>
      <c r="B864" s="24"/>
      <c r="C864" s="24"/>
      <c r="D864" s="24"/>
      <c r="E864" s="24"/>
      <c r="F864" s="24"/>
    </row>
    <row r="865">
      <c r="A865" s="24"/>
      <c r="B865" s="24"/>
      <c r="C865" s="24"/>
      <c r="D865" s="24"/>
      <c r="E865" s="24"/>
      <c r="F865" s="24"/>
    </row>
    <row r="866">
      <c r="A866" s="24"/>
      <c r="B866" s="24"/>
      <c r="C866" s="24"/>
      <c r="D866" s="24"/>
      <c r="E866" s="24"/>
      <c r="F866" s="24"/>
    </row>
    <row r="867">
      <c r="A867" s="24"/>
      <c r="B867" s="24"/>
      <c r="C867" s="24"/>
      <c r="D867" s="24"/>
      <c r="E867" s="24"/>
      <c r="F867" s="24"/>
    </row>
    <row r="868">
      <c r="A868" s="24"/>
      <c r="B868" s="24"/>
      <c r="C868" s="24"/>
      <c r="D868" s="24"/>
      <c r="E868" s="24"/>
      <c r="F868" s="24"/>
    </row>
    <row r="869">
      <c r="A869" s="24"/>
      <c r="B869" s="24"/>
      <c r="C869" s="24"/>
      <c r="D869" s="24"/>
      <c r="E869" s="24"/>
      <c r="F869" s="24"/>
    </row>
    <row r="870">
      <c r="A870" s="24"/>
      <c r="B870" s="24"/>
      <c r="C870" s="24"/>
      <c r="D870" s="24"/>
      <c r="E870" s="24"/>
      <c r="F870" s="24"/>
    </row>
    <row r="871">
      <c r="A871" s="24"/>
      <c r="B871" s="24"/>
      <c r="C871" s="24"/>
      <c r="D871" s="24"/>
      <c r="E871" s="24"/>
      <c r="F871" s="24"/>
    </row>
    <row r="872">
      <c r="A872" s="24"/>
      <c r="B872" s="24"/>
      <c r="C872" s="24"/>
      <c r="D872" s="24"/>
      <c r="E872" s="24"/>
      <c r="F872" s="24"/>
    </row>
    <row r="873">
      <c r="A873" s="24"/>
      <c r="B873" s="24"/>
      <c r="C873" s="24"/>
      <c r="D873" s="24"/>
      <c r="E873" s="24"/>
      <c r="F873" s="24"/>
    </row>
    <row r="874">
      <c r="A874" s="24"/>
      <c r="B874" s="24"/>
      <c r="C874" s="24"/>
      <c r="D874" s="24"/>
      <c r="E874" s="24"/>
      <c r="F874" s="24"/>
    </row>
    <row r="875">
      <c r="A875" s="24"/>
      <c r="B875" s="24"/>
      <c r="C875" s="24"/>
      <c r="D875" s="24"/>
      <c r="E875" s="24"/>
      <c r="F875" s="24"/>
    </row>
    <row r="876">
      <c r="A876" s="24"/>
      <c r="B876" s="24"/>
      <c r="C876" s="24"/>
      <c r="D876" s="24"/>
      <c r="E876" s="24"/>
      <c r="F876" s="24"/>
    </row>
    <row r="877">
      <c r="A877" s="24"/>
      <c r="B877" s="24"/>
      <c r="C877" s="24"/>
      <c r="D877" s="24"/>
      <c r="E877" s="24"/>
      <c r="F877" s="24"/>
    </row>
    <row r="878">
      <c r="A878" s="24"/>
      <c r="B878" s="24"/>
      <c r="C878" s="24"/>
      <c r="D878" s="24"/>
      <c r="E878" s="24"/>
      <c r="F878" s="24"/>
    </row>
    <row r="879">
      <c r="A879" s="24"/>
      <c r="B879" s="24"/>
      <c r="C879" s="24"/>
      <c r="D879" s="24"/>
      <c r="E879" s="24"/>
      <c r="F879" s="24"/>
    </row>
    <row r="880">
      <c r="A880" s="24"/>
      <c r="B880" s="24"/>
      <c r="C880" s="24"/>
      <c r="D880" s="24"/>
      <c r="E880" s="24"/>
      <c r="F880" s="24"/>
    </row>
    <row r="881">
      <c r="A881" s="24"/>
      <c r="B881" s="24"/>
      <c r="C881" s="24"/>
      <c r="D881" s="24"/>
      <c r="E881" s="24"/>
      <c r="F881" s="24"/>
    </row>
    <row r="882">
      <c r="A882" s="24"/>
      <c r="B882" s="24"/>
      <c r="C882" s="24"/>
      <c r="D882" s="24"/>
      <c r="E882" s="24"/>
      <c r="F882" s="24"/>
    </row>
    <row r="883">
      <c r="A883" s="24"/>
      <c r="B883" s="24"/>
      <c r="C883" s="24"/>
      <c r="D883" s="24"/>
      <c r="E883" s="24"/>
      <c r="F883" s="24"/>
    </row>
    <row r="884">
      <c r="A884" s="24"/>
      <c r="B884" s="24"/>
      <c r="C884" s="24"/>
      <c r="D884" s="24"/>
      <c r="E884" s="24"/>
      <c r="F884" s="24"/>
    </row>
    <row r="885">
      <c r="A885" s="24"/>
      <c r="B885" s="24"/>
      <c r="C885" s="24"/>
      <c r="D885" s="24"/>
      <c r="E885" s="24"/>
      <c r="F885" s="24"/>
    </row>
    <row r="886">
      <c r="A886" s="24"/>
      <c r="B886" s="24"/>
      <c r="C886" s="24"/>
      <c r="D886" s="24"/>
      <c r="E886" s="24"/>
      <c r="F886" s="24"/>
    </row>
    <row r="887">
      <c r="A887" s="24"/>
      <c r="B887" s="24"/>
      <c r="C887" s="24"/>
      <c r="D887" s="24"/>
      <c r="E887" s="24"/>
      <c r="F887" s="24"/>
    </row>
    <row r="888">
      <c r="A888" s="24"/>
      <c r="B888" s="24"/>
      <c r="C888" s="24"/>
      <c r="D888" s="24"/>
      <c r="E888" s="24"/>
      <c r="F888" s="24"/>
    </row>
    <row r="889">
      <c r="A889" s="24"/>
      <c r="B889" s="24"/>
      <c r="C889" s="24"/>
      <c r="D889" s="24"/>
      <c r="E889" s="24"/>
      <c r="F889" s="24"/>
    </row>
    <row r="890">
      <c r="A890" s="24"/>
      <c r="B890" s="24"/>
      <c r="C890" s="24"/>
      <c r="D890" s="24"/>
      <c r="E890" s="24"/>
      <c r="F890" s="24"/>
    </row>
    <row r="891">
      <c r="A891" s="24"/>
      <c r="B891" s="24"/>
      <c r="C891" s="24"/>
      <c r="D891" s="24"/>
      <c r="E891" s="24"/>
      <c r="F891" s="24"/>
    </row>
    <row r="892">
      <c r="A892" s="24"/>
      <c r="B892" s="24"/>
      <c r="C892" s="24"/>
      <c r="D892" s="24"/>
      <c r="E892" s="24"/>
      <c r="F892" s="24"/>
    </row>
    <row r="893">
      <c r="A893" s="24"/>
      <c r="B893" s="24"/>
      <c r="C893" s="24"/>
      <c r="D893" s="24"/>
      <c r="E893" s="24"/>
      <c r="F893" s="24"/>
    </row>
    <row r="894">
      <c r="A894" s="24"/>
      <c r="B894" s="24"/>
      <c r="C894" s="24"/>
      <c r="D894" s="24"/>
      <c r="E894" s="24"/>
      <c r="F894" s="24"/>
    </row>
    <row r="895">
      <c r="A895" s="24"/>
      <c r="B895" s="24"/>
      <c r="C895" s="24"/>
      <c r="D895" s="24"/>
      <c r="E895" s="24"/>
      <c r="F895" s="24"/>
    </row>
    <row r="896">
      <c r="A896" s="24"/>
      <c r="B896" s="24"/>
      <c r="C896" s="24"/>
      <c r="D896" s="24"/>
      <c r="E896" s="24"/>
      <c r="F896" s="24"/>
    </row>
    <row r="897">
      <c r="A897" s="24"/>
      <c r="B897" s="24"/>
      <c r="C897" s="24"/>
      <c r="D897" s="24"/>
      <c r="E897" s="24"/>
      <c r="F897" s="24"/>
    </row>
    <row r="898">
      <c r="A898" s="24"/>
      <c r="B898" s="24"/>
      <c r="C898" s="24"/>
      <c r="D898" s="24"/>
      <c r="E898" s="24"/>
      <c r="F898" s="24"/>
    </row>
    <row r="899">
      <c r="A899" s="24"/>
      <c r="B899" s="24"/>
      <c r="C899" s="24"/>
      <c r="D899" s="24"/>
      <c r="E899" s="24"/>
      <c r="F899" s="24"/>
    </row>
    <row r="900">
      <c r="A900" s="24"/>
      <c r="B900" s="24"/>
      <c r="C900" s="24"/>
      <c r="D900" s="24"/>
      <c r="E900" s="24"/>
      <c r="F900" s="24"/>
    </row>
    <row r="901">
      <c r="A901" s="24"/>
      <c r="B901" s="24"/>
      <c r="C901" s="24"/>
      <c r="D901" s="24"/>
      <c r="E901" s="24"/>
      <c r="F901" s="24"/>
    </row>
    <row r="902">
      <c r="A902" s="24"/>
      <c r="B902" s="24"/>
      <c r="C902" s="24"/>
      <c r="D902" s="24"/>
      <c r="E902" s="24"/>
      <c r="F902" s="24"/>
    </row>
    <row r="903">
      <c r="A903" s="24"/>
      <c r="B903" s="24"/>
      <c r="C903" s="24"/>
      <c r="D903" s="24"/>
      <c r="E903" s="24"/>
      <c r="F903" s="24"/>
    </row>
    <row r="904">
      <c r="A904" s="24"/>
      <c r="B904" s="24"/>
      <c r="C904" s="24"/>
      <c r="D904" s="24"/>
      <c r="E904" s="24"/>
      <c r="F904" s="24"/>
    </row>
    <row r="905">
      <c r="A905" s="24"/>
      <c r="B905" s="24"/>
      <c r="C905" s="24"/>
      <c r="D905" s="24"/>
      <c r="E905" s="24"/>
      <c r="F905" s="24"/>
    </row>
    <row r="906">
      <c r="A906" s="24"/>
      <c r="B906" s="24"/>
      <c r="C906" s="24"/>
      <c r="D906" s="24"/>
      <c r="E906" s="24"/>
      <c r="F906" s="24"/>
    </row>
    <row r="907">
      <c r="A907" s="24"/>
      <c r="B907" s="24"/>
      <c r="C907" s="24"/>
      <c r="D907" s="24"/>
      <c r="E907" s="24"/>
      <c r="F907" s="24"/>
    </row>
    <row r="908">
      <c r="A908" s="24"/>
      <c r="B908" s="24"/>
      <c r="C908" s="24"/>
      <c r="D908" s="24"/>
      <c r="E908" s="24"/>
      <c r="F908" s="24"/>
    </row>
    <row r="909">
      <c r="A909" s="24"/>
      <c r="B909" s="24"/>
      <c r="C909" s="24"/>
      <c r="D909" s="24"/>
      <c r="E909" s="24"/>
      <c r="F909" s="24"/>
    </row>
    <row r="910">
      <c r="A910" s="24"/>
      <c r="B910" s="24"/>
      <c r="C910" s="24"/>
      <c r="D910" s="24"/>
      <c r="E910" s="24"/>
      <c r="F910" s="24"/>
    </row>
    <row r="911">
      <c r="A911" s="24"/>
      <c r="B911" s="24"/>
      <c r="C911" s="24"/>
      <c r="D911" s="24"/>
      <c r="E911" s="24"/>
      <c r="F911" s="24"/>
    </row>
    <row r="912">
      <c r="A912" s="24"/>
      <c r="B912" s="24"/>
      <c r="C912" s="24"/>
      <c r="D912" s="24"/>
      <c r="E912" s="24"/>
      <c r="F912" s="24"/>
    </row>
    <row r="913">
      <c r="A913" s="24"/>
      <c r="B913" s="24"/>
      <c r="C913" s="24"/>
      <c r="D913" s="24"/>
      <c r="E913" s="24"/>
      <c r="F913" s="24"/>
    </row>
    <row r="914">
      <c r="A914" s="24"/>
      <c r="B914" s="24"/>
      <c r="C914" s="24"/>
      <c r="D914" s="24"/>
      <c r="E914" s="24"/>
      <c r="F914" s="24"/>
    </row>
    <row r="915">
      <c r="A915" s="24"/>
      <c r="B915" s="24"/>
      <c r="C915" s="24"/>
      <c r="D915" s="24"/>
      <c r="E915" s="24"/>
      <c r="F915" s="24"/>
    </row>
    <row r="916">
      <c r="A916" s="24"/>
      <c r="B916" s="24"/>
      <c r="C916" s="24"/>
      <c r="D916" s="24"/>
      <c r="E916" s="24"/>
      <c r="F916" s="24"/>
    </row>
    <row r="917">
      <c r="A917" s="24"/>
      <c r="B917" s="24"/>
      <c r="C917" s="24"/>
      <c r="D917" s="24"/>
      <c r="E917" s="24"/>
      <c r="F917" s="24"/>
    </row>
    <row r="918">
      <c r="A918" s="24"/>
      <c r="B918" s="24"/>
      <c r="C918" s="24"/>
      <c r="D918" s="24"/>
      <c r="E918" s="24"/>
      <c r="F918" s="24"/>
    </row>
    <row r="919">
      <c r="A919" s="24"/>
      <c r="B919" s="24"/>
      <c r="C919" s="24"/>
      <c r="D919" s="24"/>
      <c r="E919" s="24"/>
      <c r="F919" s="24"/>
    </row>
    <row r="920">
      <c r="A920" s="24"/>
      <c r="B920" s="24"/>
      <c r="C920" s="24"/>
      <c r="D920" s="24"/>
      <c r="E920" s="24"/>
      <c r="F920" s="24"/>
    </row>
    <row r="921">
      <c r="A921" s="24"/>
      <c r="B921" s="24"/>
      <c r="C921" s="24"/>
      <c r="D921" s="24"/>
      <c r="E921" s="24"/>
      <c r="F921" s="24"/>
    </row>
    <row r="922">
      <c r="A922" s="24"/>
      <c r="B922" s="24"/>
      <c r="C922" s="24"/>
      <c r="D922" s="24"/>
      <c r="E922" s="24"/>
      <c r="F922" s="24"/>
    </row>
    <row r="923">
      <c r="A923" s="24"/>
      <c r="B923" s="24"/>
      <c r="C923" s="24"/>
      <c r="D923" s="24"/>
      <c r="E923" s="24"/>
      <c r="F923" s="24"/>
    </row>
    <row r="924">
      <c r="A924" s="24"/>
      <c r="B924" s="24"/>
      <c r="C924" s="24"/>
      <c r="D924" s="24"/>
      <c r="E924" s="24"/>
      <c r="F924" s="24"/>
    </row>
    <row r="925">
      <c r="A925" s="24"/>
      <c r="B925" s="24"/>
      <c r="C925" s="24"/>
      <c r="D925" s="24"/>
      <c r="E925" s="24"/>
      <c r="F925" s="24"/>
    </row>
    <row r="926">
      <c r="A926" s="24"/>
      <c r="B926" s="24"/>
      <c r="C926" s="24"/>
      <c r="D926" s="24"/>
      <c r="E926" s="24"/>
      <c r="F926" s="24"/>
    </row>
    <row r="927">
      <c r="A927" s="24"/>
      <c r="B927" s="24"/>
      <c r="C927" s="24"/>
      <c r="D927" s="24"/>
      <c r="E927" s="24"/>
      <c r="F927" s="24"/>
    </row>
    <row r="928">
      <c r="A928" s="24"/>
      <c r="B928" s="24"/>
      <c r="C928" s="24"/>
      <c r="D928" s="24"/>
      <c r="E928" s="24"/>
      <c r="F928" s="24"/>
    </row>
    <row r="929">
      <c r="A929" s="24"/>
      <c r="B929" s="24"/>
      <c r="C929" s="24"/>
      <c r="D929" s="24"/>
      <c r="E929" s="24"/>
      <c r="F929" s="24"/>
    </row>
    <row r="930">
      <c r="A930" s="24"/>
      <c r="B930" s="24"/>
      <c r="C930" s="24"/>
      <c r="D930" s="24"/>
      <c r="E930" s="24"/>
      <c r="F930" s="24"/>
    </row>
    <row r="931">
      <c r="A931" s="24"/>
      <c r="B931" s="24"/>
      <c r="C931" s="24"/>
      <c r="D931" s="24"/>
      <c r="E931" s="24"/>
      <c r="F931" s="24"/>
    </row>
    <row r="932">
      <c r="A932" s="24"/>
      <c r="B932" s="24"/>
      <c r="C932" s="24"/>
      <c r="D932" s="24"/>
      <c r="E932" s="24"/>
      <c r="F932" s="24"/>
    </row>
    <row r="933">
      <c r="A933" s="24"/>
      <c r="B933" s="24"/>
      <c r="C933" s="24"/>
      <c r="D933" s="24"/>
      <c r="E933" s="24"/>
      <c r="F933" s="24"/>
    </row>
    <row r="934">
      <c r="A934" s="24"/>
      <c r="B934" s="24"/>
      <c r="C934" s="24"/>
      <c r="D934" s="24"/>
      <c r="E934" s="24"/>
      <c r="F934" s="24"/>
    </row>
    <row r="935">
      <c r="A935" s="24"/>
      <c r="B935" s="24"/>
      <c r="C935" s="24"/>
      <c r="D935" s="24"/>
      <c r="E935" s="24"/>
      <c r="F935" s="24"/>
    </row>
    <row r="936">
      <c r="A936" s="24"/>
      <c r="B936" s="24"/>
      <c r="C936" s="24"/>
      <c r="D936" s="24"/>
      <c r="E936" s="24"/>
      <c r="F936" s="24"/>
    </row>
    <row r="937">
      <c r="A937" s="24"/>
      <c r="B937" s="24"/>
      <c r="C937" s="24"/>
      <c r="D937" s="24"/>
      <c r="E937" s="24"/>
      <c r="F937" s="24"/>
    </row>
    <row r="938">
      <c r="A938" s="24"/>
      <c r="B938" s="24"/>
      <c r="C938" s="24"/>
      <c r="D938" s="24"/>
      <c r="E938" s="24"/>
      <c r="F938" s="24"/>
    </row>
    <row r="939">
      <c r="A939" s="24"/>
      <c r="B939" s="24"/>
      <c r="C939" s="24"/>
      <c r="D939" s="24"/>
      <c r="E939" s="24"/>
      <c r="F939" s="24"/>
    </row>
    <row r="940">
      <c r="A940" s="24"/>
      <c r="B940" s="24"/>
      <c r="C940" s="24"/>
      <c r="D940" s="24"/>
      <c r="E940" s="24"/>
      <c r="F940" s="24"/>
    </row>
    <row r="941">
      <c r="A941" s="24"/>
      <c r="B941" s="24"/>
      <c r="C941" s="24"/>
      <c r="D941" s="24"/>
      <c r="E941" s="24"/>
      <c r="F941" s="24"/>
    </row>
    <row r="942">
      <c r="A942" s="24"/>
      <c r="B942" s="24"/>
      <c r="C942" s="24"/>
      <c r="D942" s="24"/>
      <c r="E942" s="24"/>
      <c r="F942" s="24"/>
    </row>
    <row r="943">
      <c r="A943" s="24"/>
      <c r="B943" s="24"/>
      <c r="C943" s="24"/>
      <c r="D943" s="24"/>
      <c r="E943" s="24"/>
      <c r="F943" s="24"/>
    </row>
    <row r="944">
      <c r="A944" s="24"/>
      <c r="B944" s="24"/>
      <c r="C944" s="24"/>
      <c r="D944" s="24"/>
      <c r="E944" s="24"/>
      <c r="F944" s="24"/>
    </row>
    <row r="945">
      <c r="A945" s="24"/>
      <c r="B945" s="24"/>
      <c r="C945" s="24"/>
      <c r="D945" s="24"/>
      <c r="E945" s="24"/>
      <c r="F945" s="24"/>
    </row>
    <row r="946">
      <c r="A946" s="24"/>
      <c r="B946" s="24"/>
      <c r="C946" s="24"/>
      <c r="D946" s="24"/>
      <c r="E946" s="24"/>
      <c r="F946" s="24"/>
    </row>
    <row r="947">
      <c r="A947" s="24"/>
      <c r="B947" s="24"/>
      <c r="C947" s="24"/>
      <c r="D947" s="24"/>
      <c r="E947" s="24"/>
      <c r="F947" s="24"/>
    </row>
    <row r="948">
      <c r="A948" s="24"/>
      <c r="B948" s="24"/>
      <c r="C948" s="24"/>
      <c r="D948" s="24"/>
      <c r="E948" s="24"/>
      <c r="F948" s="24"/>
    </row>
    <row r="949">
      <c r="A949" s="24"/>
      <c r="B949" s="24"/>
      <c r="C949" s="24"/>
      <c r="D949" s="24"/>
      <c r="E949" s="24"/>
      <c r="F949" s="24"/>
    </row>
    <row r="950">
      <c r="A950" s="24"/>
      <c r="B950" s="24"/>
      <c r="C950" s="24"/>
      <c r="D950" s="24"/>
      <c r="E950" s="24"/>
      <c r="F950" s="24"/>
    </row>
    <row r="951">
      <c r="A951" s="24"/>
      <c r="B951" s="24"/>
      <c r="C951" s="24"/>
      <c r="D951" s="24"/>
      <c r="E951" s="24"/>
      <c r="F951" s="24"/>
    </row>
    <row r="952">
      <c r="A952" s="24"/>
      <c r="B952" s="24"/>
      <c r="C952" s="24"/>
      <c r="D952" s="24"/>
      <c r="E952" s="24"/>
      <c r="F952" s="24"/>
    </row>
    <row r="953">
      <c r="A953" s="24"/>
      <c r="B953" s="24"/>
      <c r="C953" s="24"/>
      <c r="D953" s="24"/>
      <c r="E953" s="24"/>
      <c r="F953" s="24"/>
    </row>
    <row r="954">
      <c r="A954" s="24"/>
      <c r="B954" s="24"/>
      <c r="C954" s="24"/>
      <c r="D954" s="24"/>
      <c r="E954" s="24"/>
      <c r="F954" s="24"/>
    </row>
    <row r="955">
      <c r="A955" s="24"/>
      <c r="B955" s="24"/>
      <c r="C955" s="24"/>
      <c r="D955" s="24"/>
      <c r="E955" s="24"/>
      <c r="F955" s="24"/>
    </row>
    <row r="956">
      <c r="A956" s="24"/>
      <c r="B956" s="24"/>
      <c r="C956" s="24"/>
      <c r="D956" s="24"/>
      <c r="E956" s="24"/>
      <c r="F956" s="24"/>
    </row>
    <row r="957">
      <c r="A957" s="24"/>
      <c r="B957" s="24"/>
      <c r="C957" s="24"/>
      <c r="D957" s="24"/>
      <c r="E957" s="24"/>
      <c r="F957" s="24"/>
    </row>
    <row r="958">
      <c r="A958" s="24"/>
      <c r="B958" s="24"/>
      <c r="C958" s="24"/>
      <c r="D958" s="24"/>
      <c r="E958" s="24"/>
      <c r="F958" s="24"/>
    </row>
    <row r="959">
      <c r="A959" s="24"/>
      <c r="B959" s="24"/>
      <c r="C959" s="24"/>
      <c r="D959" s="24"/>
      <c r="E959" s="24"/>
      <c r="F959" s="24"/>
    </row>
    <row r="960">
      <c r="A960" s="24"/>
      <c r="B960" s="24"/>
      <c r="C960" s="24"/>
      <c r="D960" s="24"/>
      <c r="E960" s="24"/>
      <c r="F960" s="24"/>
    </row>
    <row r="961">
      <c r="A961" s="24"/>
      <c r="B961" s="24"/>
      <c r="C961" s="24"/>
      <c r="D961" s="24"/>
      <c r="E961" s="24"/>
      <c r="F961" s="24"/>
    </row>
    <row r="962">
      <c r="A962" s="24"/>
      <c r="B962" s="24"/>
      <c r="C962" s="24"/>
      <c r="D962" s="24"/>
      <c r="E962" s="24"/>
      <c r="F962" s="24"/>
    </row>
    <row r="963">
      <c r="A963" s="24"/>
      <c r="B963" s="24"/>
      <c r="C963" s="24"/>
      <c r="D963" s="24"/>
      <c r="E963" s="24"/>
      <c r="F963" s="24"/>
    </row>
    <row r="964">
      <c r="A964" s="24"/>
      <c r="B964" s="24"/>
      <c r="C964" s="24"/>
      <c r="D964" s="24"/>
      <c r="E964" s="24"/>
      <c r="F964" s="24"/>
    </row>
    <row r="965">
      <c r="A965" s="24"/>
      <c r="B965" s="24"/>
      <c r="C965" s="24"/>
      <c r="D965" s="24"/>
      <c r="E965" s="24"/>
      <c r="F965" s="24"/>
    </row>
    <row r="966">
      <c r="A966" s="24"/>
      <c r="B966" s="24"/>
      <c r="C966" s="24"/>
      <c r="D966" s="24"/>
      <c r="E966" s="24"/>
      <c r="F966" s="24"/>
    </row>
    <row r="967">
      <c r="A967" s="24"/>
      <c r="B967" s="24"/>
      <c r="C967" s="24"/>
      <c r="D967" s="24"/>
      <c r="E967" s="24"/>
      <c r="F967" s="24"/>
    </row>
    <row r="968">
      <c r="A968" s="24"/>
      <c r="B968" s="24"/>
      <c r="C968" s="24"/>
      <c r="D968" s="24"/>
      <c r="E968" s="24"/>
      <c r="F968" s="24"/>
    </row>
    <row r="969">
      <c r="A969" s="24"/>
      <c r="B969" s="24"/>
      <c r="C969" s="24"/>
      <c r="D969" s="24"/>
      <c r="E969" s="24"/>
      <c r="F969" s="24"/>
    </row>
    <row r="970">
      <c r="A970" s="24"/>
      <c r="B970" s="24"/>
      <c r="C970" s="24"/>
      <c r="D970" s="24"/>
      <c r="E970" s="24"/>
      <c r="F970" s="24"/>
    </row>
    <row r="971">
      <c r="A971" s="24"/>
      <c r="B971" s="24"/>
      <c r="C971" s="24"/>
      <c r="D971" s="24"/>
      <c r="E971" s="24"/>
      <c r="F971" s="24"/>
    </row>
    <row r="972">
      <c r="A972" s="24"/>
      <c r="B972" s="24"/>
      <c r="C972" s="24"/>
      <c r="D972" s="24"/>
      <c r="E972" s="24"/>
      <c r="F972" s="24"/>
    </row>
    <row r="973">
      <c r="A973" s="24"/>
      <c r="B973" s="24"/>
      <c r="C973" s="24"/>
      <c r="D973" s="24"/>
      <c r="E973" s="24"/>
      <c r="F973" s="24"/>
    </row>
    <row r="974">
      <c r="A974" s="24"/>
      <c r="B974" s="24"/>
      <c r="C974" s="24"/>
      <c r="D974" s="24"/>
      <c r="E974" s="24"/>
      <c r="F974" s="24"/>
    </row>
    <row r="975">
      <c r="A975" s="24"/>
      <c r="B975" s="24"/>
      <c r="C975" s="24"/>
      <c r="D975" s="24"/>
      <c r="E975" s="24"/>
      <c r="F975" s="24"/>
    </row>
    <row r="976">
      <c r="A976" s="24"/>
      <c r="B976" s="24"/>
      <c r="C976" s="24"/>
      <c r="D976" s="24"/>
      <c r="E976" s="24"/>
      <c r="F976" s="24"/>
    </row>
    <row r="977">
      <c r="A977" s="24"/>
      <c r="B977" s="24"/>
      <c r="C977" s="24"/>
      <c r="D977" s="24"/>
      <c r="E977" s="24"/>
      <c r="F977" s="24"/>
    </row>
    <row r="978">
      <c r="A978" s="24"/>
      <c r="B978" s="24"/>
      <c r="C978" s="24"/>
      <c r="D978" s="24"/>
      <c r="E978" s="24"/>
      <c r="F978" s="24"/>
    </row>
    <row r="979">
      <c r="A979" s="24"/>
      <c r="B979" s="24"/>
      <c r="C979" s="24"/>
      <c r="D979" s="24"/>
      <c r="E979" s="24"/>
      <c r="F979" s="24"/>
    </row>
    <row r="980">
      <c r="A980" s="24"/>
      <c r="B980" s="24"/>
      <c r="C980" s="24"/>
      <c r="D980" s="24"/>
      <c r="E980" s="24"/>
      <c r="F980" s="24"/>
    </row>
    <row r="981">
      <c r="A981" s="24"/>
      <c r="B981" s="24"/>
      <c r="C981" s="24"/>
      <c r="D981" s="24"/>
      <c r="E981" s="24"/>
      <c r="F981" s="24"/>
    </row>
    <row r="982">
      <c r="A982" s="24"/>
      <c r="B982" s="24"/>
      <c r="C982" s="24"/>
      <c r="D982" s="24"/>
      <c r="E982" s="24"/>
      <c r="F982" s="24"/>
    </row>
    <row r="983">
      <c r="A983" s="24"/>
      <c r="B983" s="24"/>
      <c r="C983" s="24"/>
      <c r="D983" s="24"/>
      <c r="E983" s="24"/>
      <c r="F983" s="24"/>
    </row>
    <row r="984">
      <c r="A984" s="24"/>
      <c r="B984" s="24"/>
      <c r="C984" s="24"/>
      <c r="D984" s="24"/>
      <c r="E984" s="24"/>
      <c r="F984" s="24"/>
    </row>
    <row r="985">
      <c r="A985" s="24"/>
      <c r="B985" s="24"/>
      <c r="C985" s="24"/>
      <c r="D985" s="24"/>
      <c r="E985" s="24"/>
      <c r="F985" s="24"/>
    </row>
    <row r="986">
      <c r="A986" s="24"/>
      <c r="B986" s="24"/>
      <c r="C986" s="24"/>
      <c r="D986" s="24"/>
      <c r="E986" s="24"/>
      <c r="F986" s="24"/>
    </row>
    <row r="987">
      <c r="A987" s="24"/>
      <c r="B987" s="24"/>
      <c r="C987" s="24"/>
      <c r="D987" s="24"/>
      <c r="E987" s="24"/>
      <c r="F987" s="24"/>
    </row>
    <row r="988">
      <c r="A988" s="24"/>
      <c r="B988" s="24"/>
      <c r="C988" s="24"/>
      <c r="D988" s="24"/>
      <c r="E988" s="24"/>
      <c r="F988" s="24"/>
    </row>
    <row r="989">
      <c r="A989" s="24"/>
      <c r="B989" s="24"/>
      <c r="C989" s="24"/>
      <c r="D989" s="24"/>
      <c r="E989" s="24"/>
      <c r="F989" s="24"/>
    </row>
    <row r="990">
      <c r="A990" s="24"/>
      <c r="B990" s="24"/>
      <c r="C990" s="24"/>
      <c r="D990" s="24"/>
      <c r="E990" s="24"/>
      <c r="F990" s="24"/>
    </row>
    <row r="991">
      <c r="A991" s="24"/>
      <c r="B991" s="24"/>
      <c r="C991" s="24"/>
      <c r="D991" s="24"/>
      <c r="E991" s="24"/>
      <c r="F991" s="24"/>
    </row>
    <row r="992">
      <c r="A992" s="24"/>
      <c r="B992" s="24"/>
      <c r="C992" s="24"/>
      <c r="D992" s="24"/>
      <c r="E992" s="24"/>
      <c r="F992" s="24"/>
    </row>
    <row r="993">
      <c r="A993" s="24"/>
      <c r="B993" s="24"/>
      <c r="C993" s="24"/>
      <c r="D993" s="24"/>
      <c r="E993" s="24"/>
      <c r="F993" s="24"/>
    </row>
    <row r="994">
      <c r="A994" s="24"/>
      <c r="B994" s="24"/>
      <c r="C994" s="24"/>
      <c r="D994" s="24"/>
      <c r="E994" s="24"/>
      <c r="F994" s="24"/>
    </row>
    <row r="995">
      <c r="A995" s="24"/>
      <c r="B995" s="24"/>
      <c r="C995" s="24"/>
      <c r="D995" s="24"/>
      <c r="E995" s="24"/>
      <c r="F995" s="24"/>
    </row>
    <row r="996">
      <c r="A996" s="24"/>
      <c r="B996" s="24"/>
      <c r="C996" s="24"/>
      <c r="D996" s="24"/>
      <c r="E996" s="24"/>
      <c r="F996" s="24"/>
    </row>
    <row r="997">
      <c r="A997" s="24"/>
      <c r="B997" s="24"/>
      <c r="C997" s="24"/>
      <c r="D997" s="24"/>
      <c r="E997" s="24"/>
      <c r="F997" s="24"/>
    </row>
    <row r="998">
      <c r="A998" s="24"/>
      <c r="B998" s="24"/>
      <c r="C998" s="24"/>
      <c r="D998" s="24"/>
      <c r="E998" s="24"/>
      <c r="F998" s="24"/>
    </row>
    <row r="999">
      <c r="A999" s="24"/>
      <c r="B999" s="24"/>
      <c r="C999" s="24"/>
      <c r="D999" s="24"/>
      <c r="E999" s="24"/>
      <c r="F999" s="24"/>
    </row>
    <row r="1000">
      <c r="A1000" s="24"/>
      <c r="B1000" s="24"/>
      <c r="C1000" s="24"/>
      <c r="D1000" s="24"/>
      <c r="E1000" s="24"/>
      <c r="F1000"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tr">
        <f>IFERROR(__xludf.DUMMYFUNCTION("IMPORTRANGE(""https://docs.google.com/spreadsheets/d/1fbotOl8IxL7bJqdebpnI4Wvp0XkT39zNh_5nLJhXLyg/edit?gid=5252095#gid=5252095"", ""Serving - Screening!A:F"")"),"Article Title")</f>
        <v>Article Title</v>
      </c>
      <c r="B1" s="24" t="str">
        <f>IFERROR(__xludf.DUMMYFUNCTION("""COMPUTED_VALUE"""),"Abstract")</f>
        <v>Abstract</v>
      </c>
      <c r="C1" s="24" t="str">
        <f>IFERROR(__xludf.DUMMYFUNCTION("""COMPUTED_VALUE"""),"DOI")</f>
        <v>DOI</v>
      </c>
      <c r="D1" s="24" t="str">
        <f>IFERROR(__xludf.DUMMYFUNCTION("""COMPUTED_VALUE"""),"source")</f>
        <v>source</v>
      </c>
      <c r="E1" s="24" t="str">
        <f>IFERROR(__xludf.DUMMYFUNCTION("""COMPUTED_VALUE"""),"UT (Unique WOS ID)")</f>
        <v>UT (Unique WOS ID)</v>
      </c>
      <c r="F1" s="24" t="str">
        <f>IFERROR(__xludf.DUMMYFUNCTION("""COMPUTED_VALUE"""),"eligbility")</f>
        <v>eligbility</v>
      </c>
    </row>
    <row r="2">
      <c r="A2" s="24" t="str">
        <f>IFERROR(__xludf.DUMMYFUNCTION("""COMPUTED_VALUE"""),"Assessing risks to marine ecosystems with indicators, ecosystem models and experts")</f>
        <v>Assessing risks to marine ecosystems with indicators, ecosystem models and experts</v>
      </c>
      <c r="B2" s="24" t="str">
        <f>IFERROR(__xludf.DUMMYFUNCTION("""COMPUTED_VALUE"""),"Assessing risks to marine ecosystems is critical due to their biological and economic importance, and because many have recently undergone regime shifts due to overfishing and environmental change. Yet defining collapsed ecosystem states, selecting inform"&amp;"ative indicators and reconstructing long-term marine ecosystem changes remains challenging. The IUCN Red List of Ecosystems constitutes the global standard for quantifying risks to ecosystems and we conducted the first Red List assessment of an offshore m"&amp;"arine ecosystem, focusing on the southern Benguela in South Africa. We used an analogous but collapsed ecosystem – the northern Benguela – to help define collapse in the southern Benguela and derived collapse thresholds with structured expert elicitation "&amp;"(i.e. repeatable estimation by expert judgment). To capture complex ecosystem dynamics and reconstruct historical ecosystem states, we used environmental indicators as well as survey-, catch- and model-based indicators. We listed the ecosystem in 1960 and"&amp;" 2015 as Endangered, with assessment outcomes robust to alternative model parametrizations. While many indicators improved between 1960 and 2015, seabird populations have suffered large declines since 1900 and remain at risk, pointing towards ongoing mana"&amp;"gement priorities. Catch-based indicators often over-estimated risks compared to survey- and model-based indicators, warning against listing ecosystems as threatened solely based on indicators of pressure. We show that risk assessments provide a framework"&amp;" for interpreting data from indicators, ecosystem models and experts to inform the management of marine ecosystems. This work highlights the feasibility of conducting Red List of Ecosystems assessments for marine ecosystems.")</f>
        <v>Assessing risks to marine ecosystems is critical due to their biological and economic importance, and because many have recently undergone regime shifts due to overfishing and environmental change. Yet defining collapsed ecosystem states, selecting informative indicators and reconstructing long-term marine ecosystem changes remains challenging. The IUCN Red List of Ecosystems constitutes the global standard for quantifying risks to ecosystems and we conducted the first Red List assessment of an offshore marine ecosystem, focusing on the southern Benguela in South Africa. We used an analogous but collapsed ecosystem – the northern Benguela – to help define collapse in the southern Benguela and derived collapse thresholds with structured expert elicitation (i.e. repeatable estimation by expert judgment). To capture complex ecosystem dynamics and reconstruct historical ecosystem states, we used environmental indicators as well as survey-, catch- and model-based indicators. We listed the ecosystem in 1960 and 2015 as Endangered, with assessment outcomes robust to alternative model parametrizations. While many indicators improved between 1960 and 2015, seabird populations have suffered large declines since 1900 and remain at risk, pointing towards ongoing management priorities. Catch-based indicators often over-estimated risks compared to survey- and model-based indicators, warning against listing ecosystems as threatened solely based on indicators of pressure. We show that risk assessments provide a framework for interpreting data from indicators, ecosystem models and experts to inform the management of marine ecosystems. This work highlights the feasibility of conducting Red List of Ecosystems assessments for marine ecosystems.</v>
      </c>
      <c r="C2" s="24" t="str">
        <f>IFERROR(__xludf.DUMMYFUNCTION("""COMPUTED_VALUE"""),"na")</f>
        <v>na</v>
      </c>
      <c r="D2" s="24" t="str">
        <f>IFERROR(__xludf.DUMMYFUNCTION("""COMPUTED_VALUE"""),"RLE Database")</f>
        <v>RLE Database</v>
      </c>
      <c r="E2" s="24">
        <f>IFERROR(__xludf.DUMMYFUNCTION("""COMPUTED_VALUE"""),1.0)</f>
        <v>1</v>
      </c>
      <c r="F2" s="24" t="str">
        <f>IFERROR(__xludf.DUMMYFUNCTION("""COMPUTED_VALUE"""),"[""ELIGIBLE""]")</f>
        <v>["ELIGIBLE"]</v>
      </c>
    </row>
    <row r="3">
      <c r="A3" s="24" t="str">
        <f>IFERROR(__xludf.DUMMYFUNCTION("""COMPUTED_VALUE"""),"An ecosystem risk assessment of temperate and tropical forests of the Americas with an outlook on future conservation strategies")</f>
        <v>An ecosystem risk assessment of temperate and tropical forests of the Americas with an outlook on future conservation strategies</v>
      </c>
      <c r="B3" s="24" t="str">
        <f>IFERROR(__xludf.DUMMYFUNCTION("""COMPUTED_VALUE"""),"Forests of the Americas and the Caribbean are undergoing rapid change as human populations increase and land use intensifies. We applied the IUCN Red List of Ecosystems (RLE) criteria and simple cost-efficiency analyses to provide the first regional persp"&amp;"ective on patterns of relative risk integrated across multiple threats. Based on six indicators of ecosystem distribution and function, we find that 80% of the forest types and 85% of the current forest area is potentially threatened based on RLE criteria"&amp;". Twelve forest types are Critically Endangered due to past or projected future deforestation, and Tropical Dry Forests and Woodland have highest threat scores. To efficiently reduce risks to forest ecosystems at national levels, scenario analyses show th"&amp;"at countries would need to combine large forest protection measures with focused actions, tailored to their sociopolitical context, to help restore ecological functions in a selection of threatened forest types.")</f>
        <v>Forests of the Americas and the Caribbean are undergoing rapid change as human populations increase and land use intensifies. We applied the IUCN Red List of Ecosystems (RLE) criteria and simple cost-efficiency analyses to provide the first regional perspective on patterns of relative risk integrated across multiple threats. Based on six indicators of ecosystem distribution and function, we find that 80% of the forest types and 85% of the current forest area is potentially threatened based on RLE criteria. Twelve forest types are Critically Endangered due to past or projected future deforestation, and Tropical Dry Forests and Woodland have highest threat scores. To efficiently reduce risks to forest ecosystems at national levels, scenario analyses show that countries would need to combine large forest protection measures with focused actions, tailored to their sociopolitical context, to help restore ecological functions in a selection of threatened forest types.</v>
      </c>
      <c r="C3" s="24" t="str">
        <f>IFERROR(__xludf.DUMMYFUNCTION("""COMPUTED_VALUE"""),"na")</f>
        <v>na</v>
      </c>
      <c r="D3" s="24" t="str">
        <f>IFERROR(__xludf.DUMMYFUNCTION("""COMPUTED_VALUE"""),"RLE Database")</f>
        <v>RLE Database</v>
      </c>
      <c r="E3" s="24">
        <f>IFERROR(__xludf.DUMMYFUNCTION("""COMPUTED_VALUE"""),2.0)</f>
        <v>2</v>
      </c>
      <c r="F3" s="24" t="str">
        <f>IFERROR(__xludf.DUMMYFUNCTION("""COMPUTED_VALUE"""),"[""ELIGIBLE""]")</f>
        <v>["ELIGIBLE"]</v>
      </c>
    </row>
    <row r="4">
      <c r="A4" s="24" t="str">
        <f>IFERROR(__xludf.DUMMYFUNCTION("""COMPUTED_VALUE"""),"Mangroves of the Western Coral Triangle")</f>
        <v>Mangroves of the Western Coral Triangle</v>
      </c>
      <c r="B4" s="24" t="str">
        <f>IFERROR(__xludf.DUMMYFUNCTION("""COMPUTED_VALUE"""),"The 'Mangroves of the Western Coral Triangle' is a regional ecosystem subgroup (level 4 unit of the IUCN Global Ecosystem Typology. It includes intertidal forests and shrublands of the following marine ecoregions in the Western Coral  Triangle  province: "&amp;" Banda  Sea,  Eastern  Philippines,  Halmahera,  Lesser  Sunda,  Northeast  Sulawesi, Palawan/North Borneo, Papua, and Sulawesi Sea/Makassar Strait. The diverse biota of this provinceincludes 48 species of true mangroves, plus many mangrove-associated tax"&amp;"a. Mangroveshad a mapped extent of 19,821 km2in 2020, representing 13.4% of the global mangrove resource by area.  Although only 4.7 % of the province’s mangroves occur on carbonate sediments, they include fragile patches of vegetation on many of the thou"&amp;"sands of islands in the Western Coral Triangle, Mangroves are threatened by illegal logging,  conversion  for  agriculture  or  aquaculture,  and  industrial,  urban  and  tourism  development,  including coastal land reclamation and mining. They are also"&amp;" threatened by climate change, especially sea-level rise, and by increasingly frequent typhoons and tropical storms.Today the Western Coral Triangle mangroves cover ≈32% less than our estimate for 1970 based on national studies. The rate of loss declined "&amp;"to -6.6% from 1996 to 2020 and has slowed further since 2015. The Western Coral Triangle mangroves are estimated to decrease by -18% over the next 50 years. They are also threatened by future sea-level rise (SLR). Under a mid-high to extreme SLR scenario,"&amp;" more than 30% of the mangroves would be submerged by 2070. Moreover, we estimate that 4% of the mangroves are undergoing degradation and this could rise to 10.7% over a 50-year period based on analysis of the decay of vegetation indexes. These estimates "&amp;"are very conservative; however, no other data sources were available to measure environmental degradation at the provincelevel. Overall, the Western Coral Triangle mangrove ecosystem is assessed as Vulnerable (VU).VU")</f>
        <v>The 'Mangroves of the Western Coral Triangle' is a regional ecosystem subgroup (level 4 unit of the IUCN Global Ecosystem Typology. It includes intertidal forests and shrublands of the following marine ecoregions in the Western Coral  Triangle  province:  Banda  Sea,  Eastern  Philippines,  Halmahera,  Lesser  Sunda,  Northeast  Sulawesi, Palawan/North Borneo, Papua, and Sulawesi Sea/Makassar Strait. The diverse biota of this provinceincludes 48 species of true mangroves, plus many mangrove-associated taxa. Mangroveshad a mapped extent of 19,821 km2in 2020, representing 13.4% of the global mangrove resource by area.  Although only 4.7 % of the province’s mangroves occur on carbonate sediments, they include fragile patches of vegetation on many of the thousands of islands in the Western Coral Triangle, Mangroves are threatened by illegal logging,  conversion  for  agriculture  or  aquaculture,  and  industrial,  urban  and  tourism  development,  including coastal land reclamation and mining. They are also threatened by climate change, especially sea-level rise, and by increasingly frequent typhoons and tropical storms.Today the Western Coral Triangle mangroves cover ≈32% less than our estimate for 1970 based on national studies. The rate of loss declined to -6.6% from 1996 to 2020 and has slowed further since 2015. The Western Coral Triangle mangroves are estimated to decrease by -18% over the next 50 years. They are also threatened by future sea-level rise (SLR). Under a mid-high to extreme SLR scenario, more than 30% of the mangroves would be submerged by 2070. Moreover, we estimate that 4% of the mangroves are undergoing degradation and this could rise to 10.7% over a 50-year period based on analysis of the decay of vegetation indexes. These estimates are very conservative; however, no other data sources were available to measure environmental degradation at the provincelevel. Overall, the Western Coral Triangle mangrove ecosystem is assessed as Vulnerable (VU).VU</v>
      </c>
      <c r="C4" s="24" t="str">
        <f>IFERROR(__xludf.DUMMYFUNCTION("""COMPUTED_VALUE"""),"na")</f>
        <v>na</v>
      </c>
      <c r="D4" s="24" t="str">
        <f>IFERROR(__xludf.DUMMYFUNCTION("""COMPUTED_VALUE"""),"RLE Database")</f>
        <v>RLE Database</v>
      </c>
      <c r="E4" s="24">
        <f>IFERROR(__xludf.DUMMYFUNCTION("""COMPUTED_VALUE"""),3.0)</f>
        <v>3</v>
      </c>
      <c r="F4" s="24" t="str">
        <f>IFERROR(__xludf.DUMMYFUNCTION("""COMPUTED_VALUE"""),"[""ELIGIBLE""]")</f>
        <v>["ELIGIBLE"]</v>
      </c>
    </row>
    <row r="5">
      <c r="A5" s="24" t="str">
        <f>IFERROR(__xludf.DUMMYFUNCTION("""COMPUTED_VALUE"""),"Mangroves of The Bay of Bengal")</f>
        <v>Mangroves of The Bay of Bengal</v>
      </c>
      <c r="B5" s="24" t="str">
        <f>IFERROR(__xludf.DUMMYFUNCTION("""COMPUTED_VALUE"""),"Mangroves of the Bay of Bengal is a regional ecosystem subgroup (level 4 unit of the IUCN Global Ecosystem Typology) spanning parts of South and Southeast Asia. It includes coastal areas of eastern India, Bangladesh, and northern and central Myanmar, and "&amp;"contains one of the largest single mangrove ecosystems in the world: the Sundarbans.Mangroves dominate along the extensive coastal waterways of the Ganges-Brahmaputra and Ayeyarwady deltas in  India-Bangladesh  and  Myanmar,respectively.  They  occur  on "&amp;" mainly  coastal  alluvial  sediments  deposited  by these  and  other  river  systems.  Their  mapped  extent  in  2020  was  10,250  km2,  representing  7%  of  the  global mangrove area. The Bay of Bengal provincemangroves are threatened by highpopulat"&amp;"ion pressure and intense natural resources use, including mangrove-associated fisheries and conversion to agriculture or aquaculture. Mangrove degradation and  conversion  have  caused  serious  coastal  erosion.  Destructive  cyclones  exacerbated  by  c"&amp;"limate  change  also cause  coastal  erosion  and  damage  to  mangroves,  while  reduced  freshwater  flows  and  salinity  intrusion  in  the Sundarbans are threatening salt-sensitive mangrove tree species like Heritiera formes. This species is classifi"&amp;"ed as Endangered (EN) by IUCN, whileBruguiera hainesiiand Sonneratia griffithiiare Critically Endangered (CR).Today the Bay of Bengal mangroves cover ≈8% less than our broad estimation for 1970. The rate of decline has slowed since 2015 and, if the presen"&amp;"t rate persists, an overall decrease of -12% is projected over the next 50 years. However, they are expected to be resilient to even extreme sea-level rise scenarios, due to high sediment supply and vertical accretion. We estimate that 5% of the Bay of Be"&amp;"ngal mangroves are undergoing degradation. This value could rise to 15% over a 50-year period based on decay of vegetation indexes. Overall, the Bay of Bengal mangrove ecosystem is assessed as Least Concern (LC).")</f>
        <v>Mangroves of the Bay of Bengal is a regional ecosystem subgroup (level 4 unit of the IUCN Global Ecosystem Typology) spanning parts of South and Southeast Asia. It includes coastal areas of eastern India, Bangladesh, and northern and central Myanmar, and contains one of the largest single mangrove ecosystems in the world: the Sundarbans.Mangroves dominate along the extensive coastal waterways of the Ganges-Brahmaputra and Ayeyarwady deltas in  India-Bangladesh  and  Myanmar,respectively.  They  occur  on  mainly  coastal  alluvial  sediments  deposited  by these  and  other  river  systems.  Their  mapped  extent  in  2020  was  10,250  km2,  representing  7%  of  the  global mangrove area. The Bay of Bengal provincemangroves are threatened by highpopulation pressure and intense natural resources use, including mangrove-associated fisheries and conversion to agriculture or aquaculture. Mangrove degradation and  conversion  have  caused  serious  coastal  erosion.  Destructive  cyclones  exacerbated  by  climate  change  also cause  coastal  erosion  and  damage  to  mangroves,  while  reduced  freshwater  flows  and  salinity  intrusion  in  the Sundarbans are threatening salt-sensitive mangrove tree species like Heritiera formes. This species is classified as Endangered (EN) by IUCN, whileBruguiera hainesiiand Sonneratia griffithiiare Critically Endangered (CR).Today the Bay of Bengal mangroves cover ≈8% less than our broad estimation for 1970. The rate of decline has slowed since 2015 and, if the present rate persists, an overall decrease of -12% is projected over the next 50 years. However, they are expected to be resilient to even extreme sea-level rise scenarios, due to high sediment supply and vertical accretion. We estimate that 5% of the Bay of Bengal mangroves are undergoing degradation. This value could rise to 15% over a 50-year period based on decay of vegetation indexes. Overall, the Bay of Bengal mangrove ecosystem is assessed as Least Concern (LC).</v>
      </c>
      <c r="C5" s="24" t="str">
        <f>IFERROR(__xludf.DUMMYFUNCTION("""COMPUTED_VALUE"""),"na")</f>
        <v>na</v>
      </c>
      <c r="D5" s="24" t="str">
        <f>IFERROR(__xludf.DUMMYFUNCTION("""COMPUTED_VALUE"""),"RLE Database")</f>
        <v>RLE Database</v>
      </c>
      <c r="E5" s="24">
        <f>IFERROR(__xludf.DUMMYFUNCTION("""COMPUTED_VALUE"""),4.0)</f>
        <v>4</v>
      </c>
      <c r="F5" s="24" t="str">
        <f>IFERROR(__xludf.DUMMYFUNCTION("""COMPUTED_VALUE"""),"[""ELIGIBLE""]")</f>
        <v>["ELIGIBLE"]</v>
      </c>
    </row>
    <row r="6">
      <c r="A6" s="24" t="str">
        <f>IFERROR(__xludf.DUMMYFUNCTION("""COMPUTED_VALUE"""),"Mangroves of the South China Sea")</f>
        <v>Mangroves of the South China Sea</v>
      </c>
      <c r="B6" s="24" t="str">
        <f>IFERROR(__xludf.DUMMYFUNCTION("""COMPUTED_VALUE"""),"The 'Mangroves of South China Sea' is a regional ecosystem subgroup (level 4 unit of the IUCN Global Ecosystem Typology in the South China Sea province. It includes intertidal forests and shrublands of the marine ecoregions of the Gulf of Tonkin, South Ch"&amp;"ina Sea Oceanic Islands and Southern China. The diverse biota of this ecoregion is characterised by 42 species of true mangroves, plus many associated taxa. There is a significant decline in species diversity with increasing latitude towards the northern "&amp;"limit of mangroves in Fujian Province. Two species: Avicennia rumphianaand Camptostemon philippinensisare in the IUCN Red List of threatened species.  The South China Sea ecoregion mangroves are mainly scattered open coast and estuarine formations, except"&amp;" in the Red River Delta. Their mapped extent in 2020 was 543 km2representing only 0.4% of the global mangrove resource. The current threats to mangroves are mainly from coastal urbanisation and industrialisation, sea dyke construction, pollution,  and  cl"&amp;"imate-related  impacts,  especially  from  typhoons,  which  occur  frequently  in  thisprovince.Today, the South China Sea mangroves cover ≈36% less than in 1970 based on national studies. The South China Sea mangroves are also threatened by sea-level ri"&amp;"se(SLR). Under a mid-high SLR scenario, and considering the limited coastal sediment supply, 50% of the mangrove area will be submerged by 2070. Moreover, we estimate that ≈3.5% of the mangroves are undergoing degradation. Based on analysis of the decay o"&amp;"f vegetation indexes, this could rise to 10.2% over a 50-year period. These estimates are very conservative; however, no other data sources were available to measure environmental degradation at the ecoregion level. Considering the significant effect of f"&amp;"uture SLR, the South China Sea mangroves are assessed as Endangered (EN).EN")</f>
        <v>The 'Mangroves of South China Sea' is a regional ecosystem subgroup (level 4 unit of the IUCN Global Ecosystem Typology in the South China Sea province. It includes intertidal forests and shrublands of the marine ecoregions of the Gulf of Tonkin, South China Sea Oceanic Islands and Southern China. The diverse biota of this ecoregion is characterised by 42 species of true mangroves, plus many associated taxa. There is a significant decline in species diversity with increasing latitude towards the northern limit of mangroves in Fujian Province. Two species: Avicennia rumphianaand Camptostemon philippinensisare in the IUCN Red List of threatened species.  The South China Sea ecoregion mangroves are mainly scattered open coast and estuarine formations, except in the Red River Delta. Their mapped extent in 2020 was 543 km2representing only 0.4% of the global mangrove resource. The current threats to mangroves are mainly from coastal urbanisation and industrialisation, sea dyke construction, pollution,  and  climate-related  impacts,  especially  from  typhoons,  which  occur  frequently  in  thisprovince.Today, the South China Sea mangroves cover ≈36% less than in 1970 based on national studies. The South China Sea mangroves are also threatened by sea-level rise(SLR). Under a mid-high SLR scenario, and considering the limited coastal sediment supply, 50% of the mangrove area will be submerged by 2070. Moreover, we estimate that ≈3.5% of the mangroves are undergoing degradation. Based on analysis of the decay of vegetation indexes, this could rise to 10.2% over a 50-year period. These estimates are very conservative; however, no other data sources were available to measure environmental degradation at the ecoregion level. Considering the significant effect of future SLR, the South China Sea mangroves are assessed as Endangered (EN).EN</v>
      </c>
      <c r="C6" s="24" t="str">
        <f>IFERROR(__xludf.DUMMYFUNCTION("""COMPUTED_VALUE"""),"na")</f>
        <v>na</v>
      </c>
      <c r="D6" s="24" t="str">
        <f>IFERROR(__xludf.DUMMYFUNCTION("""COMPUTED_VALUE"""),"RLE Database")</f>
        <v>RLE Database</v>
      </c>
      <c r="E6" s="24">
        <f>IFERROR(__xludf.DUMMYFUNCTION("""COMPUTED_VALUE"""),5.0)</f>
        <v>5</v>
      </c>
      <c r="F6" s="24" t="str">
        <f>IFERROR(__xludf.DUMMYFUNCTION("""COMPUTED_VALUE"""),"[""ELIGIBLE""]")</f>
        <v>["ELIGIBLE"]</v>
      </c>
    </row>
    <row r="7">
      <c r="A7" s="24" t="str">
        <f>IFERROR(__xludf.DUMMYFUNCTION("""COMPUTED_VALUE"""),"Mangroves of the Sunda Shelf")</f>
        <v>Mangroves of the Sunda Shelf</v>
      </c>
      <c r="B7" s="24" t="str">
        <f>IFERROR(__xludf.DUMMYFUNCTION("""COMPUTED_VALUE"""),"The 'Mangroves of the Sunda Shelf' is a regional ecosystem subgroup (level 4 unit of the IUCN Global Ecosystem Typology in the Sunda Shelf province. It includes intertidal forests and shrublands of the marine regions of the Malacca Straits, Gulf of Thaila"&amp;"nd, southern Viet Nam and the Sunda Shelf/Java Sea. This provincehas a tropical climate with protracted rainfall that provides very favourable conditions for mangroves. The rich mangrove biota includes 49 species of true mangrove plants and many mangrove-"&amp;"associated taxa. Five mangrove species are in the IUCN Red List of threatened species.Mangroves in the Sunda Shelf provincehad a mapped extent in 2020 of 12,350 km2, representing 8.4% of the global mangrove resource by area. The main threats to mangroves "&amp;"are conversion for agricultural and aquaculture use, or for coastal infrastructure development. These practices impact on the remaining mangroves through coastal erosion,  land  subsidence  and  pollution.  Climate  change  (especially  sea-level  rise)  "&amp;"is  an  additional  and  serious threat.Today the Sunda Shelf mangroves cover ≈ 35% less than our broad estimations for 1970, based on country level studies;  however,  the  rate  of  area  loss  slowed to -4.8%  from  1996  to  2020 and  has  decelerated"&amp;"  further  since 2010. The Sunda Shelf mangrove area is estimated to decrease by 13.7% over the next 50 years. Moreover, we estimate  that  3.4%  of  the  mangroves  are  undergoing  degradation,  and  this  could  rise  to  10%  over  a  50-year period, "&amp;"based on an analysis of the decay of vegetation indexes. These estimates are very conservative; however, no other data sources were available to measure environmental degradation at the provincelevel. More than 30% of the Sunda Shelf mangrove extent could"&amp;" be submerged by 2070 due to sea-level rise. Overall, the Sunda Shelf mangrove ecosystem is assessed as Vulnerable (VU) under subcriteria A1 and C2.VU")</f>
        <v>The 'Mangroves of the Sunda Shelf' is a regional ecosystem subgroup (level 4 unit of the IUCN Global Ecosystem Typology in the Sunda Shelf province. It includes intertidal forests and shrublands of the marine regions of the Malacca Straits, Gulf of Thailand, southern Viet Nam and the Sunda Shelf/Java Sea. This provincehas a tropical climate with protracted rainfall that provides very favourable conditions for mangroves. The rich mangrove biota includes 49 species of true mangrove plants and many mangrove-associated taxa. Five mangrove species are in the IUCN Red List of threatened species.Mangroves in the Sunda Shelf provincehad a mapped extent in 2020 of 12,350 km2, representing 8.4% of the global mangrove resource by area. The main threats to mangroves are conversion for agricultural and aquaculture use, or for coastal infrastructure development. These practices impact on the remaining mangroves through coastal erosion,  land  subsidence  and  pollution.  Climate  change  (especially  sea-level  rise)  is  an  additional  and  serious threat.Today the Sunda Shelf mangroves cover ≈ 35% less than our broad estimations for 1970, based on country level studies;  however,  the  rate  of  area  loss  slowed to -4.8%  from  1996  to  2020 and  has  decelerated  further  since 2010. The Sunda Shelf mangrove area is estimated to decrease by 13.7% over the next 50 years. Moreover, we estimate  that  3.4%  of  the  mangroves  are  undergoing  degradation,  and  this  could  rise  to  10%  over  a  50-year period, based on an analysis of the decay of vegetation indexes. These estimates are very conservative; however, no other data sources were available to measure environmental degradation at the provincelevel. More than 30% of the Sunda Shelf mangrove extent could be submerged by 2070 due to sea-level rise. Overall, the Sunda Shelf mangrove ecosystem is assessed as Vulnerable (VU) under subcriteria A1 and C2.VU</v>
      </c>
      <c r="C7" s="24" t="str">
        <f>IFERROR(__xludf.DUMMYFUNCTION("""COMPUTED_VALUE"""),"na")</f>
        <v>na</v>
      </c>
      <c r="D7" s="24" t="str">
        <f>IFERROR(__xludf.DUMMYFUNCTION("""COMPUTED_VALUE"""),"RLE Database")</f>
        <v>RLE Database</v>
      </c>
      <c r="E7" s="24">
        <f>IFERROR(__xludf.DUMMYFUNCTION("""COMPUTED_VALUE"""),6.0)</f>
        <v>6</v>
      </c>
      <c r="F7" s="24" t="str">
        <f>IFERROR(__xludf.DUMMYFUNCTION("""COMPUTED_VALUE"""),"[""ELIGIBLE""]")</f>
        <v>["ELIGIBLE"]</v>
      </c>
    </row>
    <row r="8">
      <c r="A8" s="24" t="str">
        <f>IFERROR(__xludf.DUMMYFUNCTION("""COMPUTED_VALUE"""),"Mangroves of the Andaman")</f>
        <v>Mangroves of the Andaman</v>
      </c>
      <c r="B8" s="24" t="str">
        <f>IFERROR(__xludf.DUMMYFUNCTION("""COMPUTED_VALUE"""),"The 'Mangroves of the Andaman' is a regional ecosystem subgroup (level 4 unit of the IUCN Global Ecosystem Typology) within the Andaman province. It includes intertidal forests and shrublands of the marine ecoregions of the Andaman and Nicobar Islands; th"&amp;"eAndaman Sea Coral Coast of Myanmar and Thailand; and northwest Sumatra. The diverse biota is characterised by 43 species of true mangroves, plus many mangrove-associated plant species. Three mangrove species are in the IUCN Red List of Threatened Species"&amp;":Sonneratia griffithii, Bruguiera hainesiiand Heritiera fomes.Mangroves in this provincehad a mapped extent of 4,938 km2 in 2020, representing 3.4% of the global mangrove resource  by  area.  The  Andaman  mangroves  are  threatened  widely  by  wood  ext"&amp;"raction,  encroachment  and conversion for agriculture or aquaculture, and by coastal infrastructure projects in more specific locations. They also face threats from climate change, mainly in the form of sea-level rise (SLR), especially along the northwes"&amp;"t coast of Sumatra. The Andaman mangrove ecosystem is thought to have undergone a major decline in extent around the early 20th century. Today the ecosystem covers 16% less than our broad estimations for 1970 based on national studies. However, the net ar"&amp;"ea loss since 1996 isonly -1.2% and there has been a further deceleration in area loss  since  2015.  Under  a  mid-high SLR scenario (IPCC RCP6) ≈21% of the Andaman mangroves would be submerged  by  2070.  Moreover,  we  estimated  that  2.1%  of  the  A"&amp;"ndaman  mangroves  are  undergoing degradation and this could rise to 6% over a 50-year period based on an analysis of the decay of vegetation indexes.  These  estimates  are  very  conservative;  however,  there  were  no  other  data  sources  available"&amp;"  to measure environmental degradation at the provincelevel. Overall, the status of the Andaman mangrove ecosystem is assessed as Least Concern (LC).LC")</f>
        <v>The 'Mangroves of the Andaman' is a regional ecosystem subgroup (level 4 unit of the IUCN Global Ecosystem Typology) within the Andaman province. It includes intertidal forests and shrublands of the marine ecoregions of the Andaman and Nicobar Islands; theAndaman Sea Coral Coast of Myanmar and Thailand; and northwest Sumatra. The diverse biota is characterised by 43 species of true mangroves, plus many mangrove-associated plant species. Three mangrove species are in the IUCN Red List of Threatened Species:Sonneratia griffithii, Bruguiera hainesiiand Heritiera fomes.Mangroves in this provincehad a mapped extent of 4,938 km2 in 2020, representing 3.4% of the global mangrove resource  by  area.  The  Andaman  mangroves  are  threatened  widely  by  wood  extraction,  encroachment  and conversion for agriculture or aquaculture, and by coastal infrastructure projects in more specific locations. They also face threats from climate change, mainly in the form of sea-level rise (SLR), especially along the northwest coast of Sumatra. The Andaman mangrove ecosystem is thought to have undergone a major decline in extent around the early 20th century. Today the ecosystem covers 16% less than our broad estimations for 1970 based on national studies. However, the net area loss since 1996 isonly -1.2% and there has been a further deceleration in area loss  since  2015.  Under  a  mid-high SLR scenario (IPCC RCP6) ≈21% of the Andaman mangroves would be submerged  by  2070.  Moreover,  we  estimated  that  2.1%  of  the  Andaman  mangroves  are  undergoing degradation and this could rise to 6% over a 50-year period based on an analysis of the decay of vegetation indexes.  These  estimates  are  very  conservative;  however,  there  were  no  other  data  sources  available  to measure environmental degradation at the provincelevel. Overall, the status of the Andaman mangrove ecosystem is assessed as Least Concern (LC).LC</v>
      </c>
      <c r="C8" s="24" t="str">
        <f>IFERROR(__xludf.DUMMYFUNCTION("""COMPUTED_VALUE"""),"na")</f>
        <v>na</v>
      </c>
      <c r="D8" s="24" t="str">
        <f>IFERROR(__xludf.DUMMYFUNCTION("""COMPUTED_VALUE"""),"RLE Database")</f>
        <v>RLE Database</v>
      </c>
      <c r="E8" s="24">
        <f>IFERROR(__xludf.DUMMYFUNCTION("""COMPUTED_VALUE"""),7.0)</f>
        <v>7</v>
      </c>
      <c r="F8" s="24" t="str">
        <f>IFERROR(__xludf.DUMMYFUNCTION("""COMPUTED_VALUE"""),"[""ELIGIBLE""]")</f>
        <v>["ELIGIBLE"]</v>
      </c>
    </row>
    <row r="9">
      <c r="A9" s="24" t="str">
        <f>IFERROR(__xludf.DUMMYFUNCTION("""COMPUTED_VALUE"""),"Scientific Foundations for an IUCN Red List of Ecosystems")</f>
        <v>Scientific Foundations for an IUCN Red List of Ecosystems</v>
      </c>
      <c r="B9" s="24" t="str">
        <f>IFERROR(__xludf.DUMMYFUNCTION("""COMPUTED_VALUE"""),"An understanding of risks to biodiversity is needed for planning action to slow current rates of decline and secure ecosystem services for future human use. Although the IUCN Red List criteria provide an effective assessment protocol for species, a standa"&amp;"rd global assessment of risks to higher levels of biodiversity is currently limited. In 2008, IUCN initiated development of risk assessment criteria to support a global Red List of ecosystems. We present a new conceptual model for ecosystem risk assessmen"&amp;"t founded on a synthesis of relevant ecological theories. To support the model, we review key elements of ecosystem definition and introduce the concept of ecosystem collapse, an analogue of species extinction. The model identifies four distributional and"&amp;" functional symptoms of ecosystem risk as a basis for assessment criteria: A) rates of decline in ecosystem distribution; B) restricted distributions with continuing declines or threats; C) rates of environmental (abiotic) degradation; and D) rates of dis"&amp;"ruption to biotic processes. A fifth criterion, E) quantitative estimates of the risk of ecosystem collapse, enables integrated assessment of multiple processes and provides a conceptual anchor for the other criteria. We present the theoretical rationale "&amp;"for the construction and interpretation of each criterion. The assessment protocol and threat categories mirror those of the IUCN Red List of species. A trial of the protocol on terrestrial, subterranean, freshwater and marine ecosystems from around the w"&amp;"orld shows that its concepts are workable and its outcomes are robust, that required data are available, and that results are consistent with assessments carried out by local experts and authorities. The new protocol provides a consistent, practical and t"&amp;"heoretically grounded framework for establishing a systematic Red List of the world’s ecosystems. This will complement the Red List of species and strengthen global capacity to report on and monitor the status of biodiversity")</f>
        <v>An understanding of risks to biodiversity is needed for planning action to slow current rates of decline and secure ecosystem services for future human use. Although the IUCN Red List criteria provide an effective assessment protocol for species, a standard global assessment of risks to higher levels of biodiversity is currently limited. In 2008, IUCN initiated development of risk assessment criteria to support a global Red List of ecosystems. We present a new conceptual model for ecosystem risk assessment founded on a synthesis of relevant ecological theories. To support the model, we review key elements of ecosystem definition and introduce the concept of ecosystem collapse, an analogue of species extinction. The model identifies four distributional and functional symptoms of ecosystem risk as a basis for assessment criteria: A) rates of decline in ecosystem distribution; B) restricted distributions with continuing declines or threats; C) rates of environmental (abiotic) degradation; and D) rates of disruption to biotic processes. A fifth criterion, E) quantitative estimates of the risk of ecosystem collapse, enables integrated assessment of multiple processes and provides a conceptual anchor for the other criteria. We present the theoretical rationale for the construction and interpretation of each criterion. The assessment protocol and threat categories mirror those of the IUCN Red List of species. A trial of the protocol on terrestrial, subterranean, freshwater and marine ecosystems from around the world shows that its concepts are workable and its outcomes are robust, that required data are available, and that results are consistent with assessments carried out by local experts and authorities. The new protocol provides a consistent, practical and theoretically grounded framework for establishing a systematic Red List of the world’s ecosystems. This will complement the Red List of species and strengthen global capacity to report on and monitor the status of biodiversity</v>
      </c>
      <c r="C9" s="24" t="str">
        <f>IFERROR(__xludf.DUMMYFUNCTION("""COMPUTED_VALUE"""),"na")</f>
        <v>na</v>
      </c>
      <c r="D9" s="24" t="str">
        <f>IFERROR(__xludf.DUMMYFUNCTION("""COMPUTED_VALUE"""),"RLE Database")</f>
        <v>RLE Database</v>
      </c>
      <c r="E9" s="24">
        <f>IFERROR(__xludf.DUMMYFUNCTION("""COMPUTED_VALUE"""),8.0)</f>
        <v>8</v>
      </c>
      <c r="F9" s="24" t="str">
        <f>IFERROR(__xludf.DUMMYFUNCTION("""COMPUTED_VALUE"""),"[""ELIGIBLE""]")</f>
        <v>["ELIGIBLE"]</v>
      </c>
    </row>
    <row r="10">
      <c r="A10" s="24" t="str">
        <f>IFERROR(__xludf.DUMMYFUNCTION("""COMPUTED_VALUE"""),"Threatened ecosystems of Myanmar: An IUCN Red List of Ecosystems Assessment.")</f>
        <v>Threatened ecosystems of Myanmar: An IUCN Red List of Ecosystems Assessment.</v>
      </c>
      <c r="B10" s="24" t="str">
        <f>IFERROR(__xludf.DUMMYFUNCTION("""COMPUTED_VALUE"""),"The Myanmar National Ecosystem Assessment contributes to the GEF funded Strengthening Sustainability of Protected Area Management in Myanmar project. To support the Myanmar National Ecosystem Assessment, Myanmar’s terrestrial ecosystems were assessed unde"&amp;"r the International Union for the Conservation of Nature (IUCN) Red List of Ecosystems Categories and Criteria. This report summarises the methods and findings of the assessment, including detailed ecological descriptions of the 64 ecosystem types assesse"&amp;"d. A total of 64 ecosystem types were identified and evaluated under the IUCN Red List of Ecosystems categories and criteria. Twenty-nine (45.3%) ecosystems were assigned a threatened status, consisting of 8 (12.5%) Critically Endangered ecosystem types, "&amp;"9 (14.1%) Endangered and 12 (18.8%) Vulnerable ecosystem types. One ecosystem type, Central Ayeyarwady Palm Savanna ecosystem types was confirmed as Collapsed. A further two ecosystem types, Ayeyarwady kanazo swamp forest and Southern Rakhine hills evergr"&amp;"een rainforest, were assessed with an upper plausible status outcome of Collapsed, although their final assessment was Critically Endangered. Twenty-eight ecosystem types were assessed as Near Threatened or Least Concern. However, a post-assessment expert"&amp;" review by experts suggested that 11 of the 25 Least Concern ecosystems could qualify for a different assessment outcome if more data was available. These 11 ecosystems were reclassified to Data Deficient. Thus, 17 of Myanmar’s ecosystem types were classi"&amp;"fied as Data Deficient. Data deficient ecosystem types were primarily ecosystems for which there were historical records, but with insufficient published information to assess the criteria (e.g. Rocky Tanintharyi karst). Alternatively, there were insuffic"&amp;"ient distribution records to incorporate into our mapping workflow to allow assessments of Criterion A and B (e.g. Grassy saltmarsh). Data deficient ecosystems also tended to occur in regions that were inaccessible to field researchers due to travel restr"&amp;"ictions (e.g. Shan limestone grasslands). Urgent further work to confirm the distribution and assess the status of these data deficient ecosystems is recommended. This IUCN Red List of Ecosystems assessment has shown a dire situation for Myanmar’s ecosyst"&amp;"ems. Of the area assessed, nearly two-thirds (64%, 426,628 km2) is mapped as a natural ecosystem type, but of this over half (57.8%, 24,750 km2) of remaining area contains a threatened ecosystem type (CR, EN or VU). This means over one third of Myanmar’s "&amp;"land area contains threatened ecosystems. There needs to be an increase in conservation efforts to reverse this situation and slow the trajectory towards collapse for ecosystems that are not currently threatened. Conservation planning will be key to ident"&amp;"ify what are the best conservation actions and where to apply them to reduce the risk of collapse for Myanmar’s natural ecosystems.")</f>
        <v>The Myanmar National Ecosystem Assessment contributes to the GEF funded Strengthening Sustainability of Protected Area Management in Myanmar project. To support the Myanmar National Ecosystem Assessment, Myanmar’s terrestrial ecosystems were assessed under the International Union for the Conservation of Nature (IUCN) Red List of Ecosystems Categories and Criteria. This report summarises the methods and findings of the assessment, including detailed ecological descriptions of the 64 ecosystem types assessed. A total of 64 ecosystem types were identified and evaluated under the IUCN Red List of Ecosystems categories and criteria. Twenty-nine (45.3%) ecosystems were assigned a threatened status, consisting of 8 (12.5%) Critically Endangered ecosystem types, 9 (14.1%) Endangered and 12 (18.8%) Vulnerable ecosystem types. One ecosystem type, Central Ayeyarwady Palm Savanna ecosystem types was confirmed as Collapsed. A further two ecosystem types, Ayeyarwady kanazo swamp forest and Southern Rakhine hills evergreen rainforest, were assessed with an upper plausible status outcome of Collapsed, although their final assessment was Critically Endangered. Twenty-eight ecosystem types were assessed as Near Threatened or Least Concern. However, a post-assessment expert review by experts suggested that 11 of the 25 Least Concern ecosystems could qualify for a different assessment outcome if more data was available. These 11 ecosystems were reclassified to Data Deficient. Thus, 17 of Myanmar’s ecosystem types were classified as Data Deficient. Data deficient ecosystem types were primarily ecosystems for which there were historical records, but with insufficient published information to assess the criteria (e.g. Rocky Tanintharyi karst). Alternatively, there were insufficient distribution records to incorporate into our mapping workflow to allow assessments of Criterion A and B (e.g. Grassy saltmarsh). Data deficient ecosystems also tended to occur in regions that were inaccessible to field researchers due to travel restrictions (e.g. Shan limestone grasslands). Urgent further work to confirm the distribution and assess the status of these data deficient ecosystems is recommended. This IUCN Red List of Ecosystems assessment has shown a dire situation for Myanmar’s ecosystems. Of the area assessed, nearly two-thirds (64%, 426,628 km2) is mapped as a natural ecosystem type, but of this over half (57.8%, 24,750 km2) of remaining area contains a threatened ecosystem type (CR, EN or VU). This means over one third of Myanmar’s land area contains threatened ecosystems. There needs to be an increase in conservation efforts to reverse this situation and slow the trajectory towards collapse for ecosystems that are not currently threatened. Conservation planning will be key to identify what are the best conservation actions and where to apply them to reduce the risk of collapse for Myanmar’s natural ecosystems.</v>
      </c>
      <c r="C10" s="24" t="str">
        <f>IFERROR(__xludf.DUMMYFUNCTION("""COMPUTED_VALUE"""),"na")</f>
        <v>na</v>
      </c>
      <c r="D10" s="24" t="str">
        <f>IFERROR(__xludf.DUMMYFUNCTION("""COMPUTED_VALUE"""),"RLE Database")</f>
        <v>RLE Database</v>
      </c>
      <c r="E10" s="24">
        <f>IFERROR(__xludf.DUMMYFUNCTION("""COMPUTED_VALUE"""),9.0)</f>
        <v>9</v>
      </c>
      <c r="F10" s="24" t="str">
        <f>IFERROR(__xludf.DUMMYFUNCTION("""COMPUTED_VALUE"""),"[""ELIGIBLE""]")</f>
        <v>["ELIGIBLE"]</v>
      </c>
    </row>
    <row r="11">
      <c r="A11" s="24" t="str">
        <f>IFERROR(__xludf.DUMMYFUNCTION("""COMPUTED_VALUE"""),"Assessing risks to ecosystems within biodiversity hotspots: a case study from southwestern Australia")</f>
        <v>Assessing risks to ecosystems within biodiversity hotspots: a case study from southwestern Australia</v>
      </c>
      <c r="B11" s="24" t="str">
        <f>IFERROR(__xludf.DUMMYFUNCTION("""COMPUTED_VALUE"""),"The south west of Western Australia is a global biodiversity hotspot that contains a suite of highly restricted and threatened ecosystems. In common with some other global hotspots, this region has high levels of alpha, beta and gamma diversity characteri"&amp;"zed by local endemism and spatial turnover of species. The region therefore includes a suite of highly localized species assemblages in complex mosaics across the landscape. Such landscapes pose particular challenges for assessing risks to biodiversity be"&amp;"cause the status of the most extensive species assemblages within broad scale assessment units tends to mask the status of those that are most restricted. Hence, risk assessments at different thematic scales may sometimes reveal different outcomes and sal"&amp;"ient threats. We examined these expectations by applying the IUCN Red List criteria for ecosystems at a fine thematic scale to assess risks to shrublands on southern Swan Coastal Plain ironstones, one of the most restricted ecosystems in the region, disti"&amp;"nguished by its component suite of endemic flora. The ecosystem was found to be critically endangered due to its declining distribution and restricted current extent in combination with threats, particularly weed invasion. These outcomes suggest two scali"&amp;"ng effects when a broader suite of assemblages in the region are considered; the perceived levels of risk may be less extreme; and the main threatening processes that influence risk assessment outcomes rank differently in importance. Both effects are crit"&amp;"ical to future management to promote persistence of ecosystems, as the priorities and actions will vary between local and regional scales, as will their conservation outcomes. In this case the major needs are to limit vegetation clearing and water extract"&amp;"ion and mitigate the invasion of weeds and impacts of disease. The relative emphasis on these strategies varies between local and regional scales.")</f>
        <v>The south west of Western Australia is a global biodiversity hotspot that contains a suite of highly restricted and threatened ecosystems. In common with some other global hotspots, this region has high levels of alpha, beta and gamma diversity characterized by local endemism and spatial turnover of species. The region therefore includes a suite of highly localized species assemblages in complex mosaics across the landscape. Such landscapes pose particular challenges for assessing risks to biodiversity because the status of the most extensive species assemblages within broad scale assessment units tends to mask the status of those that are most restricted. Hence, risk assessments at different thematic scales may sometimes reveal different outcomes and salient threats. We examined these expectations by applying the IUCN Red List criteria for ecosystems at a fine thematic scale to assess risks to shrublands on southern Swan Coastal Plain ironstones, one of the most restricted ecosystems in the region, distinguished by its component suite of endemic flora. The ecosystem was found to be critically endangered due to its declining distribution and restricted current extent in combination with threats, particularly weed invasion. These outcomes suggest two scaling effects when a broader suite of assemblages in the region are considered; the perceived levels of risk may be less extreme; and the main threatening processes that influence risk assessment outcomes rank differently in importance. Both effects are critical to future management to promote persistence of ecosystems, as the priorities and actions will vary between local and regional scales, as will their conservation outcomes. In this case the major needs are to limit vegetation clearing and water extraction and mitigate the invasion of weeds and impacts of disease. The relative emphasis on these strategies varies between local and regional scales.</v>
      </c>
      <c r="C11" s="24" t="str">
        <f>IFERROR(__xludf.DUMMYFUNCTION("""COMPUTED_VALUE"""),"na")</f>
        <v>na</v>
      </c>
      <c r="D11" s="24" t="str">
        <f>IFERROR(__xludf.DUMMYFUNCTION("""COMPUTED_VALUE"""),"RLE Database")</f>
        <v>RLE Database</v>
      </c>
      <c r="E11" s="24">
        <f>IFERROR(__xludf.DUMMYFUNCTION("""COMPUTED_VALUE"""),10.0)</f>
        <v>10</v>
      </c>
      <c r="F11" s="24" t="str">
        <f>IFERROR(__xludf.DUMMYFUNCTION("""COMPUTED_VALUE"""),"[""ELIGIBLE""]")</f>
        <v>["ELIGIBLE"]</v>
      </c>
    </row>
    <row r="12">
      <c r="A12" s="24" t="str">
        <f>IFERROR(__xludf.DUMMYFUNCTION("""COMPUTED_VALUE"""),"Risks to a mountain summit ecosystem with endemic biota in southwestern Australia")</f>
        <v>Risks to a mountain summit ecosystem with endemic biota in southwestern Australia</v>
      </c>
      <c r="B12" s="24" t="str">
        <f>IFERROR(__xludf.DUMMYFUNCTION("""COMPUTED_VALUE"""),"Throughout the world, mountains provide unique environments with attendant endemic species. In the otherwise subdued landscapes of the floristically diverse Southwest Western Australian Floristic Region, the Stirling Range provides the region's only disti"&amp;"nctly montane environments. On the highest peaks of the Range the characteristic heathland (Kwongan) of the region becomes a dense shrub thicket with many endemic species and is known as the Eastern Stirling Range Montane Heath and Thicket. We assessed th"&amp;"e conservation status of the Montane Heath and Thicket using the IUCN Red list criteria for ecosystems. We found the ecosystem to be Critically Endangered based on its naturally limited geographic extent and area of occupancy in combination with the impac"&amp;"ts of the plant pathogen Phytophthora cinnamomi. Historical sources and long-term monitoring were critical to our assessment of this ecosystem highlighting their importance in detecting and understanding likely causes of change. The ecosystem is predicted"&amp;" to decline further in the absence of intensive management due to current threatening processes as well as the potential future impacts of climate change. The Montane Heath and Thicket, while substantially modified still retains areas with highly signific"&amp;"ant conservation values and these pose many challenges for management. Continued management of P. cinnamomi through phosphite application and management of fire return intervals will be critical to conserve the remaining areas of the thicket where sensiti"&amp;"ve plant species occur together with an ex situ conservation program including ongoing seed collection and translocation for the most threatened species.")</f>
        <v>Throughout the world, mountains provide unique environments with attendant endemic species. In the otherwise subdued landscapes of the floristically diverse Southwest Western Australian Floristic Region, the Stirling Range provides the region's only distinctly montane environments. On the highest peaks of the Range the characteristic heathland (Kwongan) of the region becomes a dense shrub thicket with many endemic species and is known as the Eastern Stirling Range Montane Heath and Thicket. We assessed the conservation status of the Montane Heath and Thicket using the IUCN Red list criteria for ecosystems. We found the ecosystem to be Critically Endangered based on its naturally limited geographic extent and area of occupancy in combination with the impacts of the plant pathogen Phytophthora cinnamomi. Historical sources and long-term monitoring were critical to our assessment of this ecosystem highlighting their importance in detecting and understanding likely causes of change. The ecosystem is predicted to decline further in the absence of intensive management due to current threatening processes as well as the potential future impacts of climate change. The Montane Heath and Thicket, while substantially modified still retains areas with highly significant conservation values and these pose many challenges for management. Continued management of P. cinnamomi through phosphite application and management of fire return intervals will be critical to conserve the remaining areas of the thicket where sensitive plant species occur together with an ex situ conservation program including ongoing seed collection and translocation for the most threatened species.</v>
      </c>
      <c r="C12" s="24" t="str">
        <f>IFERROR(__xludf.DUMMYFUNCTION("""COMPUTED_VALUE"""),"na")</f>
        <v>na</v>
      </c>
      <c r="D12" s="24" t="str">
        <f>IFERROR(__xludf.DUMMYFUNCTION("""COMPUTED_VALUE"""),"RLE Database")</f>
        <v>RLE Database</v>
      </c>
      <c r="E12" s="24">
        <f>IFERROR(__xludf.DUMMYFUNCTION("""COMPUTED_VALUE"""),11.0)</f>
        <v>11</v>
      </c>
      <c r="F12" s="24" t="str">
        <f>IFERROR(__xludf.DUMMYFUNCTION("""COMPUTED_VALUE"""),"[""ELIGIBLE""]")</f>
        <v>["ELIGIBLE"]</v>
      </c>
    </row>
    <row r="13">
      <c r="A13" s="24" t="str">
        <f>IFERROR(__xludf.DUMMYFUNCTION("""COMPUTED_VALUE"""),"Ecosystem assessment of mountain ash forest in the Central Highlands of Victoria, south-eastern Australia")</f>
        <v>Ecosystem assessment of mountain ash forest in the Central Highlands of Victoria, south-eastern Australia</v>
      </c>
      <c r="B13" s="24" t="str">
        <f>IFERROR(__xludf.DUMMYFUNCTION("""COMPUTED_VALUE"""),"We applied an ecosystem risk assessment to the mountain ash forest ecosystem of the Central Highlands of Victoria (hereafter ‘mountain ash forest’), south-eastern Australia, using the IUCN Red List of Ecosystems criteria. Using this methodology, we quanti"&amp;"fied: (i) key aspects of the ecosystem's historical, current and future decline in spatial distribution; (ii) the extent of occurrence and area of occupancy for the mountain ash ecosystem; and (iii) the decline in key abiotic and biotic processes and feat"&amp;"ures for historical, current and future time periods. We developed a probabilistic model of tree growth stages to estimate the risk of ecosystem collapse within 50 to 100 years in the mountain ash forest. There was uncertainty in our estimates of risk und"&amp;"er the various IUCN criteria, with two sub-criteria being categorized as ‘Data Deficient’. Our overall ranking of risk of collapse for the ecosystem was Critically Endangered. We are confident that this risk category is appropriate because all 39 scenario"&amp;"s modelled indicated a ≥92% chance of ecosystem collapse by 2067. Our findings highlight the important need for timely policy reform to facilitate improved management of the mountain ash ecosystem in Victoria. In particular, there needs to be greater prot"&amp;"ection of remaining areas of unburned forest, and restoration activities in parts of the forest estate. Implementation of these strategies will require a significant reduction in logging pressure on the mountain ash ecosystem.")</f>
        <v>We applied an ecosystem risk assessment to the mountain ash forest ecosystem of the Central Highlands of Victoria (hereafter ‘mountain ash forest’), south-eastern Australia, using the IUCN Red List of Ecosystems criteria. Using this methodology, we quantified: (i) key aspects of the ecosystem's historical, current and future decline in spatial distribution; (ii) the extent of occurrence and area of occupancy for the mountain ash ecosystem; and (iii) the decline in key abiotic and biotic processes and features for historical, current and future time periods. We developed a probabilistic model of tree growth stages to estimate the risk of ecosystem collapse within 50 to 100 years in the mountain ash forest. There was uncertainty in our estimates of risk under the various IUCN criteria, with two sub-criteria being categorized as ‘Data Deficient’. Our overall ranking of risk of collapse for the ecosystem was Critically Endangered. We are confident that this risk category is appropriate because all 39 scenarios modelled indicated a ≥92% chance of ecosystem collapse by 2067. Our findings highlight the important need for timely policy reform to facilitate improved management of the mountain ash ecosystem in Victoria. In particular, there needs to be greater protection of remaining areas of unburned forest, and restoration activities in parts of the forest estate. Implementation of these strategies will require a significant reduction in logging pressure on the mountain ash ecosystem.</v>
      </c>
      <c r="C13" s="24" t="str">
        <f>IFERROR(__xludf.DUMMYFUNCTION("""COMPUTED_VALUE"""),"na")</f>
        <v>na</v>
      </c>
      <c r="D13" s="24" t="str">
        <f>IFERROR(__xludf.DUMMYFUNCTION("""COMPUTED_VALUE"""),"RLE Database")</f>
        <v>RLE Database</v>
      </c>
      <c r="E13" s="24">
        <f>IFERROR(__xludf.DUMMYFUNCTION("""COMPUTED_VALUE"""),12.0)</f>
        <v>12</v>
      </c>
      <c r="F13" s="24" t="str">
        <f>IFERROR(__xludf.DUMMYFUNCTION("""COMPUTED_VALUE"""),"[""ELIGIBLE""]")</f>
        <v>["ELIGIBLE"]</v>
      </c>
    </row>
    <row r="14">
      <c r="A14" s="24" t="str">
        <f>IFERROR(__xludf.DUMMYFUNCTION("""COMPUTED_VALUE"""),"Ecosystem risk assessment for Cumberland Plain Woodland, New South Wales, Australia")</f>
        <v>Ecosystem risk assessment for Cumberland Plain Woodland, New South Wales, Australia</v>
      </c>
      <c r="B14" s="24" t="str">
        <f>IFERROR(__xludf.DUMMYFUNCTION("""COMPUTED_VALUE"""),"The International Union for the Conservation of Nature (IUCN) has proposed a standard global assessment protocol for the evaluation of conservation risks to ecosystems. The assessment criteria mirror the IUCN protocol for the assessment of species, howeve"&amp;"r there are relatively few case studies available to demonstrate their utility across a broad range of ecosystems. We applied the IUCN protocol to assess the conservation status of the Cumberland Plain Woodland (CPW) located in the western suburbs of Sydn"&amp;"ey, Australia. The ecosystem has been the focus of extensive survey and research and has been determined to be critically endangered under NSW and Australian Government legislation, primarily as a consequence of its history of extensive clearing. The outc"&amp;"ome of the risk assessment for CPW using the IUCN protocol was identical to those under the NSW and Australian legislation. Data for risk assessment fell into two categories, each with different limitations. Phytosocialogical data and distribution models "&amp;"provided a strong basis for quantifying past and future changes in the distribution of CPW, but offered only indirect measures of functional symptoms of decline. Conversely, local case studies documenting declines in ecosystem function due to weed invasio"&amp;"n, soil disturbance and alteration of fire regimes could not easily be extrapolated in order to evaluate the assessment criteria. The critically endangered rating was based solely on the historic reduction in geographic distribution (92–94%), however clea"&amp;"ring poses an ongoing threat to the ecosystem. The contemporary clearing rate of CPW is approximately half the historical average but there is evidence that the rate will double in the next decade as a consequence of ongoing urbanisation and Government po"&amp;"licy of biodiversity offsets. A systematic approach to documenting the extent of environmental degradation and disruption to biotic processes would assist the assessment of CPW and other ecosystems against the IUCN criteria.")</f>
        <v>The International Union for the Conservation of Nature (IUCN) has proposed a standard global assessment protocol for the evaluation of conservation risks to ecosystems. The assessment criteria mirror the IUCN protocol for the assessment of species, however there are relatively few case studies available to demonstrate their utility across a broad range of ecosystems. We applied the IUCN protocol to assess the conservation status of the Cumberland Plain Woodland (CPW) located in the western suburbs of Sydney, Australia. The ecosystem has been the focus of extensive survey and research and has been determined to be critically endangered under NSW and Australian Government legislation, primarily as a consequence of its history of extensive clearing. The outcome of the risk assessment for CPW using the IUCN protocol was identical to those under the NSW and Australian legislation. Data for risk assessment fell into two categories, each with different limitations. Phytosocialogical data and distribution models provided a strong basis for quantifying past and future changes in the distribution of CPW, but offered only indirect measures of functional symptoms of decline. Conversely, local case studies documenting declines in ecosystem function due to weed invasion, soil disturbance and alteration of fire regimes could not easily be extrapolated in order to evaluate the assessment criteria. The critically endangered rating was based solely on the historic reduction in geographic distribution (92–94%), however clearing poses an ongoing threat to the ecosystem. The contemporary clearing rate of CPW is approximately half the historical average but there is evidence that the rate will double in the next decade as a consequence of ongoing urbanisation and Government policy of biodiversity offsets. A systematic approach to documenting the extent of environmental degradation and disruption to biotic processes would assist the assessment of CPW and other ecosystems against the IUCN criteria.</v>
      </c>
      <c r="C14" s="24" t="str">
        <f>IFERROR(__xludf.DUMMYFUNCTION("""COMPUTED_VALUE"""),"na")</f>
        <v>na</v>
      </c>
      <c r="D14" s="24" t="str">
        <f>IFERROR(__xludf.DUMMYFUNCTION("""COMPUTED_VALUE"""),"RLE Database")</f>
        <v>RLE Database</v>
      </c>
      <c r="E14" s="24">
        <f>IFERROR(__xludf.DUMMYFUNCTION("""COMPUTED_VALUE"""),13.0)</f>
        <v>13</v>
      </c>
      <c r="F14" s="24" t="str">
        <f>IFERROR(__xludf.DUMMYFUNCTION("""COMPUTED_VALUE"""),"[""ELIGIBLE""]")</f>
        <v>["ELIGIBLE"]</v>
      </c>
    </row>
    <row r="15">
      <c r="A15" s="24" t="str">
        <f>IFERROR(__xludf.DUMMYFUNCTION("""COMPUTED_VALUE"""),"Status of connected wetlands of the Lake Eyre Basin, Australia")</f>
        <v>Status of connected wetlands of the Lake Eyre Basin, Australia</v>
      </c>
      <c r="B15" s="24" t="str">
        <f>IFERROR(__xludf.DUMMYFUNCTION("""COMPUTED_VALUE"""),"The Lake Eyre Basin, one of the world's last unregulated wild river basins, covers almost one sixth of the Australian continent, with large areas of connected wetlands (73 903 km2), including floodplains, lakes, waterholes and river channels. Few data exi"&amp;"sted and so we used literature and government biotic and abiotic data and anthropogenic impacts to assess the conservation risk of the ecosystem as Least Concern (IUCN Red List criteria for ecosystems, version 2.0). This was based on limited distributiona"&amp;"l change and low levels of degradation or anthropogenic threatening processes. The approach could be applied to ecosystem assessments of other large river basins around the world, given the Lake Eyre Basin occupies one extreme (unmodified) while the Aral "&amp;"Sea (collapsed), previously assessed, occupies the other extreme (highly modified). River flow analysis with available biotic data is critical for risk assessment as well as identification and tracking of long-term threats. Assessment was possible at this"&amp;" large basin scale and appropriate, given the critical importance of connectivity but could also occur at finer spatial scale. Increased diversions for irrigation, mining impacts on floodplains and projected increased temperatures threaten the current sta"&amp;"tus (Least Concern) of the connected wetlands of the Lake Eyre Basin ecosystem.")</f>
        <v>The Lake Eyre Basin, one of the world's last unregulated wild river basins, covers almost one sixth of the Australian continent, with large areas of connected wetlands (73 903 km2), including floodplains, lakes, waterholes and river channels. Few data existed and so we used literature and government biotic and abiotic data and anthropogenic impacts to assess the conservation risk of the ecosystem as Least Concern (IUCN Red List criteria for ecosystems, version 2.0). This was based on limited distributional change and low levels of degradation or anthropogenic threatening processes. The approach could be applied to ecosystem assessments of other large river basins around the world, given the Lake Eyre Basin occupies one extreme (unmodified) while the Aral Sea (collapsed), previously assessed, occupies the other extreme (highly modified). River flow analysis with available biotic data is critical for risk assessment as well as identification and tracking of long-term threats. Assessment was possible at this large basin scale and appropriate, given the critical importance of connectivity but could also occur at finer spatial scale. Increased diversions for irrigation, mining impacts on floodplains and projected increased temperatures threaten the current status (Least Concern) of the connected wetlands of the Lake Eyre Basin ecosystem.</v>
      </c>
      <c r="C15" s="24" t="str">
        <f>IFERROR(__xludf.DUMMYFUNCTION("""COMPUTED_VALUE"""),"na")</f>
        <v>na</v>
      </c>
      <c r="D15" s="24" t="str">
        <f>IFERROR(__xludf.DUMMYFUNCTION("""COMPUTED_VALUE"""),"RLE Database")</f>
        <v>RLE Database</v>
      </c>
      <c r="E15" s="24">
        <f>IFERROR(__xludf.DUMMYFUNCTION("""COMPUTED_VALUE"""),14.0)</f>
        <v>14</v>
      </c>
      <c r="F15" s="24" t="str">
        <f>IFERROR(__xludf.DUMMYFUNCTION("""COMPUTED_VALUE"""),"[""ELIGIBLE""]")</f>
        <v>["ELIGIBLE"]</v>
      </c>
    </row>
    <row r="16">
      <c r="A16" s="24" t="str">
        <f>IFERROR(__xludf.DUMMYFUNCTION("""COMPUTED_VALUE"""),"Vulnerability of Antarctic shallow invertebrate-dominated ecosystems")</f>
        <v>Vulnerability of Antarctic shallow invertebrate-dominated ecosystems</v>
      </c>
      <c r="B16" s="24" t="str">
        <f>IFERROR(__xludf.DUMMYFUNCTION("""COMPUTED_VALUE"""),"Human impacts threaten not only species, but also entire ecosystems. Ecosystems under stress can collapse or transition into different states, potentially reducing biodiversity at a variety of scales. Here we examine the vulnerability of Antarctic shallow"&amp;" invertebrate-dominated ecosystems, which may be threatened for several reasons. These unique shallow-water communities mostly consist of dark-adapted invertebrates, and rely on sea ice to create low-light marine environments. Climate change is likely to "&amp;"cause early breakout of seasonal sea ice in parts of Antarctica, which will dramatically increase the amount of light reaching shallow seabed. This is predicted to result in ecological regime shifts, in which invertebrate-dominated communities are replace"&amp;"d by macroalgal beds. Habitat for these endemic Antarctic ecosystems is globally rare, and the fragmented nature of their distribution along Antarctic coast increases their sensitivity to change. Concurrently, human activities in Antarctica are concentrat"&amp;"ed in areas where these habitats occur, compounding potential impacts. While there are clear mechanisms of threat to these ecosystems, lack of knowledge about their spatial distribution obscures predictions of potential ecosystem loss, and the likelihood "&amp;"of recovery. In this paper we describe these ecosystems, their association with the environment and the reasons for their vulnerability. We estimate their spatial distribution around Antarctica using sea ice and bathymetric data, and apply the Internation"&amp;"al Union for Conservation of Nature Red List of Ecosystems criteria to assess their vulnerability. Best available data suggest that shallow ice-covered ecosystems are likely Near Threatened to Vulnerable in places, although the magnitude of risk is spatia"&amp;"lly variable and requires additional data to strengthen the assessment.")</f>
        <v>Human impacts threaten not only species, but also entire ecosystems. Ecosystems under stress can collapse or transition into different states, potentially reducing biodiversity at a variety of scales. Here we examine the vulnerability of Antarctic shallow invertebrate-dominated ecosystems, which may be threatened for several reasons. These unique shallow-water communities mostly consist of dark-adapted invertebrates, and rely on sea ice to create low-light marine environments. Climate change is likely to cause early breakout of seasonal sea ice in parts of Antarctica, which will dramatically increase the amount of light reaching shallow seabed. This is predicted to result in ecological regime shifts, in which invertebrate-dominated communities are replaced by macroalgal beds. Habitat for these endemic Antarctic ecosystems is globally rare, and the fragmented nature of their distribution along Antarctic coast increases their sensitivity to change. Concurrently, human activities in Antarctica are concentrated in areas where these habitats occur, compounding potential impacts. While there are clear mechanisms of threat to these ecosystems, lack of knowledge about their spatial distribution obscures predictions of potential ecosystem loss, and the likelihood of recovery. In this paper we describe these ecosystems, their association with the environment and the reasons for their vulnerability. We estimate their spatial distribution around Antarctica using sea ice and bathymetric data, and apply the International Union for Conservation of Nature Red List of Ecosystems criteria to assess their vulnerability. Best available data suggest that shallow ice-covered ecosystems are likely Near Threatened to Vulnerable in places, although the magnitude of risk is spatially variable and requires additional data to strengthen the assessment.</v>
      </c>
      <c r="C16" s="24" t="str">
        <f>IFERROR(__xludf.DUMMYFUNCTION("""COMPUTED_VALUE"""),"na")</f>
        <v>na</v>
      </c>
      <c r="D16" s="24" t="str">
        <f>IFERROR(__xludf.DUMMYFUNCTION("""COMPUTED_VALUE"""),"RLE Database")</f>
        <v>RLE Database</v>
      </c>
      <c r="E16" s="24">
        <f>IFERROR(__xludf.DUMMYFUNCTION("""COMPUTED_VALUE"""),15.0)</f>
        <v>15</v>
      </c>
      <c r="F16" s="24" t="str">
        <f>IFERROR(__xludf.DUMMYFUNCTION("""COMPUTED_VALUE"""),"[""ELIGIBLE""]")</f>
        <v>["ELIGIBLE"]</v>
      </c>
    </row>
    <row r="17">
      <c r="A17" s="24" t="str">
        <f>IFERROR(__xludf.DUMMYFUNCTION("""COMPUTED_VALUE"""),"An International Union for Conservation of Nature risk assessment of coastal lowland rainforests of the Wet Tropics Bioregion, Queensland, Australia")</f>
        <v>An International Union for Conservation of Nature risk assessment of coastal lowland rainforests of the Wet Tropics Bioregion, Queensland, Australia</v>
      </c>
      <c r="B17" s="24" t="str">
        <f>IFERROR(__xludf.DUMMYFUNCTION("""COMPUTED_VALUE"""),"Lowland rainforest communities are among the most threatened across South-east Asia as a result of ease of access, suitability for agriculture and proximity to population centres along the coast and to ports for export of timber, minerals and agricultural"&amp;" produce. In Australia, coastal lowland rainforest occupies a narrow band between the marine-influenced littoral communities and the forests of the coastal ranges and uplands in the Wet Tropics Bioregion of north-east Queensland. As the coastal lowlands w"&amp;"ere already highly fragmented, and subject to ongoing conversion for agriculture and urbanization, they were excluded from the World Heritage listing of the Wet Tropics of Queensland in 1988. Littoral rainforest and broad-leaved tea-tree swamps in the coa"&amp;"stal zone have both recently been protected under Commonwealth environmental protection legislation; meanwhile, the remnant coastal lowland rainforest faces continued threats from extreme events, climate change, land management activities and introduced s"&amp;"pecies. In a risk assessment based on IUCN guidelines, coastal lowland rainforest was assessed as endangered due to restricted distribution (full extent of the community encompassed by a minimum complex polygon less than 20 000 km2) in conjunction with qu"&amp;"alitative evidence of disruption to biotic interactions. A second criterion related to the historic decline in geographic distribution (60% decline in distribution since 1750) would correspond to a condition of vulnerable. Coastal lowland rainforest on al"&amp;"luvial soils has been particularly impacted, and a 75% decline in distribution since 1760 would correspond to a condition of endangered for this subtype. We had insufficient data to address the remaining IUCN Red List criteria for ecosystems, but point to"&amp;" published studies which address these criteria at the subregional level, and make suggestions for future data collection, monitoring and analyses which may support future reviews or proposals for enhanced protection within an Australian legislative conte"&amp;"xt.")</f>
        <v>Lowland rainforest communities are among the most threatened across South-east Asia as a result of ease of access, suitability for agriculture and proximity to population centres along the coast and to ports for export of timber, minerals and agricultural produce. In Australia, coastal lowland rainforest occupies a narrow band between the marine-influenced littoral communities and the forests of the coastal ranges and uplands in the Wet Tropics Bioregion of north-east Queensland. As the coastal lowlands were already highly fragmented, and subject to ongoing conversion for agriculture and urbanization, they were excluded from the World Heritage listing of the Wet Tropics of Queensland in 1988. Littoral rainforest and broad-leaved tea-tree swamps in the coastal zone have both recently been protected under Commonwealth environmental protection legislation; meanwhile, the remnant coastal lowland rainforest faces continued threats from extreme events, climate change, land management activities and introduced species. In a risk assessment based on IUCN guidelines, coastal lowland rainforest was assessed as endangered due to restricted distribution (full extent of the community encompassed by a minimum complex polygon less than 20 000 km2) in conjunction with qualitative evidence of disruption to biotic interactions. A second criterion related to the historic decline in geographic distribution (60% decline in distribution since 1750) would correspond to a condition of vulnerable. Coastal lowland rainforest on alluvial soils has been particularly impacted, and a 75% decline in distribution since 1760 would correspond to a condition of endangered for this subtype. We had insufficient data to address the remaining IUCN Red List criteria for ecosystems, but point to published studies which address these criteria at the subregional level, and make suggestions for future data collection, monitoring and analyses which may support future reviews or proposals for enhanced protection within an Australian legislative context.</v>
      </c>
      <c r="C17" s="24" t="str">
        <f>IFERROR(__xludf.DUMMYFUNCTION("""COMPUTED_VALUE"""),"na")</f>
        <v>na</v>
      </c>
      <c r="D17" s="24" t="str">
        <f>IFERROR(__xludf.DUMMYFUNCTION("""COMPUTED_VALUE"""),"RLE Database")</f>
        <v>RLE Database</v>
      </c>
      <c r="E17" s="24">
        <f>IFERROR(__xludf.DUMMYFUNCTION("""COMPUTED_VALUE"""),16.0)</f>
        <v>16</v>
      </c>
      <c r="F17" s="24" t="str">
        <f>IFERROR(__xludf.DUMMYFUNCTION("""COMPUTED_VALUE"""),"[""ELIGIBLE""]")</f>
        <v>["ELIGIBLE"]</v>
      </c>
    </row>
    <row r="18">
      <c r="A18" s="24" t="str">
        <f>IFERROR(__xludf.DUMMYFUNCTION("""COMPUTED_VALUE"""),"Ecosystem risk assessment of Georgina gidgee woodlands in central Australia")</f>
        <v>Ecosystem risk assessment of Georgina gidgee woodlands in central Australia</v>
      </c>
      <c r="B18" s="24" t="str">
        <f>IFERROR(__xludf.DUMMYFUNCTION("""COMPUTED_VALUE"""),"Ecosystems across the world, and the biodiversity they support, are experiencing increasing anthropogenic pressure, and many will not persist without intervention. Given their complexity, the International Union for Conservation of Nature has adopted an i"&amp;"nternational standard for ecosystem risk assessment that builds on the strengths of the species-based Red List criteria. We applied this protocol to the relatively understudied Georgina gidgee woodland ecosystem, which has a patchy but widespread distribu"&amp;"tion in central Australia. To address the extensive knowledge gaps, we gathered data to provide the first description of the characteristic biota, distribution of dominant species and the processes that support the ecosystem. Criteria evaluated include hi"&amp;"storical, current and future declines in spatial distribution, the extent and area of occupancy, and disruptions to abiotic and biotic processes. Future declines in suitable habitat were based on key climatic variables of rainfall, temperature and soil su"&amp;"bstrate. We also quantified the uncertainty in bioclimatic models and scenarios as part of predicting degradation of the abiotic environment. Overall, we assessed the risk status of Georgina gidgee woodlands as vulnerable based on the degradation of abiot"&amp;"ic and biotic processes. Bioclimatically suitable habitat was predicted to decline by at least 30% in eight scenarios over the period 2000 to 2050. Predicted declines in overall suitable habitat varied substantially across all scenarios (7–95%). Pressures"&amp;" from grazing, weed encroachment and altered fire regimes further threaten the ecosystem; therefore, vulnerable status was also recorded for future declines based on altered biotic processes. Accurate mapping and monitoring of the study ecosystem should r"&amp;"eceive priority to inform conservation decisions, and sustainable grazing practices encouraged. Our findings focus attention on other patchily distributed ecosystems that may also have escaped attention despite their contribution to supporting unique biod"&amp;"iversity and ecosystem services. It is timely that environmental monitoring and policy account for these natural assets.")</f>
        <v>Ecosystems across the world, and the biodiversity they support, are experiencing increasing anthropogenic pressure, and many will not persist without intervention. Given their complexity, the International Union for Conservation of Nature has adopted an international standard for ecosystem risk assessment that builds on the strengths of the species-based Red List criteria. We applied this protocol to the relatively understudied Georgina gidgee woodland ecosystem, which has a patchy but widespread distribution in central Australia. To address the extensive knowledge gaps, we gathered data to provide the first description of the characteristic biota, distribution of dominant species and the processes that support the ecosystem. Criteria evaluated include historical, current and future declines in spatial distribution, the extent and area of occupancy, and disruptions to abiotic and biotic processes. Future declines in suitable habitat were based on key climatic variables of rainfall, temperature and soil substrate. We also quantified the uncertainty in bioclimatic models and scenarios as part of predicting degradation of the abiotic environment. Overall, we assessed the risk status of Georgina gidgee woodlands as vulnerable based on the degradation of abiotic and biotic processes. Bioclimatically suitable habitat was predicted to decline by at least 30% in eight scenarios over the period 2000 to 2050. Predicted declines in overall suitable habitat varied substantially across all scenarios (7–95%). Pressures from grazing, weed encroachment and altered fire regimes further threaten the ecosystem; therefore, vulnerable status was also recorded for future declines based on altered biotic processes. Accurate mapping and monitoring of the study ecosystem should receive priority to inform conservation decisions, and sustainable grazing practices encouraged. Our findings focus attention on other patchily distributed ecosystems that may also have escaped attention despite their contribution to supporting unique biodiversity and ecosystem services. It is timely that environmental monitoring and policy account for these natural assets.</v>
      </c>
      <c r="C18" s="24" t="str">
        <f>IFERROR(__xludf.DUMMYFUNCTION("""COMPUTED_VALUE"""),"na")</f>
        <v>na</v>
      </c>
      <c r="D18" s="24" t="str">
        <f>IFERROR(__xludf.DUMMYFUNCTION("""COMPUTED_VALUE"""),"RLE Database")</f>
        <v>RLE Database</v>
      </c>
      <c r="E18" s="24">
        <f>IFERROR(__xludf.DUMMYFUNCTION("""COMPUTED_VALUE"""),17.0)</f>
        <v>17</v>
      </c>
      <c r="F18" s="24" t="str">
        <f>IFERROR(__xludf.DUMMYFUNCTION("""COMPUTED_VALUE"""),"[""ELIGIBLE""]")</f>
        <v>["ELIGIBLE"]</v>
      </c>
    </row>
    <row r="19">
      <c r="A19" s="24" t="str">
        <f>IFERROR(__xludf.DUMMYFUNCTION("""COMPUTED_VALUE"""),"An International Union for the Conservation of Nature Red List ecosystems risk assessment for alpine snow patch herbfields, South-Eastern Australia")</f>
        <v>An International Union for the Conservation of Nature Red List ecosystems risk assessment for alpine snow patch herbfields, South-Eastern Australia</v>
      </c>
      <c r="B19" s="24" t="str">
        <f>IFERROR(__xludf.DUMMYFUNCTION("""COMPUTED_VALUE"""),"Alpine ecosystems are globally at risk from climate change. We use the International Union for the Conservation of Nature (IUCN) Red List Criteria for ecosystems to assess the risk of ecosystem collapse in Australian alpine snow patch herbfields. These ec"&amp;"osystems occur on both mainland Australia and Tasmania. They are restricted to steep, south-easterly slopes where snow pack persists well into the summer growing season. Consequently, they are rare, and have high conservation significance. We evaluated th"&amp;"e risk of snow patch herbfield ‘ecosystem collapse’ against criteria that accounted for the ecosystem's restricted distribution, projected decline in the snowpack and increased rates of invasion by taller growing native species of shrub and grass. Our ana"&amp;"lyses revealed considerable uncertainty in estimates of risk based on some criteria, particularly those related to thresholds of ecosystem collapse caused by biotic change. On the basis of the IUCN Red List criteria, we conclude that the ecosystem is ‘end"&amp;"angered’. This is because of the restricted geographical distribution of the ecosystem, a substantial and highly likely decline in the abundance of snow (the principal abiotic driver of the ecosystem), and the prospect of invasion of much of the ecosystem"&amp;" by taller growing native shrubs and grasses. Our case study demonstrates the utility of the Red List methodology for assessing risks to biodiversity in rare ecosystems where changes to both abiotic factors and the relative dominance of native species con"&amp;"stitute major threats. Our findings indicate the importance of snow patch herbfields as refugia for dwarf alpine plant species in the face of climate change, the need for continued monitoring, the removal of feral animals from the Australian Alps and scen"&amp;"ario planning.")</f>
        <v>Alpine ecosystems are globally at risk from climate change. We use the International Union for the Conservation of Nature (IUCN) Red List Criteria for ecosystems to assess the risk of ecosystem collapse in Australian alpine snow patch herbfields. These ecosystems occur on both mainland Australia and Tasmania. They are restricted to steep, south-easterly slopes where snow pack persists well into the summer growing season. Consequently, they are rare, and have high conservation significance. We evaluated the risk of snow patch herbfield ‘ecosystem collapse’ against criteria that accounted for the ecosystem's restricted distribution, projected decline in the snowpack and increased rates of invasion by taller growing native species of shrub and grass. Our analyses revealed considerable uncertainty in estimates of risk based on some criteria, particularly those related to thresholds of ecosystem collapse caused by biotic change. On the basis of the IUCN Red List criteria, we conclude that the ecosystem is ‘endangered’. This is because of the restricted geographical distribution of the ecosystem, a substantial and highly likely decline in the abundance of snow (the principal abiotic driver of the ecosystem), and the prospect of invasion of much of the ecosystem by taller growing native shrubs and grasses. Our case study demonstrates the utility of the Red List methodology for assessing risks to biodiversity in rare ecosystems where changes to both abiotic factors and the relative dominance of native species constitute major threats. Our findings indicate the importance of snow patch herbfields as refugia for dwarf alpine plant species in the face of climate change, the need for continued monitoring, the removal of feral animals from the Australian Alps and scenario planning.</v>
      </c>
      <c r="C19" s="24" t="str">
        <f>IFERROR(__xludf.DUMMYFUNCTION("""COMPUTED_VALUE"""),"na")</f>
        <v>na</v>
      </c>
      <c r="D19" s="24" t="str">
        <f>IFERROR(__xludf.DUMMYFUNCTION("""COMPUTED_VALUE"""),"RLE Database")</f>
        <v>RLE Database</v>
      </c>
      <c r="E19" s="24">
        <f>IFERROR(__xludf.DUMMYFUNCTION("""COMPUTED_VALUE"""),18.0)</f>
        <v>18</v>
      </c>
      <c r="F19" s="24" t="str">
        <f>IFERROR(__xludf.DUMMYFUNCTION("""COMPUTED_VALUE"""),"[""ELIGIBLE""]")</f>
        <v>["ELIGIBLE"]</v>
      </c>
    </row>
    <row r="20">
      <c r="A20" s="24" t="str">
        <f>IFERROR(__xludf.DUMMYFUNCTION("""COMPUTED_VALUE"""),"Mayotte's mangroves are declining, according to the Red List of Ecosystems")</f>
        <v>Mayotte's mangroves are declining, according to the Red List of Ecosystems</v>
      </c>
      <c r="B20" s="24" t="str">
        <f>IFERROR(__xludf.DUMMYFUNCTION("""COMPUTED_VALUE"""),"Land clearing, development, urbanization, and pollution have led to a reduction in the area of ​​mangroves in Mayotte and altered their functioning. The conservation status of these ecologically rich natural environments, located at the land/sea interface"&amp;", was assessed by IUCN France using the new methodology of the Red List of Ecosystems. The results show, on the land side, a very clear decline in the back-mangroves, classified as ""Critically Endangered,"" and, on the marine side, a regression of the ou"&amp;"ter mangroves, classified as ""Vulnerable."" The central mangroves are not currently considered threatened, but the impact of certain pressures, such as wastewater discharges, warrants further monitoring and study. 
Results showing mangroves subject to se"&amp;"veral threats
The back-mangroves are classified as ""Critically Endangered"" (CR). They represent the most threatened type of mangrove in Mayotte. Most of these forests and marshy meadows have been largely converted into farmland, plantations, or livestoc"&amp;"k enclosures, or even directly filled in and urbanized. As a result, this ecosystem now exists only as a relic on the Mayotte coast. Protecting and restoring these sites is a priority for safeguarding these natural environments.
The outer mangroves of Ma"&amp;"yotte, or pioneer mangrove fronts, are assessed as ""Vulnerable"" (VU). The rate of erosion of some of these mangroves has increased since the 2000s, and some pioneer fronts could disappear within the next 50 years if this rate does not slow down. A chang"&amp;"e in land-use practices is necessary to slow or even stop this erosion, especially since climate change will likely exacerbate the vulnerability of these mangroves in the future (rising sea levels, increased winds and swells, etc.).
The central and inner"&amp;" mangroves, which represent the core of the mangrove ecosystems and the majority of their current area in Mayotte, are not, based on current knowledge, threatened in the short term. Classified as ""Least Concern"" (LC), this ecosystem nevertheless remains"&amp;" subject to deforestation and wastewater discharges, the impacts of which could not be assessed due to a lack of comprehensive monitoring across all mangrove areas.
The importance of long-term follow-up
The knowledge acquired over several decades regardi"&amp;"ng Mayotte's mangroves, encompassing both their flora and fauna as well as their ecological functioning, has provided a solid scientific foundation for this chapter of the Red List of Ecosystems in France. However, a number of criteria could not be used d"&amp;"ue to a lack of comprehensive or consistent data over time, particularly for the most threatened ecosystems such as the back-mangroves. This underscores the importance of strengthening, alongside conservation efforts, programs to acquire knowledge about t"&amp;"he spatial distribution and functioning of mangroves in Mayotte.
The IUCN Red List of Ecosystems, a new knowledge tool
Building on the success of the Red Lists of Threatened Species, widely used to better understand the state of biodiversity and drive na"&amp;"ture conservation action, the IUCN launched a similar tool for ecosystems in 2008. The methodology was formally adopted in 2014 and is based on criteria related to habitat loss, changes in the physical environment, and the degradation of key ecological pr"&amp;"ocesses within the assessed ecosystems. An ecosystem is considered threatened if it meets the criteria corresponding to the categories ""Critically Endangered,"" ""Endangered,"" or ""Vulnerable."" The IUCN Red List of Ecosystems is now a standard tool for"&amp;" assessing the state of ecosystems, applicable at various scales, and implemented in France by the French Committee of the IUCN .")</f>
        <v>Land clearing, development, urbanization, and pollution have led to a reduction in the area of ​​mangroves in Mayotte and altered their functioning. The conservation status of these ecologically rich natural environments, located at the land/sea interface, was assessed by IUCN France using the new methodology of the Red List of Ecosystems. The results show, on the land side, a very clear decline in the back-mangroves, classified as "Critically Endangered," and, on the marine side, a regression of the outer mangroves, classified as "Vulnerable." The central mangroves are not currently considered threatened, but the impact of certain pressures, such as wastewater discharges, warrants further monitoring and study. 
Results showing mangroves subject to several threats
The back-mangroves are classified as "Critically Endangered" (CR). They represent the most threatened type of mangrove in Mayotte. Most of these forests and marshy meadows have been largely converted into farmland, plantations, or livestock enclosures, or even directly filled in and urbanized. As a result, this ecosystem now exists only as a relic on the Mayotte coast. Protecting and restoring these sites is a priority for safeguarding these natural environments.
The outer mangroves of Mayotte, or pioneer mangrove fronts, are assessed as "Vulnerable" (VU). The rate of erosion of some of these mangroves has increased since the 2000s, and some pioneer fronts could disappear within the next 50 years if this rate does not slow down. A change in land-use practices is necessary to slow or even stop this erosion, especially since climate change will likely exacerbate the vulnerability of these mangroves in the future (rising sea levels, increased winds and swells, etc.).
The central and inner mangroves, which represent the core of the mangrove ecosystems and the majority of their current area in Mayotte, are not, based on current knowledge, threatened in the short term. Classified as "Least Concern" (LC), this ecosystem nevertheless remains subject to deforestation and wastewater discharges, the impacts of which could not be assessed due to a lack of comprehensive monitoring across all mangrove areas.
The importance of long-term follow-up
The knowledge acquired over several decades regarding Mayotte's mangroves, encompassing both their flora and fauna as well as their ecological functioning, has provided a solid scientific foundation for this chapter of the Red List of Ecosystems in France. However, a number of criteria could not be used due to a lack of comprehensive or consistent data over time, particularly for the most threatened ecosystems such as the back-mangroves. This underscores the importance of strengthening, alongside conservation efforts, programs to acquire knowledge about the spatial distribution and functioning of mangroves in Mayotte.
The IUCN Red List of Ecosystems, a new knowledge tool
Building on the success of the Red Lists of Threatened Species, widely used to better understand the state of biodiversity and drive nature conservation action, the IUCN launched a similar tool for ecosystems in 2008. The methodology was formally adopted in 2014 and is based on criteria related to habitat loss, changes in the physical environment, and the degradation of key ecological processes within the assessed ecosystems. An ecosystem is considered threatened if it meets the criteria corresponding to the categories "Critically Endangered," "Endangered," or "Vulnerable." The IUCN Red List of Ecosystems is now a standard tool for assessing the state of ecosystems, applicable at various scales, and implemented in France by the French Committee of the IUCN .</v>
      </c>
      <c r="C20" s="24" t="str">
        <f>IFERROR(__xludf.DUMMYFUNCTION("""COMPUTED_VALUE"""),"na")</f>
        <v>na</v>
      </c>
      <c r="D20" s="24" t="str">
        <f>IFERROR(__xludf.DUMMYFUNCTION("""COMPUTED_VALUE"""),"RLE Database")</f>
        <v>RLE Database</v>
      </c>
      <c r="E20" s="24">
        <f>IFERROR(__xludf.DUMMYFUNCTION("""COMPUTED_VALUE"""),19.0)</f>
        <v>19</v>
      </c>
      <c r="F20" s="24" t="str">
        <f>IFERROR(__xludf.DUMMYFUNCTION("""COMPUTED_VALUE"""),"[""ELIGIBLE""]")</f>
        <v>["ELIGIBLE"]</v>
      </c>
    </row>
    <row r="21">
      <c r="A21" s="24" t="str">
        <f>IFERROR(__xludf.DUMMYFUNCTION("""COMPUTED_VALUE"""),"Threatened Status Assessment of Multiple Grassland Ecosystems and Conservation Strategies in the Xilin River Basin, NE China")</f>
        <v>Threatened Status Assessment of Multiple Grassland Ecosystems and Conservation Strategies in the Xilin River Basin, NE China</v>
      </c>
      <c r="B21" s="24" t="str">
        <f>IFERROR(__xludf.DUMMYFUNCTION("""COMPUTED_VALUE"""),"The Red List of Ecosystems, proposed by the International Union for Conservation of Nature can determine the status of ecosystems for biodiversity conservation. In this study, we applied the Red List of Ecosystems Categories and Criteria 2.0 with its four"&amp;" major criteria (A, B, C, and D) to assess twelve dominant ecosystems in the Xilin River Basin, a representative grassland-dominating area in China. We employed Geographical Information Systems and remote sensing to process the obtained satellite products"&amp;" from the years 2000 to 2015, and generated indicators for biological processes and degradation of environment with boreal ecosystem productivity simulator. The results show that all twelve ecosystems in the Xilin River Basin confront varying threats: Art"&amp;"emisia frigida grassland and Festuca ovina grassland face the highest risk of collapse, sharing an endangered status; Filifolium sibiricum meadow grassland and Leymus chinensis grassland have a least concern status, while the remaining eight ecosystems di"&amp;"splay a vulnerable status. This study overcomes the limits of data deficiency by introducing the boreal ecosystem productivity simulator to simulate biological processes and the plant–environment interaction. It sheds light on further application of the R"&amp;"ed List of Ecosystems, and bridges the research gap and promote local ecosystems conservation in China.")</f>
        <v>The Red List of Ecosystems, proposed by the International Union for Conservation of Nature can determine the status of ecosystems for biodiversity conservation. In this study, we applied the Red List of Ecosystems Categories and Criteria 2.0 with its four major criteria (A, B, C, and D) to assess twelve dominant ecosystems in the Xilin River Basin, a representative grassland-dominating area in China. We employed Geographical Information Systems and remote sensing to process the obtained satellite products from the years 2000 to 2015, and generated indicators for biological processes and degradation of environment with boreal ecosystem productivity simulator. The results show that all twelve ecosystems in the Xilin River Basin confront varying threats: Artemisia frigida grassland and Festuca ovina grassland face the highest risk of collapse, sharing an endangered status; Filifolium sibiricum meadow grassland and Leymus chinensis grassland have a least concern status, while the remaining eight ecosystems display a vulnerable status. This study overcomes the limits of data deficiency by introducing the boreal ecosystem productivity simulator to simulate biological processes and the plant–environment interaction. It sheds light on further application of the Red List of Ecosystems, and bridges the research gap and promote local ecosystems conservation in China.</v>
      </c>
      <c r="C21" s="24" t="str">
        <f>IFERROR(__xludf.DUMMYFUNCTION("""COMPUTED_VALUE"""),"na")</f>
        <v>na</v>
      </c>
      <c r="D21" s="24" t="str">
        <f>IFERROR(__xludf.DUMMYFUNCTION("""COMPUTED_VALUE"""),"RLE Database")</f>
        <v>RLE Database</v>
      </c>
      <c r="E21" s="24">
        <f>IFERROR(__xludf.DUMMYFUNCTION("""COMPUTED_VALUE"""),20.0)</f>
        <v>20</v>
      </c>
      <c r="F21" s="24" t="str">
        <f>IFERROR(__xludf.DUMMYFUNCTION("""COMPUTED_VALUE"""),"[""ELIGIBLE""]")</f>
        <v>["ELIGIBLE"]</v>
      </c>
    </row>
    <row r="22">
      <c r="A22" s="24" t="str">
        <f>IFERROR(__xludf.DUMMYFUNCTION("""COMPUTED_VALUE"""),"Using multiple lines of evidence to assess the risk of ecosystem collapse")</f>
        <v>Using multiple lines of evidence to assess the risk of ecosystem collapse</v>
      </c>
      <c r="B22" s="24" t="str">
        <f>IFERROR(__xludf.DUMMYFUNCTION("""COMPUTED_VALUE"""),"Effective ecosystem risk assessment relies on a conceptual understanding of ecosystem dynamics and the synthesis of multiple lines of evidence. Risk assessment protocols and ecosystem models integrate limited observational data with threat scenarios, maki"&amp;"ng them valuable tools for monitoring ecosystem status and diagnosing key mechanisms of decline to be addressed by management. We applied the IUCN Red List of Ecosystems criteria to quantify the risk of collapse of the Meso-American Reef, a unique ecosyst"&amp;"em containing the second longest barrier reef in the world. We collated a wide array of empirical data (field and remotely sensed), and used a stochastic ecosystem model to backcast past ecosystem dynamics, as well as forecast future ecosystem dynamics un"&amp;"der 11 scenarios of threat. The ecosystem is at high risk from mass bleaching in the coming decades, with compounding effects of ocean acidification, hurricanes, pollution and fishing. The overall status of the ecosystem is Critically Endangered (plausibl"&amp;"y Vulnerable to Critically Endangered), with notable differences among Red List criteria and data types in detecting the most severe symptoms of risk. Our case study provides a template for assessing risks to coral reefs and for further application of eco"&amp;"system models in risk assessment.")</f>
        <v>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v>
      </c>
      <c r="C22" s="24" t="str">
        <f>IFERROR(__xludf.DUMMYFUNCTION("""COMPUTED_VALUE"""),"na")</f>
        <v>na</v>
      </c>
      <c r="D22" s="24" t="str">
        <f>IFERROR(__xludf.DUMMYFUNCTION("""COMPUTED_VALUE"""),"RLE Database")</f>
        <v>RLE Database</v>
      </c>
      <c r="E22" s="24">
        <f>IFERROR(__xludf.DUMMYFUNCTION("""COMPUTED_VALUE"""),21.0)</f>
        <v>21</v>
      </c>
      <c r="F22" s="24" t="str">
        <f>IFERROR(__xludf.DUMMYFUNCTION("""COMPUTED_VALUE"""),"[""ELIGIBLE""]")</f>
        <v>["ELIGIBLE"]</v>
      </c>
    </row>
    <row r="23">
      <c r="A23" s="24" t="str">
        <f>IFERROR(__xludf.DUMMYFUNCTION("""COMPUTED_VALUE"""),"Assessing ecosystem collapse risk in ecosystems dominated by foundation species: The case of fringe mangroves")</f>
        <v>Assessing ecosystem collapse risk in ecosystems dominated by foundation species: The case of fringe mangroves</v>
      </c>
      <c r="B23" s="24" t="str">
        <f>IFERROR(__xludf.DUMMYFUNCTION("""COMPUTED_VALUE"""),"Ecosystem collapse, i.e. the endpoint of ecosystem decline, is a central concept of IUCN Red List of Ecosystems (RLE) assessments and the identification of ecosystems most vulnerable to global environmental change. Estimating collapse risk can be challeng"&amp;"ing for ecosystems reliant on a few dominant species to perform most of their functions because the range of suitable and feasible indicators is small. This study investigates the robustness and adequacy of the current RLE approach for risk assessments in"&amp;" such ecosystems, using a fringe mangrove ecosystem as a case study. Following the RLE protocol, we constructed a conceptual model of the key ecosystem processes for the Philippines’ fringe mangrove forests. Satellite remote sensing data and existing maps"&amp;" of mangrove forests were then combined to assess the spatial distribution of the ecosystem considered (Criteria A and B), while the Normalized Difference Vegetation Index was used to assess biotic degradation (Criterion D). Insufficient data were availab"&amp;"le to assess Criteria C (environmental degradation) and E (quantitative analysis). Overall, the ecosystem was assessed as ‘Least Concern’ based on extensive geographic distribution and only weak support for declines in extent. Criterion D was classed as ‘"&amp;"Data Deficient’ since there was no clear relationship between the vegetation index and fringe mangrove degradation. Our results demonstrate how gaps in our appreciation and understanding of the structure and functioning of ecosystems are more likely to im"&amp;"pede risk assessments of ecosystems characterised by a small number of foundation species, due to the low level of redundancy between candidate indicators available for their assessments. Satellite remote sensing combined with derivation of explicit conce"&amp;"ptual ecosystem models provides a way to structure efforts to identify suitable indicators as well as opportunities to overcome many of these challenges, even for relatively data-poor ecosystems.")</f>
        <v>Ecosystem collapse, i.e. the endpoint of ecosystem decline, is a central concept of IUCN Red List of Ecosystems (RLE) assessments and the identification of ecosystems most vulnerable to global environmental change. Estimating collapse risk can be challenging for ecosystems reliant on a few dominant species to perform most of their functions because the range of suitable and feasible indicators is small. This study investigates the robustness and adequacy of the current RLE approach for risk assessments in such ecosystems, using a fringe mangrove ecosystem as a case study. Following the RLE protocol, we constructed a conceptual model of the key ecosystem processes for the Philippines’ fringe mangrove forests. Satellite remote sensing data and existing maps of mangrove forests were then combined to assess the spatial distribution of the ecosystem considered (Criteria A and B), while the Normalized Difference Vegetation Index was used to assess biotic degradation (Criterion D). Insufficient data were available to assess Criteria C (environmental degradation) and E (quantitative analysis). Overall, the ecosystem was assessed as ‘Least Concern’ based on extensive geographic distribution and only weak support for declines in extent. Criterion D was classed as ‘Data Deficient’ since there was no clear relationship between the vegetation index and fringe mangrove degradation. Our results demonstrate how gaps in our appreciation and understanding of the structure and functioning of ecosystems are more likely to impede risk assessments of ecosystems characterised by a small number of foundation species, due to the low level of redundancy between candidate indicators available for their assessments. Satellite remote sensing combined with derivation of explicit conceptual ecosystem models provides a way to structure efforts to identify suitable indicators as well as opportunities to overcome many of these challenges, even for relatively data-poor ecosystems.</v>
      </c>
      <c r="C23" s="24" t="str">
        <f>IFERROR(__xludf.DUMMYFUNCTION("""COMPUTED_VALUE"""),"na")</f>
        <v>na</v>
      </c>
      <c r="D23" s="24" t="str">
        <f>IFERROR(__xludf.DUMMYFUNCTION("""COMPUTED_VALUE"""),"RLE Database")</f>
        <v>RLE Database</v>
      </c>
      <c r="E23" s="24">
        <f>IFERROR(__xludf.DUMMYFUNCTION("""COMPUTED_VALUE"""),22.0)</f>
        <v>22</v>
      </c>
      <c r="F23" s="24" t="str">
        <f>IFERROR(__xludf.DUMMYFUNCTION("""COMPUTED_VALUE"""),"[""ELIGIBLE""]")</f>
        <v>["ELIGIBLE"]</v>
      </c>
    </row>
    <row r="24">
      <c r="A24" s="24" t="str">
        <f>IFERROR(__xludf.DUMMYFUNCTION("""COMPUTED_VALUE"""),"Red list of China's forest ecosystems: A conservation assessment and protected area gap analysis")</f>
        <v>Red list of China's forest ecosystems: A conservation assessment and protected area gap analysis</v>
      </c>
      <c r="B24" s="24" t="str">
        <f>IFERROR(__xludf.DUMMYFUNCTION("""COMPUTED_VALUE"""),"Current biodiversity loss is far greater than at any time in human history. As complementary tool to prioritize biodiversity for conservation, the IUCN Red List of Ecosystems (RLE) is well justified as a conservation tool. Although China's biodiversity is"&amp;" among the world's richest, a significant part of this diversity is under threat. Based on the distribution of 229 forest formations, we assessed the risk status according to the IUCN RLE criteria, and evaluated the conservation status of threatened fores"&amp;"ts by comparing ecosystem distribution with terrestrial national and provincial nature reserves (NNRs and PNRs, respectively). We found that 90 threatened forest formations accounted for 16% of the area, but for 39.3% of the number of assessed formations."&amp;" Threatened forest formations were mainly located in western Sichuan, Yunnan, southeastern Xizang, southwestern Guangxi, Hainan Island, northeastern China, and the mountains of Taiwan. Tropical rain forests and evergreen broad-leaved forests together acco"&amp;"unted for the highest number of threatened formations. Northern Xinjiang (with the Tianshan and Altai Mountains) proved to be a unique area that has rarely been identified as hotspot of plant conservation. On average, NNRs covered 13.2%, and NNRs and PNRs"&amp;" together covered 22.7%, of the threatened forest distribution areas. However, 15 threatened forest formations were not covered by NNRs or PNRs. We suggest that the red list of ecosystems will contribute towards providing a more informative picture of the"&amp;" status of biodiversity. Our work highlights the need to use the red list of ecosystems as additional tool in plant conservation.")</f>
        <v>Current biodiversity loss is far greater than at any time in human history. As complementary tool to prioritize biodiversity for conservation, the IUCN Red List of Ecosystems (RLE) is well justified as a conservation tool. Although China's biodiversity is among the world's richest, a significant part of this diversity is under threat. Based on the distribution of 229 forest formations, we assessed the risk status according to the IUCN RLE criteria, and evaluated the conservation status of threatened forests by comparing ecosystem distribution with terrestrial national and provincial nature reserves (NNRs and PNRs, respectively). We found that 90 threatened forest formations accounted for 16% of the area, but for 39.3% of the number of assessed formations. Threatened forest formations were mainly located in western Sichuan, Yunnan, southeastern Xizang, southwestern Guangxi, Hainan Island, northeastern China, and the mountains of Taiwan. Tropical rain forests and evergreen broad-leaved forests together accounted for the highest number of threatened formations. Northern Xinjiang (with the Tianshan and Altai Mountains) proved to be a unique area that has rarely been identified as hotspot of plant conservation. On average, NNRs covered 13.2%, and NNRs and PNRs together covered 22.7%, of the threatened forest distribution areas. However, 15 threatened forest formations were not covered by NNRs or PNRs. We suggest that the red list of ecosystems will contribute towards providing a more informative picture of the status of biodiversity. Our work highlights the need to use the red list of ecosystems as additional tool in plant conservation.</v>
      </c>
      <c r="C24" s="24" t="str">
        <f>IFERROR(__xludf.DUMMYFUNCTION("""COMPUTED_VALUE"""),"na")</f>
        <v>na</v>
      </c>
      <c r="D24" s="24" t="str">
        <f>IFERROR(__xludf.DUMMYFUNCTION("""COMPUTED_VALUE"""),"RLE Database")</f>
        <v>RLE Database</v>
      </c>
      <c r="E24" s="24">
        <f>IFERROR(__xludf.DUMMYFUNCTION("""COMPUTED_VALUE"""),23.0)</f>
        <v>23</v>
      </c>
      <c r="F24" s="24" t="str">
        <f>IFERROR(__xludf.DUMMYFUNCTION("""COMPUTED_VALUE"""),"[""ELIGIBLE""]")</f>
        <v>["ELIGIBLE"]</v>
      </c>
    </row>
    <row r="25">
      <c r="A25" s="24" t="str">
        <f>IFERROR(__xludf.DUMMYFUNCTION("""COMPUTED_VALUE"""),"A review of spatial patterns across species ranges to aid the targeting of conservation interventions")</f>
        <v>A review of spatial patterns across species ranges to aid the targeting of conservation interventions</v>
      </c>
      <c r="B25" s="24" t="str">
        <f>IFERROR(__xludf.DUMMYFUNCTION("""COMPUTED_VALUE"""),"Conservation resources are limited and need to be used where they can be most effective. Deciding where within a species range to implement conservation interventions requires knowledge of where threats operate and consideration of multiple spatial issues"&amp;" concerning patterns in abundance across species' ranges, and geographical and environmental gradients in these and other traits across species' ranges. Although these biogeographical patterns have been of great interest to ecologists for many years, the "&amp;"implications of these patterns for conservation are often unclear. Here we review these patterns in the context of targeting spatial conservation. We find that an inconsistent use of terminology, a lack of consistent rules and the use of imperfect dataset"&amp;"s, hampers us drawing firm conclusions on the nature of these patterns. Evidence that abundance and ecological traits change systematically towards range edges is inconclusive. Abundance variation is influenced by many factors independent of position with"&amp;"in a species range, including habitat type, habitat quality, environment, interspecific competition, dispersal ecology and metapopulation dynamics. This results in complex textured abundance patterns compared to a simple theoretical core-edge gradient. We"&amp;" conclude that any conservation practitioner looking to target the location of interventions will need to examine these patterns and processes for the species of interest. Current knowledge does not adequately inform spatial conservation prioritization fo"&amp;"r single-species conservation programmes and incorporating the complexities of spatial processes is challenging. The development of tools to inform spatial targeting of resources for single- or multiple-species conservation is required urgently to enable "&amp;"better use of conservation resources.")</f>
        <v>Conservation resources are limited and need to be used where they can be most effective. Deciding where within a species range to implement conservation interventions requires knowledge of where threats operate and consideration of multiple spatial issues concerning patterns in abundance across species' ranges, and geographical and environmental gradients in these and other traits across species' ranges. Although these biogeographical patterns have been of great interest to ecologists for many years, the implications of these patterns for conservation are often unclear. Here we review these patterns in the context of targeting spatial conservation. We find that an inconsistent use of terminology, a lack of consistent rules and the use of imperfect datasets, hampers us drawing firm conclusions on the nature of these patterns. Evidence that abundance and ecological traits change systematically towards range edges is inconclusive. Abundance variation is influenced by many factors independent of position within a species range, including habitat type, habitat quality, environment, interspecific competition, dispersal ecology and metapopulation dynamics. This results in complex textured abundance patterns compared to a simple theoretical core-edge gradient. We conclude that any conservation practitioner looking to target the location of interventions will need to examine these patterns and processes for the species of interest. Current knowledge does not adequately inform spatial conservation prioritization for single-species conservation programmes and incorporating the complexities of spatial processes is challenging. The development of tools to inform spatial targeting of resources for single- or multiple-species conservation is required urgently to enable better use of conservation resources.</v>
      </c>
      <c r="C25" s="24" t="str">
        <f>IFERROR(__xludf.DUMMYFUNCTION("""COMPUTED_VALUE"""),"na")</f>
        <v>na</v>
      </c>
      <c r="D25" s="24" t="str">
        <f>IFERROR(__xludf.DUMMYFUNCTION("""COMPUTED_VALUE"""),"RLE Database")</f>
        <v>RLE Database</v>
      </c>
      <c r="E25" s="24">
        <f>IFERROR(__xludf.DUMMYFUNCTION("""COMPUTED_VALUE"""),24.0)</f>
        <v>24</v>
      </c>
      <c r="F25" s="24" t="str">
        <f>IFERROR(__xludf.DUMMYFUNCTION("""COMPUTED_VALUE"""),"[""ELIGIBLE""]")</f>
        <v>["ELIGIBLE"]</v>
      </c>
    </row>
    <row r="26">
      <c r="A26" s="24" t="str">
        <f>IFERROR(__xludf.DUMMYFUNCTION("""COMPUTED_VALUE"""),"Assessing risk of estuarine ecosystem collapse")</f>
        <v>Assessing risk of estuarine ecosystem collapse</v>
      </c>
      <c r="B26" s="24" t="str">
        <f>IFERROR(__xludf.DUMMYFUNCTION("""COMPUTED_VALUE"""),"Estuarine ecosystems are increasingly threatened by coastal development and climate change. The large number of estuaries globally necessitates risk assessment to prioritise conservation efforts. Schemes for assessing risk of ecosystem collapse have been "&amp;"designed around terrestrial ecosystems, often defined by a single characteristic vegetation type, with their applicability to estuaries unclear. Here we consider the causes and symptoms of estuarine ecosystem collapse and assess, using a case study of the"&amp;" Chesapeake Bay, the applicability of ecosystem-level risk assessments to estuarine ecosystems, typified by mosaics of habitats. Functional estuaries are characterised by habitat heterogeneity and connectivity, maintenance of constituent habitats through "&amp;"recruitment, and a complex trophic structure including apex predators. Additionally, primary production and biomass are dominated by benthic, as opposed to pelagic, species. Hence, homogenisation of habitat types, decreased connectivity, recruitment failu"&amp;"re, loss of apex predators and a decreased ratio of benthic to pelagic biomass may be symptoms of a trajectory towards collapse. In terrestrial ecosystems, criteria used for assessing risk of ecosystem collapse include declining or restricted distribution"&amp;" of ecosystems, degradation of the abiotic environment, changes in species composition and declining ecological function. As the boundaries of estuaries are typically defined by topography, rarely do significant changes in the area of the ecosystem occur."&amp;" Furthermore, because the extent of estuaries is typically small, assessments based on area of occupancy may over-inflate risk. Instead, criteria based on abiotic and biotic changes, many of which are documented through monitoring programs, may be most us"&amp;"eful for risk assessments of estuarine ecosystems.")</f>
        <v>Estuarine ecosystems are increasingly threatened by coastal development and climate change. The large number of estuaries globally necessitates risk assessment to prioritise conservation efforts. Schemes for assessing risk of ecosystem collapse have been designed around terrestrial ecosystems, often defined by a single characteristic vegetation type, with their applicability to estuaries unclear. Here we consider the causes and symptoms of estuarine ecosystem collapse and assess, using a case study of the Chesapeake Bay, the applicability of ecosystem-level risk assessments to estuarine ecosystems, typified by mosaics of habitats. Functional estuaries are characterised by habitat heterogeneity and connectivity, maintenance of constituent habitats through recruitment, and a complex trophic structure including apex predators. Additionally, primary production and biomass are dominated by benthic, as opposed to pelagic, species. Hence, homogenisation of habitat types, decreased connectivity, recruitment failure, loss of apex predators and a decreased ratio of benthic to pelagic biomass may be symptoms of a trajectory towards collapse. In terrestrial ecosystems, criteria used for assessing risk of ecosystem collapse include declining or restricted distribution of ecosystems, degradation of the abiotic environment, changes in species composition and declining ecological function. As the boundaries of estuaries are typically defined by topography, rarely do significant changes in the area of the ecosystem occur. Furthermore, because the extent of estuaries is typically small, assessments based on area of occupancy may over-inflate risk. Instead, criteria based on abiotic and biotic changes, many of which are documented through monitoring programs, may be most useful for risk assessments of estuarine ecosystems.</v>
      </c>
      <c r="C26" s="24" t="str">
        <f>IFERROR(__xludf.DUMMYFUNCTION("""COMPUTED_VALUE"""),"na")</f>
        <v>na</v>
      </c>
      <c r="D26" s="24" t="str">
        <f>IFERROR(__xludf.DUMMYFUNCTION("""COMPUTED_VALUE"""),"RLE Database")</f>
        <v>RLE Database</v>
      </c>
      <c r="E26" s="24">
        <f>IFERROR(__xludf.DUMMYFUNCTION("""COMPUTED_VALUE"""),25.0)</f>
        <v>25</v>
      </c>
      <c r="F26" s="24" t="str">
        <f>IFERROR(__xludf.DUMMYFUNCTION("""COMPUTED_VALUE"""),"[""ELIGIBLE""]")</f>
        <v>["ELIGIBLE"]</v>
      </c>
    </row>
    <row r="27">
      <c r="A27" s="24" t="str">
        <f>IFERROR(__xludf.DUMMYFUNCTION("""COMPUTED_VALUE"""),"Assessing risk of collapse of Lake Burullus Ramsar site in Egypt using IUCN Red List of Ecosystems")</f>
        <v>Assessing risk of collapse of Lake Burullus Ramsar site in Egypt using IUCN Red List of Ecosystems</v>
      </c>
      <c r="B27" s="24" t="str">
        <f>IFERROR(__xludf.DUMMYFUNCTION("""COMPUTED_VALUE"""),"The IUCN Red List of Ecosystems (RLE) assessment is a new powerful scheme that identifies ecosystems that are at risk of collapse due to global environmental changes, which can help any mitigation actions aimed at conserving and rescuing these natural eco"&amp;"systems. The current study applied RLE assessment protocol on Lake Burullus ecosystem, a highly productive wetland ecosystem, Ramsar site and International Bird Area (IBA) of Egypt. A conceptual model of the key ecosystem processes for Burullus wetland wa"&amp;"s constructed. The application of RLE followed the standard protocol for the first four criteria; (A) declines in distribution, (B) restricted distribution, (C) degradation of the abiotic components, and (D) regarding the assessment of the disruption of b"&amp;"iotic processes and interactions. However, data were insufficient for assessing Criterion (E) that entails conducting quantitative estimates of the risk of collapse. Multi-date satellite images were obtained and processed to estimate the changes in the sp"&amp;"atial distribution under criteria (A) and (B) of the study area. For evaluating Criteria (C) and (D), long-term data were collected from literature and previous works to cover the time frame of the assessment as much as possible. The results from the RLE "&amp;"assessment revealed that the status of the ecosystem is Critically Endangered (CR), which was attributed to various types of threats that caused degradation of the natural quality and integrity of the ecosystem. Although the RLE assessment provides a cohe"&amp;"rent approach for identifying ecosystems vulnerable to human-induced changes; data insufficiency can be an impediment for the efficient application of the RLE assessment. Remotely-sensed data can help in derivation of suitable spectral indicators of the s"&amp;"tatus of the ecosystems structure and functioning that might overcome some of the challenges of data adequacy and relevance to the RLE assessment especially for the understudied and data-deficient ecosystems.")</f>
        <v>The IUCN Red List of Ecosystems (RLE) assessment is a new powerful scheme that identifies ecosystems that are at risk of collapse due to global environmental changes, which can help any mitigation actions aimed at conserving and rescuing these natural ecosystems. The current study applied RLE assessment protocol on Lake Burullus ecosystem, a highly productive wetland ecosystem, Ramsar site and International Bird Area (IBA) of Egypt. A conceptual model of the key ecosystem processes for Burullus wetland was constructed. The application of RLE followed the standard protocol for the first four criteria; (A) declines in distribution, (B) restricted distribution, (C) degradation of the abiotic components, and (D) regarding the assessment of the disruption of biotic processes and interactions. However, data were insufficient for assessing Criterion (E) that entails conducting quantitative estimates of the risk of collapse. Multi-date satellite images were obtained and processed to estimate the changes in the spatial distribution under criteria (A) and (B) of the study area. For evaluating Criteria (C) and (D), long-term data were collected from literature and previous works to cover the time frame of the assessment as much as possible. The results from the RLE assessment revealed that the status of the ecosystem is Critically Endangered (CR), which was attributed to various types of threats that caused degradation of the natural quality and integrity of the ecosystem. Although the RLE assessment provides a coherent approach for identifying ecosystems vulnerable to human-induced changes; data insufficiency can be an impediment for the efficient application of the RLE assessment. Remotely-sensed data can help in derivation of suitable spectral indicators of the status of the ecosystems structure and functioning that might overcome some of the challenges of data adequacy and relevance to the RLE assessment especially for the understudied and data-deficient ecosystems.</v>
      </c>
      <c r="C27" s="24" t="str">
        <f>IFERROR(__xludf.DUMMYFUNCTION("""COMPUTED_VALUE"""),"na")</f>
        <v>na</v>
      </c>
      <c r="D27" s="24" t="str">
        <f>IFERROR(__xludf.DUMMYFUNCTION("""COMPUTED_VALUE"""),"RLE Database")</f>
        <v>RLE Database</v>
      </c>
      <c r="E27" s="24">
        <f>IFERROR(__xludf.DUMMYFUNCTION("""COMPUTED_VALUE"""),26.0)</f>
        <v>26</v>
      </c>
      <c r="F27" s="24" t="str">
        <f>IFERROR(__xludf.DUMMYFUNCTION("""COMPUTED_VALUE"""),"[""ELIGIBLE""]")</f>
        <v>["ELIGIBLE"]</v>
      </c>
    </row>
    <row r="28">
      <c r="A28" s="24" t="str">
        <f>IFERROR(__xludf.DUMMYFUNCTION("""COMPUTED_VALUE"""),"Integrating outcomes of IUCN red list of ecosystems assessments for connected coastal wetlands")</f>
        <v>Integrating outcomes of IUCN red list of ecosystems assessments for connected coastal wetlands</v>
      </c>
      <c r="B28" s="24" t="str">
        <f>IFERROR(__xludf.DUMMYFUNCTION("""COMPUTED_VALUE"""),"Human-induced habitat clearing and pollution are leading drivers of biodiversity loss. Ecosystem assessments are required to identify ecosystems at risk of collapse, but they should account for cross-system linkages and dynamics where necessary. This is p"&amp;"articularly true for coastal wetlands (e.g. seagrass, mangroves and saltmarsh), which exhibit high ecological connectivity and have individually suffered global declines over the last century. We use the coastal wetlands of Moreton Bay, Queensland, Austra"&amp;"lia, as a model system to examine how integrating outcomes of multiple, simultaneously conducted, ecosystem assessments can assist in identifying appropriate management and conservation strategies. We simultaneously conducted separate assessments of seagr"&amp;"ass, mangrove and saltmarsh ecosystems against the IUCN Red List of Ecosystems criteria. Despite substantial human population growth in the region, seagrass and mangroves were assessed as Least Concern. Mangroves were found to be rapidly encroaching on sa"&amp;"ltmarsh. This process, together with past clearing, were the major drivers behind saltmarsh being assessed as Endangered. Given the importance of connectivity among these connected ecosystems, collapse in any one ecosystem can have seascape-wide consequen"&amp;"ces, highlighting the benefit of conducting multi-ecosystem assessments. Consequently, a fully integrated assessment of the coastal wetlands as a single entity would miss key processes, such as mangrove encroachment, potentially underestimating overall ri"&amp;"sks. Our study highlights the plight of saltmarsh and the value of conducting simultaneous RLE assessments for multiple ecosystems comprising seascapes. We recommend that connectivity be accounted for explicitly in assessments of other connected, high-ris"&amp;"k ecosystems.")</f>
        <v>Human-induced habitat clearing and pollution are leading drivers of biodiversity loss. Ecosystem assessments are required to identify ecosystems at risk of collapse, but they should account for cross-system linkages and dynamics where necessary. This is particularly true for coastal wetlands (e.g. seagrass, mangroves and saltmarsh), which exhibit high ecological connectivity and have individually suffered global declines over the last century. We use the coastal wetlands of Moreton Bay, Queensland, Australia, as a model system to examine how integrating outcomes of multiple, simultaneously conducted, ecosystem assessments can assist in identifying appropriate management and conservation strategies. We simultaneously conducted separate assessments of seagrass, mangrove and saltmarsh ecosystems against the IUCN Red List of Ecosystems criteria. Despite substantial human population growth in the region, seagrass and mangroves were assessed as Least Concern. Mangroves were found to be rapidly encroaching on saltmarsh. This process, together with past clearing, were the major drivers behind saltmarsh being assessed as Endangered. Given the importance of connectivity among these connected ecosystems, collapse in any one ecosystem can have seascape-wide consequences, highlighting the benefit of conducting multi-ecosystem assessments. Consequently, a fully integrated assessment of the coastal wetlands as a single entity would miss key processes, such as mangrove encroachment, potentially underestimating overall risks. Our study highlights the plight of saltmarsh and the value of conducting simultaneous RLE assessments for multiple ecosystems comprising seascapes. We recommend that connectivity be accounted for explicitly in assessments of other connected, high-risk ecosystems.</v>
      </c>
      <c r="C28" s="24" t="str">
        <f>IFERROR(__xludf.DUMMYFUNCTION("""COMPUTED_VALUE"""),"na")</f>
        <v>na</v>
      </c>
      <c r="D28" s="24" t="str">
        <f>IFERROR(__xludf.DUMMYFUNCTION("""COMPUTED_VALUE"""),"RLE Database")</f>
        <v>RLE Database</v>
      </c>
      <c r="E28" s="24">
        <f>IFERROR(__xludf.DUMMYFUNCTION("""COMPUTED_VALUE"""),27.0)</f>
        <v>27</v>
      </c>
      <c r="F28" s="24" t="str">
        <f>IFERROR(__xludf.DUMMYFUNCTION("""COMPUTED_VALUE"""),"[""ELIGIBLE""]")</f>
        <v>["ELIGIBLE"]</v>
      </c>
    </row>
    <row r="29">
      <c r="A29" s="24" t="str">
        <f>IFERROR(__xludf.DUMMYFUNCTION("""COMPUTED_VALUE"""),"Conservation status of the Oyster Reef Ecosystem of Southern and Eastern Australia")</f>
        <v>Conservation status of the Oyster Reef Ecosystem of Southern and Eastern Australia</v>
      </c>
      <c r="B29" s="24" t="str">
        <f>IFERROR(__xludf.DUMMYFUNCTION("""COMPUTED_VALUE"""),"Reef ecosystems all over the world are in decline and managers urgently need information that can assess management interventions and set national conservation targets. We assess the conservation status and risk of ecosystem collapse for the Oyster Reef E"&amp;"cosystem of Southern and Eastern Australia, which comprises two community sub-types established by Saccostrea glomerata (Sydney rock oyster) and Ostrea angasi (Australian flat oyster), consistent with the IUCN Red List of Ecosystems risk assessment proces"&amp;"s. We established: (i) key aspects of the ecosystem including: ecological description, biological characteristics, condition and collapse thresholds, natural and threatening processes; (ii) previous and current extent of occurrence and current area of occ"&amp;"upancy; and (iii) its likelihood of collapse within the next 50–100 years. The most severe risk rating occurred for Criterion A: Reduction in Extent (since 1750) and Criterion D: Disruption of biotic processes (since 1750), although assessment varied from"&amp;" Least Concern to Critically Endangered amongst the four criteria assessed. Our overall assessment ranks the risk of collapse for the ecosystem (including both community sub-types) as Critically Endangered with a high degree of confidence. Our results sug"&amp;"gest the need for rapid intervention to protect remaining reefs and undertake restoration at suitable sites. Several restoration projects have already demonstrated this is feasible, and Australia is well equipped with government policies and regulatory me"&amp;"chanisms to support the future conservation and recovery of temperate oyster ecosystems.")</f>
        <v>Reef ecosystems all over the world are in decline and managers urgently need information that can assess management interventions and set national conservation targets. We assess the conservation status and risk of ecosystem collapse for the Oyster Reef Ecosystem of Southern and Eastern Australia, which comprises two community sub-types established by Saccostrea glomerata (Sydney rock oyster) and Ostrea angasi (Australian flat oyster), consistent with the IUCN Red List of Ecosystems risk assessment process. We established: (i) key aspects of the ecosystem including: ecological description, biological characteristics, condition and collapse thresholds, natural and threatening processes; (ii) previous and current extent of occurrence and current area of occupancy; and (iii) its likelihood of collapse within the next 50–100 years. The most severe risk rating occurred for Criterion A: Reduction in Extent (since 1750) and Criterion D: Disruption of biotic processes (since 1750), although assessment varied from Least Concern to Critically Endangered amongst the four criteria assessed. Our overall assessment ranks the risk of collapse for the ecosystem (including both community sub-types) as Critically Endangered with a high degree of confidence. Our results suggest the need for rapid intervention to protect remaining reefs and undertake restoration at suitable sites. Several restoration projects have already demonstrated this is feasible, and Australia is well equipped with government policies and regulatory mechanisms to support the future conservation and recovery of temperate oyster ecosystems.</v>
      </c>
      <c r="C29" s="24" t="str">
        <f>IFERROR(__xludf.DUMMYFUNCTION("""COMPUTED_VALUE"""),"na")</f>
        <v>na</v>
      </c>
      <c r="D29" s="24" t="str">
        <f>IFERROR(__xludf.DUMMYFUNCTION("""COMPUTED_VALUE"""),"RLE Database")</f>
        <v>RLE Database</v>
      </c>
      <c r="E29" s="24">
        <f>IFERROR(__xludf.DUMMYFUNCTION("""COMPUTED_VALUE"""),28.0)</f>
        <v>28</v>
      </c>
      <c r="F29" s="24" t="str">
        <f>IFERROR(__xludf.DUMMYFUNCTION("""COMPUTED_VALUE"""),"[""ELIGIBLE""]")</f>
        <v>["ELIGIBLE"]</v>
      </c>
    </row>
    <row r="30">
      <c r="A30" s="24" t="str">
        <f>IFERROR(__xludf.DUMMYFUNCTION("""COMPUTED_VALUE"""),"Tidal flats of the Yellow Sea: A review of ecosystem status and anthropogenic threats")</f>
        <v>Tidal flats of the Yellow Sea: A review of ecosystem status and anthropogenic threats</v>
      </c>
      <c r="B30" s="24" t="str">
        <f>IFERROR(__xludf.DUMMYFUNCTION("""COMPUTED_VALUE"""),"Tidal flats provide ecosystem services to billions of people worldwide, yet their changing status is largely unknown. In the Yellow Sea region of East Asia, tidal flats are the principal coastal ecosystem fringing more than 4000 km of the coastlines of Ch"&amp;"ina, North Korea and South Korea. However, widespread loss of areal extent, increasing frequency of algal blooms, hypoxic dead zones and jellyfish blooms, and declines of commercial fisheries and migratory bird populations suggest that this ecosystem is d"&amp;"egraded and declining. Here, we apply the International Union for Conservation of Nature Red List of Ecosystems criteria to the Yellow Sea tidal flat ecosystem and determine that its status is endangered. Comparison of standardized remotely sensed habitat"&amp;" data and historic topographic map data indicated that in the last 50 years, a decline of more than 50% but less than 80% of tidal flat extent has occurred (criterion A1). Although restricted to a narrow band along the coastline, Yellow Sea tidal flats ar"&amp;"e sufficiently broadly distributed to be classified as least concern under criterion B. However, widespread pollution, algal blooms and declines of invertebrate and vertebrate fauna across the region result in a classification of endangered (C1, D1). Owin"&amp;"g to the lack of long-term monitoring data and the unknown impacts of severe biotic and abiotic change, the ecosystem was scored as data deficient for Criterion E and several subcriteria. Our assessment demonstrates an urgent need to arrest the decline of"&amp;" the Yellow Sea tidal flat ecosystem, which could be achieved by (i) improved coastal planning and management at regional and national levels, (ii) expansion of the coastal protected area network, and (iii) improved managed of existing protected areas to "&amp;"reduce illegal land reclamation and coastal exploitation.")</f>
        <v>Tidal flats provide ecosystem services to billions of people worldwide, yet their changing status is largely unknown. In the Yellow Sea region of East Asia, tidal flats are the principal coastal ecosystem fringing more than 4000 km of the coastlines of China, North Korea and South Korea. However, widespread loss of areal extent, increasing frequency of algal blooms, hypoxic dead zones and jellyfish blooms, and declines of commercial fisheries and migratory bird populations suggest that this ecosystem is degraded and declining. Here, we apply the International Union for Conservation of Nature Red List of Ecosystems criteria to the Yellow Sea tidal flat ecosystem and determine that its status is endangered. Comparison of standardized remotely sensed habitat data and historic topographic map data indicated that in the last 50 years, a decline of more than 50% but less than 80% of tidal flat extent has occurred (criterion A1). Although restricted to a narrow band along the coastline, Yellow Sea tidal flats are sufficiently broadly distributed to be classified as least concern under criterion B. However, widespread pollution, algal blooms and declines of invertebrate and vertebrate fauna across the region result in a classification of endangered (C1, D1). Owing to the lack of long-term monitoring data and the unknown impacts of severe biotic and abiotic change, the ecosystem was scored as data deficient for Criterion E and several subcriteria. Our assessment demonstrates an urgent need to arrest the decline of the Yellow Sea tidal flat ecosystem, which could be achieved by (i) improved coastal planning and management at regional and national levels, (ii) expansion of the coastal protected area network, and (iii) improved managed of existing protected areas to reduce illegal land reclamation and coastal exploitation.</v>
      </c>
      <c r="C30" s="24" t="str">
        <f>IFERROR(__xludf.DUMMYFUNCTION("""COMPUTED_VALUE"""),"na")</f>
        <v>na</v>
      </c>
      <c r="D30" s="24" t="str">
        <f>IFERROR(__xludf.DUMMYFUNCTION("""COMPUTED_VALUE"""),"RLE Database")</f>
        <v>RLE Database</v>
      </c>
      <c r="E30" s="24">
        <f>IFERROR(__xludf.DUMMYFUNCTION("""COMPUTED_VALUE"""),29.0)</f>
        <v>29</v>
      </c>
      <c r="F30" s="24" t="str">
        <f>IFERROR(__xludf.DUMMYFUNCTION("""COMPUTED_VALUE"""),"[""ELIGIBLE""]")</f>
        <v>["ELIGIBLE"]</v>
      </c>
    </row>
    <row r="31">
      <c r="A31" s="24" t="str">
        <f>IFERROR(__xludf.DUMMYFUNCTION("""COMPUTED_VALUE"""),"Butterfly abundance declines over 20 years of systematic monitoring in Ohio, USA")</f>
        <v>Butterfly abundance declines over 20 years of systematic monitoring in Ohio, USA</v>
      </c>
      <c r="B31" s="24" t="str">
        <f>IFERROR(__xludf.DUMMYFUNCTION("""COMPUTED_VALUE"""),"Severe insect declines make headlines, but they are rarely based on systematic monitoring outside of Europe. We estimate the rate of change in total butterfly abundance and the population trends for 81 species using 21 years of systematic monitoring in Oh"&amp;"io, USA. Total abundance is declining at 2% per year, resulting in a cumulative 33% reduction in butterfly abundance. Three times as many species have negative population trends compared to positive trends. The rate of total decline and the proportion of "&amp;"species in decline mirror those documented in three comparable long-term European monitoring programs. Multiple environmental changes such as climate change, habitat degradation, and agricultural practices may contribute to these declines in Ohio and shif"&amp;"t the makeup of the butterfly community by benefiting some species over others. Our analysis of life-history traits associated with population trends shows an impact of climate change, as species with northern distributions and fewer annual generations de"&amp;"clined more rapidly. However, even common and invasive species associated with human-dominated landscapes are declining, suggesting widespread environmental causes for these trends. Declines in common species, although they may not be close to extinction,"&amp;" will have an outsized impact on the ecosystem services provided by insects. These results from the most extensive, systematic insect monitoring program in North America demonstrate an ongoing defaunation in butterflies that on an annual scale might be im"&amp;"perceptible, but cumulatively has reduced butterfly numbers by a third over 20 years.")</f>
        <v>Severe insect declines make headlines, but they are rarely based on systematic monitoring outside of Europe. We estimate the rate of change in total butterfly abundance and the population trends for 81 species using 21 years of systematic monitoring in Ohio, USA. Total abundance is declining at 2% per year, resulting in a cumulative 33% reduction in butterfly abundance. Three times as many species have negative population trends compared to positive trends. The rate of total decline and the proportion of species in decline mirror those documented in three comparable long-term European monitoring programs. Multiple environmental changes such as climate change, habitat degradation, and agricultural practices may contribute to these declines in Ohio and shift the makeup of the butterfly community by benefiting some species over others. Our analysis of life-history traits associated with population trends shows an impact of climate change, as species with northern distributions and fewer annual generations declined more rapidly. However, even common and invasive species associated with human-dominated landscapes are declining, suggesting widespread environmental causes for these trends. Declines in common species, although they may not be close to extinction, will have an outsized impact on the ecosystem services provided by insects. These results from the most extensive, systematic insect monitoring program in North America demonstrate an ongoing defaunation in butterflies that on an annual scale might be imperceptible, but cumulatively has reduced butterfly numbers by a third over 20 years.</v>
      </c>
      <c r="C31" s="24" t="str">
        <f>IFERROR(__xludf.DUMMYFUNCTION("""COMPUTED_VALUE"""),"na -Search")</f>
        <v>na -Search</v>
      </c>
      <c r="D31" s="24" t="str">
        <f>IFERROR(__xludf.DUMMYFUNCTION("""COMPUTED_VALUE"""),"RLE Database")</f>
        <v>RLE Database</v>
      </c>
      <c r="E31" s="24">
        <f>IFERROR(__xludf.DUMMYFUNCTION("""COMPUTED_VALUE"""),30.0)</f>
        <v>30</v>
      </c>
      <c r="F31" s="24" t="str">
        <f>IFERROR(__xludf.DUMMYFUNCTION("""COMPUTED_VALUE"""),"[""ELIGIBLE""]")</f>
        <v>["ELIGIBLE"]</v>
      </c>
    </row>
    <row r="32">
      <c r="A32" s="24" t="str">
        <f>IFERROR(__xludf.DUMMYFUNCTION("""COMPUTED_VALUE"""),"Systematic assessments of tidal wetlands loss and degradation in Shanghai, China: From the perspectives of area, composition and quality")</f>
        <v>Systematic assessments of tidal wetlands loss and degradation in Shanghai, China: From the perspectives of area, composition and quality</v>
      </c>
      <c r="B32" s="24" t="str">
        <f>IFERROR(__xludf.DUMMYFUNCTION("""COMPUTED_VALUE"""),"Salt marshes and tidal flats are ecosystems providing considerable value to human beings and widely distributed in the world temperate coastal zone. However, they have been seriously damaged due to human activities over the past half century. Previous stu"&amp;"dies often used area-based statistic measures to track tidal wetlands loss while neglected to extract other important information such as changes in the composition of tidal wetlands, transformation between salt marsh and tidal flat as well as the quality"&amp;" of them. Little is known about the overlap degree among the spatial patterns of tidal wetlands loss and degradation levels. Shanghai's tidal wetlands in the Yangtze River Estuary of China was used as a cased study. Changes in the area and composition of "&amp;"Shanghai's natural tidal wetlands was measured by building a continuous land use/land cover (LULC) map database (1990, 2000, 2008 and 2018). LULC transformation analysis was used to detect the impact extent of different loss and degradation driving forces"&amp;" (land reclamation, coastal erosion and biological invasion) within different periods. Quality of the remaining tidal wetlands was determined by modeling ecosystem health index (EHI) on 661 assessment units of the study area. Spatial relationship between "&amp;"the EHI and area-based tidal wetland loss indicators were tested with bivariate Moran's I. The results showed that net loss rate (0.6%/yr) of Shanghai's tidal wetlands was relatively low between 1990 and 2018, although its composition changed dramatically"&amp;". The extent of native ecosystems reduced significantly. For example, 42% of the natural tidal marshes were occupied by S. alterniflora in 2018. Actual degradation and loss of Shanghai's coastal wetlands caused by the three driving forces between 1990 and"&amp;" 2018 was much higher than the maximum area of tidal wetlands of the four time periods. Average EHI value of all units was 0.58, which suggested that Shanghai's remaining tidal wetlands were in the middle health status. Only a few units on the Jiuduan sho"&amp;"al showed net gain or low actual loss in area, and with good health. This study confirmed that changes in tidal wetlands area cannot be independently used to represent the conservation status at large scale because even 'natural' tidal wetlands can become"&amp;" degraded at varying levels due to multiple stressors. This study provides valuable insights in integrating comprehensive information of coastal wetlands loss and degradation into conservation and restoration planning. (c) 2020 The Author(s). Published by"&amp;" Elsevier B.V. This is an open access article under the CC BY-NC-ND license (http://creativecommons.org/licenses/by-nc-nd/4.0/).")</f>
        <v>Salt marshes and tidal flats are ecosystems providing considerable value to human beings and widely distributed in the world temperate coastal zone. However, they have been seriously damaged due to human activities over the past half century. Previous studies often used area-based statistic measures to track tidal wetlands loss while neglected to extract other important information such as changes in the composition of tidal wetlands, transformation between salt marsh and tidal flat as well as the quality of them. Little is known about the overlap degree among the spatial patterns of tidal wetlands loss and degradation levels. Shanghai's tidal wetlands in the Yangtze River Estuary of China was used as a cased study. Changes in the area and composition of Shanghai's natural tidal wetlands was measured by building a continuous land use/land cover (LULC) map database (1990, 2000, 2008 and 2018). LULC transformation analysis was used to detect the impact extent of different loss and degradation driving forces (land reclamation, coastal erosion and biological invasion) within different periods. Quality of the remaining tidal wetlands was determined by modeling ecosystem health index (EHI) on 661 assessment units of the study area. Spatial relationship between the EHI and area-based tidal wetland loss indicators were tested with bivariate Moran's I. The results showed that net loss rate (0.6%/yr) of Shanghai's tidal wetlands was relatively low between 1990 and 2018, although its composition changed dramatically. The extent of native ecosystems reduced significantly. For example, 42% of the natural tidal marshes were occupied by S. alterniflora in 2018. Actual degradation and loss of Shanghai's coastal wetlands caused by the three driving forces between 1990 and 2018 was much higher than the maximum area of tidal wetlands of the four time periods. Average EHI value of all units was 0.58, which suggested that Shanghai's remaining tidal wetlands were in the middle health status. Only a few units on the Jiuduan shoal showed net gain or low actual loss in area, and with good health. This study confirmed that changes in tidal wetlands area cannot be independently used to represent the conservation status at large scale because even 'natural' tidal wetlands can become degraded at varying levels due to multiple stressors. This study provides valuable insights in integrating comprehensive information of coastal wetlands loss and degradation into conservation and restoration planning. (c) 2020 The Author(s). Published by Elsevier B.V. This is an open access article under the CC BY-NC-ND license (http://creativecommons.org/licenses/by-nc-nd/4.0/).</v>
      </c>
      <c r="C32" s="24"/>
      <c r="D32" s="24" t="str">
        <f>IFERROR(__xludf.DUMMYFUNCTION("""COMPUTED_VALUE"""),"RLE Database")</f>
        <v>RLE Database</v>
      </c>
      <c r="E32" s="24">
        <f>IFERROR(__xludf.DUMMYFUNCTION("""COMPUTED_VALUE"""),31.0)</f>
        <v>31</v>
      </c>
      <c r="F32" s="24" t="str">
        <f>IFERROR(__xludf.DUMMYFUNCTION("""COMPUTED_VALUE"""),"[""ELIGIBLE""]")</f>
        <v>["ELIGIBLE"]</v>
      </c>
    </row>
    <row r="33">
      <c r="A33" s="24"/>
      <c r="B33" s="24"/>
      <c r="C33" s="24"/>
      <c r="D33" s="24"/>
      <c r="E33" s="24"/>
      <c r="F33" s="24"/>
    </row>
    <row r="34">
      <c r="A34" s="24"/>
      <c r="B34" s="24"/>
      <c r="C34" s="24"/>
      <c r="D34" s="24"/>
      <c r="E34" s="24"/>
      <c r="F34" s="24"/>
    </row>
    <row r="35">
      <c r="A35" s="24"/>
      <c r="B35" s="24"/>
      <c r="C35" s="24"/>
      <c r="D35" s="24"/>
      <c r="E35" s="24"/>
      <c r="F35" s="24"/>
    </row>
    <row r="36">
      <c r="A36" s="24"/>
      <c r="B36" s="24"/>
      <c r="C36" s="24"/>
      <c r="D36" s="24"/>
      <c r="E36" s="24"/>
      <c r="F36" s="24"/>
    </row>
    <row r="37">
      <c r="A37" s="24"/>
      <c r="B37" s="24"/>
      <c r="C37" s="24"/>
      <c r="D37" s="24"/>
      <c r="E37" s="24"/>
      <c r="F37" s="24"/>
    </row>
    <row r="38">
      <c r="A38" s="24"/>
      <c r="B38" s="24"/>
      <c r="C38" s="24"/>
      <c r="D38" s="24"/>
      <c r="E38" s="24"/>
      <c r="F38" s="24"/>
    </row>
    <row r="39">
      <c r="A39" s="24"/>
      <c r="B39" s="24"/>
      <c r="C39" s="24"/>
      <c r="D39" s="24"/>
      <c r="E39" s="24"/>
      <c r="F39" s="24"/>
    </row>
    <row r="40">
      <c r="A40" s="24"/>
      <c r="B40" s="24"/>
      <c r="C40" s="24"/>
      <c r="D40" s="24"/>
      <c r="E40" s="24"/>
      <c r="F40" s="24"/>
    </row>
    <row r="41">
      <c r="A41" s="24"/>
      <c r="B41" s="24"/>
      <c r="C41" s="24"/>
      <c r="D41" s="24"/>
      <c r="E41" s="24"/>
      <c r="F41" s="24"/>
    </row>
    <row r="42">
      <c r="A42" s="24"/>
      <c r="B42" s="24"/>
      <c r="C42" s="24"/>
      <c r="D42" s="24"/>
      <c r="E42" s="24"/>
      <c r="F42" s="24"/>
    </row>
    <row r="43">
      <c r="A43" s="24"/>
      <c r="B43" s="24"/>
      <c r="C43" s="24"/>
      <c r="D43" s="24"/>
      <c r="E43" s="24"/>
      <c r="F43" s="24"/>
    </row>
    <row r="44">
      <c r="A44" s="24"/>
      <c r="B44" s="24"/>
      <c r="C44" s="24"/>
      <c r="D44" s="24"/>
      <c r="E44" s="24"/>
      <c r="F44" s="24"/>
    </row>
    <row r="45">
      <c r="A45" s="24"/>
      <c r="B45" s="24"/>
      <c r="C45" s="24"/>
      <c r="D45" s="24"/>
      <c r="E45" s="24"/>
      <c r="F45" s="24"/>
    </row>
    <row r="46">
      <c r="A46" s="24"/>
      <c r="B46" s="24"/>
      <c r="C46" s="24"/>
      <c r="D46" s="24"/>
      <c r="E46" s="24"/>
      <c r="F46" s="24"/>
    </row>
    <row r="47">
      <c r="A47" s="24"/>
      <c r="B47" s="24"/>
      <c r="C47" s="24"/>
      <c r="D47" s="24"/>
      <c r="E47" s="24"/>
      <c r="F47" s="24"/>
    </row>
    <row r="48">
      <c r="A48" s="24"/>
      <c r="B48" s="24"/>
      <c r="C48" s="24"/>
      <c r="D48" s="24"/>
      <c r="E48" s="24"/>
      <c r="F48" s="24"/>
    </row>
    <row r="49">
      <c r="A49" s="24"/>
      <c r="B49" s="24"/>
      <c r="C49" s="24"/>
      <c r="D49" s="24"/>
      <c r="E49" s="24"/>
      <c r="F49" s="24"/>
    </row>
    <row r="50">
      <c r="A50" s="24"/>
      <c r="B50" s="24"/>
      <c r="C50" s="24"/>
      <c r="D50" s="24"/>
      <c r="E50" s="24"/>
      <c r="F50" s="24"/>
    </row>
    <row r="51">
      <c r="A51" s="24"/>
      <c r="B51" s="24"/>
      <c r="C51" s="24"/>
      <c r="D51" s="24"/>
      <c r="E51" s="24"/>
      <c r="F51" s="24"/>
    </row>
    <row r="52">
      <c r="A52" s="24"/>
      <c r="B52" s="24"/>
      <c r="C52" s="24"/>
      <c r="D52" s="24"/>
      <c r="E52" s="24"/>
      <c r="F52" s="24"/>
    </row>
    <row r="53">
      <c r="A53" s="24"/>
      <c r="B53" s="24"/>
      <c r="C53" s="24"/>
      <c r="D53" s="24"/>
      <c r="E53" s="24"/>
      <c r="F53" s="24"/>
    </row>
    <row r="54">
      <c r="A54" s="24"/>
      <c r="B54" s="24"/>
      <c r="C54" s="24"/>
      <c r="D54" s="24"/>
      <c r="E54" s="24"/>
      <c r="F54" s="24"/>
    </row>
    <row r="55">
      <c r="A55" s="24"/>
      <c r="B55" s="24"/>
      <c r="C55" s="24"/>
      <c r="D55" s="24"/>
      <c r="E55" s="24"/>
      <c r="F55" s="24"/>
    </row>
    <row r="56">
      <c r="A56" s="24"/>
      <c r="B56" s="24"/>
      <c r="C56" s="24"/>
      <c r="D56" s="24"/>
      <c r="E56" s="24"/>
      <c r="F56" s="24"/>
    </row>
    <row r="57">
      <c r="A57" s="24"/>
      <c r="B57" s="24"/>
      <c r="C57" s="24"/>
      <c r="D57" s="24"/>
      <c r="E57" s="24"/>
      <c r="F57" s="24"/>
    </row>
    <row r="58">
      <c r="A58" s="24"/>
      <c r="B58" s="24"/>
      <c r="C58" s="24"/>
      <c r="D58" s="24"/>
      <c r="E58" s="24"/>
      <c r="F58" s="24"/>
    </row>
    <row r="59">
      <c r="A59" s="24"/>
      <c r="B59" s="24"/>
      <c r="C59" s="24"/>
      <c r="D59" s="24"/>
      <c r="E59" s="24"/>
      <c r="F59" s="24"/>
    </row>
    <row r="60">
      <c r="A60" s="24"/>
      <c r="B60" s="24"/>
      <c r="C60" s="24"/>
      <c r="D60" s="24"/>
      <c r="E60" s="24"/>
      <c r="F60" s="24"/>
    </row>
    <row r="61">
      <c r="A61" s="24"/>
      <c r="B61" s="24"/>
      <c r="C61" s="24"/>
      <c r="D61" s="24"/>
      <c r="E61" s="24"/>
      <c r="F61" s="24"/>
    </row>
    <row r="62">
      <c r="A62" s="24"/>
      <c r="B62" s="24"/>
      <c r="C62" s="24"/>
      <c r="D62" s="24"/>
      <c r="E62" s="24"/>
      <c r="F62" s="24"/>
    </row>
    <row r="63">
      <c r="A63" s="24"/>
      <c r="B63" s="24"/>
      <c r="C63" s="24"/>
      <c r="D63" s="24"/>
      <c r="E63" s="24"/>
      <c r="F63" s="24"/>
    </row>
    <row r="64">
      <c r="A64" s="24"/>
      <c r="B64" s="24"/>
      <c r="C64" s="24"/>
      <c r="D64" s="24"/>
      <c r="E64" s="24"/>
      <c r="F64" s="24"/>
    </row>
    <row r="65">
      <c r="A65" s="24"/>
      <c r="B65" s="24"/>
      <c r="C65" s="24"/>
      <c r="D65" s="24"/>
      <c r="E65" s="24"/>
      <c r="F65" s="24"/>
    </row>
    <row r="66">
      <c r="A66" s="24"/>
      <c r="B66" s="24"/>
      <c r="C66" s="24"/>
      <c r="D66" s="24"/>
      <c r="E66" s="24"/>
      <c r="F66" s="24"/>
    </row>
    <row r="67">
      <c r="A67" s="24"/>
      <c r="B67" s="24"/>
      <c r="C67" s="24"/>
      <c r="D67" s="24"/>
      <c r="E67" s="24"/>
      <c r="F67" s="24"/>
    </row>
    <row r="68">
      <c r="A68" s="24"/>
      <c r="B68" s="24"/>
      <c r="C68" s="24"/>
      <c r="D68" s="24"/>
      <c r="E68" s="24"/>
      <c r="F68" s="24"/>
    </row>
    <row r="69">
      <c r="A69" s="24"/>
      <c r="B69" s="24"/>
      <c r="C69" s="24"/>
      <c r="D69" s="24"/>
      <c r="E69" s="24"/>
      <c r="F69" s="24"/>
    </row>
    <row r="70">
      <c r="A70" s="24"/>
      <c r="B70" s="24"/>
      <c r="C70" s="24"/>
      <c r="D70" s="24"/>
      <c r="E70" s="24"/>
      <c r="F70" s="24"/>
    </row>
    <row r="71">
      <c r="A71" s="24"/>
      <c r="B71" s="24"/>
      <c r="C71" s="24"/>
      <c r="D71" s="24"/>
      <c r="E71" s="24"/>
      <c r="F71" s="24"/>
    </row>
    <row r="72">
      <c r="A72" s="24"/>
      <c r="B72" s="24"/>
      <c r="C72" s="24"/>
      <c r="D72" s="24"/>
      <c r="E72" s="24"/>
      <c r="F72" s="24"/>
    </row>
    <row r="73">
      <c r="A73" s="24"/>
      <c r="B73" s="24"/>
      <c r="C73" s="24"/>
      <c r="D73" s="24"/>
      <c r="E73" s="24"/>
      <c r="F73" s="24"/>
    </row>
    <row r="74">
      <c r="A74" s="24"/>
      <c r="B74" s="24"/>
      <c r="C74" s="24"/>
      <c r="D74" s="24"/>
      <c r="E74" s="24"/>
      <c r="F74" s="24"/>
    </row>
    <row r="75">
      <c r="A75" s="24"/>
      <c r="B75" s="24"/>
      <c r="C75" s="24"/>
      <c r="D75" s="24"/>
      <c r="E75" s="24"/>
      <c r="F75" s="24"/>
    </row>
    <row r="76">
      <c r="A76" s="24"/>
      <c r="B76" s="24"/>
      <c r="C76" s="24"/>
      <c r="D76" s="24"/>
      <c r="E76" s="24"/>
      <c r="F76" s="24"/>
    </row>
    <row r="77">
      <c r="A77" s="24"/>
      <c r="B77" s="24"/>
      <c r="C77" s="24"/>
      <c r="D77" s="24"/>
      <c r="E77" s="24"/>
      <c r="F77" s="24"/>
    </row>
    <row r="78">
      <c r="A78" s="24"/>
      <c r="B78" s="24"/>
      <c r="C78" s="24"/>
      <c r="D78" s="24"/>
      <c r="E78" s="24"/>
      <c r="F78" s="24"/>
    </row>
    <row r="79">
      <c r="A79" s="24"/>
      <c r="B79" s="24"/>
      <c r="C79" s="24"/>
      <c r="D79" s="24"/>
      <c r="E79" s="24"/>
      <c r="F79" s="24"/>
    </row>
    <row r="80">
      <c r="A80" s="24"/>
      <c r="B80" s="24"/>
      <c r="C80" s="24"/>
      <c r="D80" s="24"/>
      <c r="E80" s="24"/>
      <c r="F80" s="24"/>
    </row>
    <row r="81">
      <c r="A81" s="24"/>
      <c r="B81" s="24"/>
      <c r="C81" s="24"/>
      <c r="D81" s="24"/>
      <c r="E81" s="24"/>
      <c r="F81" s="24"/>
    </row>
    <row r="82">
      <c r="A82" s="24"/>
      <c r="B82" s="24"/>
      <c r="C82" s="24"/>
      <c r="D82" s="24"/>
      <c r="E82" s="24"/>
      <c r="F82" s="24"/>
    </row>
    <row r="83">
      <c r="A83" s="24"/>
      <c r="B83" s="24"/>
      <c r="C83" s="24"/>
      <c r="D83" s="24"/>
      <c r="E83" s="24"/>
      <c r="F83" s="24"/>
    </row>
    <row r="84">
      <c r="A84" s="24"/>
      <c r="B84" s="24"/>
      <c r="C84" s="24"/>
      <c r="D84" s="24"/>
      <c r="E84" s="24"/>
      <c r="F84" s="24"/>
    </row>
    <row r="85">
      <c r="A85" s="24"/>
      <c r="B85" s="24"/>
      <c r="C85" s="24"/>
      <c r="D85" s="24"/>
      <c r="E85" s="24"/>
      <c r="F85" s="24"/>
    </row>
    <row r="86">
      <c r="A86" s="24"/>
      <c r="B86" s="24"/>
      <c r="C86" s="24"/>
      <c r="D86" s="24"/>
      <c r="E86" s="24"/>
      <c r="F86" s="24"/>
    </row>
    <row r="87">
      <c r="A87" s="24"/>
      <c r="B87" s="24"/>
      <c r="C87" s="24"/>
      <c r="D87" s="24"/>
      <c r="E87" s="24"/>
      <c r="F87" s="24"/>
    </row>
    <row r="88">
      <c r="A88" s="24"/>
      <c r="B88" s="24"/>
      <c r="C88" s="24"/>
      <c r="D88" s="24"/>
      <c r="E88" s="24"/>
      <c r="F88" s="24"/>
    </row>
    <row r="89">
      <c r="A89" s="24"/>
      <c r="B89" s="24"/>
      <c r="C89" s="24"/>
      <c r="D89" s="24"/>
      <c r="E89" s="24"/>
      <c r="F89" s="24"/>
    </row>
    <row r="90">
      <c r="A90" s="24"/>
      <c r="B90" s="24"/>
      <c r="C90" s="24"/>
      <c r="D90" s="24"/>
      <c r="E90" s="24"/>
      <c r="F90" s="24"/>
    </row>
    <row r="91">
      <c r="A91" s="24"/>
      <c r="B91" s="24"/>
      <c r="C91" s="24"/>
      <c r="D91" s="24"/>
      <c r="E91" s="24"/>
      <c r="F91" s="24"/>
    </row>
    <row r="92">
      <c r="A92" s="24"/>
      <c r="B92" s="24"/>
      <c r="C92" s="24"/>
      <c r="D92" s="24"/>
      <c r="E92" s="24"/>
      <c r="F92" s="24"/>
    </row>
    <row r="93">
      <c r="A93" s="24"/>
      <c r="B93" s="24"/>
      <c r="C93" s="24"/>
      <c r="D93" s="24"/>
      <c r="E93" s="24"/>
      <c r="F93" s="24"/>
    </row>
    <row r="94">
      <c r="A94" s="24"/>
      <c r="B94" s="24"/>
      <c r="C94" s="24"/>
      <c r="D94" s="24"/>
      <c r="E94" s="24"/>
      <c r="F94" s="24"/>
    </row>
    <row r="95">
      <c r="A95" s="24"/>
      <c r="B95" s="24"/>
      <c r="C95" s="24"/>
      <c r="D95" s="24"/>
      <c r="E95" s="24"/>
      <c r="F95" s="24"/>
    </row>
    <row r="96">
      <c r="A96" s="24"/>
      <c r="B96" s="24"/>
      <c r="C96" s="24"/>
      <c r="D96" s="24"/>
      <c r="E96" s="24"/>
      <c r="F96" s="24"/>
    </row>
    <row r="97">
      <c r="A97" s="24"/>
      <c r="B97" s="24"/>
      <c r="C97" s="24"/>
      <c r="D97" s="24"/>
      <c r="E97" s="24"/>
      <c r="F97" s="24"/>
    </row>
    <row r="98">
      <c r="A98" s="24"/>
      <c r="B98" s="24"/>
      <c r="C98" s="24"/>
      <c r="D98" s="24"/>
      <c r="E98" s="24"/>
      <c r="F98" s="24"/>
    </row>
    <row r="99">
      <c r="A99" s="24"/>
      <c r="B99" s="24"/>
      <c r="C99" s="24"/>
      <c r="D99" s="24"/>
      <c r="E99" s="24"/>
      <c r="F99" s="24"/>
    </row>
    <row r="100">
      <c r="A100" s="24"/>
      <c r="B100" s="24"/>
      <c r="C100" s="24"/>
      <c r="D100" s="24"/>
      <c r="E100" s="24"/>
      <c r="F100" s="24"/>
    </row>
    <row r="101">
      <c r="A101" s="24"/>
      <c r="B101" s="24"/>
      <c r="C101" s="24"/>
      <c r="D101" s="24"/>
      <c r="E101" s="24"/>
      <c r="F101" s="24"/>
    </row>
    <row r="102">
      <c r="A102" s="24"/>
      <c r="B102" s="24"/>
      <c r="C102" s="24"/>
      <c r="D102" s="24"/>
      <c r="E102" s="24"/>
      <c r="F102" s="24"/>
    </row>
    <row r="103">
      <c r="A103" s="24"/>
      <c r="B103" s="24"/>
      <c r="C103" s="24"/>
      <c r="D103" s="24"/>
      <c r="E103" s="24"/>
      <c r="F103" s="24"/>
    </row>
    <row r="104">
      <c r="A104" s="24"/>
      <c r="B104" s="24"/>
      <c r="C104" s="24"/>
      <c r="D104" s="24"/>
      <c r="E104" s="24"/>
      <c r="F104" s="24"/>
    </row>
    <row r="105">
      <c r="A105" s="24"/>
      <c r="B105" s="24"/>
      <c r="C105" s="24"/>
      <c r="D105" s="24"/>
      <c r="E105" s="24"/>
      <c r="F105" s="24"/>
    </row>
    <row r="106">
      <c r="A106" s="24"/>
      <c r="B106" s="24"/>
      <c r="C106" s="24"/>
      <c r="D106" s="24"/>
      <c r="E106" s="24"/>
      <c r="F106" s="24"/>
    </row>
    <row r="107">
      <c r="A107" s="24"/>
      <c r="B107" s="24"/>
      <c r="C107" s="24"/>
      <c r="D107" s="24"/>
      <c r="E107" s="24"/>
      <c r="F107" s="24"/>
    </row>
    <row r="108">
      <c r="A108" s="24"/>
      <c r="B108" s="24"/>
      <c r="C108" s="24"/>
      <c r="D108" s="24"/>
      <c r="E108" s="24"/>
      <c r="F108" s="24"/>
    </row>
    <row r="109">
      <c r="A109" s="24"/>
      <c r="B109" s="24"/>
      <c r="C109" s="24"/>
      <c r="D109" s="24"/>
      <c r="E109" s="24"/>
      <c r="F109" s="24"/>
    </row>
    <row r="110">
      <c r="A110" s="24"/>
      <c r="B110" s="24"/>
      <c r="C110" s="24"/>
      <c r="D110" s="24"/>
      <c r="E110" s="24"/>
      <c r="F110" s="24"/>
    </row>
    <row r="111">
      <c r="A111" s="24"/>
      <c r="B111" s="24"/>
      <c r="C111" s="24"/>
      <c r="D111" s="24"/>
      <c r="E111" s="24"/>
      <c r="F111" s="24"/>
    </row>
    <row r="112">
      <c r="A112" s="24"/>
      <c r="B112" s="24"/>
      <c r="C112" s="24"/>
      <c r="D112" s="24"/>
      <c r="E112" s="24"/>
      <c r="F112" s="24"/>
    </row>
    <row r="113">
      <c r="A113" s="24"/>
      <c r="B113" s="24"/>
      <c r="C113" s="24"/>
      <c r="D113" s="24"/>
      <c r="E113" s="24"/>
      <c r="F113" s="24"/>
    </row>
    <row r="114">
      <c r="A114" s="24"/>
      <c r="B114" s="24"/>
      <c r="C114" s="24"/>
      <c r="D114" s="24"/>
      <c r="E114" s="24"/>
      <c r="F114" s="24"/>
    </row>
    <row r="115">
      <c r="A115" s="24"/>
      <c r="B115" s="24"/>
      <c r="C115" s="24"/>
      <c r="D115" s="24"/>
      <c r="E115" s="24"/>
      <c r="F115" s="24"/>
    </row>
    <row r="116">
      <c r="A116" s="24"/>
      <c r="B116" s="24"/>
      <c r="C116" s="24"/>
      <c r="D116" s="24"/>
      <c r="E116" s="24"/>
      <c r="F116" s="24"/>
    </row>
    <row r="117">
      <c r="A117" s="24"/>
      <c r="B117" s="24"/>
      <c r="C117" s="24"/>
      <c r="D117" s="24"/>
      <c r="E117" s="24"/>
      <c r="F117" s="24"/>
    </row>
    <row r="118">
      <c r="A118" s="24"/>
      <c r="B118" s="24"/>
      <c r="C118" s="24"/>
      <c r="D118" s="24"/>
      <c r="E118" s="24"/>
      <c r="F118" s="24"/>
    </row>
    <row r="119">
      <c r="A119" s="24"/>
      <c r="B119" s="24"/>
      <c r="C119" s="24"/>
      <c r="D119" s="24"/>
      <c r="E119" s="24"/>
      <c r="F119" s="24"/>
    </row>
    <row r="120">
      <c r="A120" s="24"/>
      <c r="B120" s="24"/>
      <c r="C120" s="24"/>
      <c r="D120" s="24"/>
      <c r="E120" s="24"/>
      <c r="F120" s="24"/>
    </row>
    <row r="121">
      <c r="A121" s="24"/>
      <c r="B121" s="24"/>
      <c r="C121" s="24"/>
      <c r="D121" s="24"/>
      <c r="E121" s="24"/>
      <c r="F121" s="24"/>
    </row>
    <row r="122">
      <c r="A122" s="24"/>
      <c r="B122" s="24"/>
      <c r="C122" s="24"/>
      <c r="D122" s="24"/>
      <c r="E122" s="24"/>
      <c r="F122" s="24"/>
    </row>
    <row r="123">
      <c r="A123" s="24"/>
      <c r="B123" s="24"/>
      <c r="C123" s="24"/>
      <c r="D123" s="24"/>
      <c r="E123" s="24"/>
      <c r="F123" s="24"/>
    </row>
    <row r="124">
      <c r="A124" s="24"/>
      <c r="B124" s="24"/>
      <c r="C124" s="24"/>
      <c r="D124" s="24"/>
      <c r="E124" s="24"/>
      <c r="F124" s="24"/>
    </row>
    <row r="125">
      <c r="A125" s="24"/>
      <c r="B125" s="24"/>
      <c r="C125" s="24"/>
      <c r="D125" s="24"/>
      <c r="E125" s="24"/>
      <c r="F125" s="24"/>
    </row>
    <row r="126">
      <c r="A126" s="24"/>
      <c r="B126" s="24"/>
      <c r="C126" s="24"/>
      <c r="D126" s="24"/>
      <c r="E126" s="24"/>
      <c r="F126" s="24"/>
    </row>
    <row r="127">
      <c r="A127" s="24"/>
      <c r="B127" s="24"/>
      <c r="C127" s="24"/>
      <c r="D127" s="24"/>
      <c r="E127" s="24"/>
      <c r="F127" s="24"/>
    </row>
    <row r="128">
      <c r="A128" s="24"/>
      <c r="B128" s="24"/>
      <c r="C128" s="24"/>
      <c r="D128" s="24"/>
      <c r="E128" s="24"/>
      <c r="F128" s="24"/>
    </row>
    <row r="129">
      <c r="A129" s="24"/>
      <c r="B129" s="24"/>
      <c r="C129" s="24"/>
      <c r="D129" s="24"/>
      <c r="E129" s="24"/>
      <c r="F129" s="24"/>
    </row>
    <row r="130">
      <c r="A130" s="24"/>
      <c r="B130" s="24"/>
      <c r="C130" s="24"/>
      <c r="D130" s="24"/>
      <c r="E130" s="24"/>
      <c r="F130" s="24"/>
    </row>
    <row r="131">
      <c r="A131" s="24"/>
      <c r="B131" s="24"/>
      <c r="C131" s="24"/>
      <c r="D131" s="24"/>
      <c r="E131" s="24"/>
      <c r="F131" s="24"/>
    </row>
    <row r="132">
      <c r="A132" s="24"/>
      <c r="B132" s="24"/>
      <c r="C132" s="24"/>
      <c r="D132" s="24"/>
      <c r="E132" s="24"/>
      <c r="F132" s="24"/>
    </row>
    <row r="133">
      <c r="A133" s="24"/>
      <c r="B133" s="24"/>
      <c r="C133" s="24"/>
      <c r="D133" s="24"/>
      <c r="E133" s="24"/>
      <c r="F133" s="24"/>
    </row>
    <row r="134">
      <c r="A134" s="24"/>
      <c r="B134" s="24"/>
      <c r="C134" s="24"/>
      <c r="D134" s="24"/>
      <c r="E134" s="24"/>
      <c r="F134" s="24"/>
    </row>
    <row r="135">
      <c r="A135" s="24"/>
      <c r="B135" s="24"/>
      <c r="C135" s="24"/>
      <c r="D135" s="24"/>
      <c r="E135" s="24"/>
      <c r="F135" s="24"/>
    </row>
    <row r="136">
      <c r="A136" s="24"/>
      <c r="B136" s="24"/>
      <c r="C136" s="24"/>
      <c r="D136" s="24"/>
      <c r="E136" s="24"/>
      <c r="F136" s="24"/>
    </row>
    <row r="137">
      <c r="A137" s="24"/>
      <c r="B137" s="24"/>
      <c r="C137" s="24"/>
      <c r="D137" s="24"/>
      <c r="E137" s="24"/>
      <c r="F137" s="24"/>
    </row>
    <row r="138">
      <c r="A138" s="24"/>
      <c r="B138" s="24"/>
      <c r="C138" s="24"/>
      <c r="D138" s="24"/>
      <c r="E138" s="24"/>
      <c r="F138" s="24"/>
    </row>
    <row r="139">
      <c r="A139" s="24"/>
      <c r="B139" s="24"/>
      <c r="C139" s="24"/>
      <c r="D139" s="24"/>
      <c r="E139" s="24"/>
      <c r="F139" s="24"/>
    </row>
    <row r="140">
      <c r="A140" s="24"/>
      <c r="B140" s="24"/>
      <c r="C140" s="24"/>
      <c r="D140" s="24"/>
      <c r="E140" s="24"/>
      <c r="F140" s="24"/>
    </row>
    <row r="141">
      <c r="A141" s="24"/>
      <c r="B141" s="24"/>
      <c r="C141" s="24"/>
      <c r="D141" s="24"/>
      <c r="E141" s="24"/>
      <c r="F141" s="24"/>
    </row>
    <row r="142">
      <c r="A142" s="24"/>
      <c r="B142" s="24"/>
      <c r="C142" s="24"/>
      <c r="D142" s="24"/>
      <c r="E142" s="24"/>
      <c r="F142" s="24"/>
    </row>
    <row r="143">
      <c r="A143" s="24"/>
      <c r="B143" s="24"/>
      <c r="C143" s="24"/>
      <c r="D143" s="24"/>
      <c r="E143" s="24"/>
      <c r="F143" s="24"/>
    </row>
    <row r="144">
      <c r="A144" s="24"/>
      <c r="B144" s="24"/>
      <c r="C144" s="24"/>
      <c r="D144" s="24"/>
      <c r="E144" s="24"/>
      <c r="F144" s="24"/>
    </row>
    <row r="145">
      <c r="A145" s="24"/>
      <c r="B145" s="24"/>
      <c r="C145" s="24"/>
      <c r="D145" s="24"/>
      <c r="E145" s="24"/>
      <c r="F145" s="24"/>
    </row>
    <row r="146">
      <c r="A146" s="24"/>
      <c r="B146" s="24"/>
      <c r="C146" s="24"/>
      <c r="D146" s="24"/>
      <c r="E146" s="24"/>
      <c r="F146" s="24"/>
    </row>
    <row r="147">
      <c r="A147" s="24"/>
      <c r="B147" s="24"/>
      <c r="C147" s="24"/>
      <c r="D147" s="24"/>
      <c r="E147" s="24"/>
      <c r="F147" s="24"/>
    </row>
    <row r="148">
      <c r="A148" s="24"/>
      <c r="B148" s="24"/>
      <c r="C148" s="24"/>
      <c r="D148" s="24"/>
      <c r="E148" s="24"/>
      <c r="F148" s="24"/>
    </row>
    <row r="149">
      <c r="A149" s="24"/>
      <c r="B149" s="24"/>
      <c r="C149" s="24"/>
      <c r="D149" s="24"/>
      <c r="E149" s="24"/>
      <c r="F149" s="24"/>
    </row>
    <row r="150">
      <c r="A150" s="24"/>
      <c r="B150" s="24"/>
      <c r="C150" s="24"/>
      <c r="D150" s="24"/>
      <c r="E150" s="24"/>
      <c r="F150" s="24"/>
    </row>
    <row r="151">
      <c r="A151" s="24"/>
      <c r="B151" s="24"/>
      <c r="C151" s="24"/>
      <c r="D151" s="24"/>
      <c r="E151" s="24"/>
      <c r="F151" s="24"/>
    </row>
    <row r="152">
      <c r="A152" s="24"/>
      <c r="B152" s="24"/>
      <c r="C152" s="24"/>
      <c r="D152" s="24"/>
      <c r="E152" s="24"/>
      <c r="F152" s="24"/>
    </row>
    <row r="153">
      <c r="A153" s="24"/>
      <c r="B153" s="24"/>
      <c r="C153" s="24"/>
      <c r="D153" s="24"/>
      <c r="E153" s="24"/>
      <c r="F153" s="24"/>
    </row>
    <row r="154">
      <c r="A154" s="24"/>
      <c r="B154" s="24"/>
      <c r="C154" s="24"/>
      <c r="D154" s="24"/>
      <c r="E154" s="24"/>
      <c r="F154" s="24"/>
    </row>
    <row r="155">
      <c r="A155" s="24"/>
      <c r="B155" s="24"/>
      <c r="C155" s="24"/>
      <c r="D155" s="24"/>
      <c r="E155" s="24"/>
      <c r="F155" s="24"/>
    </row>
    <row r="156">
      <c r="A156" s="24"/>
      <c r="B156" s="24"/>
      <c r="C156" s="24"/>
      <c r="D156" s="24"/>
      <c r="E156" s="24"/>
      <c r="F156" s="24"/>
    </row>
    <row r="157">
      <c r="A157" s="24"/>
      <c r="B157" s="24"/>
      <c r="C157" s="24"/>
      <c r="D157" s="24"/>
      <c r="E157" s="24"/>
      <c r="F157" s="24"/>
    </row>
    <row r="158">
      <c r="A158" s="24"/>
      <c r="B158" s="24"/>
      <c r="C158" s="24"/>
      <c r="D158" s="24"/>
      <c r="E158" s="24"/>
      <c r="F158" s="24"/>
    </row>
    <row r="159">
      <c r="A159" s="24"/>
      <c r="B159" s="24"/>
      <c r="C159" s="24"/>
      <c r="D159" s="24"/>
      <c r="E159" s="24"/>
      <c r="F159" s="24"/>
    </row>
    <row r="160">
      <c r="A160" s="24"/>
      <c r="B160" s="24"/>
      <c r="C160" s="24"/>
      <c r="D160" s="24"/>
      <c r="E160" s="24"/>
      <c r="F160" s="24"/>
    </row>
    <row r="161">
      <c r="A161" s="24"/>
      <c r="B161" s="24"/>
      <c r="C161" s="24"/>
      <c r="D161" s="24"/>
      <c r="E161" s="24"/>
      <c r="F161" s="24"/>
    </row>
    <row r="162">
      <c r="A162" s="24"/>
      <c r="B162" s="24"/>
      <c r="C162" s="24"/>
      <c r="D162" s="24"/>
      <c r="E162" s="24"/>
      <c r="F162" s="24"/>
    </row>
    <row r="163">
      <c r="A163" s="24"/>
      <c r="B163" s="24"/>
      <c r="C163" s="24"/>
      <c r="D163" s="24"/>
      <c r="E163" s="24"/>
      <c r="F163" s="24"/>
    </row>
    <row r="164">
      <c r="A164" s="24"/>
      <c r="B164" s="24"/>
      <c r="C164" s="24"/>
      <c r="D164" s="24"/>
      <c r="E164" s="24"/>
      <c r="F164" s="24"/>
    </row>
    <row r="165">
      <c r="A165" s="24"/>
      <c r="B165" s="24"/>
      <c r="C165" s="24"/>
      <c r="D165" s="24"/>
      <c r="E165" s="24"/>
      <c r="F165" s="24"/>
    </row>
    <row r="166">
      <c r="A166" s="24"/>
      <c r="B166" s="24"/>
      <c r="C166" s="24"/>
      <c r="D166" s="24"/>
      <c r="E166" s="24"/>
      <c r="F166" s="24"/>
    </row>
    <row r="167">
      <c r="A167" s="24"/>
      <c r="B167" s="24"/>
      <c r="C167" s="24"/>
      <c r="D167" s="24"/>
      <c r="E167" s="24"/>
      <c r="F167" s="24"/>
    </row>
    <row r="168">
      <c r="A168" s="24"/>
      <c r="B168" s="24"/>
      <c r="C168" s="24"/>
      <c r="D168" s="24"/>
      <c r="E168" s="24"/>
      <c r="F168" s="24"/>
    </row>
    <row r="169">
      <c r="A169" s="24"/>
      <c r="B169" s="24"/>
      <c r="C169" s="24"/>
      <c r="D169" s="24"/>
      <c r="E169" s="24"/>
      <c r="F169" s="24"/>
    </row>
    <row r="170">
      <c r="A170" s="24"/>
      <c r="B170" s="24"/>
      <c r="C170" s="24"/>
      <c r="D170" s="24"/>
      <c r="E170" s="24"/>
      <c r="F170" s="24"/>
    </row>
    <row r="171">
      <c r="A171" s="24"/>
      <c r="B171" s="24"/>
      <c r="C171" s="24"/>
      <c r="D171" s="24"/>
      <c r="E171" s="24"/>
      <c r="F171" s="24"/>
    </row>
    <row r="172">
      <c r="A172" s="24"/>
      <c r="B172" s="24"/>
      <c r="C172" s="24"/>
      <c r="D172" s="24"/>
      <c r="E172" s="24"/>
      <c r="F172" s="24"/>
    </row>
    <row r="173">
      <c r="A173" s="24"/>
      <c r="B173" s="24"/>
      <c r="C173" s="24"/>
      <c r="D173" s="24"/>
      <c r="E173" s="24"/>
      <c r="F173" s="24"/>
    </row>
    <row r="174">
      <c r="A174" s="24"/>
      <c r="B174" s="24"/>
      <c r="C174" s="24"/>
      <c r="D174" s="24"/>
      <c r="E174" s="24"/>
      <c r="F174" s="24"/>
    </row>
    <row r="175">
      <c r="A175" s="24"/>
      <c r="B175" s="24"/>
      <c r="C175" s="24"/>
      <c r="D175" s="24"/>
      <c r="E175" s="24"/>
      <c r="F175" s="24"/>
    </row>
    <row r="176">
      <c r="A176" s="24"/>
      <c r="B176" s="24"/>
      <c r="C176" s="24"/>
      <c r="D176" s="24"/>
      <c r="E176" s="24"/>
      <c r="F176" s="24"/>
    </row>
    <row r="177">
      <c r="A177" s="24"/>
      <c r="B177" s="24"/>
      <c r="C177" s="24"/>
      <c r="D177" s="24"/>
      <c r="E177" s="24"/>
      <c r="F177" s="24"/>
    </row>
    <row r="178">
      <c r="A178" s="24"/>
      <c r="B178" s="24"/>
      <c r="C178" s="24"/>
      <c r="D178" s="24"/>
      <c r="E178" s="24"/>
      <c r="F178" s="24"/>
    </row>
    <row r="179">
      <c r="A179" s="24"/>
      <c r="B179" s="24"/>
      <c r="C179" s="24"/>
      <c r="D179" s="24"/>
      <c r="E179" s="24"/>
      <c r="F179" s="24"/>
    </row>
    <row r="180">
      <c r="A180" s="24"/>
      <c r="B180" s="24"/>
      <c r="C180" s="24"/>
      <c r="D180" s="24"/>
      <c r="E180" s="24"/>
      <c r="F180" s="24"/>
    </row>
    <row r="181">
      <c r="A181" s="24"/>
      <c r="B181" s="24"/>
      <c r="C181" s="24"/>
      <c r="D181" s="24"/>
      <c r="E181" s="24"/>
      <c r="F181" s="24"/>
    </row>
    <row r="182">
      <c r="A182" s="24"/>
      <c r="B182" s="24"/>
      <c r="C182" s="24"/>
      <c r="D182" s="24"/>
      <c r="E182" s="24"/>
      <c r="F182" s="24"/>
    </row>
    <row r="183">
      <c r="A183" s="24"/>
      <c r="B183" s="24"/>
      <c r="C183" s="24"/>
      <c r="D183" s="24"/>
      <c r="E183" s="24"/>
      <c r="F183" s="24"/>
    </row>
    <row r="184">
      <c r="A184" s="24"/>
      <c r="B184" s="24"/>
      <c r="C184" s="24"/>
      <c r="D184" s="24"/>
      <c r="E184" s="24"/>
      <c r="F184" s="24"/>
    </row>
    <row r="185">
      <c r="A185" s="24"/>
      <c r="B185" s="24"/>
      <c r="C185" s="24"/>
      <c r="D185" s="24"/>
      <c r="E185" s="24"/>
      <c r="F185" s="24"/>
    </row>
    <row r="186">
      <c r="A186" s="24"/>
      <c r="B186" s="24"/>
      <c r="C186" s="24"/>
      <c r="D186" s="24"/>
      <c r="E186" s="24"/>
      <c r="F186" s="24"/>
    </row>
    <row r="187">
      <c r="A187" s="24"/>
      <c r="B187" s="24"/>
      <c r="C187" s="24"/>
      <c r="D187" s="24"/>
      <c r="E187" s="24"/>
      <c r="F187" s="24"/>
    </row>
    <row r="188">
      <c r="A188" s="24"/>
      <c r="B188" s="24"/>
      <c r="C188" s="24"/>
      <c r="D188" s="24"/>
      <c r="E188" s="24"/>
      <c r="F188" s="24"/>
    </row>
    <row r="189">
      <c r="A189" s="24"/>
      <c r="B189" s="24"/>
      <c r="C189" s="24"/>
      <c r="D189" s="24"/>
      <c r="E189" s="24"/>
      <c r="F189" s="24"/>
    </row>
    <row r="190">
      <c r="A190" s="24"/>
      <c r="B190" s="24"/>
      <c r="C190" s="24"/>
      <c r="D190" s="24"/>
      <c r="E190" s="24"/>
      <c r="F190" s="24"/>
    </row>
    <row r="191">
      <c r="A191" s="24"/>
      <c r="B191" s="24"/>
      <c r="C191" s="24"/>
      <c r="D191" s="24"/>
      <c r="E191" s="24"/>
      <c r="F191" s="24"/>
    </row>
    <row r="192">
      <c r="A192" s="24"/>
      <c r="B192" s="24"/>
      <c r="C192" s="24"/>
      <c r="D192" s="24"/>
      <c r="E192" s="24"/>
      <c r="F192" s="24"/>
    </row>
    <row r="193">
      <c r="A193" s="24"/>
      <c r="B193" s="24"/>
      <c r="C193" s="24"/>
      <c r="D193" s="24"/>
      <c r="E193" s="24"/>
      <c r="F193" s="24"/>
    </row>
    <row r="194">
      <c r="A194" s="24"/>
      <c r="B194" s="24"/>
      <c r="C194" s="24"/>
      <c r="D194" s="24"/>
      <c r="E194" s="24"/>
      <c r="F194" s="24"/>
    </row>
    <row r="195">
      <c r="A195" s="24"/>
      <c r="B195" s="24"/>
      <c r="C195" s="24"/>
      <c r="D195" s="24"/>
      <c r="E195" s="24"/>
      <c r="F195" s="24"/>
    </row>
    <row r="196">
      <c r="A196" s="24"/>
      <c r="B196" s="24"/>
      <c r="C196" s="24"/>
      <c r="D196" s="24"/>
      <c r="E196" s="24"/>
      <c r="F196" s="24"/>
    </row>
    <row r="197">
      <c r="A197" s="24"/>
      <c r="B197" s="24"/>
      <c r="C197" s="24"/>
      <c r="D197" s="24"/>
      <c r="E197" s="24"/>
      <c r="F197" s="24"/>
    </row>
    <row r="198">
      <c r="A198" s="24"/>
      <c r="B198" s="24"/>
      <c r="C198" s="24"/>
      <c r="D198" s="24"/>
      <c r="E198" s="24"/>
      <c r="F198" s="24"/>
    </row>
    <row r="199">
      <c r="A199" s="24"/>
      <c r="B199" s="24"/>
      <c r="C199" s="24"/>
      <c r="D199" s="24"/>
      <c r="E199" s="24"/>
      <c r="F199" s="24"/>
    </row>
    <row r="200">
      <c r="A200" s="24"/>
      <c r="B200" s="24"/>
      <c r="C200" s="24"/>
      <c r="D200" s="24"/>
      <c r="E200" s="24"/>
      <c r="F200" s="24"/>
    </row>
    <row r="201">
      <c r="A201" s="24"/>
      <c r="B201" s="24"/>
      <c r="C201" s="24"/>
      <c r="D201" s="24"/>
      <c r="E201" s="24"/>
      <c r="F201" s="24"/>
    </row>
    <row r="202">
      <c r="A202" s="24"/>
      <c r="B202" s="24"/>
      <c r="C202" s="24"/>
      <c r="D202" s="24"/>
      <c r="E202" s="24"/>
      <c r="F202" s="24"/>
    </row>
    <row r="203">
      <c r="A203" s="24"/>
      <c r="B203" s="24"/>
      <c r="C203" s="24"/>
      <c r="D203" s="24"/>
      <c r="E203" s="24"/>
      <c r="F203" s="24"/>
    </row>
    <row r="204">
      <c r="A204" s="24"/>
      <c r="B204" s="24"/>
      <c r="C204" s="24"/>
      <c r="D204" s="24"/>
      <c r="E204" s="24"/>
      <c r="F204" s="24"/>
    </row>
    <row r="205">
      <c r="A205" s="24"/>
      <c r="B205" s="24"/>
      <c r="C205" s="24"/>
      <c r="D205" s="24"/>
      <c r="E205" s="24"/>
      <c r="F205" s="24"/>
    </row>
    <row r="206">
      <c r="A206" s="24"/>
      <c r="B206" s="24"/>
      <c r="C206" s="24"/>
      <c r="D206" s="24"/>
      <c r="E206" s="24"/>
      <c r="F206" s="24"/>
    </row>
    <row r="207">
      <c r="A207" s="24"/>
      <c r="B207" s="24"/>
      <c r="C207" s="24"/>
      <c r="D207" s="24"/>
      <c r="E207" s="24"/>
      <c r="F207" s="24"/>
    </row>
    <row r="208">
      <c r="A208" s="24"/>
      <c r="B208" s="24"/>
      <c r="C208" s="24"/>
      <c r="D208" s="24"/>
      <c r="E208" s="24"/>
      <c r="F208" s="24"/>
    </row>
    <row r="209">
      <c r="A209" s="24"/>
      <c r="B209" s="24"/>
      <c r="C209" s="24"/>
      <c r="D209" s="24"/>
      <c r="E209" s="24"/>
      <c r="F209" s="24"/>
    </row>
    <row r="210">
      <c r="A210" s="24"/>
      <c r="B210" s="24"/>
      <c r="C210" s="24"/>
      <c r="D210" s="24"/>
      <c r="E210" s="24"/>
      <c r="F210" s="24"/>
    </row>
    <row r="211">
      <c r="A211" s="24"/>
      <c r="B211" s="24"/>
      <c r="C211" s="24"/>
      <c r="D211" s="24"/>
      <c r="E211" s="24"/>
      <c r="F211" s="24"/>
    </row>
    <row r="212">
      <c r="A212" s="24"/>
      <c r="B212" s="24"/>
      <c r="C212" s="24"/>
      <c r="D212" s="24"/>
      <c r="E212" s="24"/>
      <c r="F212" s="24"/>
    </row>
    <row r="213">
      <c r="A213" s="24"/>
      <c r="B213" s="24"/>
      <c r="C213" s="24"/>
      <c r="D213" s="24"/>
      <c r="E213" s="24"/>
      <c r="F213" s="24"/>
    </row>
    <row r="214">
      <c r="A214" s="24"/>
      <c r="B214" s="24"/>
      <c r="C214" s="24"/>
      <c r="D214" s="24"/>
      <c r="E214" s="24"/>
      <c r="F214" s="24"/>
    </row>
    <row r="215">
      <c r="A215" s="24"/>
      <c r="B215" s="24"/>
      <c r="C215" s="24"/>
      <c r="D215" s="24"/>
      <c r="E215" s="24"/>
      <c r="F215" s="24"/>
    </row>
    <row r="216">
      <c r="A216" s="24"/>
      <c r="B216" s="24"/>
      <c r="C216" s="24"/>
      <c r="D216" s="24"/>
      <c r="E216" s="24"/>
      <c r="F216" s="24"/>
    </row>
    <row r="217">
      <c r="A217" s="24"/>
      <c r="B217" s="24"/>
      <c r="C217" s="24"/>
      <c r="D217" s="24"/>
      <c r="E217" s="24"/>
      <c r="F217" s="24"/>
    </row>
    <row r="218">
      <c r="A218" s="24"/>
      <c r="B218" s="24"/>
      <c r="C218" s="24"/>
      <c r="D218" s="24"/>
      <c r="E218" s="24"/>
      <c r="F218" s="24"/>
    </row>
    <row r="219">
      <c r="A219" s="24"/>
      <c r="B219" s="24"/>
      <c r="C219" s="24"/>
      <c r="D219" s="24"/>
      <c r="E219" s="24"/>
      <c r="F219" s="24"/>
    </row>
    <row r="220">
      <c r="A220" s="24"/>
      <c r="B220" s="24"/>
      <c r="C220" s="24"/>
      <c r="D220" s="24"/>
      <c r="E220" s="24"/>
      <c r="F220" s="24"/>
    </row>
    <row r="221">
      <c r="A221" s="24"/>
      <c r="B221" s="24"/>
      <c r="C221" s="24"/>
      <c r="D221" s="24"/>
      <c r="E221" s="24"/>
      <c r="F221" s="24"/>
    </row>
    <row r="222">
      <c r="A222" s="24"/>
      <c r="B222" s="24"/>
      <c r="C222" s="24"/>
      <c r="D222" s="24"/>
      <c r="E222" s="24"/>
      <c r="F222" s="24"/>
    </row>
    <row r="223">
      <c r="A223" s="24"/>
      <c r="B223" s="24"/>
      <c r="C223" s="24"/>
      <c r="D223" s="24"/>
      <c r="E223" s="24"/>
      <c r="F223" s="24"/>
    </row>
    <row r="224">
      <c r="A224" s="24"/>
      <c r="B224" s="24"/>
      <c r="C224" s="24"/>
      <c r="D224" s="24"/>
      <c r="E224" s="24"/>
      <c r="F224" s="24"/>
    </row>
    <row r="225">
      <c r="A225" s="24"/>
      <c r="B225" s="24"/>
      <c r="C225" s="24"/>
      <c r="D225" s="24"/>
      <c r="E225" s="24"/>
      <c r="F225" s="24"/>
    </row>
    <row r="226">
      <c r="A226" s="24"/>
      <c r="B226" s="24"/>
      <c r="C226" s="24"/>
      <c r="D226" s="24"/>
      <c r="E226" s="24"/>
      <c r="F226" s="24"/>
    </row>
    <row r="227">
      <c r="A227" s="24"/>
      <c r="B227" s="24"/>
      <c r="C227" s="24"/>
      <c r="D227" s="24"/>
      <c r="E227" s="24"/>
      <c r="F227" s="24"/>
    </row>
    <row r="228">
      <c r="A228" s="24"/>
      <c r="B228" s="24"/>
      <c r="C228" s="24"/>
      <c r="D228" s="24"/>
      <c r="E228" s="24"/>
      <c r="F228" s="24"/>
    </row>
    <row r="229">
      <c r="A229" s="24"/>
      <c r="B229" s="24"/>
      <c r="C229" s="24"/>
      <c r="D229" s="24"/>
      <c r="E229" s="24"/>
      <c r="F229" s="24"/>
    </row>
    <row r="230">
      <c r="A230" s="24"/>
      <c r="B230" s="24"/>
      <c r="C230" s="24"/>
      <c r="D230" s="24"/>
      <c r="E230" s="24"/>
      <c r="F230" s="24"/>
    </row>
    <row r="231">
      <c r="A231" s="24"/>
      <c r="B231" s="24"/>
      <c r="C231" s="24"/>
      <c r="D231" s="24"/>
      <c r="E231" s="24"/>
      <c r="F231" s="24"/>
    </row>
    <row r="232">
      <c r="A232" s="24"/>
      <c r="B232" s="24"/>
      <c r="C232" s="24"/>
      <c r="D232" s="24"/>
      <c r="E232" s="24"/>
      <c r="F232" s="24"/>
    </row>
    <row r="233">
      <c r="A233" s="24"/>
      <c r="B233" s="24"/>
      <c r="C233" s="24"/>
      <c r="D233" s="24"/>
      <c r="E233" s="24"/>
      <c r="F233" s="24"/>
    </row>
    <row r="234">
      <c r="A234" s="24"/>
      <c r="B234" s="24"/>
      <c r="C234" s="24"/>
      <c r="D234" s="24"/>
      <c r="E234" s="24"/>
      <c r="F234" s="24"/>
    </row>
    <row r="235">
      <c r="A235" s="24"/>
      <c r="B235" s="24"/>
      <c r="C235" s="24"/>
      <c r="D235" s="24"/>
      <c r="E235" s="24"/>
      <c r="F235" s="24"/>
    </row>
    <row r="236">
      <c r="A236" s="24"/>
      <c r="B236" s="24"/>
      <c r="C236" s="24"/>
      <c r="D236" s="24"/>
      <c r="E236" s="24"/>
      <c r="F236" s="24"/>
    </row>
    <row r="237">
      <c r="A237" s="24"/>
      <c r="B237" s="24"/>
      <c r="C237" s="24"/>
      <c r="D237" s="24"/>
      <c r="E237" s="24"/>
      <c r="F237" s="24"/>
    </row>
    <row r="238">
      <c r="A238" s="24"/>
      <c r="B238" s="24"/>
      <c r="C238" s="24"/>
      <c r="D238" s="24"/>
      <c r="E238" s="24"/>
      <c r="F238" s="24"/>
    </row>
    <row r="239">
      <c r="A239" s="24"/>
      <c r="B239" s="24"/>
      <c r="C239" s="24"/>
      <c r="D239" s="24"/>
      <c r="E239" s="24"/>
      <c r="F239" s="24"/>
    </row>
    <row r="240">
      <c r="A240" s="24"/>
      <c r="B240" s="24"/>
      <c r="C240" s="24"/>
      <c r="D240" s="24"/>
      <c r="E240" s="24"/>
      <c r="F240" s="24"/>
    </row>
    <row r="241">
      <c r="A241" s="24"/>
      <c r="B241" s="24"/>
      <c r="C241" s="24"/>
      <c r="D241" s="24"/>
      <c r="E241" s="24"/>
      <c r="F241" s="24"/>
    </row>
    <row r="242">
      <c r="A242" s="24"/>
      <c r="B242" s="24"/>
      <c r="C242" s="24"/>
      <c r="D242" s="24"/>
      <c r="E242" s="24"/>
      <c r="F242" s="24"/>
    </row>
    <row r="243">
      <c r="A243" s="24"/>
      <c r="B243" s="24"/>
      <c r="C243" s="24"/>
      <c r="D243" s="24"/>
      <c r="E243" s="24"/>
      <c r="F243" s="24"/>
    </row>
    <row r="244">
      <c r="A244" s="24"/>
      <c r="B244" s="24"/>
      <c r="C244" s="24"/>
      <c r="D244" s="24"/>
      <c r="E244" s="24"/>
      <c r="F244" s="24"/>
    </row>
    <row r="245">
      <c r="A245" s="24"/>
      <c r="B245" s="24"/>
      <c r="C245" s="24"/>
      <c r="D245" s="24"/>
      <c r="E245" s="24"/>
      <c r="F245" s="24"/>
    </row>
    <row r="246">
      <c r="A246" s="24"/>
      <c r="B246" s="24"/>
      <c r="C246" s="24"/>
      <c r="D246" s="24"/>
      <c r="E246" s="24"/>
      <c r="F246" s="24"/>
    </row>
    <row r="247">
      <c r="A247" s="24"/>
      <c r="B247" s="24"/>
      <c r="C247" s="24"/>
      <c r="D247" s="24"/>
      <c r="E247" s="24"/>
      <c r="F247" s="24"/>
    </row>
    <row r="248">
      <c r="A248" s="24"/>
      <c r="B248" s="24"/>
      <c r="C248" s="24"/>
      <c r="D248" s="24"/>
      <c r="E248" s="24"/>
      <c r="F248" s="24"/>
    </row>
    <row r="249">
      <c r="A249" s="24"/>
      <c r="B249" s="24"/>
      <c r="C249" s="24"/>
      <c r="D249" s="24"/>
      <c r="E249" s="24"/>
      <c r="F249" s="24"/>
    </row>
    <row r="250">
      <c r="A250" s="24"/>
      <c r="B250" s="24"/>
      <c r="C250" s="24"/>
      <c r="D250" s="24"/>
      <c r="E250" s="24"/>
      <c r="F250" s="24"/>
    </row>
    <row r="251">
      <c r="A251" s="24"/>
      <c r="B251" s="24"/>
      <c r="C251" s="24"/>
      <c r="D251" s="24"/>
      <c r="E251" s="24"/>
      <c r="F251" s="24"/>
    </row>
    <row r="252">
      <c r="A252" s="24"/>
      <c r="B252" s="24"/>
      <c r="C252" s="24"/>
      <c r="D252" s="24"/>
      <c r="E252" s="24"/>
      <c r="F252" s="24"/>
    </row>
    <row r="253">
      <c r="A253" s="24"/>
      <c r="B253" s="24"/>
      <c r="C253" s="24"/>
      <c r="D253" s="24"/>
      <c r="E253" s="24"/>
      <c r="F253" s="24"/>
    </row>
    <row r="254">
      <c r="A254" s="24"/>
      <c r="B254" s="24"/>
      <c r="C254" s="24"/>
      <c r="D254" s="24"/>
      <c r="E254" s="24"/>
      <c r="F254" s="24"/>
    </row>
    <row r="255">
      <c r="A255" s="24"/>
      <c r="B255" s="24"/>
      <c r="C255" s="24"/>
      <c r="D255" s="24"/>
      <c r="E255" s="24"/>
      <c r="F255" s="24"/>
    </row>
    <row r="256">
      <c r="A256" s="24"/>
      <c r="B256" s="24"/>
      <c r="C256" s="24"/>
      <c r="D256" s="24"/>
      <c r="E256" s="24"/>
      <c r="F256" s="24"/>
    </row>
    <row r="257">
      <c r="A257" s="24"/>
      <c r="B257" s="24"/>
      <c r="C257" s="24"/>
      <c r="D257" s="24"/>
      <c r="E257" s="24"/>
      <c r="F257" s="24"/>
    </row>
    <row r="258">
      <c r="A258" s="24"/>
      <c r="B258" s="24"/>
      <c r="C258" s="24"/>
      <c r="D258" s="24"/>
      <c r="E258" s="24"/>
      <c r="F258" s="24"/>
    </row>
    <row r="259">
      <c r="A259" s="24"/>
      <c r="B259" s="24"/>
      <c r="C259" s="24"/>
      <c r="D259" s="24"/>
      <c r="E259" s="24"/>
      <c r="F259" s="24"/>
    </row>
    <row r="260">
      <c r="A260" s="24"/>
      <c r="B260" s="24"/>
      <c r="C260" s="24"/>
      <c r="D260" s="24"/>
      <c r="E260" s="24"/>
      <c r="F260" s="24"/>
    </row>
    <row r="261">
      <c r="A261" s="24"/>
      <c r="B261" s="24"/>
      <c r="C261" s="24"/>
      <c r="D261" s="24"/>
      <c r="E261" s="24"/>
      <c r="F261" s="24"/>
    </row>
    <row r="262">
      <c r="A262" s="24"/>
      <c r="B262" s="24"/>
      <c r="C262" s="24"/>
      <c r="D262" s="24"/>
      <c r="E262" s="24"/>
      <c r="F262" s="24"/>
    </row>
    <row r="263">
      <c r="A263" s="24"/>
      <c r="B263" s="24"/>
      <c r="C263" s="24"/>
      <c r="D263" s="24"/>
      <c r="E263" s="24"/>
      <c r="F263" s="24"/>
    </row>
    <row r="264">
      <c r="A264" s="24"/>
      <c r="B264" s="24"/>
      <c r="C264" s="24"/>
      <c r="D264" s="24"/>
      <c r="E264" s="24"/>
      <c r="F264" s="24"/>
    </row>
    <row r="265">
      <c r="A265" s="24"/>
      <c r="B265" s="24"/>
      <c r="C265" s="24"/>
      <c r="D265" s="24"/>
      <c r="E265" s="24"/>
      <c r="F265" s="24"/>
    </row>
    <row r="266">
      <c r="A266" s="24"/>
      <c r="B266" s="24"/>
      <c r="C266" s="24"/>
      <c r="D266" s="24"/>
      <c r="E266" s="24"/>
      <c r="F266" s="24"/>
    </row>
    <row r="267">
      <c r="A267" s="24"/>
      <c r="B267" s="24"/>
      <c r="C267" s="24"/>
      <c r="D267" s="24"/>
      <c r="E267" s="24"/>
      <c r="F267" s="24"/>
    </row>
    <row r="268">
      <c r="A268" s="24"/>
      <c r="B268" s="24"/>
      <c r="C268" s="24"/>
      <c r="D268" s="24"/>
      <c r="E268" s="24"/>
      <c r="F268" s="24"/>
    </row>
    <row r="269">
      <c r="A269" s="24"/>
      <c r="B269" s="24"/>
      <c r="C269" s="24"/>
      <c r="D269" s="24"/>
      <c r="E269" s="24"/>
      <c r="F269" s="24"/>
    </row>
    <row r="270">
      <c r="A270" s="24"/>
      <c r="B270" s="24"/>
      <c r="C270" s="24"/>
      <c r="D270" s="24"/>
      <c r="E270" s="24"/>
      <c r="F270" s="24"/>
    </row>
    <row r="271">
      <c r="A271" s="24"/>
      <c r="B271" s="24"/>
      <c r="C271" s="24"/>
      <c r="D271" s="24"/>
      <c r="E271" s="24"/>
      <c r="F271" s="24"/>
    </row>
    <row r="272">
      <c r="A272" s="24"/>
      <c r="B272" s="24"/>
      <c r="C272" s="24"/>
      <c r="D272" s="24"/>
      <c r="E272" s="24"/>
      <c r="F272" s="24"/>
    </row>
    <row r="273">
      <c r="A273" s="24"/>
      <c r="B273" s="24"/>
      <c r="C273" s="24"/>
      <c r="D273" s="24"/>
      <c r="E273" s="24"/>
      <c r="F273" s="24"/>
    </row>
    <row r="274">
      <c r="A274" s="24"/>
      <c r="B274" s="24"/>
      <c r="C274" s="24"/>
      <c r="D274" s="24"/>
      <c r="E274" s="24"/>
      <c r="F274" s="24"/>
    </row>
    <row r="275">
      <c r="A275" s="24"/>
      <c r="B275" s="24"/>
      <c r="C275" s="24"/>
      <c r="D275" s="24"/>
      <c r="E275" s="24"/>
      <c r="F275" s="24"/>
    </row>
    <row r="276">
      <c r="A276" s="24"/>
      <c r="B276" s="24"/>
      <c r="C276" s="24"/>
      <c r="D276" s="24"/>
      <c r="E276" s="24"/>
      <c r="F276" s="24"/>
    </row>
    <row r="277">
      <c r="A277" s="24"/>
      <c r="B277" s="24"/>
      <c r="C277" s="24"/>
      <c r="D277" s="24"/>
      <c r="E277" s="24"/>
      <c r="F277" s="24"/>
    </row>
    <row r="278">
      <c r="A278" s="24"/>
      <c r="B278" s="24"/>
      <c r="C278" s="24"/>
      <c r="D278" s="24"/>
      <c r="E278" s="24"/>
      <c r="F278" s="24"/>
    </row>
    <row r="279">
      <c r="A279" s="24"/>
      <c r="B279" s="24"/>
      <c r="C279" s="24"/>
      <c r="D279" s="24"/>
      <c r="E279" s="24"/>
      <c r="F279" s="24"/>
    </row>
    <row r="280">
      <c r="A280" s="24"/>
      <c r="B280" s="24"/>
      <c r="C280" s="24"/>
      <c r="D280" s="24"/>
      <c r="E280" s="24"/>
      <c r="F280" s="24"/>
    </row>
    <row r="281">
      <c r="A281" s="24"/>
      <c r="B281" s="24"/>
      <c r="C281" s="24"/>
      <c r="D281" s="24"/>
      <c r="E281" s="24"/>
      <c r="F281" s="24"/>
    </row>
    <row r="282">
      <c r="A282" s="24"/>
      <c r="B282" s="24"/>
      <c r="C282" s="24"/>
      <c r="D282" s="24"/>
      <c r="E282" s="24"/>
      <c r="F282" s="24"/>
    </row>
    <row r="283">
      <c r="A283" s="24"/>
      <c r="B283" s="24"/>
      <c r="C283" s="24"/>
      <c r="D283" s="24"/>
      <c r="E283" s="24"/>
      <c r="F283" s="24"/>
    </row>
    <row r="284">
      <c r="A284" s="24"/>
      <c r="B284" s="24"/>
      <c r="C284" s="24"/>
      <c r="D284" s="24"/>
      <c r="E284" s="24"/>
      <c r="F284" s="24"/>
    </row>
    <row r="285">
      <c r="A285" s="24"/>
      <c r="B285" s="24"/>
      <c r="C285" s="24"/>
      <c r="D285" s="24"/>
      <c r="E285" s="24"/>
      <c r="F285" s="24"/>
    </row>
    <row r="286">
      <c r="A286" s="24"/>
      <c r="B286" s="24"/>
      <c r="C286" s="24"/>
      <c r="D286" s="24"/>
      <c r="E286" s="24"/>
      <c r="F286" s="24"/>
    </row>
    <row r="287">
      <c r="A287" s="24"/>
      <c r="B287" s="24"/>
      <c r="C287" s="24"/>
      <c r="D287" s="24"/>
      <c r="E287" s="24"/>
      <c r="F287" s="24"/>
    </row>
    <row r="288">
      <c r="A288" s="24"/>
      <c r="B288" s="24"/>
      <c r="C288" s="24"/>
      <c r="D288" s="24"/>
      <c r="E288" s="24"/>
      <c r="F288" s="24"/>
    </row>
    <row r="289">
      <c r="A289" s="24"/>
      <c r="B289" s="24"/>
      <c r="C289" s="24"/>
      <c r="D289" s="24"/>
      <c r="E289" s="24"/>
      <c r="F289" s="24"/>
    </row>
    <row r="290">
      <c r="A290" s="24"/>
      <c r="B290" s="24"/>
      <c r="C290" s="24"/>
      <c r="D290" s="24"/>
      <c r="E290" s="24"/>
      <c r="F290" s="24"/>
    </row>
    <row r="291">
      <c r="A291" s="24"/>
      <c r="B291" s="24"/>
      <c r="C291" s="24"/>
      <c r="D291" s="24"/>
      <c r="E291" s="24"/>
      <c r="F291" s="24"/>
    </row>
    <row r="292">
      <c r="A292" s="24"/>
      <c r="B292" s="24"/>
      <c r="C292" s="24"/>
      <c r="D292" s="24"/>
      <c r="E292" s="24"/>
      <c r="F292" s="24"/>
    </row>
    <row r="293">
      <c r="A293" s="24"/>
      <c r="B293" s="24"/>
      <c r="C293" s="24"/>
      <c r="D293" s="24"/>
      <c r="E293" s="24"/>
      <c r="F293" s="24"/>
    </row>
    <row r="294">
      <c r="A294" s="24"/>
      <c r="B294" s="24"/>
      <c r="C294" s="24"/>
      <c r="D294" s="24"/>
      <c r="E294" s="24"/>
      <c r="F294" s="24"/>
    </row>
    <row r="295">
      <c r="A295" s="24"/>
      <c r="B295" s="24"/>
      <c r="C295" s="24"/>
      <c r="D295" s="24"/>
      <c r="E295" s="24"/>
      <c r="F295" s="24"/>
    </row>
    <row r="296">
      <c r="A296" s="24"/>
      <c r="B296" s="24"/>
      <c r="C296" s="24"/>
      <c r="D296" s="24"/>
      <c r="E296" s="24"/>
      <c r="F296" s="24"/>
    </row>
    <row r="297">
      <c r="A297" s="24"/>
      <c r="B297" s="24"/>
      <c r="C297" s="24"/>
      <c r="D297" s="24"/>
      <c r="E297" s="24"/>
      <c r="F297" s="24"/>
    </row>
    <row r="298">
      <c r="A298" s="24"/>
      <c r="B298" s="24"/>
      <c r="C298" s="24"/>
      <c r="D298" s="24"/>
      <c r="E298" s="24"/>
      <c r="F298" s="24"/>
    </row>
    <row r="299">
      <c r="A299" s="24"/>
      <c r="B299" s="24"/>
      <c r="C299" s="24"/>
      <c r="D299" s="24"/>
      <c r="E299" s="24"/>
      <c r="F299" s="24"/>
    </row>
    <row r="300">
      <c r="A300" s="24"/>
      <c r="B300" s="24"/>
      <c r="C300" s="24"/>
      <c r="D300" s="24"/>
      <c r="E300" s="24"/>
      <c r="F300" s="24"/>
    </row>
    <row r="301">
      <c r="A301" s="24"/>
      <c r="B301" s="24"/>
      <c r="C301" s="24"/>
      <c r="D301" s="24"/>
      <c r="E301" s="24"/>
      <c r="F301" s="24"/>
    </row>
    <row r="302">
      <c r="A302" s="24"/>
      <c r="B302" s="24"/>
      <c r="C302" s="24"/>
      <c r="D302" s="24"/>
      <c r="E302" s="24"/>
      <c r="F302" s="24"/>
    </row>
    <row r="303">
      <c r="A303" s="24"/>
      <c r="B303" s="24"/>
      <c r="C303" s="24"/>
      <c r="D303" s="24"/>
      <c r="E303" s="24"/>
      <c r="F303" s="24"/>
    </row>
    <row r="304">
      <c r="A304" s="24"/>
      <c r="B304" s="24"/>
      <c r="C304" s="24"/>
      <c r="D304" s="24"/>
      <c r="E304" s="24"/>
      <c r="F304" s="24"/>
    </row>
    <row r="305">
      <c r="A305" s="24"/>
      <c r="B305" s="24"/>
      <c r="C305" s="24"/>
      <c r="D305" s="24"/>
      <c r="E305" s="24"/>
      <c r="F305" s="24"/>
    </row>
    <row r="306">
      <c r="A306" s="24"/>
      <c r="B306" s="24"/>
      <c r="C306" s="24"/>
      <c r="D306" s="24"/>
      <c r="E306" s="24"/>
      <c r="F306" s="24"/>
    </row>
    <row r="307">
      <c r="A307" s="24"/>
      <c r="B307" s="24"/>
      <c r="C307" s="24"/>
      <c r="D307" s="24"/>
      <c r="E307" s="24"/>
      <c r="F307" s="24"/>
    </row>
    <row r="308">
      <c r="A308" s="24"/>
      <c r="B308" s="24"/>
      <c r="C308" s="24"/>
      <c r="D308" s="24"/>
      <c r="E308" s="24"/>
      <c r="F308" s="24"/>
    </row>
    <row r="309">
      <c r="A309" s="24"/>
      <c r="B309" s="24"/>
      <c r="C309" s="24"/>
      <c r="D309" s="24"/>
      <c r="E309" s="24"/>
      <c r="F309" s="24"/>
    </row>
    <row r="310">
      <c r="A310" s="24"/>
      <c r="B310" s="24"/>
      <c r="C310" s="24"/>
      <c r="D310" s="24"/>
      <c r="E310" s="24"/>
      <c r="F310" s="24"/>
    </row>
    <row r="311">
      <c r="A311" s="24"/>
      <c r="B311" s="24"/>
      <c r="C311" s="24"/>
      <c r="D311" s="24"/>
      <c r="E311" s="24"/>
      <c r="F311" s="24"/>
    </row>
    <row r="312">
      <c r="A312" s="24"/>
      <c r="B312" s="24"/>
      <c r="C312" s="24"/>
      <c r="D312" s="24"/>
      <c r="E312" s="24"/>
      <c r="F312" s="24"/>
    </row>
    <row r="313">
      <c r="A313" s="24"/>
      <c r="B313" s="24"/>
      <c r="C313" s="24"/>
      <c r="D313" s="24"/>
      <c r="E313" s="24"/>
      <c r="F313" s="24"/>
    </row>
    <row r="314">
      <c r="A314" s="24"/>
      <c r="B314" s="24"/>
      <c r="C314" s="24"/>
      <c r="D314" s="24"/>
      <c r="E314" s="24"/>
      <c r="F314" s="24"/>
    </row>
    <row r="315">
      <c r="A315" s="24"/>
      <c r="B315" s="24"/>
      <c r="C315" s="24"/>
      <c r="D315" s="24"/>
      <c r="E315" s="24"/>
      <c r="F315" s="24"/>
    </row>
    <row r="316">
      <c r="A316" s="24"/>
      <c r="B316" s="24"/>
      <c r="C316" s="24"/>
      <c r="D316" s="24"/>
      <c r="E316" s="24"/>
      <c r="F316" s="24"/>
    </row>
    <row r="317">
      <c r="A317" s="24"/>
      <c r="B317" s="24"/>
      <c r="C317" s="24"/>
      <c r="D317" s="24"/>
      <c r="E317" s="24"/>
      <c r="F317" s="24"/>
    </row>
    <row r="318">
      <c r="A318" s="24"/>
      <c r="B318" s="24"/>
      <c r="C318" s="24"/>
      <c r="D318" s="24"/>
      <c r="E318" s="24"/>
      <c r="F318" s="24"/>
    </row>
    <row r="319">
      <c r="A319" s="24"/>
      <c r="B319" s="24"/>
      <c r="C319" s="24"/>
      <c r="D319" s="24"/>
      <c r="E319" s="24"/>
      <c r="F319" s="24"/>
    </row>
    <row r="320">
      <c r="A320" s="24"/>
      <c r="B320" s="24"/>
      <c r="C320" s="24"/>
      <c r="D320" s="24"/>
      <c r="E320" s="24"/>
      <c r="F320" s="24"/>
    </row>
    <row r="321">
      <c r="A321" s="24"/>
      <c r="B321" s="24"/>
      <c r="C321" s="24"/>
      <c r="D321" s="24"/>
      <c r="E321" s="24"/>
      <c r="F321" s="24"/>
    </row>
    <row r="322">
      <c r="A322" s="24"/>
      <c r="B322" s="24"/>
      <c r="C322" s="24"/>
      <c r="D322" s="24"/>
      <c r="E322" s="24"/>
      <c r="F322" s="24"/>
    </row>
    <row r="323">
      <c r="A323" s="24"/>
      <c r="B323" s="24"/>
      <c r="C323" s="24"/>
      <c r="D323" s="24"/>
      <c r="E323" s="24"/>
      <c r="F323" s="24"/>
    </row>
    <row r="324">
      <c r="A324" s="24"/>
      <c r="B324" s="24"/>
      <c r="C324" s="24"/>
      <c r="D324" s="24"/>
      <c r="E324" s="24"/>
      <c r="F324" s="24"/>
    </row>
    <row r="325">
      <c r="A325" s="24"/>
      <c r="B325" s="24"/>
      <c r="C325" s="24"/>
      <c r="D325" s="24"/>
      <c r="E325" s="24"/>
      <c r="F325" s="24"/>
    </row>
    <row r="326">
      <c r="A326" s="24"/>
      <c r="B326" s="24"/>
      <c r="C326" s="24"/>
      <c r="D326" s="24"/>
      <c r="E326" s="24"/>
      <c r="F326" s="24"/>
    </row>
    <row r="327">
      <c r="A327" s="24"/>
      <c r="B327" s="24"/>
      <c r="C327" s="24"/>
      <c r="D327" s="24"/>
      <c r="E327" s="24"/>
      <c r="F327" s="24"/>
    </row>
    <row r="328">
      <c r="A328" s="24"/>
      <c r="B328" s="24"/>
      <c r="C328" s="24"/>
      <c r="D328" s="24"/>
      <c r="E328" s="24"/>
      <c r="F328" s="24"/>
    </row>
    <row r="329">
      <c r="A329" s="24"/>
      <c r="B329" s="24"/>
      <c r="C329" s="24"/>
      <c r="D329" s="24"/>
      <c r="E329" s="24"/>
      <c r="F329" s="24"/>
    </row>
    <row r="330">
      <c r="A330" s="24"/>
      <c r="B330" s="24"/>
      <c r="C330" s="24"/>
      <c r="D330" s="24"/>
      <c r="E330" s="24"/>
      <c r="F330" s="24"/>
    </row>
    <row r="331">
      <c r="A331" s="24"/>
      <c r="B331" s="24"/>
      <c r="C331" s="24"/>
      <c r="D331" s="24"/>
      <c r="E331" s="24"/>
      <c r="F331" s="24"/>
    </row>
    <row r="332">
      <c r="A332" s="24"/>
      <c r="B332" s="24"/>
      <c r="C332" s="24"/>
      <c r="D332" s="24"/>
      <c r="E332" s="24"/>
      <c r="F332" s="24"/>
    </row>
    <row r="333">
      <c r="A333" s="24"/>
      <c r="B333" s="24"/>
      <c r="C333" s="24"/>
      <c r="D333" s="24"/>
      <c r="E333" s="24"/>
      <c r="F333" s="24"/>
    </row>
    <row r="334">
      <c r="A334" s="24"/>
      <c r="B334" s="24"/>
      <c r="C334" s="24"/>
      <c r="D334" s="24"/>
      <c r="E334" s="24"/>
      <c r="F334" s="24"/>
    </row>
    <row r="335">
      <c r="A335" s="24"/>
      <c r="B335" s="24"/>
      <c r="C335" s="24"/>
      <c r="D335" s="24"/>
      <c r="E335" s="24"/>
      <c r="F335" s="24"/>
    </row>
    <row r="336">
      <c r="A336" s="24"/>
      <c r="B336" s="24"/>
      <c r="C336" s="24"/>
      <c r="D336" s="24"/>
      <c r="E336" s="24"/>
      <c r="F336" s="24"/>
    </row>
    <row r="337">
      <c r="A337" s="24"/>
      <c r="B337" s="24"/>
      <c r="C337" s="24"/>
      <c r="D337" s="24"/>
      <c r="E337" s="24"/>
      <c r="F337" s="24"/>
    </row>
    <row r="338">
      <c r="A338" s="24"/>
      <c r="B338" s="24"/>
      <c r="C338" s="24"/>
      <c r="D338" s="24"/>
      <c r="E338" s="24"/>
      <c r="F338" s="24"/>
    </row>
    <row r="339">
      <c r="A339" s="24"/>
      <c r="B339" s="24"/>
      <c r="C339" s="24"/>
      <c r="D339" s="24"/>
      <c r="E339" s="24"/>
      <c r="F339" s="24"/>
    </row>
    <row r="340">
      <c r="A340" s="24"/>
      <c r="B340" s="24"/>
      <c r="C340" s="24"/>
      <c r="D340" s="24"/>
      <c r="E340" s="24"/>
      <c r="F340" s="24"/>
    </row>
    <row r="341">
      <c r="A341" s="24"/>
      <c r="B341" s="24"/>
      <c r="C341" s="24"/>
      <c r="D341" s="24"/>
      <c r="E341" s="24"/>
      <c r="F341" s="24"/>
    </row>
    <row r="342">
      <c r="A342" s="24"/>
      <c r="B342" s="24"/>
      <c r="C342" s="24"/>
      <c r="D342" s="24"/>
      <c r="E342" s="24"/>
      <c r="F342" s="24"/>
    </row>
    <row r="343">
      <c r="A343" s="24"/>
      <c r="B343" s="24"/>
      <c r="C343" s="24"/>
      <c r="D343" s="24"/>
      <c r="E343" s="24"/>
      <c r="F343" s="24"/>
    </row>
    <row r="344">
      <c r="A344" s="24"/>
      <c r="B344" s="24"/>
      <c r="C344" s="24"/>
      <c r="D344" s="24"/>
      <c r="E344" s="24"/>
      <c r="F344" s="24"/>
    </row>
    <row r="345">
      <c r="A345" s="24"/>
      <c r="B345" s="24"/>
      <c r="C345" s="24"/>
      <c r="D345" s="24"/>
      <c r="E345" s="24"/>
      <c r="F345" s="24"/>
    </row>
    <row r="346">
      <c r="A346" s="24"/>
      <c r="B346" s="24"/>
      <c r="C346" s="24"/>
      <c r="D346" s="24"/>
      <c r="E346" s="24"/>
      <c r="F346" s="24"/>
    </row>
    <row r="347">
      <c r="A347" s="24"/>
      <c r="B347" s="24"/>
      <c r="C347" s="24"/>
      <c r="D347" s="24"/>
      <c r="E347" s="24"/>
      <c r="F347" s="24"/>
    </row>
    <row r="348">
      <c r="A348" s="24"/>
      <c r="B348" s="24"/>
      <c r="C348" s="24"/>
      <c r="D348" s="24"/>
      <c r="E348" s="24"/>
      <c r="F348" s="24"/>
    </row>
    <row r="349">
      <c r="A349" s="24"/>
      <c r="B349" s="24"/>
      <c r="C349" s="24"/>
      <c r="D349" s="24"/>
      <c r="E349" s="24"/>
      <c r="F349" s="24"/>
    </row>
    <row r="350">
      <c r="A350" s="24"/>
      <c r="B350" s="24"/>
      <c r="C350" s="24"/>
      <c r="D350" s="24"/>
      <c r="E350" s="24"/>
      <c r="F350" s="24"/>
    </row>
    <row r="351">
      <c r="A351" s="24"/>
      <c r="B351" s="24"/>
      <c r="C351" s="24"/>
      <c r="D351" s="24"/>
      <c r="E351" s="24"/>
      <c r="F351" s="24"/>
    </row>
    <row r="352">
      <c r="A352" s="24"/>
      <c r="B352" s="24"/>
      <c r="C352" s="24"/>
      <c r="D352" s="24"/>
      <c r="E352" s="24"/>
      <c r="F352" s="24"/>
    </row>
    <row r="353">
      <c r="A353" s="24"/>
      <c r="B353" s="24"/>
      <c r="C353" s="24"/>
      <c r="D353" s="24"/>
      <c r="E353" s="24"/>
      <c r="F353" s="24"/>
    </row>
    <row r="354">
      <c r="A354" s="24"/>
      <c r="B354" s="24"/>
      <c r="C354" s="24"/>
      <c r="D354" s="24"/>
      <c r="E354" s="24"/>
      <c r="F354" s="24"/>
    </row>
    <row r="355">
      <c r="A355" s="24"/>
      <c r="B355" s="24"/>
      <c r="C355" s="24"/>
      <c r="D355" s="24"/>
      <c r="E355" s="24"/>
      <c r="F355" s="24"/>
    </row>
    <row r="356">
      <c r="A356" s="24"/>
      <c r="B356" s="24"/>
      <c r="C356" s="24"/>
      <c r="D356" s="24"/>
      <c r="E356" s="24"/>
      <c r="F356" s="24"/>
    </row>
    <row r="357">
      <c r="A357" s="24"/>
      <c r="B357" s="24"/>
      <c r="C357" s="24"/>
      <c r="D357" s="24"/>
      <c r="E357" s="24"/>
      <c r="F357" s="24"/>
    </row>
    <row r="358">
      <c r="A358" s="24"/>
      <c r="B358" s="24"/>
      <c r="C358" s="24"/>
      <c r="D358" s="24"/>
      <c r="E358" s="24"/>
      <c r="F358" s="24"/>
    </row>
    <row r="359">
      <c r="A359" s="24"/>
      <c r="B359" s="24"/>
      <c r="C359" s="24"/>
      <c r="D359" s="24"/>
      <c r="E359" s="24"/>
      <c r="F359" s="24"/>
    </row>
    <row r="360">
      <c r="A360" s="24"/>
      <c r="B360" s="24"/>
      <c r="C360" s="24"/>
      <c r="D360" s="24"/>
      <c r="E360" s="24"/>
      <c r="F360" s="24"/>
    </row>
    <row r="361">
      <c r="A361" s="24"/>
      <c r="B361" s="24"/>
      <c r="C361" s="24"/>
      <c r="D361" s="24"/>
      <c r="E361" s="24"/>
      <c r="F361" s="24"/>
    </row>
    <row r="362">
      <c r="A362" s="24"/>
      <c r="B362" s="24"/>
      <c r="C362" s="24"/>
      <c r="D362" s="24"/>
      <c r="E362" s="24"/>
      <c r="F362" s="24"/>
    </row>
    <row r="363">
      <c r="A363" s="24"/>
      <c r="B363" s="24"/>
      <c r="C363" s="24"/>
      <c r="D363" s="24"/>
      <c r="E363" s="24"/>
      <c r="F363" s="24"/>
    </row>
    <row r="364">
      <c r="A364" s="24"/>
      <c r="B364" s="24"/>
      <c r="C364" s="24"/>
      <c r="D364" s="24"/>
      <c r="E364" s="24"/>
      <c r="F364" s="24"/>
    </row>
    <row r="365">
      <c r="A365" s="24"/>
      <c r="B365" s="24"/>
      <c r="C365" s="24"/>
      <c r="D365" s="24"/>
      <c r="E365" s="24"/>
      <c r="F365" s="24"/>
    </row>
    <row r="366">
      <c r="A366" s="24"/>
      <c r="B366" s="24"/>
      <c r="C366" s="24"/>
      <c r="D366" s="24"/>
      <c r="E366" s="24"/>
      <c r="F366" s="24"/>
    </row>
    <row r="367">
      <c r="A367" s="24"/>
      <c r="B367" s="24"/>
      <c r="C367" s="24"/>
      <c r="D367" s="24"/>
      <c r="E367" s="24"/>
      <c r="F367" s="24"/>
    </row>
    <row r="368">
      <c r="A368" s="24"/>
      <c r="B368" s="24"/>
      <c r="C368" s="24"/>
      <c r="D368" s="24"/>
      <c r="E368" s="24"/>
      <c r="F368" s="24"/>
    </row>
    <row r="369">
      <c r="A369" s="24"/>
      <c r="B369" s="24"/>
      <c r="C369" s="24"/>
      <c r="D369" s="24"/>
      <c r="E369" s="24"/>
      <c r="F369" s="24"/>
    </row>
    <row r="370">
      <c r="A370" s="24"/>
      <c r="B370" s="24"/>
      <c r="C370" s="24"/>
      <c r="D370" s="24"/>
      <c r="E370" s="24"/>
      <c r="F370" s="24"/>
    </row>
    <row r="371">
      <c r="A371" s="24"/>
      <c r="B371" s="24"/>
      <c r="C371" s="24"/>
      <c r="D371" s="24"/>
      <c r="E371" s="24"/>
      <c r="F371" s="24"/>
    </row>
    <row r="372">
      <c r="A372" s="24"/>
      <c r="B372" s="24"/>
      <c r="C372" s="24"/>
      <c r="D372" s="24"/>
      <c r="E372" s="24"/>
      <c r="F372" s="24"/>
    </row>
    <row r="373">
      <c r="A373" s="24"/>
      <c r="B373" s="24"/>
      <c r="C373" s="24"/>
      <c r="D373" s="24"/>
      <c r="E373" s="24"/>
      <c r="F373" s="24"/>
    </row>
    <row r="374">
      <c r="A374" s="24"/>
      <c r="B374" s="24"/>
      <c r="C374" s="24"/>
      <c r="D374" s="24"/>
      <c r="E374" s="24"/>
      <c r="F374" s="24"/>
    </row>
    <row r="375">
      <c r="A375" s="24"/>
      <c r="B375" s="24"/>
      <c r="C375" s="24"/>
      <c r="D375" s="24"/>
      <c r="E375" s="24"/>
      <c r="F375" s="24"/>
    </row>
    <row r="376">
      <c r="A376" s="24"/>
      <c r="B376" s="24"/>
      <c r="C376" s="24"/>
      <c r="D376" s="24"/>
      <c r="E376" s="24"/>
      <c r="F376" s="24"/>
    </row>
    <row r="377">
      <c r="A377" s="24"/>
      <c r="B377" s="24"/>
      <c r="C377" s="24"/>
      <c r="D377" s="24"/>
      <c r="E377" s="24"/>
      <c r="F377" s="24"/>
    </row>
    <row r="378">
      <c r="A378" s="24"/>
      <c r="B378" s="24"/>
      <c r="C378" s="24"/>
      <c r="D378" s="24"/>
      <c r="E378" s="24"/>
      <c r="F378" s="24"/>
    </row>
    <row r="379">
      <c r="A379" s="24"/>
      <c r="B379" s="24"/>
      <c r="C379" s="24"/>
      <c r="D379" s="24"/>
      <c r="E379" s="24"/>
      <c r="F379" s="24"/>
    </row>
    <row r="380">
      <c r="A380" s="24"/>
      <c r="B380" s="24"/>
      <c r="C380" s="24"/>
      <c r="D380" s="24"/>
      <c r="E380" s="24"/>
      <c r="F380" s="24"/>
    </row>
    <row r="381">
      <c r="A381" s="24"/>
      <c r="B381" s="24"/>
      <c r="C381" s="24"/>
      <c r="D381" s="24"/>
      <c r="E381" s="24"/>
      <c r="F381" s="24"/>
    </row>
    <row r="382">
      <c r="A382" s="24"/>
      <c r="B382" s="24"/>
      <c r="C382" s="24"/>
      <c r="D382" s="24"/>
      <c r="E382" s="24"/>
      <c r="F382" s="24"/>
    </row>
    <row r="383">
      <c r="A383" s="24"/>
      <c r="B383" s="24"/>
      <c r="C383" s="24"/>
      <c r="D383" s="24"/>
      <c r="E383" s="24"/>
      <c r="F383" s="24"/>
    </row>
    <row r="384">
      <c r="A384" s="24"/>
      <c r="B384" s="24"/>
      <c r="C384" s="24"/>
      <c r="D384" s="24"/>
      <c r="E384" s="24"/>
      <c r="F384" s="24"/>
    </row>
    <row r="385">
      <c r="A385" s="24"/>
      <c r="B385" s="24"/>
      <c r="C385" s="24"/>
      <c r="D385" s="24"/>
      <c r="E385" s="24"/>
      <c r="F385" s="24"/>
    </row>
    <row r="386">
      <c r="A386" s="24"/>
      <c r="B386" s="24"/>
      <c r="C386" s="24"/>
      <c r="D386" s="24"/>
      <c r="E386" s="24"/>
      <c r="F386" s="24"/>
    </row>
    <row r="387">
      <c r="A387" s="24"/>
      <c r="B387" s="24"/>
      <c r="C387" s="24"/>
      <c r="D387" s="24"/>
      <c r="E387" s="24"/>
      <c r="F387" s="24"/>
    </row>
    <row r="388">
      <c r="A388" s="24"/>
      <c r="B388" s="24"/>
      <c r="C388" s="24"/>
      <c r="D388" s="24"/>
      <c r="E388" s="24"/>
      <c r="F388" s="24"/>
    </row>
    <row r="389">
      <c r="A389" s="24"/>
      <c r="B389" s="24"/>
      <c r="C389" s="24"/>
      <c r="D389" s="24"/>
      <c r="E389" s="24"/>
      <c r="F389" s="24"/>
    </row>
    <row r="390">
      <c r="A390" s="24"/>
      <c r="B390" s="24"/>
      <c r="C390" s="24"/>
      <c r="D390" s="24"/>
      <c r="E390" s="24"/>
      <c r="F390" s="24"/>
    </row>
    <row r="391">
      <c r="A391" s="24"/>
      <c r="B391" s="24"/>
      <c r="C391" s="24"/>
      <c r="D391" s="24"/>
      <c r="E391" s="24"/>
      <c r="F391" s="24"/>
    </row>
    <row r="392">
      <c r="A392" s="24"/>
      <c r="B392" s="24"/>
      <c r="C392" s="24"/>
      <c r="D392" s="24"/>
      <c r="E392" s="24"/>
      <c r="F392" s="24"/>
    </row>
    <row r="393">
      <c r="A393" s="24"/>
      <c r="B393" s="24"/>
      <c r="C393" s="24"/>
      <c r="D393" s="24"/>
      <c r="E393" s="24"/>
      <c r="F393" s="24"/>
    </row>
    <row r="394">
      <c r="A394" s="24"/>
      <c r="B394" s="24"/>
      <c r="C394" s="24"/>
      <c r="D394" s="24"/>
      <c r="E394" s="24"/>
      <c r="F394" s="24"/>
    </row>
    <row r="395">
      <c r="A395" s="24"/>
      <c r="B395" s="24"/>
      <c r="C395" s="24"/>
      <c r="D395" s="24"/>
      <c r="E395" s="24"/>
      <c r="F395" s="24"/>
    </row>
    <row r="396">
      <c r="A396" s="24"/>
      <c r="B396" s="24"/>
      <c r="C396" s="24"/>
      <c r="D396" s="24"/>
      <c r="E396" s="24"/>
      <c r="F396" s="24"/>
    </row>
    <row r="397">
      <c r="A397" s="24"/>
      <c r="B397" s="24"/>
      <c r="C397" s="24"/>
      <c r="D397" s="24"/>
      <c r="E397" s="24"/>
      <c r="F397" s="24"/>
    </row>
    <row r="398">
      <c r="A398" s="24"/>
      <c r="B398" s="24"/>
      <c r="C398" s="24"/>
      <c r="D398" s="24"/>
      <c r="E398" s="24"/>
      <c r="F398" s="24"/>
    </row>
    <row r="399">
      <c r="A399" s="24"/>
      <c r="B399" s="24"/>
      <c r="C399" s="24"/>
      <c r="D399" s="24"/>
      <c r="E399" s="24"/>
      <c r="F399" s="24"/>
    </row>
    <row r="400">
      <c r="A400" s="24"/>
      <c r="B400" s="24"/>
      <c r="C400" s="24"/>
      <c r="D400" s="24"/>
      <c r="E400" s="24"/>
      <c r="F400" s="24"/>
    </row>
    <row r="401">
      <c r="A401" s="24"/>
      <c r="B401" s="24"/>
      <c r="C401" s="24"/>
      <c r="D401" s="24"/>
      <c r="E401" s="24"/>
      <c r="F401" s="24"/>
    </row>
    <row r="402">
      <c r="A402" s="24"/>
      <c r="B402" s="24"/>
      <c r="C402" s="24"/>
      <c r="D402" s="24"/>
      <c r="E402" s="24"/>
      <c r="F402" s="24"/>
    </row>
    <row r="403">
      <c r="A403" s="24"/>
      <c r="B403" s="24"/>
      <c r="C403" s="24"/>
      <c r="D403" s="24"/>
      <c r="E403" s="24"/>
      <c r="F403" s="24"/>
    </row>
    <row r="404">
      <c r="A404" s="24"/>
      <c r="B404" s="24"/>
      <c r="C404" s="24"/>
      <c r="D404" s="24"/>
      <c r="E404" s="24"/>
      <c r="F404" s="24"/>
    </row>
    <row r="405">
      <c r="A405" s="24"/>
      <c r="B405" s="24"/>
      <c r="C405" s="24"/>
      <c r="D405" s="24"/>
      <c r="E405" s="24"/>
      <c r="F405" s="24"/>
    </row>
    <row r="406">
      <c r="A406" s="24"/>
      <c r="B406" s="24"/>
      <c r="C406" s="24"/>
      <c r="D406" s="24"/>
      <c r="E406" s="24"/>
      <c r="F406" s="24"/>
    </row>
    <row r="407">
      <c r="A407" s="24"/>
      <c r="B407" s="24"/>
      <c r="C407" s="24"/>
      <c r="D407" s="24"/>
      <c r="E407" s="24"/>
      <c r="F407" s="24"/>
    </row>
    <row r="408">
      <c r="A408" s="24"/>
      <c r="B408" s="24"/>
      <c r="C408" s="24"/>
      <c r="D408" s="24"/>
      <c r="E408" s="24"/>
      <c r="F408" s="24"/>
    </row>
    <row r="409">
      <c r="A409" s="24"/>
      <c r="B409" s="24"/>
      <c r="C409" s="24"/>
      <c r="D409" s="24"/>
      <c r="E409" s="24"/>
      <c r="F409" s="24"/>
    </row>
    <row r="410">
      <c r="A410" s="24"/>
      <c r="B410" s="24"/>
      <c r="C410" s="24"/>
      <c r="D410" s="24"/>
      <c r="E410" s="24"/>
      <c r="F410" s="24"/>
    </row>
    <row r="411">
      <c r="A411" s="24"/>
      <c r="B411" s="24"/>
      <c r="C411" s="24"/>
      <c r="D411" s="24"/>
      <c r="E411" s="24"/>
      <c r="F411" s="24"/>
    </row>
    <row r="412">
      <c r="A412" s="24"/>
      <c r="B412" s="24"/>
      <c r="C412" s="24"/>
      <c r="D412" s="24"/>
      <c r="E412" s="24"/>
      <c r="F412" s="24"/>
    </row>
    <row r="413">
      <c r="A413" s="24"/>
      <c r="B413" s="24"/>
      <c r="C413" s="24"/>
      <c r="D413" s="24"/>
      <c r="E413" s="24"/>
      <c r="F413" s="24"/>
    </row>
    <row r="414">
      <c r="A414" s="24"/>
      <c r="B414" s="24"/>
      <c r="C414" s="24"/>
      <c r="D414" s="24"/>
      <c r="E414" s="24"/>
      <c r="F414" s="24"/>
    </row>
    <row r="415">
      <c r="A415" s="24"/>
      <c r="B415" s="24"/>
      <c r="C415" s="24"/>
      <c r="D415" s="24"/>
      <c r="E415" s="24"/>
      <c r="F415" s="24"/>
    </row>
    <row r="416">
      <c r="A416" s="24"/>
      <c r="B416" s="24"/>
      <c r="C416" s="24"/>
      <c r="D416" s="24"/>
      <c r="E416" s="24"/>
      <c r="F416" s="24"/>
    </row>
    <row r="417">
      <c r="A417" s="24"/>
      <c r="B417" s="24"/>
      <c r="C417" s="24"/>
      <c r="D417" s="24"/>
      <c r="E417" s="24"/>
      <c r="F417" s="24"/>
    </row>
    <row r="418">
      <c r="A418" s="24"/>
      <c r="B418" s="24"/>
      <c r="C418" s="24"/>
      <c r="D418" s="24"/>
      <c r="E418" s="24"/>
      <c r="F418" s="24"/>
    </row>
    <row r="419">
      <c r="A419" s="24"/>
      <c r="B419" s="24"/>
      <c r="C419" s="24"/>
      <c r="D419" s="24"/>
      <c r="E419" s="24"/>
      <c r="F419" s="24"/>
    </row>
    <row r="420">
      <c r="A420" s="24"/>
      <c r="B420" s="24"/>
      <c r="C420" s="24"/>
      <c r="D420" s="24"/>
      <c r="E420" s="24"/>
      <c r="F420" s="24"/>
    </row>
    <row r="421">
      <c r="A421" s="24"/>
      <c r="B421" s="24"/>
      <c r="C421" s="24"/>
      <c r="D421" s="24"/>
      <c r="E421" s="24"/>
      <c r="F421" s="24"/>
    </row>
    <row r="422">
      <c r="A422" s="24"/>
      <c r="B422" s="24"/>
      <c r="C422" s="24"/>
      <c r="D422" s="24"/>
      <c r="E422" s="24"/>
      <c r="F422" s="24"/>
    </row>
    <row r="423">
      <c r="A423" s="24"/>
      <c r="B423" s="24"/>
      <c r="C423" s="24"/>
      <c r="D423" s="24"/>
      <c r="E423" s="24"/>
      <c r="F423" s="24"/>
    </row>
    <row r="424">
      <c r="A424" s="24"/>
      <c r="B424" s="24"/>
      <c r="C424" s="24"/>
      <c r="D424" s="24"/>
      <c r="E424" s="24"/>
      <c r="F424" s="24"/>
    </row>
    <row r="425">
      <c r="A425" s="24"/>
      <c r="B425" s="24"/>
      <c r="C425" s="24"/>
      <c r="D425" s="24"/>
      <c r="E425" s="24"/>
      <c r="F425" s="24"/>
    </row>
    <row r="426">
      <c r="A426" s="24"/>
      <c r="B426" s="24"/>
      <c r="C426" s="24"/>
      <c r="D426" s="24"/>
      <c r="E426" s="24"/>
      <c r="F426" s="24"/>
    </row>
    <row r="427">
      <c r="A427" s="24"/>
      <c r="B427" s="24"/>
      <c r="C427" s="24"/>
      <c r="D427" s="24"/>
      <c r="E427" s="24"/>
      <c r="F427" s="24"/>
    </row>
    <row r="428">
      <c r="A428" s="24"/>
      <c r="B428" s="24"/>
      <c r="C428" s="24"/>
      <c r="D428" s="24"/>
      <c r="E428" s="24"/>
      <c r="F428" s="24"/>
    </row>
    <row r="429">
      <c r="A429" s="24"/>
      <c r="B429" s="24"/>
      <c r="C429" s="24"/>
      <c r="D429" s="24"/>
      <c r="E429" s="24"/>
      <c r="F429" s="24"/>
    </row>
    <row r="430">
      <c r="A430" s="24"/>
      <c r="B430" s="24"/>
      <c r="C430" s="24"/>
      <c r="D430" s="24"/>
      <c r="E430" s="24"/>
      <c r="F430" s="24"/>
    </row>
    <row r="431">
      <c r="A431" s="24"/>
      <c r="B431" s="24"/>
      <c r="C431" s="24"/>
      <c r="D431" s="24"/>
      <c r="E431" s="24"/>
      <c r="F431" s="24"/>
    </row>
    <row r="432">
      <c r="A432" s="24"/>
      <c r="B432" s="24"/>
      <c r="C432" s="24"/>
      <c r="D432" s="24"/>
      <c r="E432" s="24"/>
      <c r="F432" s="24"/>
    </row>
    <row r="433">
      <c r="A433" s="24"/>
      <c r="B433" s="24"/>
      <c r="C433" s="24"/>
      <c r="D433" s="24"/>
      <c r="E433" s="24"/>
      <c r="F433" s="24"/>
    </row>
    <row r="434">
      <c r="A434" s="24"/>
      <c r="B434" s="24"/>
      <c r="C434" s="24"/>
      <c r="D434" s="24"/>
      <c r="E434" s="24"/>
      <c r="F434" s="24"/>
    </row>
    <row r="435">
      <c r="A435" s="24"/>
      <c r="B435" s="24"/>
      <c r="C435" s="24"/>
      <c r="D435" s="24"/>
      <c r="E435" s="24"/>
      <c r="F435" s="24"/>
    </row>
    <row r="436">
      <c r="A436" s="24"/>
      <c r="B436" s="24"/>
      <c r="C436" s="24"/>
      <c r="D436" s="24"/>
      <c r="E436" s="24"/>
      <c r="F436" s="24"/>
    </row>
    <row r="437">
      <c r="A437" s="24"/>
      <c r="B437" s="24"/>
      <c r="C437" s="24"/>
      <c r="D437" s="24"/>
      <c r="E437" s="24"/>
      <c r="F437" s="24"/>
    </row>
    <row r="438">
      <c r="A438" s="24"/>
      <c r="B438" s="24"/>
      <c r="C438" s="24"/>
      <c r="D438" s="24"/>
      <c r="E438" s="24"/>
      <c r="F438" s="24"/>
    </row>
    <row r="439">
      <c r="A439" s="24"/>
      <c r="B439" s="24"/>
      <c r="C439" s="24"/>
      <c r="D439" s="24"/>
      <c r="E439" s="24"/>
      <c r="F439" s="24"/>
    </row>
    <row r="440">
      <c r="A440" s="24"/>
      <c r="B440" s="24"/>
      <c r="C440" s="24"/>
      <c r="D440" s="24"/>
      <c r="E440" s="24"/>
      <c r="F440" s="24"/>
    </row>
    <row r="441">
      <c r="A441" s="24"/>
      <c r="B441" s="24"/>
      <c r="C441" s="24"/>
      <c r="D441" s="24"/>
      <c r="E441" s="24"/>
      <c r="F441" s="24"/>
    </row>
    <row r="442">
      <c r="A442" s="24"/>
      <c r="B442" s="24"/>
      <c r="C442" s="24"/>
      <c r="D442" s="24"/>
      <c r="E442" s="24"/>
      <c r="F442" s="24"/>
    </row>
    <row r="443">
      <c r="A443" s="24"/>
      <c r="B443" s="24"/>
      <c r="C443" s="24"/>
      <c r="D443" s="24"/>
      <c r="E443" s="24"/>
      <c r="F443" s="24"/>
    </row>
    <row r="444">
      <c r="A444" s="24"/>
      <c r="B444" s="24"/>
      <c r="C444" s="24"/>
      <c r="D444" s="24"/>
      <c r="E444" s="24"/>
      <c r="F444" s="24"/>
    </row>
    <row r="445">
      <c r="A445" s="24"/>
      <c r="B445" s="24"/>
      <c r="C445" s="24"/>
      <c r="D445" s="24"/>
      <c r="E445" s="24"/>
      <c r="F445" s="24"/>
    </row>
    <row r="446">
      <c r="A446" s="24"/>
      <c r="B446" s="24"/>
      <c r="C446" s="24"/>
      <c r="D446" s="24"/>
      <c r="E446" s="24"/>
      <c r="F446" s="24"/>
    </row>
    <row r="447">
      <c r="A447" s="24"/>
      <c r="B447" s="24"/>
      <c r="C447" s="24"/>
      <c r="D447" s="24"/>
      <c r="E447" s="24"/>
      <c r="F447" s="24"/>
    </row>
    <row r="448">
      <c r="A448" s="24"/>
      <c r="B448" s="24"/>
      <c r="C448" s="24"/>
      <c r="D448" s="24"/>
      <c r="E448" s="24"/>
      <c r="F448" s="24"/>
    </row>
    <row r="449">
      <c r="A449" s="24"/>
      <c r="B449" s="24"/>
      <c r="C449" s="24"/>
      <c r="D449" s="24"/>
      <c r="E449" s="24"/>
      <c r="F449" s="24"/>
    </row>
    <row r="450">
      <c r="A450" s="24"/>
      <c r="B450" s="24"/>
      <c r="C450" s="24"/>
      <c r="D450" s="24"/>
      <c r="E450" s="24"/>
      <c r="F450" s="24"/>
    </row>
    <row r="451">
      <c r="A451" s="24"/>
      <c r="B451" s="24"/>
      <c r="C451" s="24"/>
      <c r="D451" s="24"/>
      <c r="E451" s="24"/>
      <c r="F451" s="24"/>
    </row>
    <row r="452">
      <c r="A452" s="24"/>
      <c r="B452" s="24"/>
      <c r="C452" s="24"/>
      <c r="D452" s="24"/>
      <c r="E452" s="24"/>
      <c r="F452" s="24"/>
    </row>
    <row r="453">
      <c r="A453" s="24"/>
      <c r="B453" s="24"/>
      <c r="C453" s="24"/>
      <c r="D453" s="24"/>
      <c r="E453" s="24"/>
      <c r="F453" s="24"/>
    </row>
    <row r="454">
      <c r="A454" s="24"/>
      <c r="B454" s="24"/>
      <c r="C454" s="24"/>
      <c r="D454" s="24"/>
      <c r="E454" s="24"/>
      <c r="F454" s="24"/>
    </row>
    <row r="455">
      <c r="A455" s="24"/>
      <c r="B455" s="24"/>
      <c r="C455" s="24"/>
      <c r="D455" s="24"/>
      <c r="E455" s="24"/>
      <c r="F455" s="24"/>
    </row>
    <row r="456">
      <c r="A456" s="24"/>
      <c r="B456" s="24"/>
      <c r="C456" s="24"/>
      <c r="D456" s="24"/>
      <c r="E456" s="24"/>
      <c r="F456" s="24"/>
    </row>
    <row r="457">
      <c r="A457" s="24"/>
      <c r="B457" s="24"/>
      <c r="C457" s="24"/>
      <c r="D457" s="24"/>
      <c r="E457" s="24"/>
      <c r="F457" s="24"/>
    </row>
    <row r="458">
      <c r="A458" s="24"/>
      <c r="B458" s="24"/>
      <c r="C458" s="24"/>
      <c r="D458" s="24"/>
      <c r="E458" s="24"/>
      <c r="F458" s="24"/>
    </row>
    <row r="459">
      <c r="A459" s="24"/>
      <c r="B459" s="24"/>
      <c r="C459" s="24"/>
      <c r="D459" s="24"/>
      <c r="E459" s="24"/>
      <c r="F459" s="24"/>
    </row>
    <row r="460">
      <c r="A460" s="24"/>
      <c r="B460" s="24"/>
      <c r="C460" s="24"/>
      <c r="D460" s="24"/>
      <c r="E460" s="24"/>
      <c r="F460" s="24"/>
    </row>
    <row r="461">
      <c r="A461" s="24"/>
      <c r="B461" s="24"/>
      <c r="C461" s="24"/>
      <c r="D461" s="24"/>
      <c r="E461" s="24"/>
      <c r="F461" s="24"/>
    </row>
    <row r="462">
      <c r="A462" s="24"/>
      <c r="B462" s="24"/>
      <c r="C462" s="24"/>
      <c r="D462" s="24"/>
      <c r="E462" s="24"/>
      <c r="F462" s="24"/>
    </row>
    <row r="463">
      <c r="A463" s="24"/>
      <c r="B463" s="24"/>
      <c r="C463" s="24"/>
      <c r="D463" s="24"/>
      <c r="E463" s="24"/>
      <c r="F463" s="24"/>
    </row>
    <row r="464">
      <c r="A464" s="24"/>
      <c r="B464" s="24"/>
      <c r="C464" s="24"/>
      <c r="D464" s="24"/>
      <c r="E464" s="24"/>
      <c r="F464" s="24"/>
    </row>
    <row r="465">
      <c r="A465" s="24"/>
      <c r="B465" s="24"/>
      <c r="C465" s="24"/>
      <c r="D465" s="24"/>
      <c r="E465" s="24"/>
      <c r="F465" s="24"/>
    </row>
    <row r="466">
      <c r="A466" s="24"/>
      <c r="B466" s="24"/>
      <c r="C466" s="24"/>
      <c r="D466" s="24"/>
      <c r="E466" s="24"/>
      <c r="F466" s="24"/>
    </row>
    <row r="467">
      <c r="A467" s="24"/>
      <c r="B467" s="24"/>
      <c r="C467" s="24"/>
      <c r="D467" s="24"/>
      <c r="E467" s="24"/>
      <c r="F467" s="24"/>
    </row>
    <row r="468">
      <c r="A468" s="24"/>
      <c r="B468" s="24"/>
      <c r="C468" s="24"/>
      <c r="D468" s="24"/>
      <c r="E468" s="24"/>
      <c r="F468" s="24"/>
    </row>
    <row r="469">
      <c r="A469" s="24"/>
      <c r="B469" s="24"/>
      <c r="C469" s="24"/>
      <c r="D469" s="24"/>
      <c r="E469" s="24"/>
      <c r="F469" s="24"/>
    </row>
    <row r="470">
      <c r="A470" s="24"/>
      <c r="B470" s="24"/>
      <c r="C470" s="24"/>
      <c r="D470" s="24"/>
      <c r="E470" s="24"/>
      <c r="F470" s="24"/>
    </row>
    <row r="471">
      <c r="A471" s="24"/>
      <c r="B471" s="24"/>
      <c r="C471" s="24"/>
      <c r="D471" s="24"/>
      <c r="E471" s="24"/>
      <c r="F471" s="24"/>
    </row>
    <row r="472">
      <c r="A472" s="24"/>
      <c r="B472" s="24"/>
      <c r="C472" s="24"/>
      <c r="D472" s="24"/>
      <c r="E472" s="24"/>
      <c r="F472" s="24"/>
    </row>
    <row r="473">
      <c r="A473" s="24"/>
      <c r="B473" s="24"/>
      <c r="C473" s="24"/>
      <c r="D473" s="24"/>
      <c r="E473" s="24"/>
      <c r="F473" s="24"/>
    </row>
    <row r="474">
      <c r="A474" s="24"/>
      <c r="B474" s="24"/>
      <c r="C474" s="24"/>
      <c r="D474" s="24"/>
      <c r="E474" s="24"/>
      <c r="F474" s="24"/>
    </row>
    <row r="475">
      <c r="A475" s="24"/>
      <c r="B475" s="24"/>
      <c r="C475" s="24"/>
      <c r="D475" s="24"/>
      <c r="E475" s="24"/>
      <c r="F475" s="24"/>
    </row>
    <row r="476">
      <c r="A476" s="24"/>
      <c r="B476" s="24"/>
      <c r="C476" s="24"/>
      <c r="D476" s="24"/>
      <c r="E476" s="24"/>
      <c r="F476" s="24"/>
    </row>
    <row r="477">
      <c r="A477" s="24"/>
      <c r="B477" s="24"/>
      <c r="C477" s="24"/>
      <c r="D477" s="24"/>
      <c r="E477" s="24"/>
      <c r="F477" s="24"/>
    </row>
    <row r="478">
      <c r="A478" s="24"/>
      <c r="B478" s="24"/>
      <c r="C478" s="24"/>
      <c r="D478" s="24"/>
      <c r="E478" s="24"/>
      <c r="F478" s="24"/>
    </row>
    <row r="479">
      <c r="A479" s="24"/>
      <c r="B479" s="24"/>
      <c r="C479" s="24"/>
      <c r="D479" s="24"/>
      <c r="E479" s="24"/>
      <c r="F479" s="24"/>
    </row>
    <row r="480">
      <c r="A480" s="24"/>
      <c r="B480" s="24"/>
      <c r="C480" s="24"/>
      <c r="D480" s="24"/>
      <c r="E480" s="24"/>
      <c r="F480" s="24"/>
    </row>
    <row r="481">
      <c r="A481" s="24"/>
      <c r="B481" s="24"/>
      <c r="C481" s="24"/>
      <c r="D481" s="24"/>
      <c r="E481" s="24"/>
      <c r="F481" s="24"/>
    </row>
    <row r="482">
      <c r="A482" s="24"/>
      <c r="B482" s="24"/>
      <c r="C482" s="24"/>
      <c r="D482" s="24"/>
      <c r="E482" s="24"/>
      <c r="F482" s="24"/>
    </row>
    <row r="483">
      <c r="A483" s="24"/>
      <c r="B483" s="24"/>
      <c r="C483" s="24"/>
      <c r="D483" s="24"/>
      <c r="E483" s="24"/>
      <c r="F483" s="24"/>
    </row>
    <row r="484">
      <c r="A484" s="24"/>
      <c r="B484" s="24"/>
      <c r="C484" s="24"/>
      <c r="D484" s="24"/>
      <c r="E484" s="24"/>
      <c r="F484" s="24"/>
    </row>
    <row r="485">
      <c r="A485" s="24"/>
      <c r="B485" s="24"/>
      <c r="C485" s="24"/>
      <c r="D485" s="24"/>
      <c r="E485" s="24"/>
      <c r="F485" s="24"/>
    </row>
    <row r="486">
      <c r="A486" s="24"/>
      <c r="B486" s="24"/>
      <c r="C486" s="24"/>
      <c r="D486" s="24"/>
      <c r="E486" s="24"/>
      <c r="F486" s="24"/>
    </row>
    <row r="487">
      <c r="A487" s="24"/>
      <c r="B487" s="24"/>
      <c r="C487" s="24"/>
      <c r="D487" s="24"/>
      <c r="E487" s="24"/>
      <c r="F487" s="24"/>
    </row>
    <row r="488">
      <c r="A488" s="24"/>
      <c r="B488" s="24"/>
      <c r="C488" s="24"/>
      <c r="D488" s="24"/>
      <c r="E488" s="24"/>
      <c r="F488" s="24"/>
    </row>
    <row r="489">
      <c r="A489" s="24"/>
      <c r="B489" s="24"/>
      <c r="C489" s="24"/>
      <c r="D489" s="24"/>
      <c r="E489" s="24"/>
      <c r="F489" s="24"/>
    </row>
    <row r="490">
      <c r="A490" s="24"/>
      <c r="B490" s="24"/>
      <c r="C490" s="24"/>
      <c r="D490" s="24"/>
      <c r="E490" s="24"/>
      <c r="F490" s="24"/>
    </row>
    <row r="491">
      <c r="A491" s="24"/>
      <c r="B491" s="24"/>
      <c r="C491" s="24"/>
      <c r="D491" s="24"/>
      <c r="E491" s="24"/>
      <c r="F491" s="24"/>
    </row>
    <row r="492">
      <c r="A492" s="24"/>
      <c r="B492" s="24"/>
      <c r="C492" s="24"/>
      <c r="D492" s="24"/>
      <c r="E492" s="24"/>
      <c r="F492" s="24"/>
    </row>
    <row r="493">
      <c r="A493" s="24"/>
      <c r="B493" s="24"/>
      <c r="C493" s="24"/>
      <c r="D493" s="24"/>
      <c r="E493" s="24"/>
      <c r="F493" s="24"/>
    </row>
    <row r="494">
      <c r="A494" s="24"/>
      <c r="B494" s="24"/>
      <c r="C494" s="24"/>
      <c r="D494" s="24"/>
      <c r="E494" s="24"/>
      <c r="F494" s="24"/>
    </row>
    <row r="495">
      <c r="A495" s="24"/>
      <c r="B495" s="24"/>
      <c r="C495" s="24"/>
      <c r="D495" s="24"/>
      <c r="E495" s="24"/>
      <c r="F495" s="24"/>
    </row>
    <row r="496">
      <c r="A496" s="24"/>
      <c r="B496" s="24"/>
      <c r="C496" s="24"/>
      <c r="D496" s="24"/>
      <c r="E496" s="24"/>
      <c r="F496" s="24"/>
    </row>
    <row r="497">
      <c r="A497" s="24"/>
      <c r="B497" s="24"/>
      <c r="C497" s="24"/>
      <c r="D497" s="24"/>
      <c r="E497" s="24"/>
      <c r="F497" s="24"/>
    </row>
    <row r="498">
      <c r="A498" s="24"/>
      <c r="B498" s="24"/>
      <c r="C498" s="24"/>
      <c r="D498" s="24"/>
      <c r="E498" s="24"/>
      <c r="F498" s="24"/>
    </row>
    <row r="499">
      <c r="A499" s="24"/>
      <c r="B499" s="24"/>
      <c r="C499" s="24"/>
      <c r="D499" s="24"/>
      <c r="E499" s="24"/>
      <c r="F499" s="24"/>
    </row>
    <row r="500">
      <c r="A500" s="24"/>
      <c r="B500" s="24"/>
      <c r="C500" s="24"/>
      <c r="D500" s="24"/>
      <c r="E500" s="24"/>
      <c r="F500" s="24"/>
    </row>
    <row r="501">
      <c r="A501" s="24"/>
      <c r="B501" s="24"/>
      <c r="C501" s="24"/>
      <c r="D501" s="24"/>
      <c r="E501" s="24"/>
      <c r="F501" s="24"/>
    </row>
    <row r="502">
      <c r="A502" s="24"/>
      <c r="B502" s="24"/>
      <c r="C502" s="24"/>
      <c r="D502" s="24"/>
      <c r="E502" s="24"/>
      <c r="F502" s="24"/>
    </row>
    <row r="503">
      <c r="A503" s="24"/>
      <c r="B503" s="24"/>
      <c r="C503" s="24"/>
      <c r="D503" s="24"/>
      <c r="E503" s="24"/>
      <c r="F503" s="24"/>
    </row>
    <row r="504">
      <c r="A504" s="24"/>
      <c r="B504" s="24"/>
      <c r="C504" s="24"/>
      <c r="D504" s="24"/>
      <c r="E504" s="24"/>
      <c r="F504" s="24"/>
    </row>
    <row r="505">
      <c r="A505" s="24"/>
      <c r="B505" s="24"/>
      <c r="C505" s="24"/>
      <c r="D505" s="24"/>
      <c r="E505" s="24"/>
      <c r="F505" s="24"/>
    </row>
    <row r="506">
      <c r="A506" s="24"/>
      <c r="B506" s="24"/>
      <c r="C506" s="24"/>
      <c r="D506" s="24"/>
      <c r="E506" s="24"/>
      <c r="F506" s="24"/>
    </row>
    <row r="507">
      <c r="A507" s="24"/>
      <c r="B507" s="24"/>
      <c r="C507" s="24"/>
      <c r="D507" s="24"/>
      <c r="E507" s="24"/>
      <c r="F507" s="24"/>
    </row>
    <row r="508">
      <c r="A508" s="24"/>
      <c r="B508" s="24"/>
      <c r="C508" s="24"/>
      <c r="D508" s="24"/>
      <c r="E508" s="24"/>
      <c r="F508" s="24"/>
    </row>
    <row r="509">
      <c r="A509" s="24"/>
      <c r="B509" s="24"/>
      <c r="C509" s="24"/>
      <c r="D509" s="24"/>
      <c r="E509" s="24"/>
      <c r="F509" s="24"/>
    </row>
    <row r="510">
      <c r="A510" s="24"/>
      <c r="B510" s="24"/>
      <c r="C510" s="24"/>
      <c r="D510" s="24"/>
      <c r="E510" s="24"/>
      <c r="F510" s="24"/>
    </row>
    <row r="511">
      <c r="A511" s="24"/>
      <c r="B511" s="24"/>
      <c r="C511" s="24"/>
      <c r="D511" s="24"/>
      <c r="E511" s="24"/>
      <c r="F511" s="24"/>
    </row>
    <row r="512">
      <c r="A512" s="24"/>
      <c r="B512" s="24"/>
      <c r="C512" s="24"/>
      <c r="D512" s="24"/>
      <c r="E512" s="24"/>
      <c r="F512" s="24"/>
    </row>
    <row r="513">
      <c r="A513" s="24"/>
      <c r="B513" s="24"/>
      <c r="C513" s="24"/>
      <c r="D513" s="24"/>
      <c r="E513" s="24"/>
      <c r="F513" s="24"/>
    </row>
    <row r="514">
      <c r="A514" s="24"/>
      <c r="B514" s="24"/>
      <c r="C514" s="24"/>
      <c r="D514" s="24"/>
      <c r="E514" s="24"/>
      <c r="F514" s="24"/>
    </row>
    <row r="515">
      <c r="A515" s="24"/>
      <c r="B515" s="24"/>
      <c r="C515" s="24"/>
      <c r="D515" s="24"/>
      <c r="E515" s="24"/>
      <c r="F515" s="24"/>
    </row>
    <row r="516">
      <c r="A516" s="24"/>
      <c r="B516" s="24"/>
      <c r="C516" s="24"/>
      <c r="D516" s="24"/>
      <c r="E516" s="24"/>
      <c r="F516" s="24"/>
    </row>
    <row r="517">
      <c r="A517" s="24"/>
      <c r="B517" s="24"/>
      <c r="C517" s="24"/>
      <c r="D517" s="24"/>
      <c r="E517" s="24"/>
      <c r="F517" s="24"/>
    </row>
    <row r="518">
      <c r="A518" s="24"/>
      <c r="B518" s="24"/>
      <c r="C518" s="24"/>
      <c r="D518" s="24"/>
      <c r="E518" s="24"/>
      <c r="F518" s="24"/>
    </row>
    <row r="519">
      <c r="A519" s="24"/>
      <c r="B519" s="24"/>
      <c r="C519" s="24"/>
      <c r="D519" s="24"/>
      <c r="E519" s="24"/>
      <c r="F519" s="24"/>
    </row>
    <row r="520">
      <c r="A520" s="24"/>
      <c r="B520" s="24"/>
      <c r="C520" s="24"/>
      <c r="D520" s="24"/>
      <c r="E520" s="24"/>
      <c r="F520" s="24"/>
    </row>
    <row r="521">
      <c r="A521" s="24"/>
      <c r="B521" s="24"/>
      <c r="C521" s="24"/>
      <c r="D521" s="24"/>
      <c r="E521" s="24"/>
      <c r="F521" s="24"/>
    </row>
    <row r="522">
      <c r="A522" s="24"/>
      <c r="B522" s="24"/>
      <c r="C522" s="24"/>
      <c r="D522" s="24"/>
      <c r="E522" s="24"/>
      <c r="F522" s="24"/>
    </row>
    <row r="523">
      <c r="A523" s="24"/>
      <c r="B523" s="24"/>
      <c r="C523" s="24"/>
      <c r="D523" s="24"/>
      <c r="E523" s="24"/>
      <c r="F523" s="24"/>
    </row>
    <row r="524">
      <c r="A524" s="24"/>
      <c r="B524" s="24"/>
      <c r="C524" s="24"/>
      <c r="D524" s="24"/>
      <c r="E524" s="24"/>
      <c r="F524" s="24"/>
    </row>
    <row r="525">
      <c r="A525" s="24"/>
      <c r="B525" s="24"/>
      <c r="C525" s="24"/>
      <c r="D525" s="24"/>
      <c r="E525" s="24"/>
      <c r="F525" s="24"/>
    </row>
    <row r="526">
      <c r="A526" s="24"/>
      <c r="B526" s="24"/>
      <c r="C526" s="24"/>
      <c r="D526" s="24"/>
      <c r="E526" s="24"/>
      <c r="F526" s="24"/>
    </row>
    <row r="527">
      <c r="A527" s="24"/>
      <c r="B527" s="24"/>
      <c r="C527" s="24"/>
      <c r="D527" s="24"/>
      <c r="E527" s="24"/>
      <c r="F527" s="24"/>
    </row>
    <row r="528">
      <c r="A528" s="24"/>
      <c r="B528" s="24"/>
      <c r="C528" s="24"/>
      <c r="D528" s="24"/>
      <c r="E528" s="24"/>
      <c r="F528" s="24"/>
    </row>
    <row r="529">
      <c r="A529" s="24"/>
      <c r="B529" s="24"/>
      <c r="C529" s="24"/>
      <c r="D529" s="24"/>
      <c r="E529" s="24"/>
      <c r="F529" s="24"/>
    </row>
    <row r="530">
      <c r="A530" s="24"/>
      <c r="B530" s="24"/>
      <c r="C530" s="24"/>
      <c r="D530" s="24"/>
      <c r="E530" s="24"/>
      <c r="F530" s="24"/>
    </row>
    <row r="531">
      <c r="A531" s="24"/>
      <c r="B531" s="24"/>
      <c r="C531" s="24"/>
      <c r="D531" s="24"/>
      <c r="E531" s="24"/>
      <c r="F531" s="24"/>
    </row>
    <row r="532">
      <c r="A532" s="24"/>
      <c r="B532" s="24"/>
      <c r="C532" s="24"/>
      <c r="D532" s="24"/>
      <c r="E532" s="24"/>
      <c r="F532" s="24"/>
    </row>
    <row r="533">
      <c r="A533" s="24"/>
      <c r="B533" s="24"/>
      <c r="C533" s="24"/>
      <c r="D533" s="24"/>
      <c r="E533" s="24"/>
      <c r="F533" s="24"/>
    </row>
    <row r="534">
      <c r="A534" s="24"/>
      <c r="B534" s="24"/>
      <c r="C534" s="24"/>
      <c r="D534" s="24"/>
      <c r="E534" s="24"/>
      <c r="F534" s="24"/>
    </row>
    <row r="535">
      <c r="A535" s="24"/>
      <c r="B535" s="24"/>
      <c r="C535" s="24"/>
      <c r="D535" s="24"/>
      <c r="E535" s="24"/>
      <c r="F535" s="24"/>
    </row>
    <row r="536">
      <c r="A536" s="24"/>
      <c r="B536" s="24"/>
      <c r="C536" s="24"/>
      <c r="D536" s="24"/>
      <c r="E536" s="24"/>
      <c r="F536" s="24"/>
    </row>
    <row r="537">
      <c r="A537" s="24"/>
      <c r="B537" s="24"/>
      <c r="C537" s="24"/>
      <c r="D537" s="24"/>
      <c r="E537" s="24"/>
      <c r="F537" s="24"/>
    </row>
    <row r="538">
      <c r="A538" s="24"/>
      <c r="B538" s="24"/>
      <c r="C538" s="24"/>
      <c r="D538" s="24"/>
      <c r="E538" s="24"/>
      <c r="F538" s="24"/>
    </row>
    <row r="539">
      <c r="A539" s="24"/>
      <c r="B539" s="24"/>
      <c r="C539" s="24"/>
      <c r="D539" s="24"/>
      <c r="E539" s="24"/>
      <c r="F539" s="24"/>
    </row>
    <row r="540">
      <c r="A540" s="24"/>
      <c r="B540" s="24"/>
      <c r="C540" s="24"/>
      <c r="D540" s="24"/>
      <c r="E540" s="24"/>
      <c r="F540" s="24"/>
    </row>
    <row r="541">
      <c r="A541" s="24"/>
      <c r="B541" s="24"/>
      <c r="C541" s="24"/>
      <c r="D541" s="24"/>
      <c r="E541" s="24"/>
      <c r="F541" s="24"/>
    </row>
    <row r="542">
      <c r="A542" s="24"/>
      <c r="B542" s="24"/>
      <c r="C542" s="24"/>
      <c r="D542" s="24"/>
      <c r="E542" s="24"/>
      <c r="F542" s="24"/>
    </row>
    <row r="543">
      <c r="A543" s="24"/>
      <c r="B543" s="24"/>
      <c r="C543" s="24"/>
      <c r="D543" s="24"/>
      <c r="E543" s="24"/>
      <c r="F543" s="24"/>
    </row>
    <row r="544">
      <c r="A544" s="24"/>
      <c r="B544" s="24"/>
      <c r="C544" s="24"/>
      <c r="D544" s="24"/>
      <c r="E544" s="24"/>
      <c r="F544" s="24"/>
    </row>
    <row r="545">
      <c r="A545" s="24"/>
      <c r="B545" s="24"/>
      <c r="C545" s="24"/>
      <c r="D545" s="24"/>
      <c r="E545" s="24"/>
      <c r="F545" s="24"/>
    </row>
    <row r="546">
      <c r="A546" s="24"/>
      <c r="B546" s="24"/>
      <c r="C546" s="24"/>
      <c r="D546" s="24"/>
      <c r="E546" s="24"/>
      <c r="F546" s="24"/>
    </row>
    <row r="547">
      <c r="A547" s="24"/>
      <c r="B547" s="24"/>
      <c r="C547" s="24"/>
      <c r="D547" s="24"/>
      <c r="E547" s="24"/>
      <c r="F547" s="24"/>
    </row>
    <row r="548">
      <c r="A548" s="24"/>
      <c r="B548" s="24"/>
      <c r="C548" s="24"/>
      <c r="D548" s="24"/>
      <c r="E548" s="24"/>
      <c r="F548" s="24"/>
    </row>
    <row r="549">
      <c r="A549" s="24"/>
      <c r="B549" s="24"/>
      <c r="C549" s="24"/>
      <c r="D549" s="24"/>
      <c r="E549" s="24"/>
      <c r="F549" s="24"/>
    </row>
    <row r="550">
      <c r="A550" s="24"/>
      <c r="B550" s="24"/>
      <c r="C550" s="24"/>
      <c r="D550" s="24"/>
      <c r="E550" s="24"/>
      <c r="F550" s="24"/>
    </row>
    <row r="551">
      <c r="A551" s="24"/>
      <c r="B551" s="24"/>
      <c r="C551" s="24"/>
      <c r="D551" s="24"/>
      <c r="E551" s="24"/>
      <c r="F551" s="24"/>
    </row>
    <row r="552">
      <c r="A552" s="24"/>
      <c r="B552" s="24"/>
      <c r="C552" s="24"/>
      <c r="D552" s="24"/>
      <c r="E552" s="24"/>
      <c r="F552" s="24"/>
    </row>
    <row r="553">
      <c r="A553" s="24"/>
      <c r="B553" s="24"/>
      <c r="C553" s="24"/>
      <c r="D553" s="24"/>
      <c r="E553" s="24"/>
      <c r="F553" s="24"/>
    </row>
    <row r="554">
      <c r="A554" s="24"/>
      <c r="B554" s="24"/>
      <c r="C554" s="24"/>
      <c r="D554" s="24"/>
      <c r="E554" s="24"/>
      <c r="F554" s="24"/>
    </row>
    <row r="555">
      <c r="A555" s="24"/>
      <c r="B555" s="24"/>
      <c r="C555" s="24"/>
      <c r="D555" s="24"/>
      <c r="E555" s="24"/>
      <c r="F555" s="24"/>
    </row>
    <row r="556">
      <c r="A556" s="24"/>
      <c r="B556" s="24"/>
      <c r="C556" s="24"/>
      <c r="D556" s="24"/>
      <c r="E556" s="24"/>
      <c r="F556" s="24"/>
    </row>
    <row r="557">
      <c r="A557" s="24"/>
      <c r="B557" s="24"/>
      <c r="C557" s="24"/>
      <c r="D557" s="24"/>
      <c r="E557" s="24"/>
      <c r="F557" s="24"/>
    </row>
    <row r="558">
      <c r="A558" s="24"/>
      <c r="B558" s="24"/>
      <c r="C558" s="24"/>
      <c r="D558" s="24"/>
      <c r="E558" s="24"/>
      <c r="F558" s="24"/>
    </row>
    <row r="559">
      <c r="A559" s="24"/>
      <c r="B559" s="24"/>
      <c r="C559" s="24"/>
      <c r="D559" s="24"/>
      <c r="E559" s="24"/>
      <c r="F559" s="24"/>
    </row>
    <row r="560">
      <c r="A560" s="24"/>
      <c r="B560" s="24"/>
      <c r="C560" s="24"/>
      <c r="D560" s="24"/>
      <c r="E560" s="24"/>
      <c r="F560" s="24"/>
    </row>
    <row r="561">
      <c r="A561" s="24"/>
      <c r="B561" s="24"/>
      <c r="C561" s="24"/>
      <c r="D561" s="24"/>
      <c r="E561" s="24"/>
      <c r="F561" s="24"/>
    </row>
    <row r="562">
      <c r="A562" s="24"/>
      <c r="B562" s="24"/>
      <c r="C562" s="24"/>
      <c r="D562" s="24"/>
      <c r="E562" s="24"/>
      <c r="F562" s="24"/>
    </row>
    <row r="563">
      <c r="A563" s="24"/>
      <c r="B563" s="24"/>
      <c r="C563" s="24"/>
      <c r="D563" s="24"/>
      <c r="E563" s="24"/>
      <c r="F563" s="24"/>
    </row>
    <row r="564">
      <c r="A564" s="24"/>
      <c r="B564" s="24"/>
      <c r="C564" s="24"/>
      <c r="D564" s="24"/>
      <c r="E564" s="24"/>
      <c r="F564" s="24"/>
    </row>
    <row r="565">
      <c r="A565" s="24"/>
      <c r="B565" s="24"/>
      <c r="C565" s="24"/>
      <c r="D565" s="24"/>
      <c r="E565" s="24"/>
      <c r="F565" s="24"/>
    </row>
    <row r="566">
      <c r="A566" s="24"/>
      <c r="B566" s="24"/>
      <c r="C566" s="24"/>
      <c r="D566" s="24"/>
      <c r="E566" s="24"/>
      <c r="F566" s="24"/>
    </row>
    <row r="567">
      <c r="A567" s="24"/>
      <c r="B567" s="24"/>
      <c r="C567" s="24"/>
      <c r="D567" s="24"/>
      <c r="E567" s="24"/>
      <c r="F567" s="24"/>
    </row>
    <row r="568">
      <c r="A568" s="24"/>
      <c r="B568" s="24"/>
      <c r="C568" s="24"/>
      <c r="D568" s="24"/>
      <c r="E568" s="24"/>
      <c r="F568" s="24"/>
    </row>
    <row r="569">
      <c r="A569" s="24"/>
      <c r="B569" s="24"/>
      <c r="C569" s="24"/>
      <c r="D569" s="24"/>
      <c r="E569" s="24"/>
      <c r="F569" s="24"/>
    </row>
    <row r="570">
      <c r="A570" s="24"/>
      <c r="B570" s="24"/>
      <c r="C570" s="24"/>
      <c r="D570" s="24"/>
      <c r="E570" s="24"/>
      <c r="F570" s="24"/>
    </row>
    <row r="571">
      <c r="A571" s="24"/>
      <c r="B571" s="24"/>
      <c r="C571" s="24"/>
      <c r="D571" s="24"/>
      <c r="E571" s="24"/>
      <c r="F571" s="24"/>
    </row>
    <row r="572">
      <c r="A572" s="24"/>
      <c r="B572" s="24"/>
      <c r="C572" s="24"/>
      <c r="D572" s="24"/>
      <c r="E572" s="24"/>
      <c r="F572" s="24"/>
    </row>
    <row r="573">
      <c r="A573" s="24"/>
      <c r="B573" s="24"/>
      <c r="C573" s="24"/>
      <c r="D573" s="24"/>
      <c r="E573" s="24"/>
      <c r="F573" s="24"/>
    </row>
    <row r="574">
      <c r="A574" s="24"/>
      <c r="B574" s="24"/>
      <c r="C574" s="24"/>
      <c r="D574" s="24"/>
      <c r="E574" s="24"/>
      <c r="F574" s="24"/>
    </row>
    <row r="575">
      <c r="A575" s="24"/>
      <c r="B575" s="24"/>
      <c r="C575" s="24"/>
      <c r="D575" s="24"/>
      <c r="E575" s="24"/>
      <c r="F575" s="24"/>
    </row>
    <row r="576">
      <c r="A576" s="24"/>
      <c r="B576" s="24"/>
      <c r="C576" s="24"/>
      <c r="D576" s="24"/>
      <c r="E576" s="24"/>
      <c r="F576" s="24"/>
    </row>
    <row r="577">
      <c r="A577" s="24"/>
      <c r="B577" s="24"/>
      <c r="C577" s="24"/>
      <c r="D577" s="24"/>
      <c r="E577" s="24"/>
      <c r="F577" s="24"/>
    </row>
    <row r="578">
      <c r="A578" s="24"/>
      <c r="B578" s="24"/>
      <c r="C578" s="24"/>
      <c r="D578" s="24"/>
      <c r="E578" s="24"/>
      <c r="F578" s="24"/>
    </row>
    <row r="579">
      <c r="A579" s="24"/>
      <c r="B579" s="24"/>
      <c r="C579" s="24"/>
      <c r="D579" s="24"/>
      <c r="E579" s="24"/>
      <c r="F579" s="24"/>
    </row>
    <row r="580">
      <c r="A580" s="24"/>
      <c r="B580" s="24"/>
      <c r="C580" s="24"/>
      <c r="D580" s="24"/>
      <c r="E580" s="24"/>
      <c r="F580" s="24"/>
    </row>
    <row r="581">
      <c r="A581" s="24"/>
      <c r="B581" s="24"/>
      <c r="C581" s="24"/>
      <c r="D581" s="24"/>
      <c r="E581" s="24"/>
      <c r="F581" s="24"/>
    </row>
    <row r="582">
      <c r="A582" s="24"/>
      <c r="B582" s="24"/>
      <c r="C582" s="24"/>
      <c r="D582" s="24"/>
      <c r="E582" s="24"/>
      <c r="F582" s="24"/>
    </row>
    <row r="583">
      <c r="A583" s="24"/>
      <c r="B583" s="24"/>
      <c r="C583" s="24"/>
      <c r="D583" s="24"/>
      <c r="E583" s="24"/>
      <c r="F583" s="24"/>
    </row>
    <row r="584">
      <c r="A584" s="24"/>
      <c r="B584" s="24"/>
      <c r="C584" s="24"/>
      <c r="D584" s="24"/>
      <c r="E584" s="24"/>
      <c r="F584" s="24"/>
    </row>
    <row r="585">
      <c r="A585" s="24"/>
      <c r="B585" s="24"/>
      <c r="C585" s="24"/>
      <c r="D585" s="24"/>
      <c r="E585" s="24"/>
      <c r="F585" s="24"/>
    </row>
    <row r="586">
      <c r="A586" s="24"/>
      <c r="B586" s="24"/>
      <c r="C586" s="24"/>
      <c r="D586" s="24"/>
      <c r="E586" s="24"/>
      <c r="F586" s="24"/>
    </row>
    <row r="587">
      <c r="A587" s="24"/>
      <c r="B587" s="24"/>
      <c r="C587" s="24"/>
      <c r="D587" s="24"/>
      <c r="E587" s="24"/>
      <c r="F587" s="24"/>
    </row>
    <row r="588">
      <c r="A588" s="24"/>
      <c r="B588" s="24"/>
      <c r="C588" s="24"/>
      <c r="D588" s="24"/>
      <c r="E588" s="24"/>
      <c r="F588" s="24"/>
    </row>
    <row r="589">
      <c r="A589" s="24"/>
      <c r="B589" s="24"/>
      <c r="C589" s="24"/>
      <c r="D589" s="24"/>
      <c r="E589" s="24"/>
      <c r="F589" s="24"/>
    </row>
    <row r="590">
      <c r="A590" s="24"/>
      <c r="B590" s="24"/>
      <c r="C590" s="24"/>
      <c r="D590" s="24"/>
      <c r="E590" s="24"/>
      <c r="F590" s="24"/>
    </row>
    <row r="591">
      <c r="A591" s="24"/>
      <c r="B591" s="24"/>
      <c r="C591" s="24"/>
      <c r="D591" s="24"/>
      <c r="E591" s="24"/>
      <c r="F591" s="24"/>
    </row>
    <row r="592">
      <c r="A592" s="24"/>
      <c r="B592" s="24"/>
      <c r="C592" s="24"/>
      <c r="D592" s="24"/>
      <c r="E592" s="24"/>
      <c r="F592" s="24"/>
    </row>
    <row r="593">
      <c r="A593" s="24"/>
      <c r="B593" s="24"/>
      <c r="C593" s="24"/>
      <c r="D593" s="24"/>
      <c r="E593" s="24"/>
      <c r="F593" s="24"/>
    </row>
    <row r="594">
      <c r="A594" s="24"/>
      <c r="B594" s="24"/>
      <c r="C594" s="24"/>
      <c r="D594" s="24"/>
      <c r="E594" s="24"/>
      <c r="F594" s="24"/>
    </row>
    <row r="595">
      <c r="A595" s="24"/>
      <c r="B595" s="24"/>
      <c r="C595" s="24"/>
      <c r="D595" s="24"/>
      <c r="E595" s="24"/>
      <c r="F595" s="24"/>
    </row>
    <row r="596">
      <c r="A596" s="24"/>
      <c r="B596" s="24"/>
      <c r="C596" s="24"/>
      <c r="D596" s="24"/>
      <c r="E596" s="24"/>
      <c r="F596" s="24"/>
    </row>
    <row r="597">
      <c r="A597" s="24"/>
      <c r="B597" s="24"/>
      <c r="C597" s="24"/>
      <c r="D597" s="24"/>
      <c r="E597" s="24"/>
      <c r="F597" s="24"/>
    </row>
    <row r="598">
      <c r="A598" s="24"/>
      <c r="B598" s="24"/>
      <c r="C598" s="24"/>
      <c r="D598" s="24"/>
      <c r="E598" s="24"/>
      <c r="F598" s="24"/>
    </row>
    <row r="599">
      <c r="A599" s="24"/>
      <c r="B599" s="24"/>
      <c r="C599" s="24"/>
      <c r="D599" s="24"/>
      <c r="E599" s="24"/>
      <c r="F599" s="24"/>
    </row>
    <row r="600">
      <c r="A600" s="24"/>
      <c r="B600" s="24"/>
      <c r="C600" s="24"/>
      <c r="D600" s="24"/>
      <c r="E600" s="24"/>
      <c r="F600" s="24"/>
    </row>
    <row r="601">
      <c r="A601" s="24"/>
      <c r="B601" s="24"/>
      <c r="C601" s="24"/>
      <c r="D601" s="24"/>
      <c r="E601" s="24"/>
      <c r="F601" s="24"/>
    </row>
    <row r="602">
      <c r="A602" s="24"/>
      <c r="B602" s="24"/>
      <c r="C602" s="24"/>
      <c r="D602" s="24"/>
      <c r="E602" s="24"/>
      <c r="F602" s="24"/>
    </row>
    <row r="603">
      <c r="A603" s="24"/>
      <c r="B603" s="24"/>
      <c r="C603" s="24"/>
      <c r="D603" s="24"/>
      <c r="E603" s="24"/>
      <c r="F603" s="24"/>
    </row>
    <row r="604">
      <c r="A604" s="24"/>
      <c r="B604" s="24"/>
      <c r="C604" s="24"/>
      <c r="D604" s="24"/>
      <c r="E604" s="24"/>
      <c r="F604" s="24"/>
    </row>
    <row r="605">
      <c r="A605" s="24"/>
      <c r="B605" s="24"/>
      <c r="C605" s="24"/>
      <c r="D605" s="24"/>
      <c r="E605" s="24"/>
      <c r="F605" s="24"/>
    </row>
    <row r="606">
      <c r="A606" s="24"/>
      <c r="B606" s="24"/>
      <c r="C606" s="24"/>
      <c r="D606" s="24"/>
      <c r="E606" s="24"/>
      <c r="F606" s="24"/>
    </row>
    <row r="607">
      <c r="A607" s="24"/>
      <c r="B607" s="24"/>
      <c r="C607" s="24"/>
      <c r="D607" s="24"/>
      <c r="E607" s="24"/>
      <c r="F607" s="24"/>
    </row>
    <row r="608">
      <c r="A608" s="24"/>
      <c r="B608" s="24"/>
      <c r="C608" s="24"/>
      <c r="D608" s="24"/>
      <c r="E608" s="24"/>
      <c r="F608" s="24"/>
    </row>
    <row r="609">
      <c r="A609" s="24"/>
      <c r="B609" s="24"/>
      <c r="C609" s="24"/>
      <c r="D609" s="24"/>
      <c r="E609" s="24"/>
      <c r="F609" s="24"/>
    </row>
    <row r="610">
      <c r="A610" s="24"/>
      <c r="B610" s="24"/>
      <c r="C610" s="24"/>
      <c r="D610" s="24"/>
      <c r="E610" s="24"/>
      <c r="F610" s="24"/>
    </row>
    <row r="611">
      <c r="A611" s="24"/>
      <c r="B611" s="24"/>
      <c r="C611" s="24"/>
      <c r="D611" s="24"/>
      <c r="E611" s="24"/>
      <c r="F611" s="24"/>
    </row>
    <row r="612">
      <c r="A612" s="24"/>
      <c r="B612" s="24"/>
      <c r="C612" s="24"/>
      <c r="D612" s="24"/>
      <c r="E612" s="24"/>
      <c r="F612" s="24"/>
    </row>
    <row r="613">
      <c r="A613" s="24"/>
      <c r="B613" s="24"/>
      <c r="C613" s="24"/>
      <c r="D613" s="24"/>
      <c r="E613" s="24"/>
      <c r="F613" s="24"/>
    </row>
    <row r="614">
      <c r="A614" s="24"/>
      <c r="B614" s="24"/>
      <c r="C614" s="24"/>
      <c r="D614" s="24"/>
      <c r="E614" s="24"/>
      <c r="F614" s="24"/>
    </row>
    <row r="615">
      <c r="A615" s="24"/>
      <c r="B615" s="24"/>
      <c r="C615" s="24"/>
      <c r="D615" s="24"/>
      <c r="E615" s="24"/>
      <c r="F615" s="24"/>
    </row>
    <row r="616">
      <c r="A616" s="24"/>
      <c r="B616" s="24"/>
      <c r="C616" s="24"/>
      <c r="D616" s="24"/>
      <c r="E616" s="24"/>
      <c r="F616" s="24"/>
    </row>
    <row r="617">
      <c r="A617" s="24"/>
      <c r="B617" s="24"/>
      <c r="C617" s="24"/>
      <c r="D617" s="24"/>
      <c r="E617" s="24"/>
      <c r="F617" s="24"/>
    </row>
    <row r="618">
      <c r="A618" s="24"/>
      <c r="B618" s="24"/>
      <c r="C618" s="24"/>
      <c r="D618" s="24"/>
      <c r="E618" s="24"/>
      <c r="F618" s="24"/>
    </row>
    <row r="619">
      <c r="A619" s="24"/>
      <c r="B619" s="24"/>
      <c r="C619" s="24"/>
      <c r="D619" s="24"/>
      <c r="E619" s="24"/>
      <c r="F619" s="24"/>
    </row>
    <row r="620">
      <c r="A620" s="24"/>
      <c r="B620" s="24"/>
      <c r="C620" s="24"/>
      <c r="D620" s="24"/>
      <c r="E620" s="24"/>
      <c r="F620" s="24"/>
    </row>
    <row r="621">
      <c r="A621" s="24"/>
      <c r="B621" s="24"/>
      <c r="C621" s="24"/>
      <c r="D621" s="24"/>
      <c r="E621" s="24"/>
      <c r="F621" s="24"/>
    </row>
    <row r="622">
      <c r="A622" s="24"/>
      <c r="B622" s="24"/>
      <c r="C622" s="24"/>
      <c r="D622" s="24"/>
      <c r="E622" s="24"/>
      <c r="F622" s="24"/>
    </row>
    <row r="623">
      <c r="A623" s="24"/>
      <c r="B623" s="24"/>
      <c r="C623" s="24"/>
      <c r="D623" s="24"/>
      <c r="E623" s="24"/>
      <c r="F623" s="24"/>
    </row>
    <row r="624">
      <c r="A624" s="24"/>
      <c r="B624" s="24"/>
      <c r="C624" s="24"/>
      <c r="D624" s="24"/>
      <c r="E624" s="24"/>
      <c r="F624" s="24"/>
    </row>
    <row r="625">
      <c r="A625" s="24"/>
      <c r="B625" s="24"/>
      <c r="C625" s="24"/>
      <c r="D625" s="24"/>
      <c r="E625" s="24"/>
      <c r="F625" s="24"/>
    </row>
    <row r="626">
      <c r="A626" s="24"/>
      <c r="B626" s="24"/>
      <c r="C626" s="24"/>
      <c r="D626" s="24"/>
      <c r="E626" s="24"/>
      <c r="F626" s="24"/>
    </row>
    <row r="627">
      <c r="A627" s="24"/>
      <c r="B627" s="24"/>
      <c r="C627" s="24"/>
      <c r="D627" s="24"/>
      <c r="E627" s="24"/>
      <c r="F627" s="24"/>
    </row>
    <row r="628">
      <c r="A628" s="24"/>
      <c r="B628" s="24"/>
      <c r="C628" s="24"/>
      <c r="D628" s="24"/>
      <c r="E628" s="24"/>
      <c r="F628" s="24"/>
    </row>
    <row r="629">
      <c r="A629" s="24"/>
      <c r="B629" s="24"/>
      <c r="C629" s="24"/>
      <c r="D629" s="24"/>
      <c r="E629" s="24"/>
      <c r="F629" s="24"/>
    </row>
    <row r="630">
      <c r="A630" s="24"/>
      <c r="B630" s="24"/>
      <c r="C630" s="24"/>
      <c r="D630" s="24"/>
      <c r="E630" s="24"/>
      <c r="F630" s="24"/>
    </row>
    <row r="631">
      <c r="A631" s="24"/>
      <c r="B631" s="24"/>
      <c r="C631" s="24"/>
      <c r="D631" s="24"/>
      <c r="E631" s="24"/>
      <c r="F631" s="24"/>
    </row>
    <row r="632">
      <c r="A632" s="24"/>
      <c r="B632" s="24"/>
      <c r="C632" s="24"/>
      <c r="D632" s="24"/>
      <c r="E632" s="24"/>
      <c r="F632" s="24"/>
    </row>
    <row r="633">
      <c r="A633" s="24"/>
      <c r="B633" s="24"/>
      <c r="C633" s="24"/>
      <c r="D633" s="24"/>
      <c r="E633" s="24"/>
      <c r="F633" s="24"/>
    </row>
    <row r="634">
      <c r="A634" s="24"/>
      <c r="B634" s="24"/>
      <c r="C634" s="24"/>
      <c r="D634" s="24"/>
      <c r="E634" s="24"/>
      <c r="F634" s="24"/>
    </row>
    <row r="635">
      <c r="A635" s="24"/>
      <c r="B635" s="24"/>
      <c r="C635" s="24"/>
      <c r="D635" s="24"/>
      <c r="E635" s="24"/>
      <c r="F635" s="24"/>
    </row>
    <row r="636">
      <c r="A636" s="24"/>
      <c r="B636" s="24"/>
      <c r="C636" s="24"/>
      <c r="D636" s="24"/>
      <c r="E636" s="24"/>
      <c r="F636" s="24"/>
    </row>
    <row r="637">
      <c r="A637" s="24"/>
      <c r="B637" s="24"/>
      <c r="C637" s="24"/>
      <c r="D637" s="24"/>
      <c r="E637" s="24"/>
      <c r="F637" s="24"/>
    </row>
    <row r="638">
      <c r="A638" s="24"/>
      <c r="B638" s="24"/>
      <c r="C638" s="24"/>
      <c r="D638" s="24"/>
      <c r="E638" s="24"/>
      <c r="F638" s="24"/>
    </row>
    <row r="639">
      <c r="A639" s="24"/>
      <c r="B639" s="24"/>
      <c r="C639" s="24"/>
      <c r="D639" s="24"/>
      <c r="E639" s="24"/>
      <c r="F639" s="24"/>
    </row>
    <row r="640">
      <c r="A640" s="24"/>
      <c r="B640" s="24"/>
      <c r="C640" s="24"/>
      <c r="D640" s="24"/>
      <c r="E640" s="24"/>
      <c r="F640" s="24"/>
    </row>
    <row r="641">
      <c r="A641" s="24"/>
      <c r="B641" s="24"/>
      <c r="C641" s="24"/>
      <c r="D641" s="24"/>
      <c r="E641" s="24"/>
      <c r="F641" s="24"/>
    </row>
    <row r="642">
      <c r="A642" s="24"/>
      <c r="B642" s="24"/>
      <c r="C642" s="24"/>
      <c r="D642" s="24"/>
      <c r="E642" s="24"/>
      <c r="F642" s="24"/>
    </row>
    <row r="643">
      <c r="A643" s="24"/>
      <c r="B643" s="24"/>
      <c r="C643" s="24"/>
      <c r="D643" s="24"/>
      <c r="E643" s="24"/>
      <c r="F643" s="24"/>
    </row>
    <row r="644">
      <c r="A644" s="24"/>
      <c r="B644" s="24"/>
      <c r="C644" s="24"/>
      <c r="D644" s="24"/>
      <c r="E644" s="24"/>
      <c r="F644" s="24"/>
    </row>
    <row r="645">
      <c r="A645" s="24"/>
      <c r="B645" s="24"/>
      <c r="C645" s="24"/>
      <c r="D645" s="24"/>
      <c r="E645" s="24"/>
      <c r="F645" s="24"/>
    </row>
    <row r="646">
      <c r="A646" s="24"/>
      <c r="B646" s="24"/>
      <c r="C646" s="24"/>
      <c r="D646" s="24"/>
      <c r="E646" s="24"/>
      <c r="F646" s="24"/>
    </row>
    <row r="647">
      <c r="A647" s="24"/>
      <c r="B647" s="24"/>
      <c r="C647" s="24"/>
      <c r="D647" s="24"/>
      <c r="E647" s="24"/>
      <c r="F647" s="24"/>
    </row>
    <row r="648">
      <c r="A648" s="24"/>
      <c r="B648" s="24"/>
      <c r="C648" s="24"/>
      <c r="D648" s="24"/>
      <c r="E648" s="24"/>
      <c r="F648" s="24"/>
    </row>
    <row r="649">
      <c r="A649" s="24"/>
      <c r="B649" s="24"/>
      <c r="C649" s="24"/>
      <c r="D649" s="24"/>
      <c r="E649" s="24"/>
      <c r="F649" s="24"/>
    </row>
    <row r="650">
      <c r="A650" s="24"/>
      <c r="B650" s="24"/>
      <c r="C650" s="24"/>
      <c r="D650" s="24"/>
      <c r="E650" s="24"/>
      <c r="F650" s="24"/>
    </row>
    <row r="651">
      <c r="A651" s="24"/>
      <c r="B651" s="24"/>
      <c r="C651" s="24"/>
      <c r="D651" s="24"/>
      <c r="E651" s="24"/>
      <c r="F651" s="24"/>
    </row>
    <row r="652">
      <c r="A652" s="24"/>
      <c r="B652" s="24"/>
      <c r="C652" s="24"/>
      <c r="D652" s="24"/>
      <c r="E652" s="24"/>
      <c r="F652" s="24"/>
    </row>
    <row r="653">
      <c r="A653" s="24"/>
      <c r="B653" s="24"/>
      <c r="C653" s="24"/>
      <c r="D653" s="24"/>
      <c r="E653" s="24"/>
      <c r="F653" s="24"/>
    </row>
    <row r="654">
      <c r="A654" s="24"/>
      <c r="B654" s="24"/>
      <c r="C654" s="24"/>
      <c r="D654" s="24"/>
      <c r="E654" s="24"/>
      <c r="F654" s="24"/>
    </row>
    <row r="655">
      <c r="A655" s="24"/>
      <c r="B655" s="24"/>
      <c r="C655" s="24"/>
      <c r="D655" s="24"/>
      <c r="E655" s="24"/>
      <c r="F655" s="24"/>
    </row>
    <row r="656">
      <c r="A656" s="24"/>
      <c r="B656" s="24"/>
      <c r="C656" s="24"/>
      <c r="D656" s="24"/>
      <c r="E656" s="24"/>
      <c r="F656" s="24"/>
    </row>
    <row r="657">
      <c r="A657" s="24"/>
      <c r="B657" s="24"/>
      <c r="C657" s="24"/>
      <c r="D657" s="24"/>
      <c r="E657" s="24"/>
      <c r="F657" s="24"/>
    </row>
    <row r="658">
      <c r="A658" s="24"/>
      <c r="B658" s="24"/>
      <c r="C658" s="24"/>
      <c r="D658" s="24"/>
      <c r="E658" s="24"/>
      <c r="F658" s="24"/>
    </row>
    <row r="659">
      <c r="A659" s="24"/>
      <c r="B659" s="24"/>
      <c r="C659" s="24"/>
      <c r="D659" s="24"/>
      <c r="E659" s="24"/>
      <c r="F659" s="24"/>
    </row>
    <row r="660">
      <c r="A660" s="24"/>
      <c r="B660" s="24"/>
      <c r="C660" s="24"/>
      <c r="D660" s="24"/>
      <c r="E660" s="24"/>
      <c r="F660" s="24"/>
    </row>
    <row r="661">
      <c r="A661" s="24"/>
      <c r="B661" s="24"/>
      <c r="C661" s="24"/>
      <c r="D661" s="24"/>
      <c r="E661" s="24"/>
      <c r="F661" s="24"/>
    </row>
    <row r="662">
      <c r="A662" s="24"/>
      <c r="B662" s="24"/>
      <c r="C662" s="24"/>
      <c r="D662" s="24"/>
      <c r="E662" s="24"/>
      <c r="F662" s="24"/>
    </row>
    <row r="663">
      <c r="A663" s="24"/>
      <c r="B663" s="24"/>
      <c r="C663" s="24"/>
      <c r="D663" s="24"/>
      <c r="E663" s="24"/>
      <c r="F663" s="24"/>
    </row>
    <row r="664">
      <c r="A664" s="24"/>
      <c r="B664" s="24"/>
      <c r="C664" s="24"/>
      <c r="D664" s="24"/>
      <c r="E664" s="24"/>
      <c r="F664" s="24"/>
    </row>
    <row r="665">
      <c r="A665" s="24"/>
      <c r="B665" s="24"/>
      <c r="C665" s="24"/>
      <c r="D665" s="24"/>
      <c r="E665" s="24"/>
      <c r="F665" s="24"/>
    </row>
    <row r="666">
      <c r="A666" s="24"/>
      <c r="B666" s="24"/>
      <c r="C666" s="24"/>
      <c r="D666" s="24"/>
      <c r="E666" s="24"/>
      <c r="F666" s="24"/>
    </row>
    <row r="667">
      <c r="A667" s="24"/>
      <c r="B667" s="24"/>
      <c r="C667" s="24"/>
      <c r="D667" s="24"/>
      <c r="E667" s="24"/>
      <c r="F667" s="24"/>
    </row>
    <row r="668">
      <c r="A668" s="24"/>
      <c r="B668" s="24"/>
      <c r="C668" s="24"/>
      <c r="D668" s="24"/>
      <c r="E668" s="24"/>
      <c r="F668" s="24"/>
    </row>
    <row r="669">
      <c r="A669" s="24"/>
      <c r="B669" s="24"/>
      <c r="C669" s="24"/>
      <c r="D669" s="24"/>
      <c r="E669" s="24"/>
      <c r="F669" s="24"/>
    </row>
    <row r="670">
      <c r="A670" s="24"/>
      <c r="B670" s="24"/>
      <c r="C670" s="24"/>
      <c r="D670" s="24"/>
      <c r="E670" s="24"/>
      <c r="F670" s="24"/>
    </row>
    <row r="671">
      <c r="A671" s="24"/>
      <c r="B671" s="24"/>
      <c r="C671" s="24"/>
      <c r="D671" s="24"/>
      <c r="E671" s="24"/>
      <c r="F671" s="24"/>
    </row>
    <row r="672">
      <c r="A672" s="24"/>
      <c r="B672" s="24"/>
      <c r="C672" s="24"/>
      <c r="D672" s="24"/>
      <c r="E672" s="24"/>
      <c r="F672" s="24"/>
    </row>
    <row r="673">
      <c r="A673" s="24"/>
      <c r="B673" s="24"/>
      <c r="C673" s="24"/>
      <c r="D673" s="24"/>
      <c r="E673" s="24"/>
      <c r="F673" s="24"/>
    </row>
    <row r="674">
      <c r="A674" s="24"/>
      <c r="B674" s="24"/>
      <c r="C674" s="24"/>
      <c r="D674" s="24"/>
      <c r="E674" s="24"/>
      <c r="F674" s="24"/>
    </row>
    <row r="675">
      <c r="A675" s="24"/>
      <c r="B675" s="24"/>
      <c r="C675" s="24"/>
      <c r="D675" s="24"/>
      <c r="E675" s="24"/>
      <c r="F675" s="24"/>
    </row>
    <row r="676">
      <c r="A676" s="24"/>
      <c r="B676" s="24"/>
      <c r="C676" s="24"/>
      <c r="D676" s="24"/>
      <c r="E676" s="24"/>
      <c r="F676" s="24"/>
    </row>
    <row r="677">
      <c r="A677" s="24"/>
      <c r="B677" s="24"/>
      <c r="C677" s="24"/>
      <c r="D677" s="24"/>
      <c r="E677" s="24"/>
      <c r="F677" s="24"/>
    </row>
    <row r="678">
      <c r="A678" s="24"/>
      <c r="B678" s="24"/>
      <c r="C678" s="24"/>
      <c r="D678" s="24"/>
      <c r="E678" s="24"/>
      <c r="F678" s="24"/>
    </row>
    <row r="679">
      <c r="A679" s="24"/>
      <c r="B679" s="24"/>
      <c r="C679" s="24"/>
      <c r="D679" s="24"/>
      <c r="E679" s="24"/>
      <c r="F679" s="24"/>
    </row>
    <row r="680">
      <c r="A680" s="24"/>
      <c r="B680" s="24"/>
      <c r="C680" s="24"/>
      <c r="D680" s="24"/>
      <c r="E680" s="24"/>
      <c r="F680" s="24"/>
    </row>
    <row r="681">
      <c r="A681" s="24"/>
      <c r="B681" s="24"/>
      <c r="C681" s="24"/>
      <c r="D681" s="24"/>
      <c r="E681" s="24"/>
      <c r="F681" s="24"/>
    </row>
    <row r="682">
      <c r="A682" s="24"/>
      <c r="B682" s="24"/>
      <c r="C682" s="24"/>
      <c r="D682" s="24"/>
      <c r="E682" s="24"/>
      <c r="F682" s="24"/>
    </row>
    <row r="683">
      <c r="A683" s="24"/>
      <c r="B683" s="24"/>
      <c r="C683" s="24"/>
      <c r="D683" s="24"/>
      <c r="E683" s="24"/>
      <c r="F683" s="24"/>
    </row>
    <row r="684">
      <c r="A684" s="24"/>
      <c r="B684" s="24"/>
      <c r="C684" s="24"/>
      <c r="D684" s="24"/>
      <c r="E684" s="24"/>
      <c r="F684" s="24"/>
    </row>
    <row r="685">
      <c r="A685" s="24"/>
      <c r="B685" s="24"/>
      <c r="C685" s="24"/>
      <c r="D685" s="24"/>
      <c r="E685" s="24"/>
      <c r="F685" s="24"/>
    </row>
    <row r="686">
      <c r="A686" s="24"/>
      <c r="B686" s="24"/>
      <c r="C686" s="24"/>
      <c r="D686" s="24"/>
      <c r="E686" s="24"/>
      <c r="F686" s="24"/>
    </row>
    <row r="687">
      <c r="A687" s="24"/>
      <c r="B687" s="24"/>
      <c r="C687" s="24"/>
      <c r="D687" s="24"/>
      <c r="E687" s="24"/>
      <c r="F687" s="24"/>
    </row>
    <row r="688">
      <c r="A688" s="24"/>
      <c r="B688" s="24"/>
      <c r="C688" s="24"/>
      <c r="D688" s="24"/>
      <c r="E688" s="24"/>
      <c r="F688" s="24"/>
    </row>
    <row r="689">
      <c r="A689" s="24"/>
      <c r="B689" s="24"/>
      <c r="C689" s="24"/>
      <c r="D689" s="24"/>
      <c r="E689" s="24"/>
      <c r="F689" s="24"/>
    </row>
    <row r="690">
      <c r="A690" s="24"/>
      <c r="B690" s="24"/>
      <c r="C690" s="24"/>
      <c r="D690" s="24"/>
      <c r="E690" s="24"/>
      <c r="F690" s="24"/>
    </row>
    <row r="691">
      <c r="A691" s="24"/>
      <c r="B691" s="24"/>
      <c r="C691" s="24"/>
      <c r="D691" s="24"/>
      <c r="E691" s="24"/>
      <c r="F691" s="24"/>
    </row>
    <row r="692">
      <c r="A692" s="24"/>
      <c r="B692" s="24"/>
      <c r="C692" s="24"/>
      <c r="D692" s="24"/>
      <c r="E692" s="24"/>
      <c r="F692" s="24"/>
    </row>
    <row r="693">
      <c r="A693" s="24"/>
      <c r="B693" s="24"/>
      <c r="C693" s="24"/>
      <c r="D693" s="24"/>
      <c r="E693" s="24"/>
      <c r="F693" s="24"/>
    </row>
    <row r="694">
      <c r="A694" s="24"/>
      <c r="B694" s="24"/>
      <c r="C694" s="24"/>
      <c r="D694" s="24"/>
      <c r="E694" s="24"/>
      <c r="F694" s="24"/>
    </row>
    <row r="695">
      <c r="A695" s="24"/>
      <c r="B695" s="24"/>
      <c r="C695" s="24"/>
      <c r="D695" s="24"/>
      <c r="E695" s="24"/>
      <c r="F695" s="24"/>
    </row>
    <row r="696">
      <c r="A696" s="24"/>
      <c r="B696" s="24"/>
      <c r="C696" s="24"/>
      <c r="D696" s="24"/>
      <c r="E696" s="24"/>
      <c r="F696" s="24"/>
    </row>
    <row r="697">
      <c r="A697" s="24"/>
      <c r="B697" s="24"/>
      <c r="C697" s="24"/>
      <c r="D697" s="24"/>
      <c r="E697" s="24"/>
      <c r="F697" s="24"/>
    </row>
    <row r="698">
      <c r="A698" s="24"/>
      <c r="B698" s="24"/>
      <c r="C698" s="24"/>
      <c r="D698" s="24"/>
      <c r="E698" s="24"/>
      <c r="F698" s="24"/>
    </row>
    <row r="699">
      <c r="A699" s="24"/>
      <c r="B699" s="24"/>
      <c r="C699" s="24"/>
      <c r="D699" s="24"/>
      <c r="E699" s="24"/>
      <c r="F699" s="24"/>
    </row>
    <row r="700">
      <c r="A700" s="24"/>
      <c r="B700" s="24"/>
      <c r="C700" s="24"/>
      <c r="D700" s="24"/>
      <c r="E700" s="24"/>
      <c r="F700" s="24"/>
    </row>
    <row r="701">
      <c r="A701" s="24"/>
      <c r="B701" s="24"/>
      <c r="C701" s="24"/>
      <c r="D701" s="24"/>
      <c r="E701" s="24"/>
      <c r="F701" s="24"/>
    </row>
    <row r="702">
      <c r="A702" s="24"/>
      <c r="B702" s="24"/>
      <c r="C702" s="24"/>
      <c r="D702" s="24"/>
      <c r="E702" s="24"/>
      <c r="F702" s="24"/>
    </row>
    <row r="703">
      <c r="A703" s="24"/>
      <c r="B703" s="24"/>
      <c r="C703" s="24"/>
      <c r="D703" s="24"/>
      <c r="E703" s="24"/>
      <c r="F703" s="24"/>
    </row>
    <row r="704">
      <c r="A704" s="24"/>
      <c r="B704" s="24"/>
      <c r="C704" s="24"/>
      <c r="D704" s="24"/>
      <c r="E704" s="24"/>
      <c r="F704" s="24"/>
    </row>
    <row r="705">
      <c r="A705" s="24"/>
      <c r="B705" s="24"/>
      <c r="C705" s="24"/>
      <c r="D705" s="24"/>
      <c r="E705" s="24"/>
      <c r="F705" s="24"/>
    </row>
    <row r="706">
      <c r="A706" s="24"/>
      <c r="B706" s="24"/>
      <c r="C706" s="24"/>
      <c r="D706" s="24"/>
      <c r="E706" s="24"/>
      <c r="F706" s="24"/>
    </row>
    <row r="707">
      <c r="A707" s="24"/>
      <c r="B707" s="24"/>
      <c r="C707" s="24"/>
      <c r="D707" s="24"/>
      <c r="E707" s="24"/>
      <c r="F707" s="24"/>
    </row>
    <row r="708">
      <c r="A708" s="24"/>
      <c r="B708" s="24"/>
      <c r="C708" s="24"/>
      <c r="D708" s="24"/>
      <c r="E708" s="24"/>
      <c r="F708" s="24"/>
    </row>
    <row r="709">
      <c r="A709" s="24"/>
      <c r="B709" s="24"/>
      <c r="C709" s="24"/>
      <c r="D709" s="24"/>
      <c r="E709" s="24"/>
      <c r="F709" s="24"/>
    </row>
    <row r="710">
      <c r="A710" s="24"/>
      <c r="B710" s="24"/>
      <c r="C710" s="24"/>
      <c r="D710" s="24"/>
      <c r="E710" s="24"/>
      <c r="F710" s="24"/>
    </row>
    <row r="711">
      <c r="A711" s="24"/>
      <c r="B711" s="24"/>
      <c r="C711" s="24"/>
      <c r="D711" s="24"/>
      <c r="E711" s="24"/>
      <c r="F711" s="24"/>
    </row>
    <row r="712">
      <c r="A712" s="24"/>
      <c r="B712" s="24"/>
      <c r="C712" s="24"/>
      <c r="D712" s="24"/>
      <c r="E712" s="24"/>
      <c r="F712" s="24"/>
    </row>
    <row r="713">
      <c r="A713" s="24"/>
      <c r="B713" s="24"/>
      <c r="C713" s="24"/>
      <c r="D713" s="24"/>
      <c r="E713" s="24"/>
      <c r="F713" s="24"/>
    </row>
    <row r="714">
      <c r="A714" s="24"/>
      <c r="B714" s="24"/>
      <c r="C714" s="24"/>
      <c r="D714" s="24"/>
      <c r="E714" s="24"/>
      <c r="F714" s="24"/>
    </row>
    <row r="715">
      <c r="A715" s="24"/>
      <c r="B715" s="24"/>
      <c r="C715" s="24"/>
      <c r="D715" s="24"/>
      <c r="E715" s="24"/>
      <c r="F715" s="24"/>
    </row>
    <row r="716">
      <c r="A716" s="24"/>
      <c r="B716" s="24"/>
      <c r="C716" s="24"/>
      <c r="D716" s="24"/>
      <c r="E716" s="24"/>
      <c r="F716" s="24"/>
    </row>
    <row r="717">
      <c r="A717" s="24"/>
      <c r="B717" s="24"/>
      <c r="C717" s="24"/>
      <c r="D717" s="24"/>
      <c r="E717" s="24"/>
      <c r="F717" s="24"/>
    </row>
    <row r="718">
      <c r="A718" s="24"/>
      <c r="B718" s="24"/>
      <c r="C718" s="24"/>
      <c r="D718" s="24"/>
      <c r="E718" s="24"/>
      <c r="F718" s="24"/>
    </row>
    <row r="719">
      <c r="A719" s="24"/>
      <c r="B719" s="24"/>
      <c r="C719" s="24"/>
      <c r="D719" s="24"/>
      <c r="E719" s="24"/>
      <c r="F719" s="24"/>
    </row>
    <row r="720">
      <c r="A720" s="24"/>
      <c r="B720" s="24"/>
      <c r="C720" s="24"/>
      <c r="D720" s="24"/>
      <c r="E720" s="24"/>
      <c r="F720" s="24"/>
    </row>
    <row r="721">
      <c r="A721" s="24"/>
      <c r="B721" s="24"/>
      <c r="C721" s="24"/>
      <c r="D721" s="24"/>
      <c r="E721" s="24"/>
      <c r="F721" s="24"/>
    </row>
    <row r="722">
      <c r="A722" s="24"/>
      <c r="B722" s="24"/>
      <c r="C722" s="24"/>
      <c r="D722" s="24"/>
      <c r="E722" s="24"/>
      <c r="F722" s="24"/>
    </row>
    <row r="723">
      <c r="A723" s="24"/>
      <c r="B723" s="24"/>
      <c r="C723" s="24"/>
      <c r="D723" s="24"/>
      <c r="E723" s="24"/>
      <c r="F723" s="24"/>
    </row>
    <row r="724">
      <c r="A724" s="24"/>
      <c r="B724" s="24"/>
      <c r="C724" s="24"/>
      <c r="D724" s="24"/>
      <c r="E724" s="24"/>
      <c r="F724" s="24"/>
    </row>
    <row r="725">
      <c r="A725" s="24"/>
      <c r="B725" s="24"/>
      <c r="C725" s="24"/>
      <c r="D725" s="24"/>
      <c r="E725" s="24"/>
      <c r="F725" s="24"/>
    </row>
    <row r="726">
      <c r="A726" s="24"/>
      <c r="B726" s="24"/>
      <c r="C726" s="24"/>
      <c r="D726" s="24"/>
      <c r="E726" s="24"/>
      <c r="F726" s="24"/>
    </row>
    <row r="727">
      <c r="A727" s="24"/>
      <c r="B727" s="24"/>
      <c r="C727" s="24"/>
      <c r="D727" s="24"/>
      <c r="E727" s="24"/>
      <c r="F727" s="24"/>
    </row>
    <row r="728">
      <c r="A728" s="24"/>
      <c r="B728" s="24"/>
      <c r="C728" s="24"/>
      <c r="D728" s="24"/>
      <c r="E728" s="24"/>
      <c r="F728" s="24"/>
    </row>
    <row r="729">
      <c r="A729" s="24"/>
      <c r="B729" s="24"/>
      <c r="C729" s="24"/>
      <c r="D729" s="24"/>
      <c r="E729" s="24"/>
      <c r="F729" s="24"/>
    </row>
    <row r="730">
      <c r="A730" s="24"/>
      <c r="B730" s="24"/>
      <c r="C730" s="24"/>
      <c r="D730" s="24"/>
      <c r="E730" s="24"/>
      <c r="F730" s="24"/>
    </row>
    <row r="731">
      <c r="A731" s="24"/>
      <c r="B731" s="24"/>
      <c r="C731" s="24"/>
      <c r="D731" s="24"/>
      <c r="E731" s="24"/>
      <c r="F731" s="24"/>
    </row>
    <row r="732">
      <c r="A732" s="24"/>
      <c r="B732" s="24"/>
      <c r="C732" s="24"/>
      <c r="D732" s="24"/>
      <c r="E732" s="24"/>
      <c r="F732" s="24"/>
    </row>
    <row r="733">
      <c r="A733" s="24"/>
      <c r="B733" s="24"/>
      <c r="C733" s="24"/>
      <c r="D733" s="24"/>
      <c r="E733" s="24"/>
      <c r="F733" s="24"/>
    </row>
    <row r="734">
      <c r="A734" s="24"/>
      <c r="B734" s="24"/>
      <c r="C734" s="24"/>
      <c r="D734" s="24"/>
      <c r="E734" s="24"/>
      <c r="F734" s="24"/>
    </row>
    <row r="735">
      <c r="A735" s="24"/>
      <c r="B735" s="24"/>
      <c r="C735" s="24"/>
      <c r="D735" s="24"/>
      <c r="E735" s="24"/>
      <c r="F735" s="24"/>
    </row>
    <row r="736">
      <c r="A736" s="24"/>
      <c r="B736" s="24"/>
      <c r="C736" s="24"/>
      <c r="D736" s="24"/>
      <c r="E736" s="24"/>
      <c r="F736" s="24"/>
    </row>
    <row r="737">
      <c r="A737" s="24"/>
      <c r="B737" s="24"/>
      <c r="C737" s="24"/>
      <c r="D737" s="24"/>
      <c r="E737" s="24"/>
      <c r="F737" s="24"/>
    </row>
    <row r="738">
      <c r="A738" s="24"/>
      <c r="B738" s="24"/>
      <c r="C738" s="24"/>
      <c r="D738" s="24"/>
      <c r="E738" s="24"/>
      <c r="F738" s="24"/>
    </row>
    <row r="739">
      <c r="A739" s="24"/>
      <c r="B739" s="24"/>
      <c r="C739" s="24"/>
      <c r="D739" s="24"/>
      <c r="E739" s="24"/>
      <c r="F739" s="24"/>
    </row>
    <row r="740">
      <c r="A740" s="24"/>
      <c r="B740" s="24"/>
      <c r="C740" s="24"/>
      <c r="D740" s="24"/>
      <c r="E740" s="24"/>
      <c r="F740" s="24"/>
    </row>
    <row r="741">
      <c r="A741" s="24"/>
      <c r="B741" s="24"/>
      <c r="C741" s="24"/>
      <c r="D741" s="24"/>
      <c r="E741" s="24"/>
      <c r="F741" s="24"/>
    </row>
    <row r="742">
      <c r="A742" s="24"/>
      <c r="B742" s="24"/>
      <c r="C742" s="24"/>
      <c r="D742" s="24"/>
      <c r="E742" s="24"/>
      <c r="F742" s="24"/>
    </row>
    <row r="743">
      <c r="A743" s="24"/>
      <c r="B743" s="24"/>
      <c r="C743" s="24"/>
      <c r="D743" s="24"/>
      <c r="E743" s="24"/>
      <c r="F743" s="24"/>
    </row>
    <row r="744">
      <c r="A744" s="24"/>
      <c r="B744" s="24"/>
      <c r="C744" s="24"/>
      <c r="D744" s="24"/>
      <c r="E744" s="24"/>
      <c r="F744" s="24"/>
    </row>
    <row r="745">
      <c r="A745" s="24"/>
      <c r="B745" s="24"/>
      <c r="C745" s="24"/>
      <c r="D745" s="24"/>
      <c r="E745" s="24"/>
      <c r="F745" s="24"/>
    </row>
    <row r="746">
      <c r="A746" s="24"/>
      <c r="B746" s="24"/>
      <c r="C746" s="24"/>
      <c r="D746" s="24"/>
      <c r="E746" s="24"/>
      <c r="F746" s="24"/>
    </row>
    <row r="747">
      <c r="A747" s="24"/>
      <c r="B747" s="24"/>
      <c r="C747" s="24"/>
      <c r="D747" s="24"/>
      <c r="E747" s="24"/>
      <c r="F747" s="24"/>
    </row>
    <row r="748">
      <c r="A748" s="24"/>
      <c r="B748" s="24"/>
      <c r="C748" s="24"/>
      <c r="D748" s="24"/>
      <c r="E748" s="24"/>
      <c r="F748" s="24"/>
    </row>
    <row r="749">
      <c r="A749" s="24"/>
      <c r="B749" s="24"/>
      <c r="C749" s="24"/>
      <c r="D749" s="24"/>
      <c r="E749" s="24"/>
      <c r="F749" s="24"/>
    </row>
    <row r="750">
      <c r="A750" s="24"/>
      <c r="B750" s="24"/>
      <c r="C750" s="24"/>
      <c r="D750" s="24"/>
      <c r="E750" s="24"/>
      <c r="F750" s="24"/>
    </row>
    <row r="751">
      <c r="A751" s="24"/>
      <c r="B751" s="24"/>
      <c r="C751" s="24"/>
      <c r="D751" s="24"/>
      <c r="E751" s="24"/>
      <c r="F751" s="24"/>
    </row>
    <row r="752">
      <c r="A752" s="24"/>
      <c r="B752" s="24"/>
      <c r="C752" s="24"/>
      <c r="D752" s="24"/>
      <c r="E752" s="24"/>
      <c r="F752" s="24"/>
    </row>
    <row r="753">
      <c r="A753" s="24"/>
      <c r="B753" s="24"/>
      <c r="C753" s="24"/>
      <c r="D753" s="24"/>
      <c r="E753" s="24"/>
      <c r="F753" s="24"/>
    </row>
    <row r="754">
      <c r="A754" s="24"/>
      <c r="B754" s="24"/>
      <c r="C754" s="24"/>
      <c r="D754" s="24"/>
      <c r="E754" s="24"/>
      <c r="F754" s="24"/>
    </row>
    <row r="755">
      <c r="A755" s="24"/>
      <c r="B755" s="24"/>
      <c r="C755" s="24"/>
      <c r="D755" s="24"/>
      <c r="E755" s="24"/>
      <c r="F755" s="24"/>
    </row>
    <row r="756">
      <c r="A756" s="24"/>
      <c r="B756" s="24"/>
      <c r="C756" s="24"/>
      <c r="D756" s="24"/>
      <c r="E756" s="24"/>
      <c r="F756" s="24"/>
    </row>
    <row r="757">
      <c r="A757" s="24"/>
      <c r="B757" s="24"/>
      <c r="C757" s="24"/>
      <c r="D757" s="24"/>
      <c r="E757" s="24"/>
      <c r="F757" s="24"/>
    </row>
    <row r="758">
      <c r="A758" s="24"/>
      <c r="B758" s="24"/>
      <c r="C758" s="24"/>
      <c r="D758" s="24"/>
      <c r="E758" s="24"/>
      <c r="F758" s="24"/>
    </row>
    <row r="759">
      <c r="A759" s="24"/>
      <c r="B759" s="24"/>
      <c r="C759" s="24"/>
      <c r="D759" s="24"/>
      <c r="E759" s="24"/>
      <c r="F759" s="24"/>
    </row>
    <row r="760">
      <c r="A760" s="24"/>
      <c r="B760" s="24"/>
      <c r="C760" s="24"/>
      <c r="D760" s="24"/>
      <c r="E760" s="24"/>
      <c r="F760" s="24"/>
    </row>
    <row r="761">
      <c r="A761" s="24"/>
      <c r="B761" s="24"/>
      <c r="C761" s="24"/>
      <c r="D761" s="24"/>
      <c r="E761" s="24"/>
      <c r="F761" s="24"/>
    </row>
    <row r="762">
      <c r="A762" s="24"/>
      <c r="B762" s="24"/>
      <c r="C762" s="24"/>
      <c r="D762" s="24"/>
      <c r="E762" s="24"/>
      <c r="F762" s="24"/>
    </row>
    <row r="763">
      <c r="A763" s="24"/>
      <c r="B763" s="24"/>
      <c r="C763" s="24"/>
      <c r="D763" s="24"/>
      <c r="E763" s="24"/>
      <c r="F763" s="24"/>
    </row>
    <row r="764">
      <c r="A764" s="24"/>
      <c r="B764" s="24"/>
      <c r="C764" s="24"/>
      <c r="D764" s="24"/>
      <c r="E764" s="24"/>
      <c r="F764" s="24"/>
    </row>
    <row r="765">
      <c r="A765" s="24"/>
      <c r="B765" s="24"/>
      <c r="C765" s="24"/>
      <c r="D765" s="24"/>
      <c r="E765" s="24"/>
      <c r="F765" s="24"/>
    </row>
    <row r="766">
      <c r="A766" s="24"/>
      <c r="B766" s="24"/>
      <c r="C766" s="24"/>
      <c r="D766" s="24"/>
      <c r="E766" s="24"/>
      <c r="F766" s="24"/>
    </row>
    <row r="767">
      <c r="A767" s="24"/>
      <c r="B767" s="24"/>
      <c r="C767" s="24"/>
      <c r="D767" s="24"/>
      <c r="E767" s="24"/>
      <c r="F767" s="24"/>
    </row>
    <row r="768">
      <c r="A768" s="24"/>
      <c r="B768" s="24"/>
      <c r="C768" s="24"/>
      <c r="D768" s="24"/>
      <c r="E768" s="24"/>
      <c r="F768" s="24"/>
    </row>
    <row r="769">
      <c r="A769" s="24"/>
      <c r="B769" s="24"/>
      <c r="C769" s="24"/>
      <c r="D769" s="24"/>
      <c r="E769" s="24"/>
      <c r="F769" s="24"/>
    </row>
    <row r="770">
      <c r="A770" s="24"/>
      <c r="B770" s="24"/>
      <c r="C770" s="24"/>
      <c r="D770" s="24"/>
      <c r="E770" s="24"/>
      <c r="F770" s="24"/>
    </row>
    <row r="771">
      <c r="A771" s="24"/>
      <c r="B771" s="24"/>
      <c r="C771" s="24"/>
      <c r="D771" s="24"/>
      <c r="E771" s="24"/>
      <c r="F771" s="24"/>
    </row>
    <row r="772">
      <c r="A772" s="24"/>
      <c r="B772" s="24"/>
      <c r="C772" s="24"/>
      <c r="D772" s="24"/>
      <c r="E772" s="24"/>
      <c r="F772" s="24"/>
    </row>
    <row r="773">
      <c r="A773" s="24"/>
      <c r="B773" s="24"/>
      <c r="C773" s="24"/>
      <c r="D773" s="24"/>
      <c r="E773" s="24"/>
      <c r="F773" s="24"/>
    </row>
    <row r="774">
      <c r="A774" s="24"/>
      <c r="B774" s="24"/>
      <c r="C774" s="24"/>
      <c r="D774" s="24"/>
      <c r="E774" s="24"/>
      <c r="F774" s="24"/>
    </row>
    <row r="775">
      <c r="A775" s="24"/>
      <c r="B775" s="24"/>
      <c r="C775" s="24"/>
      <c r="D775" s="24"/>
      <c r="E775" s="24"/>
      <c r="F775" s="24"/>
    </row>
    <row r="776">
      <c r="A776" s="24"/>
      <c r="B776" s="24"/>
      <c r="C776" s="24"/>
      <c r="D776" s="24"/>
      <c r="E776" s="24"/>
      <c r="F776" s="24"/>
    </row>
    <row r="777">
      <c r="A777" s="24"/>
      <c r="B777" s="24"/>
      <c r="C777" s="24"/>
      <c r="D777" s="24"/>
      <c r="E777" s="24"/>
      <c r="F777" s="24"/>
    </row>
    <row r="778">
      <c r="A778" s="24"/>
      <c r="B778" s="24"/>
      <c r="C778" s="24"/>
      <c r="D778" s="24"/>
      <c r="E778" s="24"/>
      <c r="F778" s="24"/>
    </row>
    <row r="779">
      <c r="A779" s="24"/>
      <c r="B779" s="24"/>
      <c r="C779" s="24"/>
      <c r="D779" s="24"/>
      <c r="E779" s="24"/>
      <c r="F779" s="24"/>
    </row>
    <row r="780">
      <c r="A780" s="24"/>
      <c r="B780" s="24"/>
      <c r="C780" s="24"/>
      <c r="D780" s="24"/>
      <c r="E780" s="24"/>
      <c r="F780" s="24"/>
    </row>
    <row r="781">
      <c r="A781" s="24"/>
      <c r="B781" s="24"/>
      <c r="C781" s="24"/>
      <c r="D781" s="24"/>
      <c r="E781" s="24"/>
      <c r="F781" s="24"/>
    </row>
    <row r="782">
      <c r="A782" s="24"/>
      <c r="B782" s="24"/>
      <c r="C782" s="24"/>
      <c r="D782" s="24"/>
      <c r="E782" s="24"/>
      <c r="F782" s="24"/>
    </row>
    <row r="783">
      <c r="A783" s="24"/>
      <c r="B783" s="24"/>
      <c r="C783" s="24"/>
      <c r="D783" s="24"/>
      <c r="E783" s="24"/>
      <c r="F783" s="24"/>
    </row>
    <row r="784">
      <c r="A784" s="24"/>
      <c r="B784" s="24"/>
      <c r="C784" s="24"/>
      <c r="D784" s="24"/>
      <c r="E784" s="24"/>
      <c r="F784" s="24"/>
    </row>
    <row r="785">
      <c r="A785" s="24"/>
      <c r="B785" s="24"/>
      <c r="C785" s="24"/>
      <c r="D785" s="24"/>
      <c r="E785" s="24"/>
      <c r="F785" s="24"/>
    </row>
    <row r="786">
      <c r="A786" s="24"/>
      <c r="B786" s="24"/>
      <c r="C786" s="24"/>
      <c r="D786" s="24"/>
      <c r="E786" s="24"/>
      <c r="F786" s="24"/>
    </row>
    <row r="787">
      <c r="A787" s="24"/>
      <c r="B787" s="24"/>
      <c r="C787" s="24"/>
      <c r="D787" s="24"/>
      <c r="E787" s="24"/>
      <c r="F787" s="24"/>
    </row>
    <row r="788">
      <c r="A788" s="24"/>
      <c r="B788" s="24"/>
      <c r="C788" s="24"/>
      <c r="D788" s="24"/>
      <c r="E788" s="24"/>
      <c r="F788" s="24"/>
    </row>
    <row r="789">
      <c r="A789" s="24"/>
      <c r="B789" s="24"/>
      <c r="C789" s="24"/>
      <c r="D789" s="24"/>
      <c r="E789" s="24"/>
      <c r="F789" s="24"/>
    </row>
    <row r="790">
      <c r="A790" s="24"/>
      <c r="B790" s="24"/>
      <c r="C790" s="24"/>
      <c r="D790" s="24"/>
      <c r="E790" s="24"/>
      <c r="F790" s="24"/>
    </row>
    <row r="791">
      <c r="A791" s="24"/>
      <c r="B791" s="24"/>
      <c r="C791" s="24"/>
      <c r="D791" s="24"/>
      <c r="E791" s="24"/>
      <c r="F791" s="24"/>
    </row>
    <row r="792">
      <c r="A792" s="24"/>
      <c r="B792" s="24"/>
      <c r="C792" s="24"/>
      <c r="D792" s="24"/>
      <c r="E792" s="24"/>
      <c r="F792" s="24"/>
    </row>
    <row r="793">
      <c r="A793" s="24"/>
      <c r="B793" s="24"/>
      <c r="C793" s="24"/>
      <c r="D793" s="24"/>
      <c r="E793" s="24"/>
      <c r="F793" s="24"/>
    </row>
    <row r="794">
      <c r="A794" s="24"/>
      <c r="B794" s="24"/>
      <c r="C794" s="24"/>
      <c r="D794" s="24"/>
      <c r="E794" s="24"/>
      <c r="F794" s="24"/>
    </row>
    <row r="795">
      <c r="A795" s="24"/>
      <c r="B795" s="24"/>
      <c r="C795" s="24"/>
      <c r="D795" s="24"/>
      <c r="E795" s="24"/>
      <c r="F795" s="24"/>
    </row>
    <row r="796">
      <c r="A796" s="24"/>
      <c r="B796" s="24"/>
      <c r="C796" s="24"/>
      <c r="D796" s="24"/>
      <c r="E796" s="24"/>
      <c r="F796" s="24"/>
    </row>
    <row r="797">
      <c r="A797" s="24"/>
      <c r="B797" s="24"/>
      <c r="C797" s="24"/>
      <c r="D797" s="24"/>
      <c r="E797" s="24"/>
      <c r="F797" s="24"/>
    </row>
    <row r="798">
      <c r="A798" s="24"/>
      <c r="B798" s="24"/>
      <c r="C798" s="24"/>
      <c r="D798" s="24"/>
      <c r="E798" s="24"/>
      <c r="F798" s="24"/>
    </row>
    <row r="799">
      <c r="A799" s="24"/>
      <c r="B799" s="24"/>
      <c r="C799" s="24"/>
      <c r="D799" s="24"/>
      <c r="E799" s="24"/>
      <c r="F799" s="24"/>
    </row>
    <row r="800">
      <c r="A800" s="24"/>
      <c r="B800" s="24"/>
      <c r="C800" s="24"/>
      <c r="D800" s="24"/>
      <c r="E800" s="24"/>
      <c r="F800" s="24"/>
    </row>
    <row r="801">
      <c r="A801" s="24"/>
      <c r="B801" s="24"/>
      <c r="C801" s="24"/>
      <c r="D801" s="24"/>
      <c r="E801" s="24"/>
      <c r="F801" s="24"/>
    </row>
    <row r="802">
      <c r="A802" s="24"/>
      <c r="B802" s="24"/>
      <c r="C802" s="24"/>
      <c r="D802" s="24"/>
      <c r="E802" s="24"/>
      <c r="F802" s="24"/>
    </row>
    <row r="803">
      <c r="A803" s="24"/>
      <c r="B803" s="24"/>
      <c r="C803" s="24"/>
      <c r="D803" s="24"/>
      <c r="E803" s="24"/>
      <c r="F803" s="24"/>
    </row>
    <row r="804">
      <c r="A804" s="24"/>
      <c r="B804" s="24"/>
      <c r="C804" s="24"/>
      <c r="D804" s="24"/>
      <c r="E804" s="24"/>
      <c r="F804" s="24"/>
    </row>
    <row r="805">
      <c r="A805" s="24"/>
      <c r="B805" s="24"/>
      <c r="C805" s="24"/>
      <c r="D805" s="24"/>
      <c r="E805" s="24"/>
      <c r="F805" s="24"/>
    </row>
    <row r="806">
      <c r="A806" s="24"/>
      <c r="B806" s="24"/>
      <c r="C806" s="24"/>
      <c r="D806" s="24"/>
      <c r="E806" s="24"/>
      <c r="F806" s="24"/>
    </row>
    <row r="807">
      <c r="A807" s="24"/>
      <c r="B807" s="24"/>
      <c r="C807" s="24"/>
      <c r="D807" s="24"/>
      <c r="E807" s="24"/>
      <c r="F807" s="24"/>
    </row>
    <row r="808">
      <c r="A808" s="24"/>
      <c r="B808" s="24"/>
      <c r="C808" s="24"/>
      <c r="D808" s="24"/>
      <c r="E808" s="24"/>
      <c r="F808" s="24"/>
    </row>
    <row r="809">
      <c r="A809" s="24"/>
      <c r="B809" s="24"/>
      <c r="C809" s="24"/>
      <c r="D809" s="24"/>
      <c r="E809" s="24"/>
      <c r="F809" s="24"/>
    </row>
    <row r="810">
      <c r="A810" s="24"/>
      <c r="B810" s="24"/>
      <c r="C810" s="24"/>
      <c r="D810" s="24"/>
      <c r="E810" s="24"/>
      <c r="F810" s="24"/>
    </row>
    <row r="811">
      <c r="A811" s="24"/>
      <c r="B811" s="24"/>
      <c r="C811" s="24"/>
      <c r="D811" s="24"/>
      <c r="E811" s="24"/>
      <c r="F811" s="24"/>
    </row>
    <row r="812">
      <c r="A812" s="24"/>
      <c r="B812" s="24"/>
      <c r="C812" s="24"/>
      <c r="D812" s="24"/>
      <c r="E812" s="24"/>
      <c r="F812" s="24"/>
    </row>
    <row r="813">
      <c r="A813" s="24"/>
      <c r="B813" s="24"/>
      <c r="C813" s="24"/>
      <c r="D813" s="24"/>
      <c r="E813" s="24"/>
      <c r="F813" s="24"/>
    </row>
    <row r="814">
      <c r="A814" s="24"/>
      <c r="B814" s="24"/>
      <c r="C814" s="24"/>
      <c r="D814" s="24"/>
      <c r="E814" s="24"/>
      <c r="F814" s="24"/>
    </row>
    <row r="815">
      <c r="A815" s="24"/>
      <c r="B815" s="24"/>
      <c r="C815" s="24"/>
      <c r="D815" s="24"/>
      <c r="E815" s="24"/>
      <c r="F815" s="24"/>
    </row>
    <row r="816">
      <c r="A816" s="24"/>
      <c r="B816" s="24"/>
      <c r="C816" s="24"/>
      <c r="D816" s="24"/>
      <c r="E816" s="24"/>
      <c r="F816" s="24"/>
    </row>
    <row r="817">
      <c r="A817" s="24"/>
      <c r="B817" s="24"/>
      <c r="C817" s="24"/>
      <c r="D817" s="24"/>
      <c r="E817" s="24"/>
      <c r="F817" s="24"/>
    </row>
    <row r="818">
      <c r="A818" s="24"/>
      <c r="B818" s="24"/>
      <c r="C818" s="24"/>
      <c r="D818" s="24"/>
      <c r="E818" s="24"/>
      <c r="F818" s="24"/>
    </row>
    <row r="819">
      <c r="A819" s="24"/>
      <c r="B819" s="24"/>
      <c r="C819" s="24"/>
      <c r="D819" s="24"/>
      <c r="E819" s="24"/>
      <c r="F819" s="24"/>
    </row>
    <row r="820">
      <c r="A820" s="24"/>
      <c r="B820" s="24"/>
      <c r="C820" s="24"/>
      <c r="D820" s="24"/>
      <c r="E820" s="24"/>
      <c r="F820" s="24"/>
    </row>
    <row r="821">
      <c r="A821" s="24"/>
      <c r="B821" s="24"/>
      <c r="C821" s="24"/>
      <c r="D821" s="24"/>
      <c r="E821" s="24"/>
      <c r="F821" s="24"/>
    </row>
    <row r="822">
      <c r="A822" s="24"/>
      <c r="B822" s="24"/>
      <c r="C822" s="24"/>
      <c r="D822" s="24"/>
      <c r="E822" s="24"/>
      <c r="F822" s="24"/>
    </row>
    <row r="823">
      <c r="A823" s="24"/>
      <c r="B823" s="24"/>
      <c r="C823" s="24"/>
      <c r="D823" s="24"/>
      <c r="E823" s="24"/>
      <c r="F823" s="24"/>
    </row>
    <row r="824">
      <c r="A824" s="24"/>
      <c r="B824" s="24"/>
      <c r="C824" s="24"/>
      <c r="D824" s="24"/>
      <c r="E824" s="24"/>
      <c r="F824" s="24"/>
    </row>
    <row r="825">
      <c r="A825" s="24"/>
      <c r="B825" s="24"/>
      <c r="C825" s="24"/>
      <c r="D825" s="24"/>
      <c r="E825" s="24"/>
      <c r="F825" s="24"/>
    </row>
    <row r="826">
      <c r="A826" s="24"/>
      <c r="B826" s="24"/>
      <c r="C826" s="24"/>
      <c r="D826" s="24"/>
      <c r="E826" s="24"/>
      <c r="F826" s="24"/>
    </row>
    <row r="827">
      <c r="A827" s="24"/>
      <c r="B827" s="24"/>
      <c r="C827" s="24"/>
      <c r="D827" s="24"/>
      <c r="E827" s="24"/>
      <c r="F827" s="24"/>
    </row>
    <row r="828">
      <c r="A828" s="24"/>
      <c r="B828" s="24"/>
      <c r="C828" s="24"/>
      <c r="D828" s="24"/>
      <c r="E828" s="24"/>
      <c r="F828" s="24"/>
    </row>
    <row r="829">
      <c r="A829" s="24"/>
      <c r="B829" s="24"/>
      <c r="C829" s="24"/>
      <c r="D829" s="24"/>
      <c r="E829" s="24"/>
      <c r="F829" s="24"/>
    </row>
    <row r="830">
      <c r="A830" s="24"/>
      <c r="B830" s="24"/>
      <c r="C830" s="24"/>
      <c r="D830" s="24"/>
      <c r="E830" s="24"/>
      <c r="F830" s="24"/>
    </row>
    <row r="831">
      <c r="A831" s="24"/>
      <c r="B831" s="24"/>
      <c r="C831" s="24"/>
      <c r="D831" s="24"/>
      <c r="E831" s="24"/>
      <c r="F831" s="24"/>
    </row>
    <row r="832">
      <c r="A832" s="24"/>
      <c r="B832" s="24"/>
      <c r="C832" s="24"/>
      <c r="D832" s="24"/>
      <c r="E832" s="24"/>
      <c r="F832" s="24"/>
    </row>
    <row r="833">
      <c r="A833" s="24"/>
      <c r="B833" s="24"/>
      <c r="C833" s="24"/>
      <c r="D833" s="24"/>
      <c r="E833" s="24"/>
      <c r="F833" s="24"/>
    </row>
    <row r="834">
      <c r="A834" s="24"/>
      <c r="B834" s="24"/>
      <c r="C834" s="24"/>
      <c r="D834" s="24"/>
      <c r="E834" s="24"/>
      <c r="F834" s="24"/>
    </row>
    <row r="835">
      <c r="A835" s="24"/>
      <c r="B835" s="24"/>
      <c r="C835" s="24"/>
      <c r="D835" s="24"/>
      <c r="E835" s="24"/>
      <c r="F835" s="24"/>
    </row>
    <row r="836">
      <c r="A836" s="24"/>
      <c r="B836" s="24"/>
      <c r="C836" s="24"/>
      <c r="D836" s="24"/>
      <c r="E836" s="24"/>
      <c r="F836" s="24"/>
    </row>
    <row r="837">
      <c r="A837" s="24"/>
      <c r="B837" s="24"/>
      <c r="C837" s="24"/>
      <c r="D837" s="24"/>
      <c r="E837" s="24"/>
      <c r="F837" s="24"/>
    </row>
    <row r="838">
      <c r="A838" s="24"/>
      <c r="B838" s="24"/>
      <c r="C838" s="24"/>
      <c r="D838" s="24"/>
      <c r="E838" s="24"/>
      <c r="F838" s="24"/>
    </row>
    <row r="839">
      <c r="A839" s="24"/>
      <c r="B839" s="24"/>
      <c r="C839" s="24"/>
      <c r="D839" s="24"/>
      <c r="E839" s="24"/>
      <c r="F839" s="24"/>
    </row>
    <row r="840">
      <c r="A840" s="24"/>
      <c r="B840" s="24"/>
      <c r="C840" s="24"/>
      <c r="D840" s="24"/>
      <c r="E840" s="24"/>
      <c r="F840" s="24"/>
    </row>
    <row r="841">
      <c r="A841" s="24"/>
      <c r="B841" s="24"/>
      <c r="C841" s="24"/>
      <c r="D841" s="24"/>
      <c r="E841" s="24"/>
      <c r="F841" s="24"/>
    </row>
    <row r="842">
      <c r="A842" s="24"/>
      <c r="B842" s="24"/>
      <c r="C842" s="24"/>
      <c r="D842" s="24"/>
      <c r="E842" s="24"/>
      <c r="F842" s="24"/>
    </row>
    <row r="843">
      <c r="A843" s="24"/>
      <c r="B843" s="24"/>
      <c r="C843" s="24"/>
      <c r="D843" s="24"/>
      <c r="E843" s="24"/>
      <c r="F843" s="24"/>
    </row>
    <row r="844">
      <c r="A844" s="24"/>
      <c r="B844" s="24"/>
      <c r="C844" s="24"/>
      <c r="D844" s="24"/>
      <c r="E844" s="24"/>
      <c r="F844" s="24"/>
    </row>
    <row r="845">
      <c r="A845" s="24"/>
      <c r="B845" s="24"/>
      <c r="C845" s="24"/>
      <c r="D845" s="24"/>
      <c r="E845" s="24"/>
      <c r="F845" s="24"/>
    </row>
    <row r="846">
      <c r="A846" s="24"/>
      <c r="B846" s="24"/>
      <c r="C846" s="24"/>
      <c r="D846" s="24"/>
      <c r="E846" s="24"/>
      <c r="F846" s="24"/>
    </row>
    <row r="847">
      <c r="A847" s="24"/>
      <c r="B847" s="24"/>
      <c r="C847" s="24"/>
      <c r="D847" s="24"/>
      <c r="E847" s="24"/>
      <c r="F847" s="24"/>
    </row>
    <row r="848">
      <c r="A848" s="24"/>
      <c r="B848" s="24"/>
      <c r="C848" s="24"/>
      <c r="D848" s="24"/>
      <c r="E848" s="24"/>
      <c r="F848" s="24"/>
    </row>
    <row r="849">
      <c r="A849" s="24"/>
      <c r="B849" s="24"/>
      <c r="C849" s="24"/>
      <c r="D849" s="24"/>
      <c r="E849" s="24"/>
      <c r="F849" s="24"/>
    </row>
    <row r="850">
      <c r="A850" s="24"/>
      <c r="B850" s="24"/>
      <c r="C850" s="24"/>
      <c r="D850" s="24"/>
      <c r="E850" s="24"/>
      <c r="F850" s="24"/>
    </row>
    <row r="851">
      <c r="A851" s="24"/>
      <c r="B851" s="24"/>
      <c r="C851" s="24"/>
      <c r="D851" s="24"/>
      <c r="E851" s="24"/>
      <c r="F851" s="24"/>
    </row>
    <row r="852">
      <c r="A852" s="24"/>
      <c r="B852" s="24"/>
      <c r="C852" s="24"/>
      <c r="D852" s="24"/>
      <c r="E852" s="24"/>
      <c r="F852" s="24"/>
    </row>
    <row r="853">
      <c r="A853" s="24"/>
      <c r="B853" s="24"/>
      <c r="C853" s="24"/>
      <c r="D853" s="24"/>
      <c r="E853" s="24"/>
      <c r="F853" s="24"/>
    </row>
    <row r="854">
      <c r="A854" s="24"/>
      <c r="B854" s="24"/>
      <c r="C854" s="24"/>
      <c r="D854" s="24"/>
      <c r="E854" s="24"/>
      <c r="F854" s="24"/>
    </row>
    <row r="855">
      <c r="A855" s="24"/>
      <c r="B855" s="24"/>
      <c r="C855" s="24"/>
      <c r="D855" s="24"/>
      <c r="E855" s="24"/>
      <c r="F855" s="24"/>
    </row>
    <row r="856">
      <c r="A856" s="24"/>
      <c r="B856" s="24"/>
      <c r="C856" s="24"/>
      <c r="D856" s="24"/>
      <c r="E856" s="24"/>
      <c r="F856" s="24"/>
    </row>
    <row r="857">
      <c r="A857" s="24"/>
      <c r="B857" s="24"/>
      <c r="C857" s="24"/>
      <c r="D857" s="24"/>
      <c r="E857" s="24"/>
      <c r="F857" s="24"/>
    </row>
    <row r="858">
      <c r="A858" s="24"/>
      <c r="B858" s="24"/>
      <c r="C858" s="24"/>
      <c r="D858" s="24"/>
      <c r="E858" s="24"/>
      <c r="F858" s="24"/>
    </row>
    <row r="859">
      <c r="A859" s="24"/>
      <c r="B859" s="24"/>
      <c r="C859" s="24"/>
      <c r="D859" s="24"/>
      <c r="E859" s="24"/>
      <c r="F859" s="24"/>
    </row>
    <row r="860">
      <c r="A860" s="24"/>
      <c r="B860" s="24"/>
      <c r="C860" s="24"/>
      <c r="D860" s="24"/>
      <c r="E860" s="24"/>
      <c r="F860" s="24"/>
    </row>
    <row r="861">
      <c r="A861" s="24"/>
      <c r="B861" s="24"/>
      <c r="C861" s="24"/>
      <c r="D861" s="24"/>
      <c r="E861" s="24"/>
      <c r="F861" s="24"/>
    </row>
    <row r="862">
      <c r="A862" s="24"/>
      <c r="B862" s="24"/>
      <c r="C862" s="24"/>
      <c r="D862" s="24"/>
      <c r="E862" s="24"/>
      <c r="F862" s="24"/>
    </row>
    <row r="863">
      <c r="A863" s="24"/>
      <c r="B863" s="24"/>
      <c r="C863" s="24"/>
      <c r="D863" s="24"/>
      <c r="E863" s="24"/>
      <c r="F863" s="24"/>
    </row>
    <row r="864">
      <c r="A864" s="24"/>
      <c r="B864" s="24"/>
      <c r="C864" s="24"/>
      <c r="D864" s="24"/>
      <c r="E864" s="24"/>
      <c r="F864" s="24"/>
    </row>
    <row r="865">
      <c r="A865" s="24"/>
      <c r="B865" s="24"/>
      <c r="C865" s="24"/>
      <c r="D865" s="24"/>
      <c r="E865" s="24"/>
      <c r="F865" s="24"/>
    </row>
    <row r="866">
      <c r="A866" s="24"/>
      <c r="B866" s="24"/>
      <c r="C866" s="24"/>
      <c r="D866" s="24"/>
      <c r="E866" s="24"/>
      <c r="F866" s="24"/>
    </row>
    <row r="867">
      <c r="A867" s="24"/>
      <c r="B867" s="24"/>
      <c r="C867" s="24"/>
      <c r="D867" s="24"/>
      <c r="E867" s="24"/>
      <c r="F867" s="24"/>
    </row>
    <row r="868">
      <c r="A868" s="24"/>
      <c r="B868" s="24"/>
      <c r="C868" s="24"/>
      <c r="D868" s="24"/>
      <c r="E868" s="24"/>
      <c r="F868" s="24"/>
    </row>
    <row r="869">
      <c r="A869" s="24"/>
      <c r="B869" s="24"/>
      <c r="C869" s="24"/>
      <c r="D869" s="24"/>
      <c r="E869" s="24"/>
      <c r="F869" s="24"/>
    </row>
    <row r="870">
      <c r="A870" s="24"/>
      <c r="B870" s="24"/>
      <c r="C870" s="24"/>
      <c r="D870" s="24"/>
      <c r="E870" s="24"/>
      <c r="F870" s="24"/>
    </row>
    <row r="871">
      <c r="A871" s="24"/>
      <c r="B871" s="24"/>
      <c r="C871" s="24"/>
      <c r="D871" s="24"/>
      <c r="E871" s="24"/>
      <c r="F871" s="24"/>
    </row>
    <row r="872">
      <c r="A872" s="24"/>
      <c r="B872" s="24"/>
      <c r="C872" s="24"/>
      <c r="D872" s="24"/>
      <c r="E872" s="24"/>
      <c r="F872" s="24"/>
    </row>
    <row r="873">
      <c r="A873" s="24"/>
      <c r="B873" s="24"/>
      <c r="C873" s="24"/>
      <c r="D873" s="24"/>
      <c r="E873" s="24"/>
      <c r="F873" s="24"/>
    </row>
    <row r="874">
      <c r="A874" s="24"/>
      <c r="B874" s="24"/>
      <c r="C874" s="24"/>
      <c r="D874" s="24"/>
      <c r="E874" s="24"/>
      <c r="F874" s="24"/>
    </row>
    <row r="875">
      <c r="A875" s="24"/>
      <c r="B875" s="24"/>
      <c r="C875" s="24"/>
      <c r="D875" s="24"/>
      <c r="E875" s="24"/>
      <c r="F875" s="24"/>
    </row>
    <row r="876">
      <c r="A876" s="24"/>
      <c r="B876" s="24"/>
      <c r="C876" s="24"/>
      <c r="D876" s="24"/>
      <c r="E876" s="24"/>
      <c r="F876" s="24"/>
    </row>
    <row r="877">
      <c r="A877" s="24"/>
      <c r="B877" s="24"/>
      <c r="C877" s="24"/>
      <c r="D877" s="24"/>
      <c r="E877" s="24"/>
      <c r="F877" s="24"/>
    </row>
    <row r="878">
      <c r="A878" s="24"/>
      <c r="B878" s="24"/>
      <c r="C878" s="24"/>
      <c r="D878" s="24"/>
      <c r="E878" s="24"/>
      <c r="F878" s="24"/>
    </row>
    <row r="879">
      <c r="A879" s="24"/>
      <c r="B879" s="24"/>
      <c r="C879" s="24"/>
      <c r="D879" s="24"/>
      <c r="E879" s="24"/>
      <c r="F879" s="24"/>
    </row>
    <row r="880">
      <c r="A880" s="24"/>
      <c r="B880" s="24"/>
      <c r="C880" s="24"/>
      <c r="D880" s="24"/>
      <c r="E880" s="24"/>
      <c r="F880" s="24"/>
    </row>
    <row r="881">
      <c r="A881" s="24"/>
      <c r="B881" s="24"/>
      <c r="C881" s="24"/>
      <c r="D881" s="24"/>
      <c r="E881" s="24"/>
      <c r="F881" s="24"/>
    </row>
    <row r="882">
      <c r="A882" s="24"/>
      <c r="B882" s="24"/>
      <c r="C882" s="24"/>
      <c r="D882" s="24"/>
      <c r="E882" s="24"/>
      <c r="F882" s="24"/>
    </row>
    <row r="883">
      <c r="A883" s="24"/>
      <c r="B883" s="24"/>
      <c r="C883" s="24"/>
      <c r="D883" s="24"/>
      <c r="E883" s="24"/>
      <c r="F883" s="24"/>
    </row>
    <row r="884">
      <c r="A884" s="24"/>
      <c r="B884" s="24"/>
      <c r="C884" s="24"/>
      <c r="D884" s="24"/>
      <c r="E884" s="24"/>
      <c r="F884" s="24"/>
    </row>
    <row r="885">
      <c r="A885" s="24"/>
      <c r="B885" s="24"/>
      <c r="C885" s="24"/>
      <c r="D885" s="24"/>
      <c r="E885" s="24"/>
      <c r="F885" s="24"/>
    </row>
    <row r="886">
      <c r="A886" s="24"/>
      <c r="B886" s="24"/>
      <c r="C886" s="24"/>
      <c r="D886" s="24"/>
      <c r="E886" s="24"/>
      <c r="F886" s="24"/>
    </row>
    <row r="887">
      <c r="A887" s="24"/>
      <c r="B887" s="24"/>
      <c r="C887" s="24"/>
      <c r="D887" s="24"/>
      <c r="E887" s="24"/>
      <c r="F887" s="24"/>
    </row>
    <row r="888">
      <c r="A888" s="24"/>
      <c r="B888" s="24"/>
      <c r="C888" s="24"/>
      <c r="D888" s="24"/>
      <c r="E888" s="24"/>
      <c r="F888" s="24"/>
    </row>
    <row r="889">
      <c r="A889" s="24"/>
      <c r="B889" s="24"/>
      <c r="C889" s="24"/>
      <c r="D889" s="24"/>
      <c r="E889" s="24"/>
      <c r="F889" s="24"/>
    </row>
    <row r="890">
      <c r="A890" s="24"/>
      <c r="B890" s="24"/>
      <c r="C890" s="24"/>
      <c r="D890" s="24"/>
      <c r="E890" s="24"/>
      <c r="F890" s="24"/>
    </row>
    <row r="891">
      <c r="A891" s="24"/>
      <c r="B891" s="24"/>
      <c r="C891" s="24"/>
      <c r="D891" s="24"/>
      <c r="E891" s="24"/>
      <c r="F891" s="24"/>
    </row>
    <row r="892">
      <c r="A892" s="24"/>
      <c r="B892" s="24"/>
      <c r="C892" s="24"/>
      <c r="D892" s="24"/>
      <c r="E892" s="24"/>
      <c r="F892" s="24"/>
    </row>
    <row r="893">
      <c r="A893" s="24"/>
      <c r="B893" s="24"/>
      <c r="C893" s="24"/>
      <c r="D893" s="24"/>
      <c r="E893" s="24"/>
      <c r="F893" s="24"/>
    </row>
    <row r="894">
      <c r="A894" s="24"/>
      <c r="B894" s="24"/>
      <c r="C894" s="24"/>
      <c r="D894" s="24"/>
      <c r="E894" s="24"/>
      <c r="F894" s="24"/>
    </row>
    <row r="895">
      <c r="A895" s="24"/>
      <c r="B895" s="24"/>
      <c r="C895" s="24"/>
      <c r="D895" s="24"/>
      <c r="E895" s="24"/>
      <c r="F895" s="24"/>
    </row>
    <row r="896">
      <c r="A896" s="24"/>
      <c r="B896" s="24"/>
      <c r="C896" s="24"/>
      <c r="D896" s="24"/>
      <c r="E896" s="24"/>
      <c r="F896" s="24"/>
    </row>
    <row r="897">
      <c r="A897" s="24"/>
      <c r="B897" s="24"/>
      <c r="C897" s="24"/>
      <c r="D897" s="24"/>
      <c r="E897" s="24"/>
      <c r="F897" s="24"/>
    </row>
    <row r="898">
      <c r="A898" s="24"/>
      <c r="B898" s="24"/>
      <c r="C898" s="24"/>
      <c r="D898" s="24"/>
      <c r="E898" s="24"/>
      <c r="F898" s="24"/>
    </row>
    <row r="899">
      <c r="A899" s="24"/>
      <c r="B899" s="24"/>
      <c r="C899" s="24"/>
      <c r="D899" s="24"/>
      <c r="E899" s="24"/>
      <c r="F899" s="24"/>
    </row>
    <row r="900">
      <c r="A900" s="24"/>
      <c r="B900" s="24"/>
      <c r="C900" s="24"/>
      <c r="D900" s="24"/>
      <c r="E900" s="24"/>
      <c r="F900" s="24"/>
    </row>
    <row r="901">
      <c r="A901" s="24"/>
      <c r="B901" s="24"/>
      <c r="C901" s="24"/>
      <c r="D901" s="24"/>
      <c r="E901" s="24"/>
      <c r="F901" s="24"/>
    </row>
    <row r="902">
      <c r="A902" s="24"/>
      <c r="B902" s="24"/>
      <c r="C902" s="24"/>
      <c r="D902" s="24"/>
      <c r="E902" s="24"/>
      <c r="F902" s="24"/>
    </row>
    <row r="903">
      <c r="A903" s="24"/>
      <c r="B903" s="24"/>
      <c r="C903" s="24"/>
      <c r="D903" s="24"/>
      <c r="E903" s="24"/>
      <c r="F903" s="24"/>
    </row>
    <row r="904">
      <c r="A904" s="24"/>
      <c r="B904" s="24"/>
      <c r="C904" s="24"/>
      <c r="D904" s="24"/>
      <c r="E904" s="24"/>
      <c r="F904" s="24"/>
    </row>
    <row r="905">
      <c r="A905" s="24"/>
      <c r="B905" s="24"/>
      <c r="C905" s="24"/>
      <c r="D905" s="24"/>
      <c r="E905" s="24"/>
      <c r="F905" s="24"/>
    </row>
    <row r="906">
      <c r="A906" s="24"/>
      <c r="B906" s="24"/>
      <c r="C906" s="24"/>
      <c r="D906" s="24"/>
      <c r="E906" s="24"/>
      <c r="F906" s="24"/>
    </row>
    <row r="907">
      <c r="A907" s="24"/>
      <c r="B907" s="24"/>
      <c r="C907" s="24"/>
      <c r="D907" s="24"/>
      <c r="E907" s="24"/>
      <c r="F907" s="24"/>
    </row>
    <row r="908">
      <c r="A908" s="24"/>
      <c r="B908" s="24"/>
      <c r="C908" s="24"/>
      <c r="D908" s="24"/>
      <c r="E908" s="24"/>
      <c r="F908" s="24"/>
    </row>
    <row r="909">
      <c r="A909" s="24"/>
      <c r="B909" s="24"/>
      <c r="C909" s="24"/>
      <c r="D909" s="24"/>
      <c r="E909" s="24"/>
      <c r="F909" s="24"/>
    </row>
    <row r="910">
      <c r="A910" s="24"/>
      <c r="B910" s="24"/>
      <c r="C910" s="24"/>
      <c r="D910" s="24"/>
      <c r="E910" s="24"/>
      <c r="F910" s="24"/>
    </row>
    <row r="911">
      <c r="A911" s="24"/>
      <c r="B911" s="24"/>
      <c r="C911" s="24"/>
      <c r="D911" s="24"/>
      <c r="E911" s="24"/>
      <c r="F911" s="24"/>
    </row>
    <row r="912">
      <c r="A912" s="24"/>
      <c r="B912" s="24"/>
      <c r="C912" s="24"/>
      <c r="D912" s="24"/>
      <c r="E912" s="24"/>
      <c r="F912" s="24"/>
    </row>
    <row r="913">
      <c r="A913" s="24"/>
      <c r="B913" s="24"/>
      <c r="C913" s="24"/>
      <c r="D913" s="24"/>
      <c r="E913" s="24"/>
      <c r="F913" s="24"/>
    </row>
    <row r="914">
      <c r="A914" s="24"/>
      <c r="B914" s="24"/>
      <c r="C914" s="24"/>
      <c r="D914" s="24"/>
      <c r="E914" s="24"/>
      <c r="F914" s="24"/>
    </row>
    <row r="915">
      <c r="A915" s="24"/>
      <c r="B915" s="24"/>
      <c r="C915" s="24"/>
      <c r="D915" s="24"/>
      <c r="E915" s="24"/>
      <c r="F915" s="24"/>
    </row>
    <row r="916">
      <c r="A916" s="24"/>
      <c r="B916" s="24"/>
      <c r="C916" s="24"/>
      <c r="D916" s="24"/>
      <c r="E916" s="24"/>
      <c r="F916" s="24"/>
    </row>
    <row r="917">
      <c r="A917" s="24"/>
      <c r="B917" s="24"/>
      <c r="C917" s="24"/>
      <c r="D917" s="24"/>
      <c r="E917" s="24"/>
      <c r="F917" s="24"/>
    </row>
    <row r="918">
      <c r="A918" s="24"/>
      <c r="B918" s="24"/>
      <c r="C918" s="24"/>
      <c r="D918" s="24"/>
      <c r="E918" s="24"/>
      <c r="F918" s="24"/>
    </row>
    <row r="919">
      <c r="A919" s="24"/>
      <c r="B919" s="24"/>
      <c r="C919" s="24"/>
      <c r="D919" s="24"/>
      <c r="E919" s="24"/>
      <c r="F919" s="24"/>
    </row>
    <row r="920">
      <c r="A920" s="24"/>
      <c r="B920" s="24"/>
      <c r="C920" s="24"/>
      <c r="D920" s="24"/>
      <c r="E920" s="24"/>
      <c r="F920" s="24"/>
    </row>
    <row r="921">
      <c r="A921" s="24"/>
      <c r="B921" s="24"/>
      <c r="C921" s="24"/>
      <c r="D921" s="24"/>
      <c r="E921" s="24"/>
      <c r="F921" s="24"/>
    </row>
    <row r="922">
      <c r="A922" s="24"/>
      <c r="B922" s="24"/>
      <c r="C922" s="24"/>
      <c r="D922" s="24"/>
      <c r="E922" s="24"/>
      <c r="F922" s="24"/>
    </row>
    <row r="923">
      <c r="A923" s="24"/>
      <c r="B923" s="24"/>
      <c r="C923" s="24"/>
      <c r="D923" s="24"/>
      <c r="E923" s="24"/>
      <c r="F923" s="24"/>
    </row>
    <row r="924">
      <c r="A924" s="24"/>
      <c r="B924" s="24"/>
      <c r="C924" s="24"/>
      <c r="D924" s="24"/>
      <c r="E924" s="24"/>
      <c r="F924" s="24"/>
    </row>
    <row r="925">
      <c r="A925" s="24"/>
      <c r="B925" s="24"/>
      <c r="C925" s="24"/>
      <c r="D925" s="24"/>
      <c r="E925" s="24"/>
      <c r="F925" s="24"/>
    </row>
    <row r="926">
      <c r="A926" s="24"/>
      <c r="B926" s="24"/>
      <c r="C926" s="24"/>
      <c r="D926" s="24"/>
      <c r="E926" s="24"/>
      <c r="F926" s="24"/>
    </row>
    <row r="927">
      <c r="A927" s="24"/>
      <c r="B927" s="24"/>
      <c r="C927" s="24"/>
      <c r="D927" s="24"/>
      <c r="E927" s="24"/>
      <c r="F927" s="24"/>
    </row>
    <row r="928">
      <c r="A928" s="24"/>
      <c r="B928" s="24"/>
      <c r="C928" s="24"/>
      <c r="D928" s="24"/>
      <c r="E928" s="24"/>
      <c r="F928" s="24"/>
    </row>
    <row r="929">
      <c r="A929" s="24"/>
      <c r="B929" s="24"/>
      <c r="C929" s="24"/>
      <c r="D929" s="24"/>
      <c r="E929" s="24"/>
      <c r="F929" s="24"/>
    </row>
    <row r="930">
      <c r="A930" s="24"/>
      <c r="B930" s="24"/>
      <c r="C930" s="24"/>
      <c r="D930" s="24"/>
      <c r="E930" s="24"/>
      <c r="F930" s="24"/>
    </row>
    <row r="931">
      <c r="A931" s="24"/>
      <c r="B931" s="24"/>
      <c r="C931" s="24"/>
      <c r="D931" s="24"/>
      <c r="E931" s="24"/>
      <c r="F931" s="24"/>
    </row>
    <row r="932">
      <c r="A932" s="24"/>
      <c r="B932" s="24"/>
      <c r="C932" s="24"/>
      <c r="D932" s="24"/>
      <c r="E932" s="24"/>
      <c r="F932" s="24"/>
    </row>
    <row r="933">
      <c r="A933" s="24"/>
      <c r="B933" s="24"/>
      <c r="C933" s="24"/>
      <c r="D933" s="24"/>
      <c r="E933" s="24"/>
      <c r="F933" s="24"/>
    </row>
    <row r="934">
      <c r="A934" s="24"/>
      <c r="B934" s="24"/>
      <c r="C934" s="24"/>
      <c r="D934" s="24"/>
      <c r="E934" s="24"/>
      <c r="F934" s="24"/>
    </row>
    <row r="935">
      <c r="A935" s="24"/>
      <c r="B935" s="24"/>
      <c r="C935" s="24"/>
      <c r="D935" s="24"/>
      <c r="E935" s="24"/>
      <c r="F935" s="24"/>
    </row>
    <row r="936">
      <c r="A936" s="24"/>
      <c r="B936" s="24"/>
      <c r="C936" s="24"/>
      <c r="D936" s="24"/>
      <c r="E936" s="24"/>
      <c r="F936" s="24"/>
    </row>
    <row r="937">
      <c r="A937" s="24"/>
      <c r="B937" s="24"/>
      <c r="C937" s="24"/>
      <c r="D937" s="24"/>
      <c r="E937" s="24"/>
      <c r="F937" s="24"/>
    </row>
    <row r="938">
      <c r="A938" s="24"/>
      <c r="B938" s="24"/>
      <c r="C938" s="24"/>
      <c r="D938" s="24"/>
      <c r="E938" s="24"/>
      <c r="F938" s="24"/>
    </row>
    <row r="939">
      <c r="A939" s="24"/>
      <c r="B939" s="24"/>
      <c r="C939" s="24"/>
      <c r="D939" s="24"/>
      <c r="E939" s="24"/>
      <c r="F939" s="24"/>
    </row>
    <row r="940">
      <c r="A940" s="24"/>
      <c r="B940" s="24"/>
      <c r="C940" s="24"/>
      <c r="D940" s="24"/>
      <c r="E940" s="24"/>
      <c r="F940" s="24"/>
    </row>
    <row r="941">
      <c r="A941" s="24"/>
      <c r="B941" s="24"/>
      <c r="C941" s="24"/>
      <c r="D941" s="24"/>
      <c r="E941" s="24"/>
      <c r="F941" s="24"/>
    </row>
    <row r="942">
      <c r="A942" s="24"/>
      <c r="B942" s="24"/>
      <c r="C942" s="24"/>
      <c r="D942" s="24"/>
      <c r="E942" s="24"/>
      <c r="F942" s="24"/>
    </row>
    <row r="943">
      <c r="A943" s="24"/>
      <c r="B943" s="24"/>
      <c r="C943" s="24"/>
      <c r="D943" s="24"/>
      <c r="E943" s="24"/>
      <c r="F943" s="24"/>
    </row>
    <row r="944">
      <c r="A944" s="24"/>
      <c r="B944" s="24"/>
      <c r="C944" s="24"/>
      <c r="D944" s="24"/>
      <c r="E944" s="24"/>
      <c r="F944" s="24"/>
    </row>
    <row r="945">
      <c r="A945" s="24"/>
      <c r="B945" s="24"/>
      <c r="C945" s="24"/>
      <c r="D945" s="24"/>
      <c r="E945" s="24"/>
      <c r="F945" s="24"/>
    </row>
    <row r="946">
      <c r="A946" s="24"/>
      <c r="B946" s="24"/>
      <c r="C946" s="24"/>
      <c r="D946" s="24"/>
      <c r="E946" s="24"/>
      <c r="F946" s="24"/>
    </row>
    <row r="947">
      <c r="A947" s="24"/>
      <c r="B947" s="24"/>
      <c r="C947" s="24"/>
      <c r="D947" s="24"/>
      <c r="E947" s="24"/>
      <c r="F947" s="24"/>
    </row>
    <row r="948">
      <c r="A948" s="24"/>
      <c r="B948" s="24"/>
      <c r="C948" s="24"/>
      <c r="D948" s="24"/>
      <c r="E948" s="24"/>
      <c r="F948" s="24"/>
    </row>
    <row r="949">
      <c r="A949" s="24"/>
      <c r="B949" s="24"/>
      <c r="C949" s="24"/>
      <c r="D949" s="24"/>
      <c r="E949" s="24"/>
      <c r="F949" s="24"/>
    </row>
    <row r="950">
      <c r="A950" s="24"/>
      <c r="B950" s="24"/>
      <c r="C950" s="24"/>
      <c r="D950" s="24"/>
      <c r="E950" s="24"/>
      <c r="F950" s="24"/>
    </row>
    <row r="951">
      <c r="A951" s="24"/>
      <c r="B951" s="24"/>
      <c r="C951" s="24"/>
      <c r="D951" s="24"/>
      <c r="E951" s="24"/>
      <c r="F951" s="24"/>
    </row>
    <row r="952">
      <c r="A952" s="24"/>
      <c r="B952" s="24"/>
      <c r="C952" s="24"/>
      <c r="D952" s="24"/>
      <c r="E952" s="24"/>
      <c r="F952" s="24"/>
    </row>
    <row r="953">
      <c r="A953" s="24"/>
      <c r="B953" s="24"/>
      <c r="C953" s="24"/>
      <c r="D953" s="24"/>
      <c r="E953" s="24"/>
      <c r="F953" s="24"/>
    </row>
    <row r="954">
      <c r="A954" s="24"/>
      <c r="B954" s="24"/>
      <c r="C954" s="24"/>
      <c r="D954" s="24"/>
      <c r="E954" s="24"/>
      <c r="F954" s="24"/>
    </row>
    <row r="955">
      <c r="A955" s="24"/>
      <c r="B955" s="24"/>
      <c r="C955" s="24"/>
      <c r="D955" s="24"/>
      <c r="E955" s="24"/>
      <c r="F955" s="24"/>
    </row>
    <row r="956">
      <c r="A956" s="24"/>
      <c r="B956" s="24"/>
      <c r="C956" s="24"/>
      <c r="D956" s="24"/>
      <c r="E956" s="24"/>
      <c r="F956" s="24"/>
    </row>
    <row r="957">
      <c r="A957" s="24"/>
      <c r="B957" s="24"/>
      <c r="C957" s="24"/>
      <c r="D957" s="24"/>
      <c r="E957" s="24"/>
      <c r="F957" s="24"/>
    </row>
    <row r="958">
      <c r="A958" s="24"/>
      <c r="B958" s="24"/>
      <c r="C958" s="24"/>
      <c r="D958" s="24"/>
      <c r="E958" s="24"/>
      <c r="F958" s="24"/>
    </row>
    <row r="959">
      <c r="A959" s="24"/>
      <c r="B959" s="24"/>
      <c r="C959" s="24"/>
      <c r="D959" s="24"/>
      <c r="E959" s="24"/>
      <c r="F959" s="24"/>
    </row>
    <row r="960">
      <c r="A960" s="24"/>
      <c r="B960" s="24"/>
      <c r="C960" s="24"/>
      <c r="D960" s="24"/>
      <c r="E960" s="24"/>
      <c r="F960" s="24"/>
    </row>
    <row r="961">
      <c r="A961" s="24"/>
      <c r="B961" s="24"/>
      <c r="C961" s="24"/>
      <c r="D961" s="24"/>
      <c r="E961" s="24"/>
      <c r="F961" s="24"/>
    </row>
    <row r="962">
      <c r="A962" s="24"/>
      <c r="B962" s="24"/>
      <c r="C962" s="24"/>
      <c r="D962" s="24"/>
      <c r="E962" s="24"/>
      <c r="F962" s="24"/>
    </row>
    <row r="963">
      <c r="A963" s="24"/>
      <c r="B963" s="24"/>
      <c r="C963" s="24"/>
      <c r="D963" s="24"/>
      <c r="E963" s="24"/>
      <c r="F963" s="24"/>
    </row>
    <row r="964">
      <c r="A964" s="24"/>
      <c r="B964" s="24"/>
      <c r="C964" s="24"/>
      <c r="D964" s="24"/>
      <c r="E964" s="24"/>
      <c r="F964" s="24"/>
    </row>
    <row r="965">
      <c r="A965" s="24"/>
      <c r="B965" s="24"/>
      <c r="C965" s="24"/>
      <c r="D965" s="24"/>
      <c r="E965" s="24"/>
      <c r="F965" s="24"/>
    </row>
    <row r="966">
      <c r="A966" s="24"/>
      <c r="B966" s="24"/>
      <c r="C966" s="24"/>
      <c r="D966" s="24"/>
      <c r="E966" s="24"/>
      <c r="F966" s="24"/>
    </row>
    <row r="967">
      <c r="A967" s="24"/>
      <c r="B967" s="24"/>
      <c r="C967" s="24"/>
      <c r="D967" s="24"/>
      <c r="E967" s="24"/>
      <c r="F967" s="24"/>
    </row>
    <row r="968">
      <c r="A968" s="24"/>
      <c r="B968" s="24"/>
      <c r="C968" s="24"/>
      <c r="D968" s="24"/>
      <c r="E968" s="24"/>
      <c r="F968" s="24"/>
    </row>
    <row r="969">
      <c r="A969" s="24"/>
      <c r="B969" s="24"/>
      <c r="C969" s="24"/>
      <c r="D969" s="24"/>
      <c r="E969" s="24"/>
      <c r="F969" s="24"/>
    </row>
    <row r="970">
      <c r="A970" s="24"/>
      <c r="B970" s="24"/>
      <c r="C970" s="24"/>
      <c r="D970" s="24"/>
      <c r="E970" s="24"/>
      <c r="F970" s="24"/>
    </row>
    <row r="971">
      <c r="A971" s="24"/>
      <c r="B971" s="24"/>
      <c r="C971" s="24"/>
      <c r="D971" s="24"/>
      <c r="E971" s="24"/>
      <c r="F971" s="24"/>
    </row>
    <row r="972">
      <c r="A972" s="24"/>
      <c r="B972" s="24"/>
      <c r="C972" s="24"/>
      <c r="D972" s="24"/>
      <c r="E972" s="24"/>
      <c r="F972" s="24"/>
    </row>
    <row r="973">
      <c r="A973" s="24"/>
      <c r="B973" s="24"/>
      <c r="C973" s="24"/>
      <c r="D973" s="24"/>
      <c r="E973" s="24"/>
      <c r="F973" s="24"/>
    </row>
    <row r="974">
      <c r="A974" s="24"/>
      <c r="B974" s="24"/>
      <c r="C974" s="24"/>
      <c r="D974" s="24"/>
      <c r="E974" s="24"/>
      <c r="F974" s="24"/>
    </row>
    <row r="975">
      <c r="A975" s="24"/>
      <c r="B975" s="24"/>
      <c r="C975" s="24"/>
      <c r="D975" s="24"/>
      <c r="E975" s="24"/>
      <c r="F975" s="24"/>
    </row>
    <row r="976">
      <c r="A976" s="24"/>
      <c r="B976" s="24"/>
      <c r="C976" s="24"/>
      <c r="D976" s="24"/>
      <c r="E976" s="24"/>
      <c r="F976" s="24"/>
    </row>
    <row r="977">
      <c r="A977" s="24"/>
      <c r="B977" s="24"/>
      <c r="C977" s="24"/>
      <c r="D977" s="24"/>
      <c r="E977" s="24"/>
      <c r="F977" s="24"/>
    </row>
    <row r="978">
      <c r="A978" s="24"/>
      <c r="B978" s="24"/>
      <c r="C978" s="24"/>
      <c r="D978" s="24"/>
      <c r="E978" s="24"/>
      <c r="F978" s="24"/>
    </row>
    <row r="979">
      <c r="A979" s="24"/>
      <c r="B979" s="24"/>
      <c r="C979" s="24"/>
      <c r="D979" s="24"/>
      <c r="E979" s="24"/>
      <c r="F979" s="24"/>
    </row>
    <row r="980">
      <c r="A980" s="24"/>
      <c r="B980" s="24"/>
      <c r="C980" s="24"/>
      <c r="D980" s="24"/>
      <c r="E980" s="24"/>
      <c r="F980" s="24"/>
    </row>
    <row r="981">
      <c r="A981" s="24"/>
      <c r="B981" s="24"/>
      <c r="C981" s="24"/>
      <c r="D981" s="24"/>
      <c r="E981" s="24"/>
      <c r="F981" s="24"/>
    </row>
    <row r="982">
      <c r="A982" s="24"/>
      <c r="B982" s="24"/>
      <c r="C982" s="24"/>
      <c r="D982" s="24"/>
      <c r="E982" s="24"/>
      <c r="F982" s="24"/>
    </row>
    <row r="983">
      <c r="A983" s="24"/>
      <c r="B983" s="24"/>
      <c r="C983" s="24"/>
      <c r="D983" s="24"/>
      <c r="E983" s="24"/>
      <c r="F983" s="24"/>
    </row>
    <row r="984">
      <c r="A984" s="24"/>
      <c r="B984" s="24"/>
      <c r="C984" s="24"/>
      <c r="D984" s="24"/>
      <c r="E984" s="24"/>
      <c r="F984" s="24"/>
    </row>
    <row r="985">
      <c r="A985" s="24"/>
      <c r="B985" s="24"/>
      <c r="C985" s="24"/>
      <c r="D985" s="24"/>
      <c r="E985" s="24"/>
      <c r="F985" s="24"/>
    </row>
    <row r="986">
      <c r="A986" s="24"/>
      <c r="B986" s="24"/>
      <c r="C986" s="24"/>
      <c r="D986" s="24"/>
      <c r="E986" s="24"/>
      <c r="F986" s="24"/>
    </row>
    <row r="987">
      <c r="A987" s="24"/>
      <c r="B987" s="24"/>
      <c r="C987" s="24"/>
      <c r="D987" s="24"/>
      <c r="E987" s="24"/>
      <c r="F987" s="24"/>
    </row>
    <row r="988">
      <c r="A988" s="24"/>
      <c r="B988" s="24"/>
      <c r="C988" s="24"/>
      <c r="D988" s="24"/>
      <c r="E988" s="24"/>
      <c r="F988" s="24"/>
    </row>
    <row r="989">
      <c r="A989" s="24"/>
      <c r="B989" s="24"/>
      <c r="C989" s="24"/>
      <c r="D989" s="24"/>
      <c r="E989" s="24"/>
      <c r="F989" s="24"/>
    </row>
    <row r="990">
      <c r="A990" s="24"/>
      <c r="B990" s="24"/>
      <c r="C990" s="24"/>
      <c r="D990" s="24"/>
      <c r="E990" s="24"/>
      <c r="F990" s="24"/>
    </row>
    <row r="991">
      <c r="A991" s="24"/>
      <c r="B991" s="24"/>
      <c r="C991" s="24"/>
      <c r="D991" s="24"/>
      <c r="E991" s="24"/>
      <c r="F991" s="24"/>
    </row>
    <row r="992">
      <c r="A992" s="24"/>
      <c r="B992" s="24"/>
      <c r="C992" s="24"/>
      <c r="D992" s="24"/>
      <c r="E992" s="24"/>
      <c r="F992" s="24"/>
    </row>
    <row r="993">
      <c r="A993" s="24"/>
      <c r="B993" s="24"/>
      <c r="C993" s="24"/>
      <c r="D993" s="24"/>
      <c r="E993" s="24"/>
      <c r="F993" s="24"/>
    </row>
    <row r="994">
      <c r="A994" s="24"/>
      <c r="B994" s="24"/>
      <c r="C994" s="24"/>
      <c r="D994" s="24"/>
      <c r="E994" s="24"/>
      <c r="F994" s="24"/>
    </row>
    <row r="995">
      <c r="A995" s="24"/>
      <c r="B995" s="24"/>
      <c r="C995" s="24"/>
      <c r="D995" s="24"/>
      <c r="E995" s="24"/>
      <c r="F995" s="24"/>
    </row>
    <row r="996">
      <c r="A996" s="24"/>
      <c r="B996" s="24"/>
      <c r="C996" s="24"/>
      <c r="D996" s="24"/>
      <c r="E996" s="24"/>
      <c r="F996" s="24"/>
    </row>
  </sheetData>
  <drawing r:id="rId1"/>
</worksheet>
</file>